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1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2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ml.chartshapes+xml"/>
  <Override PartName="/xl/charts/chart2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ml.chartshapes+xml"/>
  <Override PartName="/xl/charts/chart2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ml.chartshapes+xml"/>
  <Override PartName="/xl/charts/chart2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ml.chartshapes+xml"/>
  <Override PartName="/xl/charts/chart3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1.xml" ContentType="application/vnd.openxmlformats-officedocument.drawingml.chartshapes+xml"/>
  <Override PartName="/xl/charts/chart3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ml.chartshapes+xml"/>
  <Override PartName="/xl/charts/chart3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3.xml" ContentType="application/vnd.openxmlformats-officedocument.drawingml.chartshape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3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5.xml" ContentType="application/vnd.openxmlformats-officedocument.drawing+xml"/>
  <Override PartName="/xl/charts/chart3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FADIKA\Desktop\FIELD MONITORING_AVRIL 2025_DPS KWANGO_3BC\CCIA_NK_DECEMBRE 2024\"/>
    </mc:Choice>
  </mc:AlternateContent>
  <bookViews>
    <workbookView xWindow="-110" yWindow="-110" windowWidth="19420" windowHeight="10300" tabRatio="897" activeTab="1"/>
  </bookViews>
  <sheets>
    <sheet name="INSTRUCTIONS" sheetId="8" r:id="rId1"/>
    <sheet name="Data_Entry" sheetId="1" r:id="rId2"/>
    <sheet name="ANAPEV" sheetId="17" r:id="rId3"/>
    <sheet name="MASHAKO" sheetId="15" r:id="rId4"/>
    <sheet name="Analyses_CV_ZS" sheetId="3" r:id="rId5"/>
    <sheet name="Analyses_CV_AS" sheetId="2" r:id="rId6"/>
    <sheet name="Courbes_CV" sheetId="16" r:id="rId7"/>
    <sheet name="Graphiques_Routine" sheetId="4" r:id="rId8"/>
    <sheet name="Cartes_NK" sheetId="5" r:id="rId9"/>
    <sheet name="Cartes_Goma" sheetId="6" r:id="rId10"/>
    <sheet name="Cartes_Butembo" sheetId="7" r:id="rId11"/>
    <sheet name="QGIS" sheetId="18" r:id="rId12"/>
    <sheet name="VAL" sheetId="14" state="hidden" r:id="rId13"/>
    <sheet name="Dico" sheetId="9" state="hidden" r:id="rId14"/>
  </sheets>
  <externalReferences>
    <externalReference r:id="rId15"/>
  </externalReferences>
  <definedNames>
    <definedName name="_xlnm._FilterDatabase" localSheetId="4" hidden="1">Analyses_CV_ZS!$C$15:$U$723</definedName>
    <definedName name="CV_ZS">Analyses_CV_ZS!$C$15:$AB$51</definedName>
    <definedName name="Segment_Antenne">#N/A</definedName>
    <definedName name="Segment_Categorisaton">#N/A</definedName>
    <definedName name="Segment_CV_Penta3">#N/A</definedName>
    <definedName name="Segment_Tx_Abandon">#N/A</definedName>
    <definedName name="Segment_ZS">#N/A</definedName>
  </definedNames>
  <calcPr calcId="152511"/>
  <pivotCaches>
    <pivotCache cacheId="1" r:id="rId1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7"/>
        <x14:slicerCache r:id="rId18"/>
        <x14:slicerCache r:id="rId19"/>
        <x14:slicerCache r:id="rId20"/>
        <x14:slicerCache r:id="rId21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8" l="1"/>
  <c r="D3" i="18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21" i="18"/>
  <c r="D21" i="18"/>
  <c r="C22" i="18"/>
  <c r="D22" i="18"/>
  <c r="C23" i="18"/>
  <c r="D23" i="18"/>
  <c r="C24" i="18"/>
  <c r="D24" i="18"/>
  <c r="C25" i="18"/>
  <c r="D25" i="18"/>
  <c r="C26" i="18"/>
  <c r="D26" i="18"/>
  <c r="C27" i="18"/>
  <c r="D27" i="18"/>
  <c r="C28" i="18"/>
  <c r="D28" i="18"/>
  <c r="C29" i="18"/>
  <c r="D29" i="18"/>
  <c r="C30" i="18"/>
  <c r="D30" i="18"/>
  <c r="C31" i="18"/>
  <c r="D31" i="18"/>
  <c r="C32" i="18"/>
  <c r="D32" i="18"/>
  <c r="C33" i="18"/>
  <c r="D33" i="18"/>
  <c r="C34" i="18"/>
  <c r="D34" i="18"/>
  <c r="C35" i="18"/>
  <c r="D35" i="18"/>
  <c r="D2" i="18"/>
  <c r="C2" i="18"/>
  <c r="D8" i="15" l="1"/>
  <c r="E8" i="15"/>
  <c r="F8" i="15"/>
  <c r="G8" i="15"/>
  <c r="H8" i="15"/>
  <c r="I8" i="15"/>
  <c r="J8" i="15"/>
  <c r="K8" i="15"/>
  <c r="L8" i="15"/>
  <c r="M8" i="15"/>
  <c r="D9" i="15"/>
  <c r="E9" i="15"/>
  <c r="F9" i="15"/>
  <c r="G9" i="15"/>
  <c r="H9" i="15"/>
  <c r="I9" i="15"/>
  <c r="J9" i="15"/>
  <c r="K9" i="15"/>
  <c r="L9" i="15"/>
  <c r="M9" i="15"/>
  <c r="D10" i="15"/>
  <c r="E10" i="15"/>
  <c r="F10" i="15"/>
  <c r="G10" i="15"/>
  <c r="H10" i="15"/>
  <c r="I10" i="15"/>
  <c r="J10" i="15"/>
  <c r="K10" i="15"/>
  <c r="L10" i="15"/>
  <c r="M10" i="15"/>
  <c r="D11" i="15"/>
  <c r="E11" i="15"/>
  <c r="F11" i="15"/>
  <c r="G11" i="15"/>
  <c r="H11" i="15"/>
  <c r="I11" i="15"/>
  <c r="J11" i="15"/>
  <c r="K11" i="15"/>
  <c r="L11" i="15"/>
  <c r="M11" i="15"/>
  <c r="D12" i="15"/>
  <c r="E12" i="15"/>
  <c r="F12" i="15"/>
  <c r="G12" i="15"/>
  <c r="H12" i="15"/>
  <c r="I12" i="15"/>
  <c r="J12" i="15"/>
  <c r="K12" i="15"/>
  <c r="L12" i="15"/>
  <c r="M12" i="15"/>
  <c r="D13" i="15"/>
  <c r="E13" i="15"/>
  <c r="F13" i="15"/>
  <c r="G13" i="15"/>
  <c r="H13" i="15"/>
  <c r="I13" i="15"/>
  <c r="J13" i="15"/>
  <c r="K13" i="15"/>
  <c r="L13" i="15"/>
  <c r="M13" i="15"/>
  <c r="D14" i="15"/>
  <c r="E14" i="15"/>
  <c r="F14" i="15"/>
  <c r="G14" i="15"/>
  <c r="H14" i="15"/>
  <c r="I14" i="15"/>
  <c r="J14" i="15"/>
  <c r="K14" i="15"/>
  <c r="L14" i="15"/>
  <c r="M14" i="15"/>
  <c r="D15" i="15"/>
  <c r="E15" i="15"/>
  <c r="F15" i="15"/>
  <c r="G15" i="15"/>
  <c r="H15" i="15"/>
  <c r="I15" i="15"/>
  <c r="J15" i="15"/>
  <c r="K15" i="15"/>
  <c r="L15" i="15"/>
  <c r="M15" i="15"/>
  <c r="D16" i="15"/>
  <c r="E16" i="15"/>
  <c r="F16" i="15"/>
  <c r="G16" i="15"/>
  <c r="H16" i="15"/>
  <c r="I16" i="15"/>
  <c r="J16" i="15"/>
  <c r="K16" i="15"/>
  <c r="L16" i="15"/>
  <c r="M16" i="15"/>
  <c r="D17" i="15"/>
  <c r="E17" i="15"/>
  <c r="F17" i="15"/>
  <c r="G17" i="15"/>
  <c r="H17" i="15"/>
  <c r="I17" i="15"/>
  <c r="J17" i="15"/>
  <c r="K17" i="15"/>
  <c r="L17" i="15"/>
  <c r="M17" i="15"/>
  <c r="D18" i="15"/>
  <c r="E18" i="15"/>
  <c r="F18" i="15"/>
  <c r="G18" i="15"/>
  <c r="H18" i="15"/>
  <c r="I18" i="15"/>
  <c r="J18" i="15"/>
  <c r="K18" i="15"/>
  <c r="L18" i="15"/>
  <c r="M18" i="15"/>
  <c r="D19" i="15"/>
  <c r="E19" i="15"/>
  <c r="F19" i="15"/>
  <c r="G19" i="15"/>
  <c r="H19" i="15"/>
  <c r="I19" i="15"/>
  <c r="J19" i="15"/>
  <c r="K19" i="15"/>
  <c r="L19" i="15"/>
  <c r="M19" i="15"/>
  <c r="D20" i="15"/>
  <c r="E20" i="15"/>
  <c r="F20" i="15"/>
  <c r="G20" i="15"/>
  <c r="H20" i="15"/>
  <c r="I20" i="15"/>
  <c r="J20" i="15"/>
  <c r="K20" i="15"/>
  <c r="L20" i="15"/>
  <c r="M20" i="15"/>
  <c r="D21" i="15"/>
  <c r="E21" i="15"/>
  <c r="F21" i="15"/>
  <c r="G21" i="15"/>
  <c r="H21" i="15"/>
  <c r="I21" i="15"/>
  <c r="J21" i="15"/>
  <c r="K21" i="15"/>
  <c r="L21" i="15"/>
  <c r="M21" i="15"/>
  <c r="D22" i="15"/>
  <c r="E22" i="15"/>
  <c r="F22" i="15"/>
  <c r="G22" i="15"/>
  <c r="H22" i="15"/>
  <c r="I22" i="15"/>
  <c r="J22" i="15"/>
  <c r="K22" i="15"/>
  <c r="L22" i="15"/>
  <c r="M22" i="15"/>
  <c r="D23" i="15"/>
  <c r="E23" i="15"/>
  <c r="F23" i="15"/>
  <c r="G23" i="15"/>
  <c r="H23" i="15"/>
  <c r="I23" i="15"/>
  <c r="J23" i="15"/>
  <c r="K23" i="15"/>
  <c r="L23" i="15"/>
  <c r="M23" i="15"/>
  <c r="D24" i="15"/>
  <c r="E24" i="15"/>
  <c r="F24" i="15"/>
  <c r="G24" i="15"/>
  <c r="H24" i="15"/>
  <c r="I24" i="15"/>
  <c r="J24" i="15"/>
  <c r="K24" i="15"/>
  <c r="L24" i="15"/>
  <c r="M24" i="15"/>
  <c r="D25" i="15"/>
  <c r="E25" i="15"/>
  <c r="F25" i="15"/>
  <c r="G25" i="15"/>
  <c r="H25" i="15"/>
  <c r="I25" i="15"/>
  <c r="J25" i="15"/>
  <c r="K25" i="15"/>
  <c r="L25" i="15"/>
  <c r="M25" i="15"/>
  <c r="D26" i="15"/>
  <c r="E26" i="15"/>
  <c r="F26" i="15"/>
  <c r="G26" i="15"/>
  <c r="H26" i="15"/>
  <c r="I26" i="15"/>
  <c r="J26" i="15"/>
  <c r="K26" i="15"/>
  <c r="L26" i="15"/>
  <c r="M26" i="15"/>
  <c r="D27" i="15"/>
  <c r="E27" i="15"/>
  <c r="F27" i="15"/>
  <c r="G27" i="15"/>
  <c r="H27" i="15"/>
  <c r="I27" i="15"/>
  <c r="J27" i="15"/>
  <c r="K27" i="15"/>
  <c r="L27" i="15"/>
  <c r="M27" i="15"/>
  <c r="D28" i="15"/>
  <c r="E28" i="15"/>
  <c r="F28" i="15"/>
  <c r="G28" i="15"/>
  <c r="H28" i="15"/>
  <c r="I28" i="15"/>
  <c r="J28" i="15"/>
  <c r="K28" i="15"/>
  <c r="L28" i="15"/>
  <c r="M28" i="15"/>
  <c r="D29" i="15"/>
  <c r="E29" i="15"/>
  <c r="F29" i="15"/>
  <c r="G29" i="15"/>
  <c r="H29" i="15"/>
  <c r="I29" i="15"/>
  <c r="J29" i="15"/>
  <c r="K29" i="15"/>
  <c r="L29" i="15"/>
  <c r="M29" i="15"/>
  <c r="D30" i="15"/>
  <c r="E30" i="15"/>
  <c r="F30" i="15"/>
  <c r="G30" i="15"/>
  <c r="H30" i="15"/>
  <c r="I30" i="15"/>
  <c r="J30" i="15"/>
  <c r="K30" i="15"/>
  <c r="L30" i="15"/>
  <c r="M30" i="15"/>
  <c r="D31" i="15"/>
  <c r="E31" i="15"/>
  <c r="F31" i="15"/>
  <c r="G31" i="15"/>
  <c r="H31" i="15"/>
  <c r="I31" i="15"/>
  <c r="J31" i="15"/>
  <c r="K31" i="15"/>
  <c r="L31" i="15"/>
  <c r="M31" i="15"/>
  <c r="D32" i="15"/>
  <c r="E32" i="15"/>
  <c r="F32" i="15"/>
  <c r="G32" i="15"/>
  <c r="H32" i="15"/>
  <c r="I32" i="15"/>
  <c r="J32" i="15"/>
  <c r="K32" i="15"/>
  <c r="L32" i="15"/>
  <c r="M32" i="15"/>
  <c r="D33" i="15"/>
  <c r="E33" i="15"/>
  <c r="F33" i="15"/>
  <c r="G33" i="15"/>
  <c r="H33" i="15"/>
  <c r="I33" i="15"/>
  <c r="J33" i="15"/>
  <c r="K33" i="15"/>
  <c r="L33" i="15"/>
  <c r="M33" i="15"/>
  <c r="D34" i="15"/>
  <c r="E34" i="15"/>
  <c r="F34" i="15"/>
  <c r="G34" i="15"/>
  <c r="H34" i="15"/>
  <c r="I34" i="15"/>
  <c r="J34" i="15"/>
  <c r="K34" i="15"/>
  <c r="L34" i="15"/>
  <c r="M34" i="15"/>
  <c r="D35" i="15"/>
  <c r="E35" i="15"/>
  <c r="F35" i="15"/>
  <c r="G35" i="15"/>
  <c r="H35" i="15"/>
  <c r="I35" i="15"/>
  <c r="J35" i="15"/>
  <c r="K35" i="15"/>
  <c r="L35" i="15"/>
  <c r="M35" i="15"/>
  <c r="D36" i="15"/>
  <c r="E36" i="15"/>
  <c r="F36" i="15"/>
  <c r="G36" i="15"/>
  <c r="H36" i="15"/>
  <c r="I36" i="15"/>
  <c r="J36" i="15"/>
  <c r="K36" i="15"/>
  <c r="L36" i="15"/>
  <c r="M36" i="15"/>
  <c r="D37" i="15"/>
  <c r="E37" i="15"/>
  <c r="F37" i="15"/>
  <c r="G37" i="15"/>
  <c r="H37" i="15"/>
  <c r="I37" i="15"/>
  <c r="J37" i="15"/>
  <c r="K37" i="15"/>
  <c r="L37" i="15"/>
  <c r="M37" i="15"/>
  <c r="D38" i="15"/>
  <c r="E38" i="15"/>
  <c r="F38" i="15"/>
  <c r="G38" i="15"/>
  <c r="H38" i="15"/>
  <c r="I38" i="15"/>
  <c r="J38" i="15"/>
  <c r="K38" i="15"/>
  <c r="L38" i="15"/>
  <c r="M38" i="15"/>
  <c r="D39" i="15"/>
  <c r="E39" i="15"/>
  <c r="F39" i="15"/>
  <c r="G39" i="15"/>
  <c r="H39" i="15"/>
  <c r="I39" i="15"/>
  <c r="J39" i="15"/>
  <c r="K39" i="15"/>
  <c r="L39" i="15"/>
  <c r="M39" i="15"/>
  <c r="D40" i="15"/>
  <c r="E40" i="15"/>
  <c r="F40" i="15"/>
  <c r="G40" i="15"/>
  <c r="H40" i="15"/>
  <c r="I40" i="15"/>
  <c r="J40" i="15"/>
  <c r="K40" i="15"/>
  <c r="L40" i="15"/>
  <c r="M40" i="15"/>
  <c r="D41" i="15"/>
  <c r="E41" i="15"/>
  <c r="F41" i="15"/>
  <c r="G41" i="15"/>
  <c r="H41" i="15"/>
  <c r="I41" i="15"/>
  <c r="J41" i="15"/>
  <c r="K41" i="15"/>
  <c r="L41" i="15"/>
  <c r="M41" i="15"/>
  <c r="C15" i="4" l="1"/>
  <c r="C14" i="4"/>
  <c r="C13" i="4"/>
  <c r="C12" i="4"/>
  <c r="C11" i="4"/>
  <c r="C10" i="4"/>
  <c r="C9" i="4"/>
  <c r="C8" i="4"/>
  <c r="C7" i="4"/>
  <c r="C6" i="4"/>
  <c r="C5" i="4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5" i="1"/>
  <c r="AC19" i="3" l="1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18" i="3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5" i="1"/>
  <c r="K41" i="17"/>
  <c r="K33" i="17"/>
  <c r="K16" i="17"/>
  <c r="D7" i="17"/>
  <c r="K25" i="17"/>
  <c r="K8" i="17"/>
  <c r="K9" i="17"/>
  <c r="K26" i="17"/>
  <c r="K27" i="17"/>
  <c r="K10" i="17"/>
  <c r="K28" i="17"/>
  <c r="K29" i="17"/>
  <c r="K11" i="17"/>
  <c r="K12" i="17"/>
  <c r="K30" i="17"/>
  <c r="K31" i="17"/>
  <c r="K13" i="17"/>
  <c r="K14" i="17"/>
  <c r="K32" i="17"/>
  <c r="K34" i="17"/>
  <c r="K15" i="17"/>
  <c r="K17" i="17"/>
  <c r="K18" i="17"/>
  <c r="K19" i="17"/>
  <c r="K35" i="17"/>
  <c r="K20" i="17"/>
  <c r="K21" i="17"/>
  <c r="K36" i="17"/>
  <c r="K37" i="17"/>
  <c r="K22" i="17"/>
  <c r="K38" i="17"/>
  <c r="K39" i="17"/>
  <c r="K40" i="17"/>
  <c r="K23" i="17"/>
  <c r="K7" i="17"/>
  <c r="F18" i="17"/>
  <c r="F7" i="17"/>
  <c r="B81" i="7" l="1"/>
  <c r="B82" i="5"/>
  <c r="B94" i="6"/>
  <c r="B109" i="5"/>
  <c r="B90" i="7"/>
  <c r="B101" i="5"/>
  <c r="B87" i="6"/>
  <c r="B93" i="5"/>
  <c r="B83" i="7"/>
  <c r="B85" i="5"/>
  <c r="B93" i="6"/>
  <c r="B108" i="5"/>
  <c r="B100" i="5"/>
  <c r="B89" i="7"/>
  <c r="B92" i="5"/>
  <c r="B86" i="7"/>
  <c r="B82" i="7"/>
  <c r="B84" i="5"/>
  <c r="B96" i="7"/>
  <c r="B110" i="5"/>
  <c r="B98" i="6"/>
  <c r="B115" i="5"/>
  <c r="B107" i="5"/>
  <c r="B95" i="7"/>
  <c r="B91" i="6"/>
  <c r="B99" i="5"/>
  <c r="B91" i="5"/>
  <c r="B85" i="7"/>
  <c r="B82" i="6"/>
  <c r="B83" i="5"/>
  <c r="B83" i="6"/>
  <c r="B86" i="5"/>
  <c r="B114" i="5"/>
  <c r="B97" i="7"/>
  <c r="B94" i="7"/>
  <c r="B106" i="5"/>
  <c r="B90" i="6"/>
  <c r="B98" i="5"/>
  <c r="B90" i="5"/>
  <c r="B86" i="6"/>
  <c r="B91" i="7"/>
  <c r="B102" i="5"/>
  <c r="B113" i="5"/>
  <c r="B97" i="6"/>
  <c r="B105" i="5"/>
  <c r="B92" i="6"/>
  <c r="B97" i="5"/>
  <c r="B89" i="6"/>
  <c r="B89" i="5"/>
  <c r="B85" i="6"/>
  <c r="B88" i="6"/>
  <c r="B94" i="5"/>
  <c r="B96" i="6"/>
  <c r="B112" i="5"/>
  <c r="B93" i="7"/>
  <c r="B104" i="5"/>
  <c r="B88" i="7"/>
  <c r="B96" i="5"/>
  <c r="B84" i="7"/>
  <c r="B88" i="5"/>
  <c r="B95" i="6"/>
  <c r="B111" i="5"/>
  <c r="B92" i="7"/>
  <c r="B103" i="5"/>
  <c r="B87" i="7"/>
  <c r="B95" i="5"/>
  <c r="B84" i="6"/>
  <c r="B87" i="5"/>
  <c r="D26" i="17" l="1"/>
  <c r="E26" i="17"/>
  <c r="F26" i="17"/>
  <c r="D27" i="17"/>
  <c r="E27" i="17"/>
  <c r="F27" i="17"/>
  <c r="D28" i="17"/>
  <c r="E28" i="17"/>
  <c r="F28" i="17"/>
  <c r="D29" i="17"/>
  <c r="E29" i="17"/>
  <c r="F29" i="17"/>
  <c r="D30" i="17"/>
  <c r="E30" i="17"/>
  <c r="F30" i="17"/>
  <c r="D31" i="17"/>
  <c r="E31" i="17"/>
  <c r="F31" i="17"/>
  <c r="D32" i="17"/>
  <c r="E32" i="17"/>
  <c r="F32" i="17"/>
  <c r="D33" i="17"/>
  <c r="E33" i="17"/>
  <c r="F33" i="17"/>
  <c r="D34" i="17"/>
  <c r="E34" i="17"/>
  <c r="F34" i="17"/>
  <c r="D35" i="17"/>
  <c r="E35" i="17"/>
  <c r="F35" i="17"/>
  <c r="D36" i="17"/>
  <c r="E36" i="17"/>
  <c r="F36" i="17"/>
  <c r="D37" i="17"/>
  <c r="E37" i="17"/>
  <c r="F37" i="17"/>
  <c r="D38" i="17"/>
  <c r="E38" i="17"/>
  <c r="F38" i="17"/>
  <c r="D39" i="17"/>
  <c r="E39" i="17"/>
  <c r="F39" i="17"/>
  <c r="D40" i="17"/>
  <c r="E40" i="17"/>
  <c r="F40" i="17"/>
  <c r="D41" i="17"/>
  <c r="E41" i="17"/>
  <c r="F41" i="17"/>
  <c r="F25" i="17"/>
  <c r="E25" i="17"/>
  <c r="L26" i="17"/>
  <c r="O26" i="17" s="1"/>
  <c r="D25" i="17"/>
  <c r="D8" i="17"/>
  <c r="E8" i="17"/>
  <c r="F8" i="17"/>
  <c r="D9" i="17"/>
  <c r="E9" i="17"/>
  <c r="F9" i="17"/>
  <c r="D10" i="17"/>
  <c r="E10" i="17"/>
  <c r="F10" i="17"/>
  <c r="D11" i="17"/>
  <c r="E11" i="17"/>
  <c r="F11" i="17"/>
  <c r="D12" i="17"/>
  <c r="E12" i="17"/>
  <c r="F12" i="17"/>
  <c r="D13" i="17"/>
  <c r="E13" i="17"/>
  <c r="F13" i="17"/>
  <c r="D14" i="17"/>
  <c r="E14" i="17"/>
  <c r="F14" i="17"/>
  <c r="D15" i="17"/>
  <c r="E15" i="17"/>
  <c r="F15" i="17"/>
  <c r="D16" i="17"/>
  <c r="E16" i="17"/>
  <c r="F16" i="17"/>
  <c r="D17" i="17"/>
  <c r="E17" i="17"/>
  <c r="F17" i="17"/>
  <c r="D18" i="17"/>
  <c r="E18" i="17"/>
  <c r="D19" i="17"/>
  <c r="E19" i="17"/>
  <c r="F19" i="17"/>
  <c r="D20" i="17"/>
  <c r="E20" i="17"/>
  <c r="F20" i="17"/>
  <c r="D21" i="17"/>
  <c r="E21" i="17"/>
  <c r="F21" i="17"/>
  <c r="D22" i="17"/>
  <c r="E22" i="17"/>
  <c r="F22" i="17"/>
  <c r="D23" i="17"/>
  <c r="E23" i="17"/>
  <c r="F23" i="17"/>
  <c r="E7" i="17"/>
  <c r="Q41" i="17"/>
  <c r="Q40" i="17"/>
  <c r="Q39" i="17"/>
  <c r="Q38" i="17"/>
  <c r="Q37" i="17"/>
  <c r="Q36" i="17"/>
  <c r="Q35" i="17"/>
  <c r="Q34" i="17"/>
  <c r="Q33" i="17"/>
  <c r="Q32" i="17"/>
  <c r="Q31" i="17"/>
  <c r="Q30" i="17"/>
  <c r="Q29" i="17"/>
  <c r="Q28" i="17"/>
  <c r="Q27" i="17"/>
  <c r="Q26" i="17"/>
  <c r="Q25" i="17"/>
  <c r="Q23" i="17"/>
  <c r="Q22" i="17"/>
  <c r="Q21" i="17"/>
  <c r="Q20" i="17"/>
  <c r="Q19" i="17"/>
  <c r="Q18" i="17"/>
  <c r="Q17" i="17"/>
  <c r="Q16" i="17"/>
  <c r="Q15" i="17"/>
  <c r="Q14" i="17"/>
  <c r="Q13" i="17"/>
  <c r="Q12" i="17"/>
  <c r="Q11" i="17"/>
  <c r="Q10" i="17"/>
  <c r="Q9" i="17"/>
  <c r="Q8" i="17"/>
  <c r="Q7" i="17"/>
  <c r="L32" i="17"/>
  <c r="O32" i="17" s="1"/>
  <c r="L34" i="17"/>
  <c r="O34" i="17" s="1"/>
  <c r="L12" i="17"/>
  <c r="O12" i="17" s="1"/>
  <c r="L35" i="17" l="1"/>
  <c r="O35" i="17" s="1"/>
  <c r="L28" i="17"/>
  <c r="O28" i="17" s="1"/>
  <c r="L36" i="17"/>
  <c r="O36" i="17" s="1"/>
  <c r="L30" i="17"/>
  <c r="O30" i="17" s="1"/>
  <c r="L20" i="17"/>
  <c r="O20" i="17" s="1"/>
  <c r="M37" i="17"/>
  <c r="M29" i="17"/>
  <c r="M17" i="17"/>
  <c r="L23" i="17"/>
  <c r="O23" i="17" s="1"/>
  <c r="M7" i="17"/>
  <c r="M8" i="17"/>
  <c r="L8" i="17"/>
  <c r="O8" i="17" s="1"/>
  <c r="M23" i="17"/>
  <c r="M15" i="17"/>
  <c r="M25" i="17"/>
  <c r="L21" i="17"/>
  <c r="O21" i="17" s="1"/>
  <c r="L19" i="17"/>
  <c r="O19" i="17" s="1"/>
  <c r="L15" i="17"/>
  <c r="O15" i="17" s="1"/>
  <c r="L13" i="17"/>
  <c r="O13" i="17" s="1"/>
  <c r="L11" i="17"/>
  <c r="O11" i="17" s="1"/>
  <c r="L38" i="17"/>
  <c r="O38" i="17" s="1"/>
  <c r="F42" i="17"/>
  <c r="M27" i="17"/>
  <c r="L29" i="17"/>
  <c r="O29" i="17" s="1"/>
  <c r="L37" i="17"/>
  <c r="O37" i="17" s="1"/>
  <c r="E42" i="17"/>
  <c r="L14" i="17"/>
  <c r="O14" i="17" s="1"/>
  <c r="L22" i="17"/>
  <c r="O22" i="17" s="1"/>
  <c r="M31" i="17"/>
  <c r="L7" i="17"/>
  <c r="O7" i="17" s="1"/>
  <c r="L31" i="17"/>
  <c r="O31" i="17" s="1"/>
  <c r="L39" i="17"/>
  <c r="O39" i="17" s="1"/>
  <c r="L16" i="17"/>
  <c r="O16" i="17" s="1"/>
  <c r="L40" i="17"/>
  <c r="O40" i="17" s="1"/>
  <c r="M41" i="17"/>
  <c r="L9" i="17"/>
  <c r="L17" i="17"/>
  <c r="O17" i="17" s="1"/>
  <c r="L25" i="17"/>
  <c r="O25" i="17" s="1"/>
  <c r="L33" i="17"/>
  <c r="O33" i="17" s="1"/>
  <c r="L41" i="17"/>
  <c r="O41" i="17" s="1"/>
  <c r="L10" i="17"/>
  <c r="L18" i="17"/>
  <c r="O18" i="17" s="1"/>
  <c r="M39" i="17"/>
  <c r="L27" i="17"/>
  <c r="O27" i="17" s="1"/>
  <c r="M33" i="17"/>
  <c r="M40" i="17"/>
  <c r="F24" i="17"/>
  <c r="M36" i="17"/>
  <c r="M32" i="17"/>
  <c r="D42" i="17"/>
  <c r="D24" i="17"/>
  <c r="M26" i="17"/>
  <c r="M38" i="17"/>
  <c r="M34" i="17"/>
  <c r="M30" i="17"/>
  <c r="E24" i="17"/>
  <c r="M28" i="17"/>
  <c r="M35" i="17"/>
  <c r="M20" i="17"/>
  <c r="M12" i="17"/>
  <c r="M18" i="17"/>
  <c r="M9" i="17"/>
  <c r="M14" i="17"/>
  <c r="M22" i="17"/>
  <c r="M19" i="17"/>
  <c r="M11" i="17"/>
  <c r="M16" i="17"/>
  <c r="M21" i="17"/>
  <c r="M13" i="17"/>
  <c r="M10" i="17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5" i="1"/>
  <c r="O10" i="17" l="1"/>
  <c r="O9" i="17"/>
  <c r="M42" i="17"/>
  <c r="L42" i="17"/>
  <c r="O42" i="17" s="1"/>
  <c r="L24" i="17"/>
  <c r="O24" i="17" s="1"/>
  <c r="M24" i="17"/>
  <c r="K24" i="17"/>
  <c r="E43" i="17"/>
  <c r="K42" i="17"/>
  <c r="D43" i="17"/>
  <c r="F43" i="17"/>
  <c r="H114" i="7"/>
  <c r="G114" i="7"/>
  <c r="F114" i="7"/>
  <c r="E114" i="7"/>
  <c r="H113" i="7"/>
  <c r="G113" i="7"/>
  <c r="F113" i="7"/>
  <c r="E113" i="7"/>
  <c r="H112" i="7"/>
  <c r="G112" i="7"/>
  <c r="F112" i="7"/>
  <c r="E112" i="7"/>
  <c r="H111" i="7"/>
  <c r="G111" i="7"/>
  <c r="F111" i="7"/>
  <c r="E111" i="7"/>
  <c r="H110" i="7"/>
  <c r="G110" i="7"/>
  <c r="F110" i="7"/>
  <c r="E110" i="7"/>
  <c r="H109" i="7"/>
  <c r="G109" i="7"/>
  <c r="F109" i="7"/>
  <c r="E109" i="7"/>
  <c r="H108" i="7"/>
  <c r="G108" i="7"/>
  <c r="F108" i="7"/>
  <c r="E108" i="7"/>
  <c r="H107" i="7"/>
  <c r="G107" i="7"/>
  <c r="F107" i="7"/>
  <c r="E107" i="7"/>
  <c r="H106" i="7"/>
  <c r="G106" i="7"/>
  <c r="F106" i="7"/>
  <c r="E106" i="7"/>
  <c r="H105" i="7"/>
  <c r="G105" i="7"/>
  <c r="F105" i="7"/>
  <c r="E105" i="7"/>
  <c r="H104" i="7"/>
  <c r="G104" i="7"/>
  <c r="F104" i="7"/>
  <c r="E104" i="7"/>
  <c r="H103" i="7"/>
  <c r="G103" i="7"/>
  <c r="F103" i="7"/>
  <c r="E103" i="7"/>
  <c r="H102" i="7"/>
  <c r="G102" i="7"/>
  <c r="F102" i="7"/>
  <c r="E102" i="7"/>
  <c r="H101" i="7"/>
  <c r="G101" i="7"/>
  <c r="F101" i="7"/>
  <c r="E101" i="7"/>
  <c r="H100" i="7"/>
  <c r="G100" i="7"/>
  <c r="F100" i="7"/>
  <c r="E100" i="7"/>
  <c r="H99" i="7"/>
  <c r="G99" i="7"/>
  <c r="F99" i="7"/>
  <c r="E99" i="7"/>
  <c r="H98" i="7"/>
  <c r="G98" i="7"/>
  <c r="F98" i="7"/>
  <c r="E98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6" i="7"/>
  <c r="G16" i="7"/>
  <c r="F16" i="7"/>
  <c r="E16" i="7"/>
  <c r="H15" i="7"/>
  <c r="G15" i="7"/>
  <c r="F15" i="7"/>
  <c r="E15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H5" i="7"/>
  <c r="G5" i="7"/>
  <c r="F5" i="7"/>
  <c r="E5" i="7"/>
  <c r="H4" i="7"/>
  <c r="G4" i="7"/>
  <c r="F4" i="7"/>
  <c r="E4" i="7"/>
  <c r="H115" i="6"/>
  <c r="G115" i="6"/>
  <c r="F115" i="6"/>
  <c r="E115" i="6"/>
  <c r="H114" i="6"/>
  <c r="G114" i="6"/>
  <c r="F114" i="6"/>
  <c r="E114" i="6"/>
  <c r="H113" i="6"/>
  <c r="G113" i="6"/>
  <c r="F113" i="6"/>
  <c r="E113" i="6"/>
  <c r="H112" i="6"/>
  <c r="G112" i="6"/>
  <c r="F112" i="6"/>
  <c r="E112" i="6"/>
  <c r="H111" i="6"/>
  <c r="G111" i="6"/>
  <c r="F111" i="6"/>
  <c r="E111" i="6"/>
  <c r="H110" i="6"/>
  <c r="G110" i="6"/>
  <c r="F110" i="6"/>
  <c r="E110" i="6"/>
  <c r="H109" i="6"/>
  <c r="G109" i="6"/>
  <c r="F109" i="6"/>
  <c r="E109" i="6"/>
  <c r="H108" i="6"/>
  <c r="G108" i="6"/>
  <c r="F108" i="6"/>
  <c r="E108" i="6"/>
  <c r="H107" i="6"/>
  <c r="G107" i="6"/>
  <c r="F107" i="6"/>
  <c r="E107" i="6"/>
  <c r="H106" i="6"/>
  <c r="G106" i="6"/>
  <c r="F106" i="6"/>
  <c r="E106" i="6"/>
  <c r="H105" i="6"/>
  <c r="G105" i="6"/>
  <c r="F105" i="6"/>
  <c r="E105" i="6"/>
  <c r="H104" i="6"/>
  <c r="G104" i="6"/>
  <c r="F104" i="6"/>
  <c r="E104" i="6"/>
  <c r="H103" i="6"/>
  <c r="G103" i="6"/>
  <c r="F103" i="6"/>
  <c r="E103" i="6"/>
  <c r="H102" i="6"/>
  <c r="G102" i="6"/>
  <c r="F102" i="6"/>
  <c r="E102" i="6"/>
  <c r="H101" i="6"/>
  <c r="G101" i="6"/>
  <c r="F101" i="6"/>
  <c r="E101" i="6"/>
  <c r="H100" i="6"/>
  <c r="G100" i="6"/>
  <c r="F100" i="6"/>
  <c r="E100" i="6"/>
  <c r="H99" i="6"/>
  <c r="G99" i="6"/>
  <c r="F99" i="6"/>
  <c r="E99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E60" i="6"/>
  <c r="F59" i="6"/>
  <c r="E59" i="6"/>
  <c r="F58" i="6"/>
  <c r="E58" i="6"/>
  <c r="F57" i="6"/>
  <c r="E57" i="6"/>
  <c r="F56" i="6"/>
  <c r="E56" i="6"/>
  <c r="F55" i="6"/>
  <c r="E55" i="6"/>
  <c r="F54" i="6"/>
  <c r="E54" i="6"/>
  <c r="F53" i="6"/>
  <c r="E53" i="6"/>
  <c r="F52" i="6"/>
  <c r="E52" i="6"/>
  <c r="F51" i="6"/>
  <c r="E51" i="6"/>
  <c r="F50" i="6"/>
  <c r="E50" i="6"/>
  <c r="F49" i="6"/>
  <c r="E49" i="6"/>
  <c r="F48" i="6"/>
  <c r="E48" i="6"/>
  <c r="F47" i="6"/>
  <c r="E47" i="6"/>
  <c r="F46" i="6"/>
  <c r="E46" i="6"/>
  <c r="F45" i="6"/>
  <c r="E45" i="6"/>
  <c r="F44" i="6"/>
  <c r="E44" i="6"/>
  <c r="F43" i="6"/>
  <c r="E43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6" i="6"/>
  <c r="G16" i="6"/>
  <c r="F16" i="6"/>
  <c r="E16" i="6"/>
  <c r="H15" i="6"/>
  <c r="G15" i="6"/>
  <c r="F15" i="6"/>
  <c r="E15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H5" i="6"/>
  <c r="G5" i="6"/>
  <c r="F5" i="6"/>
  <c r="E5" i="6"/>
  <c r="H4" i="6"/>
  <c r="G4" i="6"/>
  <c r="F4" i="6"/>
  <c r="E4" i="6"/>
  <c r="F76" i="5"/>
  <c r="E76" i="5"/>
  <c r="F75" i="5"/>
  <c r="E75" i="5"/>
  <c r="F74" i="5"/>
  <c r="E74" i="5"/>
  <c r="F73" i="5"/>
  <c r="E73" i="5"/>
  <c r="F72" i="5"/>
  <c r="E72" i="5"/>
  <c r="F71" i="5"/>
  <c r="E71" i="5"/>
  <c r="F70" i="5"/>
  <c r="E70" i="5"/>
  <c r="F69" i="5"/>
  <c r="E69" i="5"/>
  <c r="F68" i="5"/>
  <c r="E68" i="5"/>
  <c r="F67" i="5"/>
  <c r="E67" i="5"/>
  <c r="F66" i="5"/>
  <c r="E66" i="5"/>
  <c r="F65" i="5"/>
  <c r="E65" i="5"/>
  <c r="F64" i="5"/>
  <c r="E64" i="5"/>
  <c r="F63" i="5"/>
  <c r="E63" i="5"/>
  <c r="F62" i="5"/>
  <c r="E62" i="5"/>
  <c r="F61" i="5"/>
  <c r="E61" i="5"/>
  <c r="F60" i="5"/>
  <c r="E60" i="5"/>
  <c r="F59" i="5"/>
  <c r="E59" i="5"/>
  <c r="F58" i="5"/>
  <c r="E58" i="5"/>
  <c r="F57" i="5"/>
  <c r="E57" i="5"/>
  <c r="F56" i="5"/>
  <c r="E56" i="5"/>
  <c r="F55" i="5"/>
  <c r="E55" i="5"/>
  <c r="F54" i="5"/>
  <c r="E54" i="5"/>
  <c r="F53" i="5"/>
  <c r="E53" i="5"/>
  <c r="F52" i="5"/>
  <c r="E52" i="5"/>
  <c r="F51" i="5"/>
  <c r="E51" i="5"/>
  <c r="F50" i="5"/>
  <c r="E50" i="5"/>
  <c r="F49" i="5"/>
  <c r="E49" i="5"/>
  <c r="F48" i="5"/>
  <c r="E48" i="5"/>
  <c r="F47" i="5"/>
  <c r="E47" i="5"/>
  <c r="F46" i="5"/>
  <c r="E46" i="5"/>
  <c r="F45" i="5"/>
  <c r="E45" i="5"/>
  <c r="F44" i="5"/>
  <c r="E44" i="5"/>
  <c r="F43" i="5"/>
  <c r="E43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6" i="5"/>
  <c r="G16" i="5"/>
  <c r="F16" i="5"/>
  <c r="E16" i="5"/>
  <c r="H15" i="5"/>
  <c r="G15" i="5"/>
  <c r="F15" i="5"/>
  <c r="E15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H5" i="5"/>
  <c r="G5" i="5"/>
  <c r="F5" i="5"/>
  <c r="E5" i="5"/>
  <c r="H4" i="5"/>
  <c r="G4" i="5"/>
  <c r="F4" i="5"/>
  <c r="E4" i="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B1" i="15"/>
  <c r="M195" i="16"/>
  <c r="L195" i="16"/>
  <c r="K195" i="16"/>
  <c r="J195" i="16"/>
  <c r="I195" i="16"/>
  <c r="H195" i="16"/>
  <c r="G195" i="16"/>
  <c r="F195" i="16"/>
  <c r="E195" i="16"/>
  <c r="D195" i="16"/>
  <c r="C195" i="16"/>
  <c r="N193" i="16"/>
  <c r="N196" i="16" s="1"/>
  <c r="M193" i="16"/>
  <c r="M196" i="16" s="1"/>
  <c r="C193" i="16"/>
  <c r="D193" i="16" s="1"/>
  <c r="D196" i="16" s="1"/>
  <c r="B193" i="16"/>
  <c r="B196" i="16" s="1"/>
  <c r="O172" i="16"/>
  <c r="B169" i="16"/>
  <c r="AC163" i="16"/>
  <c r="AB163" i="16"/>
  <c r="AA163" i="16"/>
  <c r="Z163" i="16"/>
  <c r="Y163" i="16"/>
  <c r="X163" i="16"/>
  <c r="W163" i="16"/>
  <c r="V163" i="16"/>
  <c r="U163" i="16"/>
  <c r="T163" i="16"/>
  <c r="S163" i="16"/>
  <c r="M163" i="16"/>
  <c r="L163" i="16"/>
  <c r="K163" i="16"/>
  <c r="J163" i="16"/>
  <c r="I163" i="16"/>
  <c r="H163" i="16"/>
  <c r="G163" i="16"/>
  <c r="F163" i="16"/>
  <c r="E163" i="16"/>
  <c r="D163" i="16"/>
  <c r="C163" i="16"/>
  <c r="AD161" i="16"/>
  <c r="AD164" i="16" s="1"/>
  <c r="AC161" i="16"/>
  <c r="AC164" i="16" s="1"/>
  <c r="S161" i="16"/>
  <c r="S164" i="16" s="1"/>
  <c r="R161" i="16"/>
  <c r="R164" i="16" s="1"/>
  <c r="N161" i="16"/>
  <c r="N164" i="16" s="1"/>
  <c r="M161" i="16"/>
  <c r="M164" i="16" s="1"/>
  <c r="C161" i="16"/>
  <c r="C164" i="16" s="1"/>
  <c r="B161" i="16"/>
  <c r="B164" i="16" s="1"/>
  <c r="AE141" i="16"/>
  <c r="O140" i="16"/>
  <c r="R137" i="16"/>
  <c r="B137" i="16"/>
  <c r="AC131" i="16"/>
  <c r="AB131" i="16"/>
  <c r="AA131" i="16"/>
  <c r="Z131" i="16"/>
  <c r="Y131" i="16"/>
  <c r="X131" i="16"/>
  <c r="W131" i="16"/>
  <c r="V131" i="16"/>
  <c r="U131" i="16"/>
  <c r="T131" i="16"/>
  <c r="S131" i="16"/>
  <c r="M131" i="16"/>
  <c r="L131" i="16"/>
  <c r="K131" i="16"/>
  <c r="J131" i="16"/>
  <c r="I131" i="16"/>
  <c r="H131" i="16"/>
  <c r="G131" i="16"/>
  <c r="F131" i="16"/>
  <c r="E131" i="16"/>
  <c r="D131" i="16"/>
  <c r="C131" i="16"/>
  <c r="AD129" i="16"/>
  <c r="AD132" i="16" s="1"/>
  <c r="AC129" i="16"/>
  <c r="AC132" i="16" s="1"/>
  <c r="S129" i="16"/>
  <c r="T129" i="16" s="1"/>
  <c r="R129" i="16"/>
  <c r="R132" i="16" s="1"/>
  <c r="N129" i="16"/>
  <c r="N132" i="16" s="1"/>
  <c r="M129" i="16"/>
  <c r="M132" i="16" s="1"/>
  <c r="C129" i="16"/>
  <c r="D129" i="16" s="1"/>
  <c r="D132" i="16" s="1"/>
  <c r="B129" i="16"/>
  <c r="B132" i="16" s="1"/>
  <c r="AE109" i="16"/>
  <c r="O108" i="16"/>
  <c r="R105" i="16"/>
  <c r="B105" i="16"/>
  <c r="AC99" i="16"/>
  <c r="AB99" i="16"/>
  <c r="AA99" i="16"/>
  <c r="Z99" i="16"/>
  <c r="Y99" i="16"/>
  <c r="X99" i="16"/>
  <c r="W99" i="16"/>
  <c r="V99" i="16"/>
  <c r="U99" i="16"/>
  <c r="T99" i="16"/>
  <c r="S99" i="16"/>
  <c r="M99" i="16"/>
  <c r="L99" i="16"/>
  <c r="K99" i="16"/>
  <c r="J99" i="16"/>
  <c r="I99" i="16"/>
  <c r="H99" i="16"/>
  <c r="G99" i="16"/>
  <c r="F99" i="16"/>
  <c r="E99" i="16"/>
  <c r="D99" i="16"/>
  <c r="C99" i="16"/>
  <c r="AD97" i="16"/>
  <c r="AD100" i="16" s="1"/>
  <c r="AC97" i="16"/>
  <c r="AC100" i="16" s="1"/>
  <c r="S97" i="16"/>
  <c r="S100" i="16" s="1"/>
  <c r="R97" i="16"/>
  <c r="R100" i="16" s="1"/>
  <c r="N97" i="16"/>
  <c r="N100" i="16" s="1"/>
  <c r="M97" i="16"/>
  <c r="M100" i="16" s="1"/>
  <c r="C97" i="16"/>
  <c r="D97" i="16" s="1"/>
  <c r="D100" i="16" s="1"/>
  <c r="B97" i="16"/>
  <c r="B100" i="16" s="1"/>
  <c r="AE76" i="16"/>
  <c r="O75" i="16"/>
  <c r="R73" i="16"/>
  <c r="B73" i="16"/>
  <c r="AC67" i="16"/>
  <c r="AB67" i="16"/>
  <c r="AA67" i="16"/>
  <c r="Z67" i="16"/>
  <c r="Y67" i="16"/>
  <c r="X67" i="16"/>
  <c r="W67" i="16"/>
  <c r="V67" i="16"/>
  <c r="U67" i="16"/>
  <c r="T67" i="16"/>
  <c r="S67" i="16"/>
  <c r="M67" i="16"/>
  <c r="L67" i="16"/>
  <c r="K67" i="16"/>
  <c r="J67" i="16"/>
  <c r="I67" i="16"/>
  <c r="H67" i="16"/>
  <c r="G67" i="16"/>
  <c r="F67" i="16"/>
  <c r="E67" i="16"/>
  <c r="D67" i="16"/>
  <c r="C67" i="16"/>
  <c r="AD65" i="16"/>
  <c r="AD68" i="16" s="1"/>
  <c r="AC65" i="16"/>
  <c r="AC68" i="16" s="1"/>
  <c r="S65" i="16"/>
  <c r="S68" i="16" s="1"/>
  <c r="R65" i="16"/>
  <c r="R68" i="16" s="1"/>
  <c r="N65" i="16"/>
  <c r="N68" i="16" s="1"/>
  <c r="M65" i="16"/>
  <c r="M68" i="16" s="1"/>
  <c r="C65" i="16"/>
  <c r="D65" i="16" s="1"/>
  <c r="B65" i="16"/>
  <c r="B68" i="16" s="1"/>
  <c r="AE44" i="16"/>
  <c r="O43" i="16"/>
  <c r="R41" i="16"/>
  <c r="B41" i="16"/>
  <c r="AC35" i="16"/>
  <c r="AB35" i="16"/>
  <c r="AA35" i="16"/>
  <c r="Z35" i="16"/>
  <c r="Y35" i="16"/>
  <c r="X35" i="16"/>
  <c r="W35" i="16"/>
  <c r="V35" i="16"/>
  <c r="U35" i="16"/>
  <c r="T35" i="16"/>
  <c r="S35" i="16"/>
  <c r="M35" i="16"/>
  <c r="L35" i="16"/>
  <c r="K35" i="16"/>
  <c r="J35" i="16"/>
  <c r="I35" i="16"/>
  <c r="H35" i="16"/>
  <c r="G35" i="16"/>
  <c r="F35" i="16"/>
  <c r="E35" i="16"/>
  <c r="D35" i="16"/>
  <c r="C35" i="16"/>
  <c r="AD33" i="16"/>
  <c r="AD36" i="16" s="1"/>
  <c r="AC33" i="16"/>
  <c r="AC36" i="16" s="1"/>
  <c r="S33" i="16"/>
  <c r="S36" i="16" s="1"/>
  <c r="R33" i="16"/>
  <c r="R36" i="16" s="1"/>
  <c r="N33" i="16"/>
  <c r="N36" i="16" s="1"/>
  <c r="M33" i="16"/>
  <c r="M36" i="16" s="1"/>
  <c r="C33" i="16"/>
  <c r="D33" i="16" s="1"/>
  <c r="D36" i="16" s="1"/>
  <c r="B33" i="16"/>
  <c r="B36" i="16" s="1"/>
  <c r="AE12" i="16"/>
  <c r="O12" i="16"/>
  <c r="AK681" i="2"/>
  <c r="AG681" i="2"/>
  <c r="D681" i="2"/>
  <c r="C681" i="2"/>
  <c r="AI681" i="2" s="1"/>
  <c r="B681" i="2"/>
  <c r="AK680" i="2"/>
  <c r="AG680" i="2"/>
  <c r="D680" i="2"/>
  <c r="C680" i="2"/>
  <c r="AI680" i="2" s="1"/>
  <c r="B680" i="2"/>
  <c r="AK679" i="2"/>
  <c r="AG679" i="2"/>
  <c r="D679" i="2"/>
  <c r="C679" i="2"/>
  <c r="AI679" i="2" s="1"/>
  <c r="B679" i="2"/>
  <c r="AK678" i="2"/>
  <c r="AG678" i="2"/>
  <c r="D678" i="2"/>
  <c r="C678" i="2"/>
  <c r="AI678" i="2" s="1"/>
  <c r="B678" i="2"/>
  <c r="AK677" i="2"/>
  <c r="AG677" i="2"/>
  <c r="D677" i="2"/>
  <c r="C677" i="2"/>
  <c r="AI677" i="2" s="1"/>
  <c r="B677" i="2"/>
  <c r="AK676" i="2"/>
  <c r="AG676" i="2"/>
  <c r="D676" i="2"/>
  <c r="C676" i="2"/>
  <c r="AI676" i="2" s="1"/>
  <c r="B676" i="2"/>
  <c r="AK675" i="2"/>
  <c r="AG675" i="2"/>
  <c r="D675" i="2"/>
  <c r="C675" i="2"/>
  <c r="AI675" i="2" s="1"/>
  <c r="B675" i="2"/>
  <c r="AK674" i="2"/>
  <c r="AG674" i="2"/>
  <c r="D674" i="2"/>
  <c r="C674" i="2"/>
  <c r="AI674" i="2" s="1"/>
  <c r="B674" i="2"/>
  <c r="AK673" i="2"/>
  <c r="AG673" i="2"/>
  <c r="D673" i="2"/>
  <c r="C673" i="2"/>
  <c r="AI673" i="2" s="1"/>
  <c r="B673" i="2"/>
  <c r="AK672" i="2"/>
  <c r="AG672" i="2"/>
  <c r="D672" i="2"/>
  <c r="C672" i="2"/>
  <c r="AI672" i="2" s="1"/>
  <c r="B672" i="2"/>
  <c r="AK671" i="2"/>
  <c r="AG671" i="2"/>
  <c r="D671" i="2"/>
  <c r="C671" i="2"/>
  <c r="AI671" i="2" s="1"/>
  <c r="B671" i="2"/>
  <c r="AK670" i="2"/>
  <c r="AG670" i="2"/>
  <c r="D670" i="2"/>
  <c r="C670" i="2"/>
  <c r="AI670" i="2" s="1"/>
  <c r="B670" i="2"/>
  <c r="AK669" i="2"/>
  <c r="AG669" i="2"/>
  <c r="D669" i="2"/>
  <c r="C669" i="2"/>
  <c r="AI669" i="2" s="1"/>
  <c r="B669" i="2"/>
  <c r="AK668" i="2"/>
  <c r="AG668" i="2"/>
  <c r="D668" i="2"/>
  <c r="C668" i="2"/>
  <c r="AI668" i="2" s="1"/>
  <c r="B668" i="2"/>
  <c r="AK667" i="2"/>
  <c r="AG667" i="2"/>
  <c r="D667" i="2"/>
  <c r="C667" i="2"/>
  <c r="AI667" i="2" s="1"/>
  <c r="B667" i="2"/>
  <c r="AK666" i="2"/>
  <c r="AG666" i="2"/>
  <c r="D666" i="2"/>
  <c r="C666" i="2"/>
  <c r="AI666" i="2" s="1"/>
  <c r="B666" i="2"/>
  <c r="AK665" i="2"/>
  <c r="AG665" i="2"/>
  <c r="D665" i="2"/>
  <c r="C665" i="2"/>
  <c r="AI665" i="2" s="1"/>
  <c r="B665" i="2"/>
  <c r="AK664" i="2"/>
  <c r="AG664" i="2"/>
  <c r="D664" i="2"/>
  <c r="C664" i="2"/>
  <c r="AI664" i="2" s="1"/>
  <c r="B664" i="2"/>
  <c r="AK663" i="2"/>
  <c r="AG663" i="2"/>
  <c r="D663" i="2"/>
  <c r="C663" i="2"/>
  <c r="AI663" i="2" s="1"/>
  <c r="B663" i="2"/>
  <c r="AK662" i="2"/>
  <c r="AG662" i="2"/>
  <c r="D662" i="2"/>
  <c r="C662" i="2"/>
  <c r="AI662" i="2" s="1"/>
  <c r="B662" i="2"/>
  <c r="AK661" i="2"/>
  <c r="AG661" i="2"/>
  <c r="D661" i="2"/>
  <c r="C661" i="2"/>
  <c r="AI661" i="2" s="1"/>
  <c r="B661" i="2"/>
  <c r="AK660" i="2"/>
  <c r="AG660" i="2"/>
  <c r="D660" i="2"/>
  <c r="C660" i="2"/>
  <c r="AI660" i="2" s="1"/>
  <c r="B660" i="2"/>
  <c r="AK659" i="2"/>
  <c r="AG659" i="2"/>
  <c r="D659" i="2"/>
  <c r="C659" i="2"/>
  <c r="AI659" i="2" s="1"/>
  <c r="B659" i="2"/>
  <c r="AK658" i="2"/>
  <c r="AG658" i="2"/>
  <c r="D658" i="2"/>
  <c r="C658" i="2"/>
  <c r="AI658" i="2" s="1"/>
  <c r="B658" i="2"/>
  <c r="AK657" i="2"/>
  <c r="AG657" i="2"/>
  <c r="D657" i="2"/>
  <c r="C657" i="2"/>
  <c r="AI657" i="2" s="1"/>
  <c r="B657" i="2"/>
  <c r="AK656" i="2"/>
  <c r="AG656" i="2"/>
  <c r="D656" i="2"/>
  <c r="C656" i="2"/>
  <c r="AI656" i="2" s="1"/>
  <c r="B656" i="2"/>
  <c r="AK655" i="2"/>
  <c r="AG655" i="2"/>
  <c r="D655" i="2"/>
  <c r="C655" i="2"/>
  <c r="AI655" i="2" s="1"/>
  <c r="B655" i="2"/>
  <c r="AK654" i="2"/>
  <c r="AG654" i="2"/>
  <c r="D654" i="2"/>
  <c r="C654" i="2"/>
  <c r="AI654" i="2" s="1"/>
  <c r="B654" i="2"/>
  <c r="AK653" i="2"/>
  <c r="AG653" i="2"/>
  <c r="D653" i="2"/>
  <c r="C653" i="2"/>
  <c r="AI653" i="2" s="1"/>
  <c r="B653" i="2"/>
  <c r="AK652" i="2"/>
  <c r="AG652" i="2"/>
  <c r="D652" i="2"/>
  <c r="C652" i="2"/>
  <c r="AI652" i="2" s="1"/>
  <c r="B652" i="2"/>
  <c r="AK651" i="2"/>
  <c r="AG651" i="2"/>
  <c r="D651" i="2"/>
  <c r="C651" i="2"/>
  <c r="AI651" i="2" s="1"/>
  <c r="B651" i="2"/>
  <c r="AK650" i="2"/>
  <c r="AG650" i="2"/>
  <c r="D650" i="2"/>
  <c r="C650" i="2"/>
  <c r="AI650" i="2" s="1"/>
  <c r="B650" i="2"/>
  <c r="AK649" i="2"/>
  <c r="AG649" i="2"/>
  <c r="D649" i="2"/>
  <c r="C649" i="2"/>
  <c r="AI649" i="2" s="1"/>
  <c r="B649" i="2"/>
  <c r="AK648" i="2"/>
  <c r="AG648" i="2"/>
  <c r="D648" i="2"/>
  <c r="C648" i="2"/>
  <c r="AI648" i="2" s="1"/>
  <c r="B648" i="2"/>
  <c r="AK647" i="2"/>
  <c r="AG647" i="2"/>
  <c r="D647" i="2"/>
  <c r="C647" i="2"/>
  <c r="AI647" i="2" s="1"/>
  <c r="B647" i="2"/>
  <c r="AK646" i="2"/>
  <c r="AG646" i="2"/>
  <c r="D646" i="2"/>
  <c r="C646" i="2"/>
  <c r="AI646" i="2" s="1"/>
  <c r="B646" i="2"/>
  <c r="AK645" i="2"/>
  <c r="AG645" i="2"/>
  <c r="D645" i="2"/>
  <c r="C645" i="2"/>
  <c r="AI645" i="2" s="1"/>
  <c r="B645" i="2"/>
  <c r="AK644" i="2"/>
  <c r="AG644" i="2"/>
  <c r="D644" i="2"/>
  <c r="C644" i="2"/>
  <c r="AI644" i="2" s="1"/>
  <c r="B644" i="2"/>
  <c r="AK643" i="2"/>
  <c r="AG643" i="2"/>
  <c r="D643" i="2"/>
  <c r="C643" i="2"/>
  <c r="AI643" i="2" s="1"/>
  <c r="B643" i="2"/>
  <c r="AK642" i="2"/>
  <c r="AG642" i="2"/>
  <c r="D642" i="2"/>
  <c r="C642" i="2"/>
  <c r="AI642" i="2" s="1"/>
  <c r="B642" i="2"/>
  <c r="AK641" i="2"/>
  <c r="AG641" i="2"/>
  <c r="D641" i="2"/>
  <c r="C641" i="2"/>
  <c r="AI641" i="2" s="1"/>
  <c r="B641" i="2"/>
  <c r="AK640" i="2"/>
  <c r="AG640" i="2"/>
  <c r="D640" i="2"/>
  <c r="C640" i="2"/>
  <c r="AI640" i="2" s="1"/>
  <c r="B640" i="2"/>
  <c r="AK639" i="2"/>
  <c r="AG639" i="2"/>
  <c r="D639" i="2"/>
  <c r="C639" i="2"/>
  <c r="AI639" i="2" s="1"/>
  <c r="B639" i="2"/>
  <c r="AK638" i="2"/>
  <c r="AG638" i="2"/>
  <c r="D638" i="2"/>
  <c r="C638" i="2"/>
  <c r="AI638" i="2" s="1"/>
  <c r="B638" i="2"/>
  <c r="AK637" i="2"/>
  <c r="AG637" i="2"/>
  <c r="D637" i="2"/>
  <c r="C637" i="2"/>
  <c r="AI637" i="2" s="1"/>
  <c r="B637" i="2"/>
  <c r="AK636" i="2"/>
  <c r="AG636" i="2"/>
  <c r="D636" i="2"/>
  <c r="C636" i="2"/>
  <c r="AI636" i="2" s="1"/>
  <c r="B636" i="2"/>
  <c r="AK635" i="2"/>
  <c r="AG635" i="2"/>
  <c r="D635" i="2"/>
  <c r="C635" i="2"/>
  <c r="AI635" i="2" s="1"/>
  <c r="B635" i="2"/>
  <c r="AK634" i="2"/>
  <c r="AG634" i="2"/>
  <c r="D634" i="2"/>
  <c r="C634" i="2"/>
  <c r="AI634" i="2" s="1"/>
  <c r="B634" i="2"/>
  <c r="AK633" i="2"/>
  <c r="AG633" i="2"/>
  <c r="D633" i="2"/>
  <c r="C633" i="2"/>
  <c r="AI633" i="2" s="1"/>
  <c r="B633" i="2"/>
  <c r="AK632" i="2"/>
  <c r="AG632" i="2"/>
  <c r="D632" i="2"/>
  <c r="C632" i="2"/>
  <c r="AI632" i="2" s="1"/>
  <c r="B632" i="2"/>
  <c r="AK631" i="2"/>
  <c r="AG631" i="2"/>
  <c r="D631" i="2"/>
  <c r="C631" i="2"/>
  <c r="AI631" i="2" s="1"/>
  <c r="B631" i="2"/>
  <c r="AK630" i="2"/>
  <c r="AG630" i="2"/>
  <c r="D630" i="2"/>
  <c r="C630" i="2"/>
  <c r="AI630" i="2" s="1"/>
  <c r="B630" i="2"/>
  <c r="AK629" i="2"/>
  <c r="AG629" i="2"/>
  <c r="D629" i="2"/>
  <c r="C629" i="2"/>
  <c r="AI629" i="2" s="1"/>
  <c r="B629" i="2"/>
  <c r="AK628" i="2"/>
  <c r="AG628" i="2"/>
  <c r="D628" i="2"/>
  <c r="C628" i="2"/>
  <c r="AI628" i="2" s="1"/>
  <c r="B628" i="2"/>
  <c r="AK627" i="2"/>
  <c r="AG627" i="2"/>
  <c r="D627" i="2"/>
  <c r="C627" i="2"/>
  <c r="AI627" i="2" s="1"/>
  <c r="B627" i="2"/>
  <c r="AK626" i="2"/>
  <c r="AG626" i="2"/>
  <c r="D626" i="2"/>
  <c r="C626" i="2"/>
  <c r="AI626" i="2" s="1"/>
  <c r="B626" i="2"/>
  <c r="AK625" i="2"/>
  <c r="AG625" i="2"/>
  <c r="D625" i="2"/>
  <c r="C625" i="2"/>
  <c r="AI625" i="2" s="1"/>
  <c r="B625" i="2"/>
  <c r="AK624" i="2"/>
  <c r="AG624" i="2"/>
  <c r="D624" i="2"/>
  <c r="C624" i="2"/>
  <c r="AI624" i="2" s="1"/>
  <c r="B624" i="2"/>
  <c r="AK623" i="2"/>
  <c r="AG623" i="2"/>
  <c r="D623" i="2"/>
  <c r="C623" i="2"/>
  <c r="AI623" i="2" s="1"/>
  <c r="B623" i="2"/>
  <c r="AK622" i="2"/>
  <c r="AG622" i="2"/>
  <c r="D622" i="2"/>
  <c r="C622" i="2"/>
  <c r="AI622" i="2" s="1"/>
  <c r="B622" i="2"/>
  <c r="AK621" i="2"/>
  <c r="AG621" i="2"/>
  <c r="D621" i="2"/>
  <c r="C621" i="2"/>
  <c r="AI621" i="2" s="1"/>
  <c r="B621" i="2"/>
  <c r="AK620" i="2"/>
  <c r="AG620" i="2"/>
  <c r="D620" i="2"/>
  <c r="C620" i="2"/>
  <c r="AI620" i="2" s="1"/>
  <c r="B620" i="2"/>
  <c r="AK619" i="2"/>
  <c r="AG619" i="2"/>
  <c r="D619" i="2"/>
  <c r="C619" i="2"/>
  <c r="AI619" i="2" s="1"/>
  <c r="B619" i="2"/>
  <c r="AK618" i="2"/>
  <c r="AG618" i="2"/>
  <c r="D618" i="2"/>
  <c r="C618" i="2"/>
  <c r="AI618" i="2" s="1"/>
  <c r="B618" i="2"/>
  <c r="AK617" i="2"/>
  <c r="AG617" i="2"/>
  <c r="D617" i="2"/>
  <c r="C617" i="2"/>
  <c r="AI617" i="2" s="1"/>
  <c r="B617" i="2"/>
  <c r="AK616" i="2"/>
  <c r="AG616" i="2"/>
  <c r="D616" i="2"/>
  <c r="C616" i="2"/>
  <c r="AI616" i="2" s="1"/>
  <c r="B616" i="2"/>
  <c r="AK615" i="2"/>
  <c r="AG615" i="2"/>
  <c r="D615" i="2"/>
  <c r="C615" i="2"/>
  <c r="AI615" i="2" s="1"/>
  <c r="B615" i="2"/>
  <c r="AK614" i="2"/>
  <c r="AG614" i="2"/>
  <c r="D614" i="2"/>
  <c r="C614" i="2"/>
  <c r="AI614" i="2" s="1"/>
  <c r="B614" i="2"/>
  <c r="AK613" i="2"/>
  <c r="AG613" i="2"/>
  <c r="D613" i="2"/>
  <c r="C613" i="2"/>
  <c r="AI613" i="2" s="1"/>
  <c r="B613" i="2"/>
  <c r="AK612" i="2"/>
  <c r="AG612" i="2"/>
  <c r="D612" i="2"/>
  <c r="C612" i="2"/>
  <c r="AI612" i="2" s="1"/>
  <c r="B612" i="2"/>
  <c r="AK611" i="2"/>
  <c r="AG611" i="2"/>
  <c r="D611" i="2"/>
  <c r="C611" i="2"/>
  <c r="AI611" i="2" s="1"/>
  <c r="B611" i="2"/>
  <c r="AK610" i="2"/>
  <c r="AG610" i="2"/>
  <c r="D610" i="2"/>
  <c r="C610" i="2"/>
  <c r="AI610" i="2" s="1"/>
  <c r="B610" i="2"/>
  <c r="AK609" i="2"/>
  <c r="AG609" i="2"/>
  <c r="D609" i="2"/>
  <c r="C609" i="2"/>
  <c r="AI609" i="2" s="1"/>
  <c r="B609" i="2"/>
  <c r="AK608" i="2"/>
  <c r="AG608" i="2"/>
  <c r="D608" i="2"/>
  <c r="C608" i="2"/>
  <c r="AI608" i="2" s="1"/>
  <c r="B608" i="2"/>
  <c r="AK607" i="2"/>
  <c r="AG607" i="2"/>
  <c r="D607" i="2"/>
  <c r="C607" i="2"/>
  <c r="AI607" i="2" s="1"/>
  <c r="B607" i="2"/>
  <c r="AK606" i="2"/>
  <c r="AG606" i="2"/>
  <c r="D606" i="2"/>
  <c r="C606" i="2"/>
  <c r="AI606" i="2" s="1"/>
  <c r="B606" i="2"/>
  <c r="AK605" i="2"/>
  <c r="AG605" i="2"/>
  <c r="D605" i="2"/>
  <c r="C605" i="2"/>
  <c r="AI605" i="2" s="1"/>
  <c r="B605" i="2"/>
  <c r="AK604" i="2"/>
  <c r="AG604" i="2"/>
  <c r="D604" i="2"/>
  <c r="C604" i="2"/>
  <c r="AI604" i="2" s="1"/>
  <c r="B604" i="2"/>
  <c r="AK603" i="2"/>
  <c r="AG603" i="2"/>
  <c r="D603" i="2"/>
  <c r="C603" i="2"/>
  <c r="AI603" i="2" s="1"/>
  <c r="B603" i="2"/>
  <c r="AK602" i="2"/>
  <c r="AG602" i="2"/>
  <c r="D602" i="2"/>
  <c r="C602" i="2"/>
  <c r="AI602" i="2" s="1"/>
  <c r="B602" i="2"/>
  <c r="AK601" i="2"/>
  <c r="AG601" i="2"/>
  <c r="D601" i="2"/>
  <c r="C601" i="2"/>
  <c r="AI601" i="2" s="1"/>
  <c r="B601" i="2"/>
  <c r="AK600" i="2"/>
  <c r="AG600" i="2"/>
  <c r="D600" i="2"/>
  <c r="C600" i="2"/>
  <c r="AI600" i="2" s="1"/>
  <c r="B600" i="2"/>
  <c r="AK599" i="2"/>
  <c r="AG599" i="2"/>
  <c r="D599" i="2"/>
  <c r="C599" i="2"/>
  <c r="AI599" i="2" s="1"/>
  <c r="B599" i="2"/>
  <c r="AK598" i="2"/>
  <c r="AG598" i="2"/>
  <c r="D598" i="2"/>
  <c r="C598" i="2"/>
  <c r="AI598" i="2" s="1"/>
  <c r="B598" i="2"/>
  <c r="AK597" i="2"/>
  <c r="AG597" i="2"/>
  <c r="D597" i="2"/>
  <c r="C597" i="2"/>
  <c r="AI597" i="2" s="1"/>
  <c r="B597" i="2"/>
  <c r="AK596" i="2"/>
  <c r="AG596" i="2"/>
  <c r="D596" i="2"/>
  <c r="C596" i="2"/>
  <c r="AI596" i="2" s="1"/>
  <c r="B596" i="2"/>
  <c r="AK595" i="2"/>
  <c r="AG595" i="2"/>
  <c r="D595" i="2"/>
  <c r="C595" i="2"/>
  <c r="AI595" i="2" s="1"/>
  <c r="B595" i="2"/>
  <c r="AK594" i="2"/>
  <c r="AG594" i="2"/>
  <c r="D594" i="2"/>
  <c r="C594" i="2"/>
  <c r="AI594" i="2" s="1"/>
  <c r="B594" i="2"/>
  <c r="AK593" i="2"/>
  <c r="AG593" i="2"/>
  <c r="D593" i="2"/>
  <c r="C593" i="2"/>
  <c r="AI593" i="2" s="1"/>
  <c r="B593" i="2"/>
  <c r="AK592" i="2"/>
  <c r="AG592" i="2"/>
  <c r="D592" i="2"/>
  <c r="C592" i="2"/>
  <c r="AI592" i="2" s="1"/>
  <c r="B592" i="2"/>
  <c r="AK591" i="2"/>
  <c r="AG591" i="2"/>
  <c r="D591" i="2"/>
  <c r="C591" i="2"/>
  <c r="AI591" i="2" s="1"/>
  <c r="B591" i="2"/>
  <c r="AK590" i="2"/>
  <c r="AG590" i="2"/>
  <c r="D590" i="2"/>
  <c r="C590" i="2"/>
  <c r="AI590" i="2" s="1"/>
  <c r="B590" i="2"/>
  <c r="AK589" i="2"/>
  <c r="AI589" i="2"/>
  <c r="AG589" i="2"/>
  <c r="D589" i="2"/>
  <c r="C589" i="2"/>
  <c r="B589" i="2"/>
  <c r="AK588" i="2"/>
  <c r="AG588" i="2"/>
  <c r="D588" i="2"/>
  <c r="C588" i="2"/>
  <c r="AI588" i="2" s="1"/>
  <c r="B588" i="2"/>
  <c r="AK587" i="2"/>
  <c r="AG587" i="2"/>
  <c r="D587" i="2"/>
  <c r="C587" i="2"/>
  <c r="AI587" i="2" s="1"/>
  <c r="B587" i="2"/>
  <c r="AK586" i="2"/>
  <c r="AG586" i="2"/>
  <c r="D586" i="2"/>
  <c r="C586" i="2"/>
  <c r="AI586" i="2" s="1"/>
  <c r="B586" i="2"/>
  <c r="AK585" i="2"/>
  <c r="AG585" i="2"/>
  <c r="D585" i="2"/>
  <c r="C585" i="2"/>
  <c r="AI585" i="2" s="1"/>
  <c r="B585" i="2"/>
  <c r="AK584" i="2"/>
  <c r="AG584" i="2"/>
  <c r="D584" i="2"/>
  <c r="C584" i="2"/>
  <c r="AI584" i="2" s="1"/>
  <c r="B584" i="2"/>
  <c r="AK583" i="2"/>
  <c r="AG583" i="2"/>
  <c r="D583" i="2"/>
  <c r="C583" i="2"/>
  <c r="AI583" i="2" s="1"/>
  <c r="B583" i="2"/>
  <c r="AK582" i="2"/>
  <c r="AG582" i="2"/>
  <c r="D582" i="2"/>
  <c r="C582" i="2"/>
  <c r="AI582" i="2" s="1"/>
  <c r="B582" i="2"/>
  <c r="AK581" i="2"/>
  <c r="AG581" i="2"/>
  <c r="D581" i="2"/>
  <c r="C581" i="2"/>
  <c r="AI581" i="2" s="1"/>
  <c r="B581" i="2"/>
  <c r="AK580" i="2"/>
  <c r="AG580" i="2"/>
  <c r="D580" i="2"/>
  <c r="C580" i="2"/>
  <c r="AI580" i="2" s="1"/>
  <c r="B580" i="2"/>
  <c r="AK579" i="2"/>
  <c r="AG579" i="2"/>
  <c r="D579" i="2"/>
  <c r="C579" i="2"/>
  <c r="AI579" i="2" s="1"/>
  <c r="B579" i="2"/>
  <c r="AK578" i="2"/>
  <c r="AG578" i="2"/>
  <c r="D578" i="2"/>
  <c r="C578" i="2"/>
  <c r="AI578" i="2" s="1"/>
  <c r="B578" i="2"/>
  <c r="AK577" i="2"/>
  <c r="AG577" i="2"/>
  <c r="D577" i="2"/>
  <c r="C577" i="2"/>
  <c r="AI577" i="2" s="1"/>
  <c r="B577" i="2"/>
  <c r="AK576" i="2"/>
  <c r="AG576" i="2"/>
  <c r="D576" i="2"/>
  <c r="C576" i="2"/>
  <c r="AI576" i="2" s="1"/>
  <c r="B576" i="2"/>
  <c r="AK575" i="2"/>
  <c r="AG575" i="2"/>
  <c r="D575" i="2"/>
  <c r="C575" i="2"/>
  <c r="AI575" i="2" s="1"/>
  <c r="B575" i="2"/>
  <c r="AK574" i="2"/>
  <c r="AG574" i="2"/>
  <c r="D574" i="2"/>
  <c r="C574" i="2"/>
  <c r="AI574" i="2" s="1"/>
  <c r="B574" i="2"/>
  <c r="AK573" i="2"/>
  <c r="AG573" i="2"/>
  <c r="D573" i="2"/>
  <c r="C573" i="2"/>
  <c r="AI573" i="2" s="1"/>
  <c r="B573" i="2"/>
  <c r="AK572" i="2"/>
  <c r="AG572" i="2"/>
  <c r="D572" i="2"/>
  <c r="C572" i="2"/>
  <c r="AI572" i="2" s="1"/>
  <c r="B572" i="2"/>
  <c r="AK571" i="2"/>
  <c r="AG571" i="2"/>
  <c r="D571" i="2"/>
  <c r="C571" i="2"/>
  <c r="AI571" i="2" s="1"/>
  <c r="B571" i="2"/>
  <c r="AK570" i="2"/>
  <c r="AG570" i="2"/>
  <c r="D570" i="2"/>
  <c r="C570" i="2"/>
  <c r="AI570" i="2" s="1"/>
  <c r="B570" i="2"/>
  <c r="AK569" i="2"/>
  <c r="AG569" i="2"/>
  <c r="D569" i="2"/>
  <c r="C569" i="2"/>
  <c r="AI569" i="2" s="1"/>
  <c r="B569" i="2"/>
  <c r="AK568" i="2"/>
  <c r="AG568" i="2"/>
  <c r="D568" i="2"/>
  <c r="C568" i="2"/>
  <c r="AI568" i="2" s="1"/>
  <c r="B568" i="2"/>
  <c r="AK567" i="2"/>
  <c r="AG567" i="2"/>
  <c r="D567" i="2"/>
  <c r="C567" i="2"/>
  <c r="AI567" i="2" s="1"/>
  <c r="B567" i="2"/>
  <c r="AK566" i="2"/>
  <c r="AG566" i="2"/>
  <c r="D566" i="2"/>
  <c r="C566" i="2"/>
  <c r="AI566" i="2" s="1"/>
  <c r="B566" i="2"/>
  <c r="AK565" i="2"/>
  <c r="AG565" i="2"/>
  <c r="D565" i="2"/>
  <c r="C565" i="2"/>
  <c r="AI565" i="2" s="1"/>
  <c r="B565" i="2"/>
  <c r="AK564" i="2"/>
  <c r="AG564" i="2"/>
  <c r="D564" i="2"/>
  <c r="C564" i="2"/>
  <c r="AI564" i="2" s="1"/>
  <c r="B564" i="2"/>
  <c r="AK563" i="2"/>
  <c r="AG563" i="2"/>
  <c r="D563" i="2"/>
  <c r="C563" i="2"/>
  <c r="AI563" i="2" s="1"/>
  <c r="B563" i="2"/>
  <c r="AK562" i="2"/>
  <c r="AG562" i="2"/>
  <c r="D562" i="2"/>
  <c r="C562" i="2"/>
  <c r="AI562" i="2" s="1"/>
  <c r="B562" i="2"/>
  <c r="AK561" i="2"/>
  <c r="AG561" i="2"/>
  <c r="D561" i="2"/>
  <c r="C561" i="2"/>
  <c r="AI561" i="2" s="1"/>
  <c r="B561" i="2"/>
  <c r="AK560" i="2"/>
  <c r="AG560" i="2"/>
  <c r="D560" i="2"/>
  <c r="C560" i="2"/>
  <c r="AI560" i="2" s="1"/>
  <c r="B560" i="2"/>
  <c r="AK559" i="2"/>
  <c r="AG559" i="2"/>
  <c r="D559" i="2"/>
  <c r="C559" i="2"/>
  <c r="AI559" i="2" s="1"/>
  <c r="B559" i="2"/>
  <c r="AK558" i="2"/>
  <c r="AG558" i="2"/>
  <c r="D558" i="2"/>
  <c r="C558" i="2"/>
  <c r="AI558" i="2" s="1"/>
  <c r="B558" i="2"/>
  <c r="AK557" i="2"/>
  <c r="AG557" i="2"/>
  <c r="D557" i="2"/>
  <c r="C557" i="2"/>
  <c r="AI557" i="2" s="1"/>
  <c r="B557" i="2"/>
  <c r="AK556" i="2"/>
  <c r="AG556" i="2"/>
  <c r="D556" i="2"/>
  <c r="C556" i="2"/>
  <c r="AI556" i="2" s="1"/>
  <c r="B556" i="2"/>
  <c r="AK555" i="2"/>
  <c r="AG555" i="2"/>
  <c r="D555" i="2"/>
  <c r="C555" i="2"/>
  <c r="AI555" i="2" s="1"/>
  <c r="B555" i="2"/>
  <c r="AK554" i="2"/>
  <c r="AG554" i="2"/>
  <c r="D554" i="2"/>
  <c r="C554" i="2"/>
  <c r="AI554" i="2" s="1"/>
  <c r="B554" i="2"/>
  <c r="AK553" i="2"/>
  <c r="AG553" i="2"/>
  <c r="D553" i="2"/>
  <c r="C553" i="2"/>
  <c r="AI553" i="2" s="1"/>
  <c r="B553" i="2"/>
  <c r="AK552" i="2"/>
  <c r="AG552" i="2"/>
  <c r="D552" i="2"/>
  <c r="C552" i="2"/>
  <c r="AI552" i="2" s="1"/>
  <c r="B552" i="2"/>
  <c r="AK551" i="2"/>
  <c r="AG551" i="2"/>
  <c r="D551" i="2"/>
  <c r="C551" i="2"/>
  <c r="AI551" i="2" s="1"/>
  <c r="B551" i="2"/>
  <c r="AK550" i="2"/>
  <c r="AG550" i="2"/>
  <c r="D550" i="2"/>
  <c r="C550" i="2"/>
  <c r="AI550" i="2" s="1"/>
  <c r="B550" i="2"/>
  <c r="AK549" i="2"/>
  <c r="AG549" i="2"/>
  <c r="D549" i="2"/>
  <c r="C549" i="2"/>
  <c r="AI549" i="2" s="1"/>
  <c r="B549" i="2"/>
  <c r="AK548" i="2"/>
  <c r="AG548" i="2"/>
  <c r="D548" i="2"/>
  <c r="C548" i="2"/>
  <c r="AI548" i="2" s="1"/>
  <c r="B548" i="2"/>
  <c r="AK547" i="2"/>
  <c r="AG547" i="2"/>
  <c r="D547" i="2"/>
  <c r="C547" i="2"/>
  <c r="AI547" i="2" s="1"/>
  <c r="B547" i="2"/>
  <c r="AK546" i="2"/>
  <c r="AG546" i="2"/>
  <c r="D546" i="2"/>
  <c r="C546" i="2"/>
  <c r="AI546" i="2" s="1"/>
  <c r="B546" i="2"/>
  <c r="AK545" i="2"/>
  <c r="AG545" i="2"/>
  <c r="D545" i="2"/>
  <c r="C545" i="2"/>
  <c r="AI545" i="2" s="1"/>
  <c r="B545" i="2"/>
  <c r="AK544" i="2"/>
  <c r="AG544" i="2"/>
  <c r="D544" i="2"/>
  <c r="C544" i="2"/>
  <c r="AI544" i="2" s="1"/>
  <c r="B544" i="2"/>
  <c r="AK543" i="2"/>
  <c r="AG543" i="2"/>
  <c r="D543" i="2"/>
  <c r="C543" i="2"/>
  <c r="AI543" i="2" s="1"/>
  <c r="B543" i="2"/>
  <c r="AK542" i="2"/>
  <c r="AG542" i="2"/>
  <c r="D542" i="2"/>
  <c r="C542" i="2"/>
  <c r="AI542" i="2" s="1"/>
  <c r="B542" i="2"/>
  <c r="AK541" i="2"/>
  <c r="AG541" i="2"/>
  <c r="D541" i="2"/>
  <c r="C541" i="2"/>
  <c r="AI541" i="2" s="1"/>
  <c r="B541" i="2"/>
  <c r="AK540" i="2"/>
  <c r="AG540" i="2"/>
  <c r="D540" i="2"/>
  <c r="C540" i="2"/>
  <c r="AI540" i="2" s="1"/>
  <c r="B540" i="2"/>
  <c r="AK539" i="2"/>
  <c r="AG539" i="2"/>
  <c r="D539" i="2"/>
  <c r="C539" i="2"/>
  <c r="AI539" i="2" s="1"/>
  <c r="B539" i="2"/>
  <c r="AK538" i="2"/>
  <c r="AG538" i="2"/>
  <c r="D538" i="2"/>
  <c r="C538" i="2"/>
  <c r="AI538" i="2" s="1"/>
  <c r="B538" i="2"/>
  <c r="AK537" i="2"/>
  <c r="AG537" i="2"/>
  <c r="D537" i="2"/>
  <c r="C537" i="2"/>
  <c r="AI537" i="2" s="1"/>
  <c r="B537" i="2"/>
  <c r="AK536" i="2"/>
  <c r="AG536" i="2"/>
  <c r="D536" i="2"/>
  <c r="C536" i="2"/>
  <c r="AI536" i="2" s="1"/>
  <c r="B536" i="2"/>
  <c r="AK535" i="2"/>
  <c r="AG535" i="2"/>
  <c r="D535" i="2"/>
  <c r="C535" i="2"/>
  <c r="AI535" i="2" s="1"/>
  <c r="B535" i="2"/>
  <c r="AK534" i="2"/>
  <c r="AG534" i="2"/>
  <c r="D534" i="2"/>
  <c r="C534" i="2"/>
  <c r="AI534" i="2" s="1"/>
  <c r="B534" i="2"/>
  <c r="AK533" i="2"/>
  <c r="AG533" i="2"/>
  <c r="D533" i="2"/>
  <c r="C533" i="2"/>
  <c r="AI533" i="2" s="1"/>
  <c r="B533" i="2"/>
  <c r="AK532" i="2"/>
  <c r="AG532" i="2"/>
  <c r="D532" i="2"/>
  <c r="C532" i="2"/>
  <c r="AI532" i="2" s="1"/>
  <c r="B532" i="2"/>
  <c r="AK531" i="2"/>
  <c r="AG531" i="2"/>
  <c r="D531" i="2"/>
  <c r="C531" i="2"/>
  <c r="AI531" i="2" s="1"/>
  <c r="B531" i="2"/>
  <c r="AK530" i="2"/>
  <c r="AG530" i="2"/>
  <c r="D530" i="2"/>
  <c r="C530" i="2"/>
  <c r="AI530" i="2" s="1"/>
  <c r="B530" i="2"/>
  <c r="AK529" i="2"/>
  <c r="AG529" i="2"/>
  <c r="D529" i="2"/>
  <c r="C529" i="2"/>
  <c r="AI529" i="2" s="1"/>
  <c r="B529" i="2"/>
  <c r="AK528" i="2"/>
  <c r="AG528" i="2"/>
  <c r="D528" i="2"/>
  <c r="C528" i="2"/>
  <c r="AI528" i="2" s="1"/>
  <c r="B528" i="2"/>
  <c r="AK527" i="2"/>
  <c r="AG527" i="2"/>
  <c r="D527" i="2"/>
  <c r="C527" i="2"/>
  <c r="AI527" i="2" s="1"/>
  <c r="B527" i="2"/>
  <c r="AK526" i="2"/>
  <c r="AG526" i="2"/>
  <c r="D526" i="2"/>
  <c r="C526" i="2"/>
  <c r="AI526" i="2" s="1"/>
  <c r="B526" i="2"/>
  <c r="AK525" i="2"/>
  <c r="AG525" i="2"/>
  <c r="D525" i="2"/>
  <c r="C525" i="2"/>
  <c r="AI525" i="2" s="1"/>
  <c r="B525" i="2"/>
  <c r="AK524" i="2"/>
  <c r="AG524" i="2"/>
  <c r="D524" i="2"/>
  <c r="C524" i="2"/>
  <c r="AI524" i="2" s="1"/>
  <c r="B524" i="2"/>
  <c r="AK523" i="2"/>
  <c r="AG523" i="2"/>
  <c r="D523" i="2"/>
  <c r="C523" i="2"/>
  <c r="AI523" i="2" s="1"/>
  <c r="B523" i="2"/>
  <c r="AK522" i="2"/>
  <c r="AG522" i="2"/>
  <c r="D522" i="2"/>
  <c r="C522" i="2"/>
  <c r="AI522" i="2" s="1"/>
  <c r="B522" i="2"/>
  <c r="AK521" i="2"/>
  <c r="AG521" i="2"/>
  <c r="D521" i="2"/>
  <c r="C521" i="2"/>
  <c r="AI521" i="2" s="1"/>
  <c r="B521" i="2"/>
  <c r="AK520" i="2"/>
  <c r="AG520" i="2"/>
  <c r="D520" i="2"/>
  <c r="C520" i="2"/>
  <c r="AI520" i="2" s="1"/>
  <c r="B520" i="2"/>
  <c r="AK519" i="2"/>
  <c r="AI519" i="2"/>
  <c r="AG519" i="2"/>
  <c r="D519" i="2"/>
  <c r="C519" i="2"/>
  <c r="B519" i="2"/>
  <c r="AK518" i="2"/>
  <c r="AG518" i="2"/>
  <c r="D518" i="2"/>
  <c r="C518" i="2"/>
  <c r="AI518" i="2" s="1"/>
  <c r="B518" i="2"/>
  <c r="AK517" i="2"/>
  <c r="AG517" i="2"/>
  <c r="D517" i="2"/>
  <c r="C517" i="2"/>
  <c r="AI517" i="2" s="1"/>
  <c r="B517" i="2"/>
  <c r="AK516" i="2"/>
  <c r="AG516" i="2"/>
  <c r="D516" i="2"/>
  <c r="C516" i="2"/>
  <c r="AI516" i="2" s="1"/>
  <c r="B516" i="2"/>
  <c r="AK515" i="2"/>
  <c r="AG515" i="2"/>
  <c r="D515" i="2"/>
  <c r="C515" i="2"/>
  <c r="AI515" i="2" s="1"/>
  <c r="B515" i="2"/>
  <c r="AK514" i="2"/>
  <c r="AG514" i="2"/>
  <c r="D514" i="2"/>
  <c r="C514" i="2"/>
  <c r="AI514" i="2" s="1"/>
  <c r="B514" i="2"/>
  <c r="AK513" i="2"/>
  <c r="AG513" i="2"/>
  <c r="D513" i="2"/>
  <c r="C513" i="2"/>
  <c r="AI513" i="2" s="1"/>
  <c r="B513" i="2"/>
  <c r="AK512" i="2"/>
  <c r="AG512" i="2"/>
  <c r="D512" i="2"/>
  <c r="C512" i="2"/>
  <c r="AI512" i="2" s="1"/>
  <c r="B512" i="2"/>
  <c r="AK511" i="2"/>
  <c r="AG511" i="2"/>
  <c r="D511" i="2"/>
  <c r="C511" i="2"/>
  <c r="AI511" i="2" s="1"/>
  <c r="B511" i="2"/>
  <c r="AK510" i="2"/>
  <c r="AG510" i="2"/>
  <c r="D510" i="2"/>
  <c r="C510" i="2"/>
  <c r="AI510" i="2" s="1"/>
  <c r="B510" i="2"/>
  <c r="AK509" i="2"/>
  <c r="AG509" i="2"/>
  <c r="D509" i="2"/>
  <c r="C509" i="2"/>
  <c r="AI509" i="2" s="1"/>
  <c r="B509" i="2"/>
  <c r="AK508" i="2"/>
  <c r="AG508" i="2"/>
  <c r="D508" i="2"/>
  <c r="C508" i="2"/>
  <c r="AI508" i="2" s="1"/>
  <c r="B508" i="2"/>
  <c r="AK507" i="2"/>
  <c r="AG507" i="2"/>
  <c r="D507" i="2"/>
  <c r="C507" i="2"/>
  <c r="AI507" i="2" s="1"/>
  <c r="B507" i="2"/>
  <c r="AK506" i="2"/>
  <c r="AG506" i="2"/>
  <c r="D506" i="2"/>
  <c r="C506" i="2"/>
  <c r="AI506" i="2" s="1"/>
  <c r="B506" i="2"/>
  <c r="AK505" i="2"/>
  <c r="AG505" i="2"/>
  <c r="D505" i="2"/>
  <c r="C505" i="2"/>
  <c r="AI505" i="2" s="1"/>
  <c r="B505" i="2"/>
  <c r="AK504" i="2"/>
  <c r="AG504" i="2"/>
  <c r="D504" i="2"/>
  <c r="C504" i="2"/>
  <c r="AI504" i="2" s="1"/>
  <c r="B504" i="2"/>
  <c r="AK503" i="2"/>
  <c r="AG503" i="2"/>
  <c r="D503" i="2"/>
  <c r="C503" i="2"/>
  <c r="AI503" i="2" s="1"/>
  <c r="B503" i="2"/>
  <c r="AK502" i="2"/>
  <c r="AI502" i="2"/>
  <c r="AG502" i="2"/>
  <c r="D502" i="2"/>
  <c r="C502" i="2"/>
  <c r="B502" i="2"/>
  <c r="AK501" i="2"/>
  <c r="AG501" i="2"/>
  <c r="D501" i="2"/>
  <c r="C501" i="2"/>
  <c r="AI501" i="2" s="1"/>
  <c r="B501" i="2"/>
  <c r="AK500" i="2"/>
  <c r="AG500" i="2"/>
  <c r="D500" i="2"/>
  <c r="C500" i="2"/>
  <c r="AI500" i="2" s="1"/>
  <c r="B500" i="2"/>
  <c r="AK499" i="2"/>
  <c r="AG499" i="2"/>
  <c r="D499" i="2"/>
  <c r="C499" i="2"/>
  <c r="AI499" i="2" s="1"/>
  <c r="B499" i="2"/>
  <c r="AK498" i="2"/>
  <c r="AG498" i="2"/>
  <c r="D498" i="2"/>
  <c r="C498" i="2"/>
  <c r="AI498" i="2" s="1"/>
  <c r="B498" i="2"/>
  <c r="AK497" i="2"/>
  <c r="AG497" i="2"/>
  <c r="D497" i="2"/>
  <c r="C497" i="2"/>
  <c r="AI497" i="2" s="1"/>
  <c r="B497" i="2"/>
  <c r="AK496" i="2"/>
  <c r="AI496" i="2"/>
  <c r="AG496" i="2"/>
  <c r="D496" i="2"/>
  <c r="C496" i="2"/>
  <c r="B496" i="2"/>
  <c r="AK495" i="2"/>
  <c r="AG495" i="2"/>
  <c r="D495" i="2"/>
  <c r="C495" i="2"/>
  <c r="AI495" i="2" s="1"/>
  <c r="B495" i="2"/>
  <c r="AK494" i="2"/>
  <c r="AG494" i="2"/>
  <c r="D494" i="2"/>
  <c r="C494" i="2"/>
  <c r="AI494" i="2" s="1"/>
  <c r="B494" i="2"/>
  <c r="AK493" i="2"/>
  <c r="AI493" i="2"/>
  <c r="AG493" i="2"/>
  <c r="D493" i="2"/>
  <c r="C493" i="2"/>
  <c r="B493" i="2"/>
  <c r="AK492" i="2"/>
  <c r="AG492" i="2"/>
  <c r="D492" i="2"/>
  <c r="C492" i="2"/>
  <c r="AI492" i="2" s="1"/>
  <c r="B492" i="2"/>
  <c r="AK491" i="2"/>
  <c r="AG491" i="2"/>
  <c r="D491" i="2"/>
  <c r="C491" i="2"/>
  <c r="AI491" i="2" s="1"/>
  <c r="B491" i="2"/>
  <c r="AK490" i="2"/>
  <c r="AG490" i="2"/>
  <c r="D490" i="2"/>
  <c r="C490" i="2"/>
  <c r="AI490" i="2" s="1"/>
  <c r="B490" i="2"/>
  <c r="AK489" i="2"/>
  <c r="AG489" i="2"/>
  <c r="D489" i="2"/>
  <c r="C489" i="2"/>
  <c r="AI489" i="2" s="1"/>
  <c r="B489" i="2"/>
  <c r="AK488" i="2"/>
  <c r="AG488" i="2"/>
  <c r="D488" i="2"/>
  <c r="C488" i="2"/>
  <c r="AI488" i="2" s="1"/>
  <c r="B488" i="2"/>
  <c r="AK487" i="2"/>
  <c r="AG487" i="2"/>
  <c r="D487" i="2"/>
  <c r="C487" i="2"/>
  <c r="AI487" i="2" s="1"/>
  <c r="B487" i="2"/>
  <c r="AK486" i="2"/>
  <c r="AG486" i="2"/>
  <c r="D486" i="2"/>
  <c r="C486" i="2"/>
  <c r="AI486" i="2" s="1"/>
  <c r="B486" i="2"/>
  <c r="AK485" i="2"/>
  <c r="AG485" i="2"/>
  <c r="D485" i="2"/>
  <c r="C485" i="2"/>
  <c r="AI485" i="2" s="1"/>
  <c r="B485" i="2"/>
  <c r="AK484" i="2"/>
  <c r="AG484" i="2"/>
  <c r="D484" i="2"/>
  <c r="C484" i="2"/>
  <c r="AI484" i="2" s="1"/>
  <c r="B484" i="2"/>
  <c r="AK483" i="2"/>
  <c r="AG483" i="2"/>
  <c r="D483" i="2"/>
  <c r="C483" i="2"/>
  <c r="AI483" i="2" s="1"/>
  <c r="B483" i="2"/>
  <c r="AK482" i="2"/>
  <c r="AG482" i="2"/>
  <c r="D482" i="2"/>
  <c r="C482" i="2"/>
  <c r="AI482" i="2" s="1"/>
  <c r="B482" i="2"/>
  <c r="AK481" i="2"/>
  <c r="AG481" i="2"/>
  <c r="D481" i="2"/>
  <c r="C481" i="2"/>
  <c r="AI481" i="2" s="1"/>
  <c r="B481" i="2"/>
  <c r="AK480" i="2"/>
  <c r="AG480" i="2"/>
  <c r="D480" i="2"/>
  <c r="C480" i="2"/>
  <c r="AI480" i="2" s="1"/>
  <c r="B480" i="2"/>
  <c r="AK479" i="2"/>
  <c r="AG479" i="2"/>
  <c r="D479" i="2"/>
  <c r="C479" i="2"/>
  <c r="AI479" i="2" s="1"/>
  <c r="B479" i="2"/>
  <c r="AK478" i="2"/>
  <c r="AG478" i="2"/>
  <c r="D478" i="2"/>
  <c r="C478" i="2"/>
  <c r="AI478" i="2" s="1"/>
  <c r="B478" i="2"/>
  <c r="AK477" i="2"/>
  <c r="AG477" i="2"/>
  <c r="D477" i="2"/>
  <c r="C477" i="2"/>
  <c r="AI477" i="2" s="1"/>
  <c r="B477" i="2"/>
  <c r="AK476" i="2"/>
  <c r="AG476" i="2"/>
  <c r="D476" i="2"/>
  <c r="C476" i="2"/>
  <c r="AI476" i="2" s="1"/>
  <c r="B476" i="2"/>
  <c r="AK475" i="2"/>
  <c r="AG475" i="2"/>
  <c r="D475" i="2"/>
  <c r="C475" i="2"/>
  <c r="AI475" i="2" s="1"/>
  <c r="B475" i="2"/>
  <c r="AK474" i="2"/>
  <c r="AG474" i="2"/>
  <c r="D474" i="2"/>
  <c r="C474" i="2"/>
  <c r="AI474" i="2" s="1"/>
  <c r="B474" i="2"/>
  <c r="AK473" i="2"/>
  <c r="AG473" i="2"/>
  <c r="D473" i="2"/>
  <c r="C473" i="2"/>
  <c r="AI473" i="2" s="1"/>
  <c r="B473" i="2"/>
  <c r="AK472" i="2"/>
  <c r="AG472" i="2"/>
  <c r="D472" i="2"/>
  <c r="C472" i="2"/>
  <c r="AI472" i="2" s="1"/>
  <c r="B472" i="2"/>
  <c r="AK471" i="2"/>
  <c r="AG471" i="2"/>
  <c r="D471" i="2"/>
  <c r="C471" i="2"/>
  <c r="AI471" i="2" s="1"/>
  <c r="B471" i="2"/>
  <c r="AK470" i="2"/>
  <c r="AG470" i="2"/>
  <c r="D470" i="2"/>
  <c r="C470" i="2"/>
  <c r="AI470" i="2" s="1"/>
  <c r="B470" i="2"/>
  <c r="AK469" i="2"/>
  <c r="AG469" i="2"/>
  <c r="D469" i="2"/>
  <c r="C469" i="2"/>
  <c r="AI469" i="2" s="1"/>
  <c r="B469" i="2"/>
  <c r="AK468" i="2"/>
  <c r="AG468" i="2"/>
  <c r="D468" i="2"/>
  <c r="C468" i="2"/>
  <c r="AI468" i="2" s="1"/>
  <c r="B468" i="2"/>
  <c r="AK467" i="2"/>
  <c r="AG467" i="2"/>
  <c r="D467" i="2"/>
  <c r="C467" i="2"/>
  <c r="AI467" i="2" s="1"/>
  <c r="B467" i="2"/>
  <c r="AK466" i="2"/>
  <c r="AG466" i="2"/>
  <c r="D466" i="2"/>
  <c r="C466" i="2"/>
  <c r="AI466" i="2" s="1"/>
  <c r="B466" i="2"/>
  <c r="AK465" i="2"/>
  <c r="AG465" i="2"/>
  <c r="D465" i="2"/>
  <c r="C465" i="2"/>
  <c r="AI465" i="2" s="1"/>
  <c r="B465" i="2"/>
  <c r="AK464" i="2"/>
  <c r="AG464" i="2"/>
  <c r="D464" i="2"/>
  <c r="C464" i="2"/>
  <c r="AI464" i="2" s="1"/>
  <c r="B464" i="2"/>
  <c r="AK463" i="2"/>
  <c r="AG463" i="2"/>
  <c r="D463" i="2"/>
  <c r="C463" i="2"/>
  <c r="AI463" i="2" s="1"/>
  <c r="B463" i="2"/>
  <c r="AK462" i="2"/>
  <c r="AG462" i="2"/>
  <c r="D462" i="2"/>
  <c r="C462" i="2"/>
  <c r="AI462" i="2" s="1"/>
  <c r="B462" i="2"/>
  <c r="AK461" i="2"/>
  <c r="AG461" i="2"/>
  <c r="D461" i="2"/>
  <c r="C461" i="2"/>
  <c r="AI461" i="2" s="1"/>
  <c r="B461" i="2"/>
  <c r="AK460" i="2"/>
  <c r="AG460" i="2"/>
  <c r="D460" i="2"/>
  <c r="C460" i="2"/>
  <c r="AI460" i="2" s="1"/>
  <c r="B460" i="2"/>
  <c r="AK459" i="2"/>
  <c r="AG459" i="2"/>
  <c r="D459" i="2"/>
  <c r="C459" i="2"/>
  <c r="AI459" i="2" s="1"/>
  <c r="B459" i="2"/>
  <c r="AK458" i="2"/>
  <c r="AG458" i="2"/>
  <c r="D458" i="2"/>
  <c r="C458" i="2"/>
  <c r="AI458" i="2" s="1"/>
  <c r="B458" i="2"/>
  <c r="AK457" i="2"/>
  <c r="AG457" i="2"/>
  <c r="D457" i="2"/>
  <c r="C457" i="2"/>
  <c r="AI457" i="2" s="1"/>
  <c r="B457" i="2"/>
  <c r="AK456" i="2"/>
  <c r="AG456" i="2"/>
  <c r="D456" i="2"/>
  <c r="C456" i="2"/>
  <c r="AI456" i="2" s="1"/>
  <c r="B456" i="2"/>
  <c r="AK455" i="2"/>
  <c r="AG455" i="2"/>
  <c r="D455" i="2"/>
  <c r="C455" i="2"/>
  <c r="AI455" i="2" s="1"/>
  <c r="B455" i="2"/>
  <c r="AK454" i="2"/>
  <c r="AG454" i="2"/>
  <c r="D454" i="2"/>
  <c r="C454" i="2"/>
  <c r="AI454" i="2" s="1"/>
  <c r="B454" i="2"/>
  <c r="AK453" i="2"/>
  <c r="AG453" i="2"/>
  <c r="D453" i="2"/>
  <c r="C453" i="2"/>
  <c r="AI453" i="2" s="1"/>
  <c r="B453" i="2"/>
  <c r="AK452" i="2"/>
  <c r="AG452" i="2"/>
  <c r="D452" i="2"/>
  <c r="C452" i="2"/>
  <c r="AI452" i="2" s="1"/>
  <c r="B452" i="2"/>
  <c r="AK451" i="2"/>
  <c r="AG451" i="2"/>
  <c r="D451" i="2"/>
  <c r="C451" i="2"/>
  <c r="AI451" i="2" s="1"/>
  <c r="B451" i="2"/>
  <c r="AK450" i="2"/>
  <c r="AG450" i="2"/>
  <c r="D450" i="2"/>
  <c r="C450" i="2"/>
  <c r="AI450" i="2" s="1"/>
  <c r="B450" i="2"/>
  <c r="AK449" i="2"/>
  <c r="AG449" i="2"/>
  <c r="D449" i="2"/>
  <c r="C449" i="2"/>
  <c r="AI449" i="2" s="1"/>
  <c r="B449" i="2"/>
  <c r="AK448" i="2"/>
  <c r="AG448" i="2"/>
  <c r="D448" i="2"/>
  <c r="C448" i="2"/>
  <c r="AI448" i="2" s="1"/>
  <c r="B448" i="2"/>
  <c r="AK447" i="2"/>
  <c r="AG447" i="2"/>
  <c r="D447" i="2"/>
  <c r="C447" i="2"/>
  <c r="AI447" i="2" s="1"/>
  <c r="B447" i="2"/>
  <c r="AK446" i="2"/>
  <c r="AG446" i="2"/>
  <c r="D446" i="2"/>
  <c r="C446" i="2"/>
  <c r="AI446" i="2" s="1"/>
  <c r="B446" i="2"/>
  <c r="AK445" i="2"/>
  <c r="AG445" i="2"/>
  <c r="D445" i="2"/>
  <c r="C445" i="2"/>
  <c r="AI445" i="2" s="1"/>
  <c r="B445" i="2"/>
  <c r="AK444" i="2"/>
  <c r="AG444" i="2"/>
  <c r="D444" i="2"/>
  <c r="C444" i="2"/>
  <c r="AI444" i="2" s="1"/>
  <c r="B444" i="2"/>
  <c r="AK443" i="2"/>
  <c r="AG443" i="2"/>
  <c r="D443" i="2"/>
  <c r="C443" i="2"/>
  <c r="AI443" i="2" s="1"/>
  <c r="B443" i="2"/>
  <c r="AK442" i="2"/>
  <c r="AG442" i="2"/>
  <c r="D442" i="2"/>
  <c r="C442" i="2"/>
  <c r="AI442" i="2" s="1"/>
  <c r="B442" i="2"/>
  <c r="AK441" i="2"/>
  <c r="AG441" i="2"/>
  <c r="D441" i="2"/>
  <c r="C441" i="2"/>
  <c r="AI441" i="2" s="1"/>
  <c r="B441" i="2"/>
  <c r="AK440" i="2"/>
  <c r="AG440" i="2"/>
  <c r="D440" i="2"/>
  <c r="C440" i="2"/>
  <c r="AI440" i="2" s="1"/>
  <c r="B440" i="2"/>
  <c r="AK439" i="2"/>
  <c r="AI439" i="2"/>
  <c r="AG439" i="2"/>
  <c r="D439" i="2"/>
  <c r="C439" i="2"/>
  <c r="B439" i="2"/>
  <c r="AK438" i="2"/>
  <c r="AG438" i="2"/>
  <c r="D438" i="2"/>
  <c r="C438" i="2"/>
  <c r="AI438" i="2" s="1"/>
  <c r="B438" i="2"/>
  <c r="AK437" i="2"/>
  <c r="AG437" i="2"/>
  <c r="D437" i="2"/>
  <c r="C437" i="2"/>
  <c r="AI437" i="2" s="1"/>
  <c r="B437" i="2"/>
  <c r="AK436" i="2"/>
  <c r="AG436" i="2"/>
  <c r="D436" i="2"/>
  <c r="C436" i="2"/>
  <c r="AI436" i="2" s="1"/>
  <c r="B436" i="2"/>
  <c r="AK435" i="2"/>
  <c r="AG435" i="2"/>
  <c r="D435" i="2"/>
  <c r="C435" i="2"/>
  <c r="AI435" i="2" s="1"/>
  <c r="B435" i="2"/>
  <c r="AK434" i="2"/>
  <c r="AG434" i="2"/>
  <c r="D434" i="2"/>
  <c r="C434" i="2"/>
  <c r="AI434" i="2" s="1"/>
  <c r="B434" i="2"/>
  <c r="AK433" i="2"/>
  <c r="AG433" i="2"/>
  <c r="D433" i="2"/>
  <c r="C433" i="2"/>
  <c r="AI433" i="2" s="1"/>
  <c r="B433" i="2"/>
  <c r="AK432" i="2"/>
  <c r="AG432" i="2"/>
  <c r="D432" i="2"/>
  <c r="C432" i="2"/>
  <c r="AI432" i="2" s="1"/>
  <c r="B432" i="2"/>
  <c r="AK431" i="2"/>
  <c r="AG431" i="2"/>
  <c r="D431" i="2"/>
  <c r="C431" i="2"/>
  <c r="AI431" i="2" s="1"/>
  <c r="B431" i="2"/>
  <c r="AK430" i="2"/>
  <c r="AG430" i="2"/>
  <c r="D430" i="2"/>
  <c r="C430" i="2"/>
  <c r="AI430" i="2" s="1"/>
  <c r="B430" i="2"/>
  <c r="AK429" i="2"/>
  <c r="AG429" i="2"/>
  <c r="D429" i="2"/>
  <c r="C429" i="2"/>
  <c r="AI429" i="2" s="1"/>
  <c r="B429" i="2"/>
  <c r="AK428" i="2"/>
  <c r="AG428" i="2"/>
  <c r="D428" i="2"/>
  <c r="C428" i="2"/>
  <c r="AI428" i="2" s="1"/>
  <c r="B428" i="2"/>
  <c r="AK427" i="2"/>
  <c r="AG427" i="2"/>
  <c r="D427" i="2"/>
  <c r="C427" i="2"/>
  <c r="AI427" i="2" s="1"/>
  <c r="B427" i="2"/>
  <c r="AK426" i="2"/>
  <c r="AG426" i="2"/>
  <c r="D426" i="2"/>
  <c r="C426" i="2"/>
  <c r="AI426" i="2" s="1"/>
  <c r="B426" i="2"/>
  <c r="AK425" i="2"/>
  <c r="AG425" i="2"/>
  <c r="D425" i="2"/>
  <c r="C425" i="2"/>
  <c r="AI425" i="2" s="1"/>
  <c r="B425" i="2"/>
  <c r="AK424" i="2"/>
  <c r="AG424" i="2"/>
  <c r="D424" i="2"/>
  <c r="C424" i="2"/>
  <c r="AI424" i="2" s="1"/>
  <c r="B424" i="2"/>
  <c r="AK423" i="2"/>
  <c r="AG423" i="2"/>
  <c r="D423" i="2"/>
  <c r="C423" i="2"/>
  <c r="AI423" i="2" s="1"/>
  <c r="B423" i="2"/>
  <c r="AK422" i="2"/>
  <c r="AG422" i="2"/>
  <c r="D422" i="2"/>
  <c r="C422" i="2"/>
  <c r="AI422" i="2" s="1"/>
  <c r="B422" i="2"/>
  <c r="AK421" i="2"/>
  <c r="AG421" i="2"/>
  <c r="D421" i="2"/>
  <c r="C421" i="2"/>
  <c r="AI421" i="2" s="1"/>
  <c r="B421" i="2"/>
  <c r="AK420" i="2"/>
  <c r="AI420" i="2"/>
  <c r="AG420" i="2"/>
  <c r="D420" i="2"/>
  <c r="C420" i="2"/>
  <c r="B420" i="2"/>
  <c r="AK419" i="2"/>
  <c r="AG419" i="2"/>
  <c r="D419" i="2"/>
  <c r="C419" i="2"/>
  <c r="AI419" i="2" s="1"/>
  <c r="B419" i="2"/>
  <c r="AK418" i="2"/>
  <c r="AG418" i="2"/>
  <c r="D418" i="2"/>
  <c r="C418" i="2"/>
  <c r="AI418" i="2" s="1"/>
  <c r="B418" i="2"/>
  <c r="AK417" i="2"/>
  <c r="AG417" i="2"/>
  <c r="D417" i="2"/>
  <c r="C417" i="2"/>
  <c r="AI417" i="2" s="1"/>
  <c r="B417" i="2"/>
  <c r="AK416" i="2"/>
  <c r="AG416" i="2"/>
  <c r="D416" i="2"/>
  <c r="C416" i="2"/>
  <c r="AI416" i="2" s="1"/>
  <c r="B416" i="2"/>
  <c r="AK415" i="2"/>
  <c r="AG415" i="2"/>
  <c r="D415" i="2"/>
  <c r="C415" i="2"/>
  <c r="AI415" i="2" s="1"/>
  <c r="B415" i="2"/>
  <c r="AK414" i="2"/>
  <c r="AI414" i="2"/>
  <c r="AG414" i="2"/>
  <c r="D414" i="2"/>
  <c r="C414" i="2"/>
  <c r="B414" i="2"/>
  <c r="AK413" i="2"/>
  <c r="AG413" i="2"/>
  <c r="D413" i="2"/>
  <c r="C413" i="2"/>
  <c r="AI413" i="2" s="1"/>
  <c r="B413" i="2"/>
  <c r="AK412" i="2"/>
  <c r="AG412" i="2"/>
  <c r="D412" i="2"/>
  <c r="C412" i="2"/>
  <c r="AI412" i="2" s="1"/>
  <c r="B412" i="2"/>
  <c r="AK411" i="2"/>
  <c r="AG411" i="2"/>
  <c r="D411" i="2"/>
  <c r="C411" i="2"/>
  <c r="AI411" i="2" s="1"/>
  <c r="B411" i="2"/>
  <c r="AK410" i="2"/>
  <c r="AG410" i="2"/>
  <c r="D410" i="2"/>
  <c r="C410" i="2"/>
  <c r="AI410" i="2" s="1"/>
  <c r="B410" i="2"/>
  <c r="AK409" i="2"/>
  <c r="AG409" i="2"/>
  <c r="D409" i="2"/>
  <c r="C409" i="2"/>
  <c r="AI409" i="2" s="1"/>
  <c r="B409" i="2"/>
  <c r="AK408" i="2"/>
  <c r="AG408" i="2"/>
  <c r="D408" i="2"/>
  <c r="C408" i="2"/>
  <c r="AI408" i="2" s="1"/>
  <c r="B408" i="2"/>
  <c r="AK407" i="2"/>
  <c r="AG407" i="2"/>
  <c r="D407" i="2"/>
  <c r="C407" i="2"/>
  <c r="AI407" i="2" s="1"/>
  <c r="B407" i="2"/>
  <c r="AK406" i="2"/>
  <c r="AG406" i="2"/>
  <c r="D406" i="2"/>
  <c r="C406" i="2"/>
  <c r="AI406" i="2" s="1"/>
  <c r="B406" i="2"/>
  <c r="AK405" i="2"/>
  <c r="AG405" i="2"/>
  <c r="D405" i="2"/>
  <c r="C405" i="2"/>
  <c r="AI405" i="2" s="1"/>
  <c r="B405" i="2"/>
  <c r="AK404" i="2"/>
  <c r="AG404" i="2"/>
  <c r="D404" i="2"/>
  <c r="C404" i="2"/>
  <c r="AI404" i="2" s="1"/>
  <c r="B404" i="2"/>
  <c r="AK403" i="2"/>
  <c r="AG403" i="2"/>
  <c r="D403" i="2"/>
  <c r="C403" i="2"/>
  <c r="AI403" i="2" s="1"/>
  <c r="B403" i="2"/>
  <c r="AK402" i="2"/>
  <c r="AG402" i="2"/>
  <c r="D402" i="2"/>
  <c r="C402" i="2"/>
  <c r="AI402" i="2" s="1"/>
  <c r="B402" i="2"/>
  <c r="AK401" i="2"/>
  <c r="AG401" i="2"/>
  <c r="D401" i="2"/>
  <c r="C401" i="2"/>
  <c r="AI401" i="2" s="1"/>
  <c r="B401" i="2"/>
  <c r="AK400" i="2"/>
  <c r="AG400" i="2"/>
  <c r="D400" i="2"/>
  <c r="C400" i="2"/>
  <c r="AI400" i="2" s="1"/>
  <c r="B400" i="2"/>
  <c r="AK399" i="2"/>
  <c r="AG399" i="2"/>
  <c r="D399" i="2"/>
  <c r="C399" i="2"/>
  <c r="AI399" i="2" s="1"/>
  <c r="B399" i="2"/>
  <c r="AK398" i="2"/>
  <c r="AG398" i="2"/>
  <c r="D398" i="2"/>
  <c r="C398" i="2"/>
  <c r="AI398" i="2" s="1"/>
  <c r="B398" i="2"/>
  <c r="AK397" i="2"/>
  <c r="AG397" i="2"/>
  <c r="D397" i="2"/>
  <c r="C397" i="2"/>
  <c r="AI397" i="2" s="1"/>
  <c r="B397" i="2"/>
  <c r="AK396" i="2"/>
  <c r="AI396" i="2"/>
  <c r="AG396" i="2"/>
  <c r="D396" i="2"/>
  <c r="C396" i="2"/>
  <c r="B396" i="2"/>
  <c r="AK395" i="2"/>
  <c r="AG395" i="2"/>
  <c r="D395" i="2"/>
  <c r="C395" i="2"/>
  <c r="AI395" i="2" s="1"/>
  <c r="B395" i="2"/>
  <c r="AK394" i="2"/>
  <c r="AG394" i="2"/>
  <c r="D394" i="2"/>
  <c r="C394" i="2"/>
  <c r="AI394" i="2" s="1"/>
  <c r="B394" i="2"/>
  <c r="AK393" i="2"/>
  <c r="AG393" i="2"/>
  <c r="D393" i="2"/>
  <c r="C393" i="2"/>
  <c r="AI393" i="2" s="1"/>
  <c r="B393" i="2"/>
  <c r="AK392" i="2"/>
  <c r="AG392" i="2"/>
  <c r="D392" i="2"/>
  <c r="C392" i="2"/>
  <c r="AI392" i="2" s="1"/>
  <c r="B392" i="2"/>
  <c r="AK391" i="2"/>
  <c r="AG391" i="2"/>
  <c r="D391" i="2"/>
  <c r="C391" i="2"/>
  <c r="AI391" i="2" s="1"/>
  <c r="B391" i="2"/>
  <c r="AK390" i="2"/>
  <c r="AG390" i="2"/>
  <c r="D390" i="2"/>
  <c r="C390" i="2"/>
  <c r="AI390" i="2" s="1"/>
  <c r="B390" i="2"/>
  <c r="AK389" i="2"/>
  <c r="AG389" i="2"/>
  <c r="D389" i="2"/>
  <c r="C389" i="2"/>
  <c r="AI389" i="2" s="1"/>
  <c r="B389" i="2"/>
  <c r="AK388" i="2"/>
  <c r="AG388" i="2"/>
  <c r="D388" i="2"/>
  <c r="C388" i="2"/>
  <c r="AI388" i="2" s="1"/>
  <c r="B388" i="2"/>
  <c r="AK387" i="2"/>
  <c r="AG387" i="2"/>
  <c r="D387" i="2"/>
  <c r="C387" i="2"/>
  <c r="AI387" i="2" s="1"/>
  <c r="B387" i="2"/>
  <c r="AK386" i="2"/>
  <c r="AG386" i="2"/>
  <c r="D386" i="2"/>
  <c r="C386" i="2"/>
  <c r="AI386" i="2" s="1"/>
  <c r="B386" i="2"/>
  <c r="AK385" i="2"/>
  <c r="AG385" i="2"/>
  <c r="D385" i="2"/>
  <c r="C385" i="2"/>
  <c r="AI385" i="2" s="1"/>
  <c r="B385" i="2"/>
  <c r="AK384" i="2"/>
  <c r="AG384" i="2"/>
  <c r="D384" i="2"/>
  <c r="C384" i="2"/>
  <c r="AI384" i="2" s="1"/>
  <c r="B384" i="2"/>
  <c r="AK383" i="2"/>
  <c r="AI383" i="2"/>
  <c r="AG383" i="2"/>
  <c r="D383" i="2"/>
  <c r="C383" i="2"/>
  <c r="B383" i="2"/>
  <c r="AK382" i="2"/>
  <c r="AG382" i="2"/>
  <c r="D382" i="2"/>
  <c r="C382" i="2"/>
  <c r="AI382" i="2" s="1"/>
  <c r="B382" i="2"/>
  <c r="AK381" i="2"/>
  <c r="AG381" i="2"/>
  <c r="D381" i="2"/>
  <c r="C381" i="2"/>
  <c r="AI381" i="2" s="1"/>
  <c r="B381" i="2"/>
  <c r="AK380" i="2"/>
  <c r="AI380" i="2"/>
  <c r="AG380" i="2"/>
  <c r="D380" i="2"/>
  <c r="C380" i="2"/>
  <c r="B380" i="2"/>
  <c r="AK379" i="2"/>
  <c r="AG379" i="2"/>
  <c r="D379" i="2"/>
  <c r="C379" i="2"/>
  <c r="AI379" i="2" s="1"/>
  <c r="B379" i="2"/>
  <c r="AK378" i="2"/>
  <c r="AG378" i="2"/>
  <c r="D378" i="2"/>
  <c r="C378" i="2"/>
  <c r="AI378" i="2" s="1"/>
  <c r="B378" i="2"/>
  <c r="AK377" i="2"/>
  <c r="AG377" i="2"/>
  <c r="D377" i="2"/>
  <c r="C377" i="2"/>
  <c r="AI377" i="2" s="1"/>
  <c r="B377" i="2"/>
  <c r="AK376" i="2"/>
  <c r="AG376" i="2"/>
  <c r="D376" i="2"/>
  <c r="C376" i="2"/>
  <c r="AI376" i="2" s="1"/>
  <c r="B376" i="2"/>
  <c r="AK375" i="2"/>
  <c r="AG375" i="2"/>
  <c r="D375" i="2"/>
  <c r="C375" i="2"/>
  <c r="AI375" i="2" s="1"/>
  <c r="B375" i="2"/>
  <c r="AK374" i="2"/>
  <c r="AG374" i="2"/>
  <c r="D374" i="2"/>
  <c r="C374" i="2"/>
  <c r="AI374" i="2" s="1"/>
  <c r="B374" i="2"/>
  <c r="AK373" i="2"/>
  <c r="AG373" i="2"/>
  <c r="D373" i="2"/>
  <c r="C373" i="2"/>
  <c r="AI373" i="2" s="1"/>
  <c r="B373" i="2"/>
  <c r="AK372" i="2"/>
  <c r="AG372" i="2"/>
  <c r="D372" i="2"/>
  <c r="C372" i="2"/>
  <c r="AI372" i="2" s="1"/>
  <c r="B372" i="2"/>
  <c r="AK371" i="2"/>
  <c r="AG371" i="2"/>
  <c r="D371" i="2"/>
  <c r="C371" i="2"/>
  <c r="AI371" i="2" s="1"/>
  <c r="B371" i="2"/>
  <c r="AK370" i="2"/>
  <c r="AG370" i="2"/>
  <c r="D370" i="2"/>
  <c r="C370" i="2"/>
  <c r="AI370" i="2" s="1"/>
  <c r="B370" i="2"/>
  <c r="AK369" i="2"/>
  <c r="AG369" i="2"/>
  <c r="D369" i="2"/>
  <c r="C369" i="2"/>
  <c r="AI369" i="2" s="1"/>
  <c r="B369" i="2"/>
  <c r="AK368" i="2"/>
  <c r="AG368" i="2"/>
  <c r="D368" i="2"/>
  <c r="C368" i="2"/>
  <c r="AI368" i="2" s="1"/>
  <c r="B368" i="2"/>
  <c r="AK367" i="2"/>
  <c r="AG367" i="2"/>
  <c r="D367" i="2"/>
  <c r="C367" i="2"/>
  <c r="AI367" i="2" s="1"/>
  <c r="B367" i="2"/>
  <c r="AK366" i="2"/>
  <c r="AG366" i="2"/>
  <c r="D366" i="2"/>
  <c r="C366" i="2"/>
  <c r="AI366" i="2" s="1"/>
  <c r="B366" i="2"/>
  <c r="AK365" i="2"/>
  <c r="AG365" i="2"/>
  <c r="D365" i="2"/>
  <c r="C365" i="2"/>
  <c r="AI365" i="2" s="1"/>
  <c r="B365" i="2"/>
  <c r="AK364" i="2"/>
  <c r="AG364" i="2"/>
  <c r="D364" i="2"/>
  <c r="C364" i="2"/>
  <c r="AI364" i="2" s="1"/>
  <c r="B364" i="2"/>
  <c r="AK363" i="2"/>
  <c r="AG363" i="2"/>
  <c r="D363" i="2"/>
  <c r="C363" i="2"/>
  <c r="AI363" i="2" s="1"/>
  <c r="B363" i="2"/>
  <c r="AK362" i="2"/>
  <c r="AG362" i="2"/>
  <c r="D362" i="2"/>
  <c r="C362" i="2"/>
  <c r="AI362" i="2" s="1"/>
  <c r="B362" i="2"/>
  <c r="AK361" i="2"/>
  <c r="AG361" i="2"/>
  <c r="D361" i="2"/>
  <c r="C361" i="2"/>
  <c r="AI361" i="2" s="1"/>
  <c r="B361" i="2"/>
  <c r="AK360" i="2"/>
  <c r="AG360" i="2"/>
  <c r="D360" i="2"/>
  <c r="C360" i="2"/>
  <c r="AI360" i="2" s="1"/>
  <c r="B360" i="2"/>
  <c r="AK359" i="2"/>
  <c r="AG359" i="2"/>
  <c r="D359" i="2"/>
  <c r="C359" i="2"/>
  <c r="AI359" i="2" s="1"/>
  <c r="B359" i="2"/>
  <c r="AK358" i="2"/>
  <c r="AG358" i="2"/>
  <c r="D358" i="2"/>
  <c r="C358" i="2"/>
  <c r="AI358" i="2" s="1"/>
  <c r="B358" i="2"/>
  <c r="AK357" i="2"/>
  <c r="AG357" i="2"/>
  <c r="D357" i="2"/>
  <c r="C357" i="2"/>
  <c r="AI357" i="2" s="1"/>
  <c r="B357" i="2"/>
  <c r="AK356" i="2"/>
  <c r="AG356" i="2"/>
  <c r="D356" i="2"/>
  <c r="C356" i="2"/>
  <c r="AI356" i="2" s="1"/>
  <c r="B356" i="2"/>
  <c r="AK355" i="2"/>
  <c r="AG355" i="2"/>
  <c r="D355" i="2"/>
  <c r="C355" i="2"/>
  <c r="AI355" i="2" s="1"/>
  <c r="B355" i="2"/>
  <c r="AK354" i="2"/>
  <c r="AG354" i="2"/>
  <c r="D354" i="2"/>
  <c r="C354" i="2"/>
  <c r="AI354" i="2" s="1"/>
  <c r="B354" i="2"/>
  <c r="AK353" i="2"/>
  <c r="AG353" i="2"/>
  <c r="D353" i="2"/>
  <c r="C353" i="2"/>
  <c r="AI353" i="2" s="1"/>
  <c r="B353" i="2"/>
  <c r="AK352" i="2"/>
  <c r="AG352" i="2"/>
  <c r="D352" i="2"/>
  <c r="C352" i="2"/>
  <c r="AI352" i="2" s="1"/>
  <c r="B352" i="2"/>
  <c r="AK351" i="2"/>
  <c r="AG351" i="2"/>
  <c r="D351" i="2"/>
  <c r="C351" i="2"/>
  <c r="AI351" i="2" s="1"/>
  <c r="B351" i="2"/>
  <c r="AK350" i="2"/>
  <c r="AG350" i="2"/>
  <c r="D350" i="2"/>
  <c r="C350" i="2"/>
  <c r="AI350" i="2" s="1"/>
  <c r="B350" i="2"/>
  <c r="AK349" i="2"/>
  <c r="AG349" i="2"/>
  <c r="D349" i="2"/>
  <c r="C349" i="2"/>
  <c r="AI349" i="2" s="1"/>
  <c r="B349" i="2"/>
  <c r="AK348" i="2"/>
  <c r="AG348" i="2"/>
  <c r="D348" i="2"/>
  <c r="C348" i="2"/>
  <c r="AI348" i="2" s="1"/>
  <c r="B348" i="2"/>
  <c r="AK347" i="2"/>
  <c r="AG347" i="2"/>
  <c r="D347" i="2"/>
  <c r="C347" i="2"/>
  <c r="AI347" i="2" s="1"/>
  <c r="B347" i="2"/>
  <c r="AK346" i="2"/>
  <c r="AG346" i="2"/>
  <c r="D346" i="2"/>
  <c r="C346" i="2"/>
  <c r="AI346" i="2" s="1"/>
  <c r="B346" i="2"/>
  <c r="AK345" i="2"/>
  <c r="AI345" i="2"/>
  <c r="AG345" i="2"/>
  <c r="D345" i="2"/>
  <c r="C345" i="2"/>
  <c r="B345" i="2"/>
  <c r="AK344" i="2"/>
  <c r="AG344" i="2"/>
  <c r="D344" i="2"/>
  <c r="C344" i="2"/>
  <c r="AI344" i="2" s="1"/>
  <c r="B344" i="2"/>
  <c r="AK343" i="2"/>
  <c r="AG343" i="2"/>
  <c r="D343" i="2"/>
  <c r="C343" i="2"/>
  <c r="AI343" i="2" s="1"/>
  <c r="B343" i="2"/>
  <c r="AK342" i="2"/>
  <c r="AG342" i="2"/>
  <c r="D342" i="2"/>
  <c r="C342" i="2"/>
  <c r="AI342" i="2" s="1"/>
  <c r="B342" i="2"/>
  <c r="AK341" i="2"/>
  <c r="AG341" i="2"/>
  <c r="D341" i="2"/>
  <c r="C341" i="2"/>
  <c r="AI341" i="2" s="1"/>
  <c r="B341" i="2"/>
  <c r="AK340" i="2"/>
  <c r="AG340" i="2"/>
  <c r="D340" i="2"/>
  <c r="C340" i="2"/>
  <c r="AI340" i="2" s="1"/>
  <c r="B340" i="2"/>
  <c r="AK339" i="2"/>
  <c r="AG339" i="2"/>
  <c r="D339" i="2"/>
  <c r="C339" i="2"/>
  <c r="AI339" i="2" s="1"/>
  <c r="B339" i="2"/>
  <c r="AK338" i="2"/>
  <c r="AG338" i="2"/>
  <c r="D338" i="2"/>
  <c r="C338" i="2"/>
  <c r="AI338" i="2" s="1"/>
  <c r="B338" i="2"/>
  <c r="AK337" i="2"/>
  <c r="AG337" i="2"/>
  <c r="D337" i="2"/>
  <c r="C337" i="2"/>
  <c r="AI337" i="2" s="1"/>
  <c r="B337" i="2"/>
  <c r="AK336" i="2"/>
  <c r="AG336" i="2"/>
  <c r="D336" i="2"/>
  <c r="C336" i="2"/>
  <c r="AI336" i="2" s="1"/>
  <c r="B336" i="2"/>
  <c r="AK335" i="2"/>
  <c r="AG335" i="2"/>
  <c r="D335" i="2"/>
  <c r="C335" i="2"/>
  <c r="AI335" i="2" s="1"/>
  <c r="B335" i="2"/>
  <c r="AK334" i="2"/>
  <c r="AG334" i="2"/>
  <c r="D334" i="2"/>
  <c r="C334" i="2"/>
  <c r="AI334" i="2" s="1"/>
  <c r="B334" i="2"/>
  <c r="AK333" i="2"/>
  <c r="AG333" i="2"/>
  <c r="D333" i="2"/>
  <c r="C333" i="2"/>
  <c r="AI333" i="2" s="1"/>
  <c r="B333" i="2"/>
  <c r="AK332" i="2"/>
  <c r="AG332" i="2"/>
  <c r="D332" i="2"/>
  <c r="C332" i="2"/>
  <c r="AI332" i="2" s="1"/>
  <c r="B332" i="2"/>
  <c r="AK331" i="2"/>
  <c r="AG331" i="2"/>
  <c r="D331" i="2"/>
  <c r="C331" i="2"/>
  <c r="AI331" i="2" s="1"/>
  <c r="B331" i="2"/>
  <c r="AK330" i="2"/>
  <c r="AG330" i="2"/>
  <c r="D330" i="2"/>
  <c r="C330" i="2"/>
  <c r="AI330" i="2" s="1"/>
  <c r="B330" i="2"/>
  <c r="AK329" i="2"/>
  <c r="AG329" i="2"/>
  <c r="D329" i="2"/>
  <c r="C329" i="2"/>
  <c r="AI329" i="2" s="1"/>
  <c r="B329" i="2"/>
  <c r="AK328" i="2"/>
  <c r="AG328" i="2"/>
  <c r="D328" i="2"/>
  <c r="C328" i="2"/>
  <c r="AI328" i="2" s="1"/>
  <c r="B328" i="2"/>
  <c r="AK327" i="2"/>
  <c r="AG327" i="2"/>
  <c r="D327" i="2"/>
  <c r="C327" i="2"/>
  <c r="AI327" i="2" s="1"/>
  <c r="B327" i="2"/>
  <c r="AK326" i="2"/>
  <c r="AG326" i="2"/>
  <c r="D326" i="2"/>
  <c r="C326" i="2"/>
  <c r="AI326" i="2" s="1"/>
  <c r="B326" i="2"/>
  <c r="AK325" i="2"/>
  <c r="AG325" i="2"/>
  <c r="D325" i="2"/>
  <c r="C325" i="2"/>
  <c r="AI325" i="2" s="1"/>
  <c r="B325" i="2"/>
  <c r="AK324" i="2"/>
  <c r="AG324" i="2"/>
  <c r="D324" i="2"/>
  <c r="C324" i="2"/>
  <c r="AI324" i="2" s="1"/>
  <c r="B324" i="2"/>
  <c r="AK323" i="2"/>
  <c r="AG323" i="2"/>
  <c r="D323" i="2"/>
  <c r="C323" i="2"/>
  <c r="AI323" i="2" s="1"/>
  <c r="B323" i="2"/>
  <c r="AK322" i="2"/>
  <c r="AG322" i="2"/>
  <c r="D322" i="2"/>
  <c r="C322" i="2"/>
  <c r="AI322" i="2" s="1"/>
  <c r="B322" i="2"/>
  <c r="AK321" i="2"/>
  <c r="AG321" i="2"/>
  <c r="D321" i="2"/>
  <c r="C321" i="2"/>
  <c r="AI321" i="2" s="1"/>
  <c r="B321" i="2"/>
  <c r="AK320" i="2"/>
  <c r="AG320" i="2"/>
  <c r="D320" i="2"/>
  <c r="C320" i="2"/>
  <c r="AI320" i="2" s="1"/>
  <c r="B320" i="2"/>
  <c r="AK319" i="2"/>
  <c r="AG319" i="2"/>
  <c r="D319" i="2"/>
  <c r="C319" i="2"/>
  <c r="AI319" i="2" s="1"/>
  <c r="B319" i="2"/>
  <c r="AK318" i="2"/>
  <c r="AG318" i="2"/>
  <c r="D318" i="2"/>
  <c r="C318" i="2"/>
  <c r="AI318" i="2" s="1"/>
  <c r="B318" i="2"/>
  <c r="AK317" i="2"/>
  <c r="AG317" i="2"/>
  <c r="D317" i="2"/>
  <c r="C317" i="2"/>
  <c r="AI317" i="2" s="1"/>
  <c r="B317" i="2"/>
  <c r="AK316" i="2"/>
  <c r="AG316" i="2"/>
  <c r="D316" i="2"/>
  <c r="C316" i="2"/>
  <c r="AI316" i="2" s="1"/>
  <c r="B316" i="2"/>
  <c r="AK315" i="2"/>
  <c r="AG315" i="2"/>
  <c r="D315" i="2"/>
  <c r="C315" i="2"/>
  <c r="AI315" i="2" s="1"/>
  <c r="B315" i="2"/>
  <c r="AK314" i="2"/>
  <c r="AG314" i="2"/>
  <c r="D314" i="2"/>
  <c r="C314" i="2"/>
  <c r="AI314" i="2" s="1"/>
  <c r="B314" i="2"/>
  <c r="AK313" i="2"/>
  <c r="AG313" i="2"/>
  <c r="D313" i="2"/>
  <c r="C313" i="2"/>
  <c r="AI313" i="2" s="1"/>
  <c r="B313" i="2"/>
  <c r="AK312" i="2"/>
  <c r="AG312" i="2"/>
  <c r="D312" i="2"/>
  <c r="C312" i="2"/>
  <c r="AI312" i="2" s="1"/>
  <c r="B312" i="2"/>
  <c r="AK311" i="2"/>
  <c r="AG311" i="2"/>
  <c r="D311" i="2"/>
  <c r="C311" i="2"/>
  <c r="AI311" i="2" s="1"/>
  <c r="B311" i="2"/>
  <c r="AK310" i="2"/>
  <c r="AG310" i="2"/>
  <c r="D310" i="2"/>
  <c r="C310" i="2"/>
  <c r="AI310" i="2" s="1"/>
  <c r="B310" i="2"/>
  <c r="AK309" i="2"/>
  <c r="AG309" i="2"/>
  <c r="D309" i="2"/>
  <c r="C309" i="2"/>
  <c r="AI309" i="2" s="1"/>
  <c r="B309" i="2"/>
  <c r="AK308" i="2"/>
  <c r="AG308" i="2"/>
  <c r="D308" i="2"/>
  <c r="C308" i="2"/>
  <c r="AI308" i="2" s="1"/>
  <c r="B308" i="2"/>
  <c r="AK307" i="2"/>
  <c r="AG307" i="2"/>
  <c r="D307" i="2"/>
  <c r="C307" i="2"/>
  <c r="AI307" i="2" s="1"/>
  <c r="B307" i="2"/>
  <c r="AK306" i="2"/>
  <c r="AG306" i="2"/>
  <c r="D306" i="2"/>
  <c r="C306" i="2"/>
  <c r="AI306" i="2" s="1"/>
  <c r="B306" i="2"/>
  <c r="AK305" i="2"/>
  <c r="AG305" i="2"/>
  <c r="D305" i="2"/>
  <c r="C305" i="2"/>
  <c r="AI305" i="2" s="1"/>
  <c r="B305" i="2"/>
  <c r="AK304" i="2"/>
  <c r="AI304" i="2"/>
  <c r="AG304" i="2"/>
  <c r="D304" i="2"/>
  <c r="C304" i="2"/>
  <c r="B304" i="2"/>
  <c r="AK303" i="2"/>
  <c r="AG303" i="2"/>
  <c r="D303" i="2"/>
  <c r="C303" i="2"/>
  <c r="AI303" i="2" s="1"/>
  <c r="B303" i="2"/>
  <c r="AK302" i="2"/>
  <c r="AG302" i="2"/>
  <c r="D302" i="2"/>
  <c r="C302" i="2"/>
  <c r="AI302" i="2" s="1"/>
  <c r="B302" i="2"/>
  <c r="AK301" i="2"/>
  <c r="AG301" i="2"/>
  <c r="D301" i="2"/>
  <c r="C301" i="2"/>
  <c r="AI301" i="2" s="1"/>
  <c r="B301" i="2"/>
  <c r="AK300" i="2"/>
  <c r="AG300" i="2"/>
  <c r="D300" i="2"/>
  <c r="C300" i="2"/>
  <c r="AI300" i="2" s="1"/>
  <c r="B300" i="2"/>
  <c r="AK299" i="2"/>
  <c r="AG299" i="2"/>
  <c r="D299" i="2"/>
  <c r="C299" i="2"/>
  <c r="AI299" i="2" s="1"/>
  <c r="B299" i="2"/>
  <c r="AK298" i="2"/>
  <c r="AG298" i="2"/>
  <c r="D298" i="2"/>
  <c r="C298" i="2"/>
  <c r="AI298" i="2" s="1"/>
  <c r="B298" i="2"/>
  <c r="AK297" i="2"/>
  <c r="AG297" i="2"/>
  <c r="D297" i="2"/>
  <c r="C297" i="2"/>
  <c r="AI297" i="2" s="1"/>
  <c r="B297" i="2"/>
  <c r="AK296" i="2"/>
  <c r="AG296" i="2"/>
  <c r="D296" i="2"/>
  <c r="C296" i="2"/>
  <c r="AI296" i="2" s="1"/>
  <c r="B296" i="2"/>
  <c r="AK295" i="2"/>
  <c r="AG295" i="2"/>
  <c r="D295" i="2"/>
  <c r="C295" i="2"/>
  <c r="AI295" i="2" s="1"/>
  <c r="B295" i="2"/>
  <c r="AK294" i="2"/>
  <c r="AG294" i="2"/>
  <c r="D294" i="2"/>
  <c r="C294" i="2"/>
  <c r="AI294" i="2" s="1"/>
  <c r="B294" i="2"/>
  <c r="AK293" i="2"/>
  <c r="AG293" i="2"/>
  <c r="D293" i="2"/>
  <c r="C293" i="2"/>
  <c r="AI293" i="2" s="1"/>
  <c r="B293" i="2"/>
  <c r="AK292" i="2"/>
  <c r="AG292" i="2"/>
  <c r="D292" i="2"/>
  <c r="C292" i="2"/>
  <c r="AI292" i="2" s="1"/>
  <c r="B292" i="2"/>
  <c r="AK291" i="2"/>
  <c r="AG291" i="2"/>
  <c r="D291" i="2"/>
  <c r="C291" i="2"/>
  <c r="AI291" i="2" s="1"/>
  <c r="B291" i="2"/>
  <c r="AK290" i="2"/>
  <c r="AG290" i="2"/>
  <c r="D290" i="2"/>
  <c r="C290" i="2"/>
  <c r="AI290" i="2" s="1"/>
  <c r="B290" i="2"/>
  <c r="AK289" i="2"/>
  <c r="AG289" i="2"/>
  <c r="D289" i="2"/>
  <c r="C289" i="2"/>
  <c r="AI289" i="2" s="1"/>
  <c r="B289" i="2"/>
  <c r="AK288" i="2"/>
  <c r="AG288" i="2"/>
  <c r="D288" i="2"/>
  <c r="C288" i="2"/>
  <c r="AI288" i="2" s="1"/>
  <c r="B288" i="2"/>
  <c r="AK287" i="2"/>
  <c r="AG287" i="2"/>
  <c r="D287" i="2"/>
  <c r="C287" i="2"/>
  <c r="AI287" i="2" s="1"/>
  <c r="B287" i="2"/>
  <c r="AK286" i="2"/>
  <c r="AG286" i="2"/>
  <c r="D286" i="2"/>
  <c r="C286" i="2"/>
  <c r="AI286" i="2" s="1"/>
  <c r="B286" i="2"/>
  <c r="AK285" i="2"/>
  <c r="AG285" i="2"/>
  <c r="D285" i="2"/>
  <c r="C285" i="2"/>
  <c r="AI285" i="2" s="1"/>
  <c r="B285" i="2"/>
  <c r="AK284" i="2"/>
  <c r="AG284" i="2"/>
  <c r="D284" i="2"/>
  <c r="C284" i="2"/>
  <c r="AI284" i="2" s="1"/>
  <c r="B284" i="2"/>
  <c r="AK283" i="2"/>
  <c r="AG283" i="2"/>
  <c r="D283" i="2"/>
  <c r="C283" i="2"/>
  <c r="AI283" i="2" s="1"/>
  <c r="B283" i="2"/>
  <c r="AK282" i="2"/>
  <c r="AG282" i="2"/>
  <c r="D282" i="2"/>
  <c r="C282" i="2"/>
  <c r="AI282" i="2" s="1"/>
  <c r="B282" i="2"/>
  <c r="AK281" i="2"/>
  <c r="AG281" i="2"/>
  <c r="D281" i="2"/>
  <c r="C281" i="2"/>
  <c r="AI281" i="2" s="1"/>
  <c r="B281" i="2"/>
  <c r="AK280" i="2"/>
  <c r="AG280" i="2"/>
  <c r="D280" i="2"/>
  <c r="C280" i="2"/>
  <c r="AI280" i="2" s="1"/>
  <c r="B280" i="2"/>
  <c r="AK279" i="2"/>
  <c r="AG279" i="2"/>
  <c r="D279" i="2"/>
  <c r="C279" i="2"/>
  <c r="AI279" i="2" s="1"/>
  <c r="B279" i="2"/>
  <c r="AK278" i="2"/>
  <c r="AG278" i="2"/>
  <c r="D278" i="2"/>
  <c r="C278" i="2"/>
  <c r="AI278" i="2" s="1"/>
  <c r="B278" i="2"/>
  <c r="AK277" i="2"/>
  <c r="AG277" i="2"/>
  <c r="D277" i="2"/>
  <c r="C277" i="2"/>
  <c r="AI277" i="2" s="1"/>
  <c r="B277" i="2"/>
  <c r="AK276" i="2"/>
  <c r="AG276" i="2"/>
  <c r="D276" i="2"/>
  <c r="C276" i="2"/>
  <c r="AI276" i="2" s="1"/>
  <c r="B276" i="2"/>
  <c r="AK275" i="2"/>
  <c r="AG275" i="2"/>
  <c r="D275" i="2"/>
  <c r="C275" i="2"/>
  <c r="AI275" i="2" s="1"/>
  <c r="B275" i="2"/>
  <c r="AK274" i="2"/>
  <c r="AG274" i="2"/>
  <c r="D274" i="2"/>
  <c r="C274" i="2"/>
  <c r="AI274" i="2" s="1"/>
  <c r="B274" i="2"/>
  <c r="AK273" i="2"/>
  <c r="AG273" i="2"/>
  <c r="D273" i="2"/>
  <c r="C273" i="2"/>
  <c r="AI273" i="2" s="1"/>
  <c r="B273" i="2"/>
  <c r="AK272" i="2"/>
  <c r="AG272" i="2"/>
  <c r="D272" i="2"/>
  <c r="C272" i="2"/>
  <c r="AI272" i="2" s="1"/>
  <c r="B272" i="2"/>
  <c r="AK271" i="2"/>
  <c r="AG271" i="2"/>
  <c r="D271" i="2"/>
  <c r="C271" i="2"/>
  <c r="AI271" i="2" s="1"/>
  <c r="B271" i="2"/>
  <c r="AK270" i="2"/>
  <c r="AG270" i="2"/>
  <c r="D270" i="2"/>
  <c r="C270" i="2"/>
  <c r="AI270" i="2" s="1"/>
  <c r="B270" i="2"/>
  <c r="AK269" i="2"/>
  <c r="AG269" i="2"/>
  <c r="D269" i="2"/>
  <c r="C269" i="2"/>
  <c r="AI269" i="2" s="1"/>
  <c r="B269" i="2"/>
  <c r="AK268" i="2"/>
  <c r="AG268" i="2"/>
  <c r="D268" i="2"/>
  <c r="C268" i="2"/>
  <c r="AI268" i="2" s="1"/>
  <c r="B268" i="2"/>
  <c r="AK267" i="2"/>
  <c r="AG267" i="2"/>
  <c r="D267" i="2"/>
  <c r="C267" i="2"/>
  <c r="AI267" i="2" s="1"/>
  <c r="B267" i="2"/>
  <c r="AK266" i="2"/>
  <c r="AG266" i="2"/>
  <c r="D266" i="2"/>
  <c r="C266" i="2"/>
  <c r="AI266" i="2" s="1"/>
  <c r="B266" i="2"/>
  <c r="AK265" i="2"/>
  <c r="AG265" i="2"/>
  <c r="D265" i="2"/>
  <c r="C265" i="2"/>
  <c r="AI265" i="2" s="1"/>
  <c r="B265" i="2"/>
  <c r="AK264" i="2"/>
  <c r="AI264" i="2"/>
  <c r="AG264" i="2"/>
  <c r="D264" i="2"/>
  <c r="C264" i="2"/>
  <c r="B264" i="2"/>
  <c r="AK263" i="2"/>
  <c r="AG263" i="2"/>
  <c r="D263" i="2"/>
  <c r="C263" i="2"/>
  <c r="AI263" i="2" s="1"/>
  <c r="B263" i="2"/>
  <c r="AK262" i="2"/>
  <c r="AG262" i="2"/>
  <c r="D262" i="2"/>
  <c r="C262" i="2"/>
  <c r="AI262" i="2" s="1"/>
  <c r="B262" i="2"/>
  <c r="AK261" i="2"/>
  <c r="AG261" i="2"/>
  <c r="D261" i="2"/>
  <c r="C261" i="2"/>
  <c r="AI261" i="2" s="1"/>
  <c r="B261" i="2"/>
  <c r="AK260" i="2"/>
  <c r="AG260" i="2"/>
  <c r="D260" i="2"/>
  <c r="C260" i="2"/>
  <c r="AI260" i="2" s="1"/>
  <c r="B260" i="2"/>
  <c r="AK259" i="2"/>
  <c r="AG259" i="2"/>
  <c r="D259" i="2"/>
  <c r="C259" i="2"/>
  <c r="AI259" i="2" s="1"/>
  <c r="B259" i="2"/>
  <c r="AK258" i="2"/>
  <c r="AG258" i="2"/>
  <c r="D258" i="2"/>
  <c r="C258" i="2"/>
  <c r="AI258" i="2" s="1"/>
  <c r="B258" i="2"/>
  <c r="AK257" i="2"/>
  <c r="AG257" i="2"/>
  <c r="D257" i="2"/>
  <c r="C257" i="2"/>
  <c r="AI257" i="2" s="1"/>
  <c r="B257" i="2"/>
  <c r="AK256" i="2"/>
  <c r="AG256" i="2"/>
  <c r="D256" i="2"/>
  <c r="C256" i="2"/>
  <c r="AI256" i="2" s="1"/>
  <c r="B256" i="2"/>
  <c r="AK255" i="2"/>
  <c r="AG255" i="2"/>
  <c r="D255" i="2"/>
  <c r="C255" i="2"/>
  <c r="AI255" i="2" s="1"/>
  <c r="B255" i="2"/>
  <c r="AK254" i="2"/>
  <c r="AG254" i="2"/>
  <c r="D254" i="2"/>
  <c r="C254" i="2"/>
  <c r="AI254" i="2" s="1"/>
  <c r="B254" i="2"/>
  <c r="AK253" i="2"/>
  <c r="AG253" i="2"/>
  <c r="D253" i="2"/>
  <c r="C253" i="2"/>
  <c r="AI253" i="2" s="1"/>
  <c r="B253" i="2"/>
  <c r="AK252" i="2"/>
  <c r="AG252" i="2"/>
  <c r="D252" i="2"/>
  <c r="C252" i="2"/>
  <c r="AI252" i="2" s="1"/>
  <c r="B252" i="2"/>
  <c r="AK251" i="2"/>
  <c r="AG251" i="2"/>
  <c r="D251" i="2"/>
  <c r="C251" i="2"/>
  <c r="AI251" i="2" s="1"/>
  <c r="B251" i="2"/>
  <c r="AK250" i="2"/>
  <c r="AG250" i="2"/>
  <c r="D250" i="2"/>
  <c r="C250" i="2"/>
  <c r="AI250" i="2" s="1"/>
  <c r="B250" i="2"/>
  <c r="AK249" i="2"/>
  <c r="AG249" i="2"/>
  <c r="D249" i="2"/>
  <c r="C249" i="2"/>
  <c r="AI249" i="2" s="1"/>
  <c r="B249" i="2"/>
  <c r="AK248" i="2"/>
  <c r="AG248" i="2"/>
  <c r="D248" i="2"/>
  <c r="C248" i="2"/>
  <c r="AI248" i="2" s="1"/>
  <c r="B248" i="2"/>
  <c r="AK247" i="2"/>
  <c r="AG247" i="2"/>
  <c r="D247" i="2"/>
  <c r="C247" i="2"/>
  <c r="AI247" i="2" s="1"/>
  <c r="B247" i="2"/>
  <c r="AK246" i="2"/>
  <c r="AI246" i="2"/>
  <c r="AG246" i="2"/>
  <c r="D246" i="2"/>
  <c r="C246" i="2"/>
  <c r="B246" i="2"/>
  <c r="AK245" i="2"/>
  <c r="AG245" i="2"/>
  <c r="D245" i="2"/>
  <c r="C245" i="2"/>
  <c r="AI245" i="2" s="1"/>
  <c r="B245" i="2"/>
  <c r="AK244" i="2"/>
  <c r="AG244" i="2"/>
  <c r="D244" i="2"/>
  <c r="C244" i="2"/>
  <c r="AI244" i="2" s="1"/>
  <c r="B244" i="2"/>
  <c r="AK243" i="2"/>
  <c r="AG243" i="2"/>
  <c r="D243" i="2"/>
  <c r="C243" i="2"/>
  <c r="AI243" i="2" s="1"/>
  <c r="B243" i="2"/>
  <c r="AK242" i="2"/>
  <c r="AG242" i="2"/>
  <c r="D242" i="2"/>
  <c r="C242" i="2"/>
  <c r="AI242" i="2" s="1"/>
  <c r="B242" i="2"/>
  <c r="AK241" i="2"/>
  <c r="AG241" i="2"/>
  <c r="D241" i="2"/>
  <c r="C241" i="2"/>
  <c r="AI241" i="2" s="1"/>
  <c r="B241" i="2"/>
  <c r="AK240" i="2"/>
  <c r="AG240" i="2"/>
  <c r="D240" i="2"/>
  <c r="C240" i="2"/>
  <c r="AI240" i="2" s="1"/>
  <c r="B240" i="2"/>
  <c r="AK239" i="2"/>
  <c r="AG239" i="2"/>
  <c r="D239" i="2"/>
  <c r="C239" i="2"/>
  <c r="AI239" i="2" s="1"/>
  <c r="B239" i="2"/>
  <c r="AK238" i="2"/>
  <c r="AG238" i="2"/>
  <c r="D238" i="2"/>
  <c r="C238" i="2"/>
  <c r="AI238" i="2" s="1"/>
  <c r="B238" i="2"/>
  <c r="AK237" i="2"/>
  <c r="AG237" i="2"/>
  <c r="D237" i="2"/>
  <c r="C237" i="2"/>
  <c r="AI237" i="2" s="1"/>
  <c r="B237" i="2"/>
  <c r="AK236" i="2"/>
  <c r="AG236" i="2"/>
  <c r="D236" i="2"/>
  <c r="C236" i="2"/>
  <c r="AI236" i="2" s="1"/>
  <c r="B236" i="2"/>
  <c r="AK235" i="2"/>
  <c r="AG235" i="2"/>
  <c r="D235" i="2"/>
  <c r="C235" i="2"/>
  <c r="AI235" i="2" s="1"/>
  <c r="B235" i="2"/>
  <c r="AK234" i="2"/>
  <c r="AG234" i="2"/>
  <c r="D234" i="2"/>
  <c r="C234" i="2"/>
  <c r="AI234" i="2" s="1"/>
  <c r="B234" i="2"/>
  <c r="AK233" i="2"/>
  <c r="AG233" i="2"/>
  <c r="D233" i="2"/>
  <c r="C233" i="2"/>
  <c r="AI233" i="2" s="1"/>
  <c r="B233" i="2"/>
  <c r="AK232" i="2"/>
  <c r="AG232" i="2"/>
  <c r="D232" i="2"/>
  <c r="C232" i="2"/>
  <c r="AI232" i="2" s="1"/>
  <c r="B232" i="2"/>
  <c r="AK231" i="2"/>
  <c r="AG231" i="2"/>
  <c r="D231" i="2"/>
  <c r="C231" i="2"/>
  <c r="AI231" i="2" s="1"/>
  <c r="B231" i="2"/>
  <c r="AK230" i="2"/>
  <c r="AG230" i="2"/>
  <c r="D230" i="2"/>
  <c r="C230" i="2"/>
  <c r="AI230" i="2" s="1"/>
  <c r="B230" i="2"/>
  <c r="AK229" i="2"/>
  <c r="AG229" i="2"/>
  <c r="D229" i="2"/>
  <c r="C229" i="2"/>
  <c r="AI229" i="2" s="1"/>
  <c r="B229" i="2"/>
  <c r="AK228" i="2"/>
  <c r="AG228" i="2"/>
  <c r="D228" i="2"/>
  <c r="C228" i="2"/>
  <c r="AI228" i="2" s="1"/>
  <c r="B228" i="2"/>
  <c r="AK227" i="2"/>
  <c r="AG227" i="2"/>
  <c r="D227" i="2"/>
  <c r="C227" i="2"/>
  <c r="AI227" i="2" s="1"/>
  <c r="B227" i="2"/>
  <c r="AK226" i="2"/>
  <c r="AG226" i="2"/>
  <c r="D226" i="2"/>
  <c r="C226" i="2"/>
  <c r="AI226" i="2" s="1"/>
  <c r="B226" i="2"/>
  <c r="AK225" i="2"/>
  <c r="AG225" i="2"/>
  <c r="D225" i="2"/>
  <c r="C225" i="2"/>
  <c r="AI225" i="2" s="1"/>
  <c r="B225" i="2"/>
  <c r="AK224" i="2"/>
  <c r="AG224" i="2"/>
  <c r="D224" i="2"/>
  <c r="C224" i="2"/>
  <c r="AI224" i="2" s="1"/>
  <c r="B224" i="2"/>
  <c r="AK223" i="2"/>
  <c r="AG223" i="2"/>
  <c r="D223" i="2"/>
  <c r="C223" i="2"/>
  <c r="AI223" i="2" s="1"/>
  <c r="B223" i="2"/>
  <c r="AK222" i="2"/>
  <c r="AG222" i="2"/>
  <c r="D222" i="2"/>
  <c r="C222" i="2"/>
  <c r="AI222" i="2" s="1"/>
  <c r="B222" i="2"/>
  <c r="AK221" i="2"/>
  <c r="AG221" i="2"/>
  <c r="D221" i="2"/>
  <c r="C221" i="2"/>
  <c r="AI221" i="2" s="1"/>
  <c r="B221" i="2"/>
  <c r="AK220" i="2"/>
  <c r="AG220" i="2"/>
  <c r="D220" i="2"/>
  <c r="C220" i="2"/>
  <c r="AI220" i="2" s="1"/>
  <c r="B220" i="2"/>
  <c r="AK219" i="2"/>
  <c r="AG219" i="2"/>
  <c r="D219" i="2"/>
  <c r="C219" i="2"/>
  <c r="AI219" i="2" s="1"/>
  <c r="B219" i="2"/>
  <c r="AK218" i="2"/>
  <c r="AG218" i="2"/>
  <c r="D218" i="2"/>
  <c r="C218" i="2"/>
  <c r="AI218" i="2" s="1"/>
  <c r="B218" i="2"/>
  <c r="AK217" i="2"/>
  <c r="AG217" i="2"/>
  <c r="D217" i="2"/>
  <c r="C217" i="2"/>
  <c r="AI217" i="2" s="1"/>
  <c r="B217" i="2"/>
  <c r="AK216" i="2"/>
  <c r="AG216" i="2"/>
  <c r="D216" i="2"/>
  <c r="C216" i="2"/>
  <c r="AI216" i="2" s="1"/>
  <c r="B216" i="2"/>
  <c r="AK215" i="2"/>
  <c r="AG215" i="2"/>
  <c r="D215" i="2"/>
  <c r="C215" i="2"/>
  <c r="AI215" i="2" s="1"/>
  <c r="B215" i="2"/>
  <c r="AK214" i="2"/>
  <c r="AG214" i="2"/>
  <c r="D214" i="2"/>
  <c r="C214" i="2"/>
  <c r="AI214" i="2" s="1"/>
  <c r="B214" i="2"/>
  <c r="AK213" i="2"/>
  <c r="AG213" i="2"/>
  <c r="D213" i="2"/>
  <c r="C213" i="2"/>
  <c r="AI213" i="2" s="1"/>
  <c r="B213" i="2"/>
  <c r="AK212" i="2"/>
  <c r="AG212" i="2"/>
  <c r="D212" i="2"/>
  <c r="C212" i="2"/>
  <c r="AI212" i="2" s="1"/>
  <c r="B212" i="2"/>
  <c r="AK211" i="2"/>
  <c r="AG211" i="2"/>
  <c r="D211" i="2"/>
  <c r="C211" i="2"/>
  <c r="AI211" i="2" s="1"/>
  <c r="B211" i="2"/>
  <c r="AK210" i="2"/>
  <c r="AG210" i="2"/>
  <c r="D210" i="2"/>
  <c r="C210" i="2"/>
  <c r="AI210" i="2" s="1"/>
  <c r="B210" i="2"/>
  <c r="AK209" i="2"/>
  <c r="AG209" i="2"/>
  <c r="D209" i="2"/>
  <c r="C209" i="2"/>
  <c r="AI209" i="2" s="1"/>
  <c r="B209" i="2"/>
  <c r="AK208" i="2"/>
  <c r="AG208" i="2"/>
  <c r="D208" i="2"/>
  <c r="C208" i="2"/>
  <c r="AI208" i="2" s="1"/>
  <c r="B208" i="2"/>
  <c r="AK207" i="2"/>
  <c r="AG207" i="2"/>
  <c r="D207" i="2"/>
  <c r="C207" i="2"/>
  <c r="AI207" i="2" s="1"/>
  <c r="B207" i="2"/>
  <c r="AK206" i="2"/>
  <c r="AG206" i="2"/>
  <c r="D206" i="2"/>
  <c r="C206" i="2"/>
  <c r="AI206" i="2" s="1"/>
  <c r="B206" i="2"/>
  <c r="AK205" i="2"/>
  <c r="AG205" i="2"/>
  <c r="D205" i="2"/>
  <c r="C205" i="2"/>
  <c r="AI205" i="2" s="1"/>
  <c r="B205" i="2"/>
  <c r="AK204" i="2"/>
  <c r="AG204" i="2"/>
  <c r="D204" i="2"/>
  <c r="C204" i="2"/>
  <c r="AI204" i="2" s="1"/>
  <c r="B204" i="2"/>
  <c r="AK203" i="2"/>
  <c r="AG203" i="2"/>
  <c r="D203" i="2"/>
  <c r="C203" i="2"/>
  <c r="AI203" i="2" s="1"/>
  <c r="B203" i="2"/>
  <c r="AK202" i="2"/>
  <c r="AG202" i="2"/>
  <c r="D202" i="2"/>
  <c r="C202" i="2"/>
  <c r="AI202" i="2" s="1"/>
  <c r="B202" i="2"/>
  <c r="AK201" i="2"/>
  <c r="AG201" i="2"/>
  <c r="D201" i="2"/>
  <c r="C201" i="2"/>
  <c r="AI201" i="2" s="1"/>
  <c r="B201" i="2"/>
  <c r="AK200" i="2"/>
  <c r="AG200" i="2"/>
  <c r="D200" i="2"/>
  <c r="C200" i="2"/>
  <c r="AI200" i="2" s="1"/>
  <c r="B200" i="2"/>
  <c r="AK199" i="2"/>
  <c r="AG199" i="2"/>
  <c r="D199" i="2"/>
  <c r="C199" i="2"/>
  <c r="AI199" i="2" s="1"/>
  <c r="B199" i="2"/>
  <c r="AK198" i="2"/>
  <c r="AG198" i="2"/>
  <c r="D198" i="2"/>
  <c r="C198" i="2"/>
  <c r="AI198" i="2" s="1"/>
  <c r="B198" i="2"/>
  <c r="AK197" i="2"/>
  <c r="AG197" i="2"/>
  <c r="D197" i="2"/>
  <c r="C197" i="2"/>
  <c r="AI197" i="2" s="1"/>
  <c r="B197" i="2"/>
  <c r="AK196" i="2"/>
  <c r="AG196" i="2"/>
  <c r="D196" i="2"/>
  <c r="C196" i="2"/>
  <c r="AI196" i="2" s="1"/>
  <c r="B196" i="2"/>
  <c r="AK195" i="2"/>
  <c r="AG195" i="2"/>
  <c r="D195" i="2"/>
  <c r="C195" i="2"/>
  <c r="AI195" i="2" s="1"/>
  <c r="B195" i="2"/>
  <c r="AK194" i="2"/>
  <c r="AG194" i="2"/>
  <c r="D194" i="2"/>
  <c r="C194" i="2"/>
  <c r="AI194" i="2" s="1"/>
  <c r="B194" i="2"/>
  <c r="AK193" i="2"/>
  <c r="AG193" i="2"/>
  <c r="D193" i="2"/>
  <c r="C193" i="2"/>
  <c r="AI193" i="2" s="1"/>
  <c r="B193" i="2"/>
  <c r="AK192" i="2"/>
  <c r="AG192" i="2"/>
  <c r="D192" i="2"/>
  <c r="C192" i="2"/>
  <c r="AI192" i="2" s="1"/>
  <c r="B192" i="2"/>
  <c r="AK191" i="2"/>
  <c r="AG191" i="2"/>
  <c r="D191" i="2"/>
  <c r="C191" i="2"/>
  <c r="AI191" i="2" s="1"/>
  <c r="B191" i="2"/>
  <c r="AK190" i="2"/>
  <c r="AG190" i="2"/>
  <c r="D190" i="2"/>
  <c r="C190" i="2"/>
  <c r="AI190" i="2" s="1"/>
  <c r="B190" i="2"/>
  <c r="AK189" i="2"/>
  <c r="AG189" i="2"/>
  <c r="D189" i="2"/>
  <c r="C189" i="2"/>
  <c r="AI189" i="2" s="1"/>
  <c r="B189" i="2"/>
  <c r="AK188" i="2"/>
  <c r="AI188" i="2"/>
  <c r="AG188" i="2"/>
  <c r="D188" i="2"/>
  <c r="C188" i="2"/>
  <c r="B188" i="2"/>
  <c r="AK187" i="2"/>
  <c r="AG187" i="2"/>
  <c r="D187" i="2"/>
  <c r="C187" i="2"/>
  <c r="AI187" i="2" s="1"/>
  <c r="B187" i="2"/>
  <c r="AK186" i="2"/>
  <c r="AG186" i="2"/>
  <c r="D186" i="2"/>
  <c r="C186" i="2"/>
  <c r="AI186" i="2" s="1"/>
  <c r="B186" i="2"/>
  <c r="AK185" i="2"/>
  <c r="AI185" i="2"/>
  <c r="AG185" i="2"/>
  <c r="D185" i="2"/>
  <c r="C185" i="2"/>
  <c r="B185" i="2"/>
  <c r="AK184" i="2"/>
  <c r="AG184" i="2"/>
  <c r="D184" i="2"/>
  <c r="C184" i="2"/>
  <c r="AI184" i="2" s="1"/>
  <c r="B184" i="2"/>
  <c r="AK183" i="2"/>
  <c r="AG183" i="2"/>
  <c r="D183" i="2"/>
  <c r="C183" i="2"/>
  <c r="AI183" i="2" s="1"/>
  <c r="B183" i="2"/>
  <c r="AK182" i="2"/>
  <c r="AG182" i="2"/>
  <c r="D182" i="2"/>
  <c r="C182" i="2"/>
  <c r="AI182" i="2" s="1"/>
  <c r="B182" i="2"/>
  <c r="AK181" i="2"/>
  <c r="AG181" i="2"/>
  <c r="D181" i="2"/>
  <c r="C181" i="2"/>
  <c r="AI181" i="2" s="1"/>
  <c r="B181" i="2"/>
  <c r="AK180" i="2"/>
  <c r="AG180" i="2"/>
  <c r="D180" i="2"/>
  <c r="C180" i="2"/>
  <c r="AI180" i="2" s="1"/>
  <c r="B180" i="2"/>
  <c r="AK179" i="2"/>
  <c r="AG179" i="2"/>
  <c r="D179" i="2"/>
  <c r="C179" i="2"/>
  <c r="AI179" i="2" s="1"/>
  <c r="B179" i="2"/>
  <c r="AK178" i="2"/>
  <c r="AG178" i="2"/>
  <c r="D178" i="2"/>
  <c r="C178" i="2"/>
  <c r="AI178" i="2" s="1"/>
  <c r="B178" i="2"/>
  <c r="AK177" i="2"/>
  <c r="AG177" i="2"/>
  <c r="D177" i="2"/>
  <c r="C177" i="2"/>
  <c r="AI177" i="2" s="1"/>
  <c r="B177" i="2"/>
  <c r="AK176" i="2"/>
  <c r="AG176" i="2"/>
  <c r="D176" i="2"/>
  <c r="C176" i="2"/>
  <c r="AI176" i="2" s="1"/>
  <c r="B176" i="2"/>
  <c r="AK175" i="2"/>
  <c r="AG175" i="2"/>
  <c r="D175" i="2"/>
  <c r="C175" i="2"/>
  <c r="AI175" i="2" s="1"/>
  <c r="B175" i="2"/>
  <c r="AK174" i="2"/>
  <c r="AG174" i="2"/>
  <c r="D174" i="2"/>
  <c r="C174" i="2"/>
  <c r="AI174" i="2" s="1"/>
  <c r="B174" i="2"/>
  <c r="AK173" i="2"/>
  <c r="AG173" i="2"/>
  <c r="D173" i="2"/>
  <c r="C173" i="2"/>
  <c r="AI173" i="2" s="1"/>
  <c r="B173" i="2"/>
  <c r="AK172" i="2"/>
  <c r="AG172" i="2"/>
  <c r="D172" i="2"/>
  <c r="C172" i="2"/>
  <c r="AI172" i="2" s="1"/>
  <c r="B172" i="2"/>
  <c r="AK171" i="2"/>
  <c r="AG171" i="2"/>
  <c r="D171" i="2"/>
  <c r="C171" i="2"/>
  <c r="AI171" i="2" s="1"/>
  <c r="B171" i="2"/>
  <c r="AK170" i="2"/>
  <c r="AG170" i="2"/>
  <c r="D170" i="2"/>
  <c r="C170" i="2"/>
  <c r="AI170" i="2" s="1"/>
  <c r="B170" i="2"/>
  <c r="AK169" i="2"/>
  <c r="AG169" i="2"/>
  <c r="D169" i="2"/>
  <c r="C169" i="2"/>
  <c r="AI169" i="2" s="1"/>
  <c r="B169" i="2"/>
  <c r="AK168" i="2"/>
  <c r="AG168" i="2"/>
  <c r="D168" i="2"/>
  <c r="C168" i="2"/>
  <c r="AI168" i="2" s="1"/>
  <c r="B168" i="2"/>
  <c r="AK167" i="2"/>
  <c r="AG167" i="2"/>
  <c r="D167" i="2"/>
  <c r="C167" i="2"/>
  <c r="AI167" i="2" s="1"/>
  <c r="B167" i="2"/>
  <c r="AK166" i="2"/>
  <c r="AG166" i="2"/>
  <c r="D166" i="2"/>
  <c r="C166" i="2"/>
  <c r="AI166" i="2" s="1"/>
  <c r="B166" i="2"/>
  <c r="AK165" i="2"/>
  <c r="AG165" i="2"/>
  <c r="D165" i="2"/>
  <c r="C165" i="2"/>
  <c r="AI165" i="2" s="1"/>
  <c r="B165" i="2"/>
  <c r="AK164" i="2"/>
  <c r="AG164" i="2"/>
  <c r="D164" i="2"/>
  <c r="C164" i="2"/>
  <c r="AI164" i="2" s="1"/>
  <c r="B164" i="2"/>
  <c r="AK163" i="2"/>
  <c r="AG163" i="2"/>
  <c r="D163" i="2"/>
  <c r="C163" i="2"/>
  <c r="AI163" i="2" s="1"/>
  <c r="B163" i="2"/>
  <c r="AK162" i="2"/>
  <c r="AG162" i="2"/>
  <c r="D162" i="2"/>
  <c r="C162" i="2"/>
  <c r="AI162" i="2" s="1"/>
  <c r="B162" i="2"/>
  <c r="AK161" i="2"/>
  <c r="AG161" i="2"/>
  <c r="D161" i="2"/>
  <c r="C161" i="2"/>
  <c r="AI161" i="2" s="1"/>
  <c r="B161" i="2"/>
  <c r="AK160" i="2"/>
  <c r="AG160" i="2"/>
  <c r="D160" i="2"/>
  <c r="C160" i="2"/>
  <c r="AI160" i="2" s="1"/>
  <c r="B160" i="2"/>
  <c r="AK159" i="2"/>
  <c r="AG159" i="2"/>
  <c r="D159" i="2"/>
  <c r="C159" i="2"/>
  <c r="AI159" i="2" s="1"/>
  <c r="B159" i="2"/>
  <c r="AK158" i="2"/>
  <c r="AG158" i="2"/>
  <c r="D158" i="2"/>
  <c r="C158" i="2"/>
  <c r="AI158" i="2" s="1"/>
  <c r="B158" i="2"/>
  <c r="AK157" i="2"/>
  <c r="AG157" i="2"/>
  <c r="D157" i="2"/>
  <c r="C157" i="2"/>
  <c r="AI157" i="2" s="1"/>
  <c r="B157" i="2"/>
  <c r="AK156" i="2"/>
  <c r="AG156" i="2"/>
  <c r="D156" i="2"/>
  <c r="C156" i="2"/>
  <c r="AI156" i="2" s="1"/>
  <c r="B156" i="2"/>
  <c r="AK155" i="2"/>
  <c r="AG155" i="2"/>
  <c r="D155" i="2"/>
  <c r="C155" i="2"/>
  <c r="AI155" i="2" s="1"/>
  <c r="B155" i="2"/>
  <c r="AK154" i="2"/>
  <c r="AG154" i="2"/>
  <c r="D154" i="2"/>
  <c r="C154" i="2"/>
  <c r="AI154" i="2" s="1"/>
  <c r="B154" i="2"/>
  <c r="AK153" i="2"/>
  <c r="AG153" i="2"/>
  <c r="D153" i="2"/>
  <c r="C153" i="2"/>
  <c r="AI153" i="2" s="1"/>
  <c r="B153" i="2"/>
  <c r="AK152" i="2"/>
  <c r="AG152" i="2"/>
  <c r="D152" i="2"/>
  <c r="C152" i="2"/>
  <c r="AI152" i="2" s="1"/>
  <c r="B152" i="2"/>
  <c r="AK151" i="2"/>
  <c r="AG151" i="2"/>
  <c r="D151" i="2"/>
  <c r="C151" i="2"/>
  <c r="AI151" i="2" s="1"/>
  <c r="B151" i="2"/>
  <c r="AK150" i="2"/>
  <c r="AG150" i="2"/>
  <c r="D150" i="2"/>
  <c r="C150" i="2"/>
  <c r="AI150" i="2" s="1"/>
  <c r="B150" i="2"/>
  <c r="AK149" i="2"/>
  <c r="AG149" i="2"/>
  <c r="D149" i="2"/>
  <c r="C149" i="2"/>
  <c r="AI149" i="2" s="1"/>
  <c r="B149" i="2"/>
  <c r="AK148" i="2"/>
  <c r="AG148" i="2"/>
  <c r="D148" i="2"/>
  <c r="C148" i="2"/>
  <c r="AI148" i="2" s="1"/>
  <c r="B148" i="2"/>
  <c r="AK147" i="2"/>
  <c r="AG147" i="2"/>
  <c r="D147" i="2"/>
  <c r="C147" i="2"/>
  <c r="AI147" i="2" s="1"/>
  <c r="B147" i="2"/>
  <c r="AK146" i="2"/>
  <c r="AG146" i="2"/>
  <c r="D146" i="2"/>
  <c r="C146" i="2"/>
  <c r="AI146" i="2" s="1"/>
  <c r="B146" i="2"/>
  <c r="AK145" i="2"/>
  <c r="AG145" i="2"/>
  <c r="D145" i="2"/>
  <c r="C145" i="2"/>
  <c r="AI145" i="2" s="1"/>
  <c r="B145" i="2"/>
  <c r="AK144" i="2"/>
  <c r="AG144" i="2"/>
  <c r="D144" i="2"/>
  <c r="C144" i="2"/>
  <c r="AI144" i="2" s="1"/>
  <c r="B144" i="2"/>
  <c r="AK143" i="2"/>
  <c r="AG143" i="2"/>
  <c r="D143" i="2"/>
  <c r="C143" i="2"/>
  <c r="AI143" i="2" s="1"/>
  <c r="B143" i="2"/>
  <c r="AK142" i="2"/>
  <c r="AG142" i="2"/>
  <c r="D142" i="2"/>
  <c r="C142" i="2"/>
  <c r="AI142" i="2" s="1"/>
  <c r="B142" i="2"/>
  <c r="AK141" i="2"/>
  <c r="AG141" i="2"/>
  <c r="D141" i="2"/>
  <c r="C141" i="2"/>
  <c r="AI141" i="2" s="1"/>
  <c r="B141" i="2"/>
  <c r="AK140" i="2"/>
  <c r="AG140" i="2"/>
  <c r="D140" i="2"/>
  <c r="C140" i="2"/>
  <c r="AI140" i="2" s="1"/>
  <c r="B140" i="2"/>
  <c r="AK139" i="2"/>
  <c r="AG139" i="2"/>
  <c r="D139" i="2"/>
  <c r="C139" i="2"/>
  <c r="AI139" i="2" s="1"/>
  <c r="B139" i="2"/>
  <c r="AK138" i="2"/>
  <c r="AG138" i="2"/>
  <c r="D138" i="2"/>
  <c r="C138" i="2"/>
  <c r="AI138" i="2" s="1"/>
  <c r="B138" i="2"/>
  <c r="AK137" i="2"/>
  <c r="AG137" i="2"/>
  <c r="D137" i="2"/>
  <c r="C137" i="2"/>
  <c r="AI137" i="2" s="1"/>
  <c r="B137" i="2"/>
  <c r="AK136" i="2"/>
  <c r="AG136" i="2"/>
  <c r="D136" i="2"/>
  <c r="C136" i="2"/>
  <c r="AI136" i="2" s="1"/>
  <c r="B136" i="2"/>
  <c r="AK135" i="2"/>
  <c r="AG135" i="2"/>
  <c r="D135" i="2"/>
  <c r="C135" i="2"/>
  <c r="AI135" i="2" s="1"/>
  <c r="B135" i="2"/>
  <c r="AK134" i="2"/>
  <c r="AG134" i="2"/>
  <c r="D134" i="2"/>
  <c r="C134" i="2"/>
  <c r="AI134" i="2" s="1"/>
  <c r="B134" i="2"/>
  <c r="AK133" i="2"/>
  <c r="AG133" i="2"/>
  <c r="D133" i="2"/>
  <c r="C133" i="2"/>
  <c r="AI133" i="2" s="1"/>
  <c r="B133" i="2"/>
  <c r="AK132" i="2"/>
  <c r="AG132" i="2"/>
  <c r="D132" i="2"/>
  <c r="C132" i="2"/>
  <c r="AI132" i="2" s="1"/>
  <c r="B132" i="2"/>
  <c r="AK131" i="2"/>
  <c r="AG131" i="2"/>
  <c r="D131" i="2"/>
  <c r="C131" i="2"/>
  <c r="AI131" i="2" s="1"/>
  <c r="B131" i="2"/>
  <c r="AK130" i="2"/>
  <c r="AG130" i="2"/>
  <c r="D130" i="2"/>
  <c r="C130" i="2"/>
  <c r="AI130" i="2" s="1"/>
  <c r="B130" i="2"/>
  <c r="AK129" i="2"/>
  <c r="AG129" i="2"/>
  <c r="D129" i="2"/>
  <c r="C129" i="2"/>
  <c r="AI129" i="2" s="1"/>
  <c r="B129" i="2"/>
  <c r="AK128" i="2"/>
  <c r="AG128" i="2"/>
  <c r="D128" i="2"/>
  <c r="C128" i="2"/>
  <c r="AI128" i="2" s="1"/>
  <c r="B128" i="2"/>
  <c r="AK127" i="2"/>
  <c r="AG127" i="2"/>
  <c r="D127" i="2"/>
  <c r="C127" i="2"/>
  <c r="AI127" i="2" s="1"/>
  <c r="B127" i="2"/>
  <c r="AK126" i="2"/>
  <c r="AG126" i="2"/>
  <c r="D126" i="2"/>
  <c r="C126" i="2"/>
  <c r="AI126" i="2" s="1"/>
  <c r="B126" i="2"/>
  <c r="AK125" i="2"/>
  <c r="AG125" i="2"/>
  <c r="D125" i="2"/>
  <c r="C125" i="2"/>
  <c r="AI125" i="2" s="1"/>
  <c r="B125" i="2"/>
  <c r="AK124" i="2"/>
  <c r="AG124" i="2"/>
  <c r="D124" i="2"/>
  <c r="C124" i="2"/>
  <c r="AI124" i="2" s="1"/>
  <c r="B124" i="2"/>
  <c r="AK123" i="2"/>
  <c r="AG123" i="2"/>
  <c r="D123" i="2"/>
  <c r="C123" i="2"/>
  <c r="AI123" i="2" s="1"/>
  <c r="B123" i="2"/>
  <c r="AK122" i="2"/>
  <c r="AG122" i="2"/>
  <c r="D122" i="2"/>
  <c r="C122" i="2"/>
  <c r="AI122" i="2" s="1"/>
  <c r="B122" i="2"/>
  <c r="AK121" i="2"/>
  <c r="AG121" i="2"/>
  <c r="D121" i="2"/>
  <c r="C121" i="2"/>
  <c r="AI121" i="2" s="1"/>
  <c r="B121" i="2"/>
  <c r="AK120" i="2"/>
  <c r="AG120" i="2"/>
  <c r="D120" i="2"/>
  <c r="C120" i="2"/>
  <c r="AI120" i="2" s="1"/>
  <c r="B120" i="2"/>
  <c r="AK119" i="2"/>
  <c r="AG119" i="2"/>
  <c r="D119" i="2"/>
  <c r="C119" i="2"/>
  <c r="AI119" i="2" s="1"/>
  <c r="B119" i="2"/>
  <c r="AK118" i="2"/>
  <c r="AG118" i="2"/>
  <c r="D118" i="2"/>
  <c r="C118" i="2"/>
  <c r="AI118" i="2" s="1"/>
  <c r="B118" i="2"/>
  <c r="AK117" i="2"/>
  <c r="AG117" i="2"/>
  <c r="D117" i="2"/>
  <c r="C117" i="2"/>
  <c r="AI117" i="2" s="1"/>
  <c r="B117" i="2"/>
  <c r="AK116" i="2"/>
  <c r="AG116" i="2"/>
  <c r="D116" i="2"/>
  <c r="C116" i="2"/>
  <c r="AI116" i="2" s="1"/>
  <c r="B116" i="2"/>
  <c r="AK115" i="2"/>
  <c r="AG115" i="2"/>
  <c r="D115" i="2"/>
  <c r="C115" i="2"/>
  <c r="AI115" i="2" s="1"/>
  <c r="B115" i="2"/>
  <c r="AK114" i="2"/>
  <c r="AG114" i="2"/>
  <c r="D114" i="2"/>
  <c r="C114" i="2"/>
  <c r="AI114" i="2" s="1"/>
  <c r="B114" i="2"/>
  <c r="AK113" i="2"/>
  <c r="AG113" i="2"/>
  <c r="D113" i="2"/>
  <c r="C113" i="2"/>
  <c r="AI113" i="2" s="1"/>
  <c r="B113" i="2"/>
  <c r="AK112" i="2"/>
  <c r="AG112" i="2"/>
  <c r="D112" i="2"/>
  <c r="C112" i="2"/>
  <c r="AI112" i="2" s="1"/>
  <c r="B112" i="2"/>
  <c r="AK111" i="2"/>
  <c r="AG111" i="2"/>
  <c r="D111" i="2"/>
  <c r="C111" i="2"/>
  <c r="AI111" i="2" s="1"/>
  <c r="B111" i="2"/>
  <c r="AK110" i="2"/>
  <c r="AG110" i="2"/>
  <c r="D110" i="2"/>
  <c r="C110" i="2"/>
  <c r="AI110" i="2" s="1"/>
  <c r="B110" i="2"/>
  <c r="AK109" i="2"/>
  <c r="AG109" i="2"/>
  <c r="D109" i="2"/>
  <c r="C109" i="2"/>
  <c r="AI109" i="2" s="1"/>
  <c r="B109" i="2"/>
  <c r="AK108" i="2"/>
  <c r="AG108" i="2"/>
  <c r="D108" i="2"/>
  <c r="C108" i="2"/>
  <c r="AI108" i="2" s="1"/>
  <c r="B108" i="2"/>
  <c r="AK107" i="2"/>
  <c r="AG107" i="2"/>
  <c r="D107" i="2"/>
  <c r="C107" i="2"/>
  <c r="AI107" i="2" s="1"/>
  <c r="B107" i="2"/>
  <c r="AK106" i="2"/>
  <c r="AI106" i="2"/>
  <c r="AG106" i="2"/>
  <c r="D106" i="2"/>
  <c r="C106" i="2"/>
  <c r="B106" i="2"/>
  <c r="AK105" i="2"/>
  <c r="AG105" i="2"/>
  <c r="D105" i="2"/>
  <c r="C105" i="2"/>
  <c r="AI105" i="2" s="1"/>
  <c r="B105" i="2"/>
  <c r="AK104" i="2"/>
  <c r="AG104" i="2"/>
  <c r="D104" i="2"/>
  <c r="C104" i="2"/>
  <c r="AI104" i="2" s="1"/>
  <c r="B104" i="2"/>
  <c r="AK103" i="2"/>
  <c r="AG103" i="2"/>
  <c r="D103" i="2"/>
  <c r="C103" i="2"/>
  <c r="AI103" i="2" s="1"/>
  <c r="B103" i="2"/>
  <c r="AK102" i="2"/>
  <c r="AG102" i="2"/>
  <c r="D102" i="2"/>
  <c r="C102" i="2"/>
  <c r="AI102" i="2" s="1"/>
  <c r="B102" i="2"/>
  <c r="AK101" i="2"/>
  <c r="AG101" i="2"/>
  <c r="D101" i="2"/>
  <c r="C101" i="2"/>
  <c r="AI101" i="2" s="1"/>
  <c r="B101" i="2"/>
  <c r="AK100" i="2"/>
  <c r="AG100" i="2"/>
  <c r="D100" i="2"/>
  <c r="C100" i="2"/>
  <c r="AI100" i="2" s="1"/>
  <c r="B100" i="2"/>
  <c r="AK99" i="2"/>
  <c r="AG99" i="2"/>
  <c r="D99" i="2"/>
  <c r="C99" i="2"/>
  <c r="AI99" i="2" s="1"/>
  <c r="B99" i="2"/>
  <c r="AK98" i="2"/>
  <c r="AG98" i="2"/>
  <c r="D98" i="2"/>
  <c r="C98" i="2"/>
  <c r="AI98" i="2" s="1"/>
  <c r="B98" i="2"/>
  <c r="AK97" i="2"/>
  <c r="AG97" i="2"/>
  <c r="D97" i="2"/>
  <c r="C97" i="2"/>
  <c r="AI97" i="2" s="1"/>
  <c r="B97" i="2"/>
  <c r="AK96" i="2"/>
  <c r="AG96" i="2"/>
  <c r="D96" i="2"/>
  <c r="C96" i="2"/>
  <c r="AI96" i="2" s="1"/>
  <c r="B96" i="2"/>
  <c r="AK95" i="2"/>
  <c r="AG95" i="2"/>
  <c r="D95" i="2"/>
  <c r="C95" i="2"/>
  <c r="AI95" i="2" s="1"/>
  <c r="B95" i="2"/>
  <c r="AK94" i="2"/>
  <c r="AG94" i="2"/>
  <c r="D94" i="2"/>
  <c r="C94" i="2"/>
  <c r="AI94" i="2" s="1"/>
  <c r="B94" i="2"/>
  <c r="AK93" i="2"/>
  <c r="AG93" i="2"/>
  <c r="D93" i="2"/>
  <c r="C93" i="2"/>
  <c r="AI93" i="2" s="1"/>
  <c r="B93" i="2"/>
  <c r="AK92" i="2"/>
  <c r="AG92" i="2"/>
  <c r="D92" i="2"/>
  <c r="C92" i="2"/>
  <c r="AI92" i="2" s="1"/>
  <c r="B92" i="2"/>
  <c r="AK91" i="2"/>
  <c r="AG91" i="2"/>
  <c r="D91" i="2"/>
  <c r="C91" i="2"/>
  <c r="AI91" i="2" s="1"/>
  <c r="B91" i="2"/>
  <c r="AK90" i="2"/>
  <c r="AG90" i="2"/>
  <c r="D90" i="2"/>
  <c r="C90" i="2"/>
  <c r="AI90" i="2" s="1"/>
  <c r="B90" i="2"/>
  <c r="AK89" i="2"/>
  <c r="AG89" i="2"/>
  <c r="D89" i="2"/>
  <c r="C89" i="2"/>
  <c r="AI89" i="2" s="1"/>
  <c r="B89" i="2"/>
  <c r="AK88" i="2"/>
  <c r="AG88" i="2"/>
  <c r="D88" i="2"/>
  <c r="C88" i="2"/>
  <c r="AI88" i="2" s="1"/>
  <c r="B88" i="2"/>
  <c r="AK87" i="2"/>
  <c r="AG87" i="2"/>
  <c r="D87" i="2"/>
  <c r="C87" i="2"/>
  <c r="AI87" i="2" s="1"/>
  <c r="B87" i="2"/>
  <c r="AK86" i="2"/>
  <c r="AG86" i="2"/>
  <c r="D86" i="2"/>
  <c r="C86" i="2"/>
  <c r="AI86" i="2" s="1"/>
  <c r="B86" i="2"/>
  <c r="AK85" i="2"/>
  <c r="AG85" i="2"/>
  <c r="D85" i="2"/>
  <c r="C85" i="2"/>
  <c r="AI85" i="2" s="1"/>
  <c r="B85" i="2"/>
  <c r="AK84" i="2"/>
  <c r="AG84" i="2"/>
  <c r="D84" i="2"/>
  <c r="C84" i="2"/>
  <c r="AI84" i="2" s="1"/>
  <c r="B84" i="2"/>
  <c r="AK83" i="2"/>
  <c r="AG83" i="2"/>
  <c r="D83" i="2"/>
  <c r="C83" i="2"/>
  <c r="AI83" i="2" s="1"/>
  <c r="B83" i="2"/>
  <c r="AK82" i="2"/>
  <c r="AG82" i="2"/>
  <c r="D82" i="2"/>
  <c r="C82" i="2"/>
  <c r="AI82" i="2" s="1"/>
  <c r="B82" i="2"/>
  <c r="AK81" i="2"/>
  <c r="AG81" i="2"/>
  <c r="D81" i="2"/>
  <c r="C81" i="2"/>
  <c r="AI81" i="2" s="1"/>
  <c r="B81" i="2"/>
  <c r="AK80" i="2"/>
  <c r="AG80" i="2"/>
  <c r="D80" i="2"/>
  <c r="C80" i="2"/>
  <c r="AI80" i="2" s="1"/>
  <c r="B80" i="2"/>
  <c r="AK79" i="2"/>
  <c r="AG79" i="2"/>
  <c r="D79" i="2"/>
  <c r="C79" i="2"/>
  <c r="AI79" i="2" s="1"/>
  <c r="B79" i="2"/>
  <c r="AK78" i="2"/>
  <c r="AG78" i="2"/>
  <c r="D78" i="2"/>
  <c r="C78" i="2"/>
  <c r="AI78" i="2" s="1"/>
  <c r="B78" i="2"/>
  <c r="AK77" i="2"/>
  <c r="AG77" i="2"/>
  <c r="D77" i="2"/>
  <c r="C77" i="2"/>
  <c r="AI77" i="2" s="1"/>
  <c r="B77" i="2"/>
  <c r="AK76" i="2"/>
  <c r="AG76" i="2"/>
  <c r="D76" i="2"/>
  <c r="C76" i="2"/>
  <c r="AI76" i="2" s="1"/>
  <c r="B76" i="2"/>
  <c r="AK75" i="2"/>
  <c r="AG75" i="2"/>
  <c r="D75" i="2"/>
  <c r="C75" i="2"/>
  <c r="AI75" i="2" s="1"/>
  <c r="B75" i="2"/>
  <c r="AK74" i="2"/>
  <c r="AG74" i="2"/>
  <c r="D74" i="2"/>
  <c r="C74" i="2"/>
  <c r="AI74" i="2" s="1"/>
  <c r="B74" i="2"/>
  <c r="AK73" i="2"/>
  <c r="AG73" i="2"/>
  <c r="D73" i="2"/>
  <c r="C73" i="2"/>
  <c r="AI73" i="2" s="1"/>
  <c r="B73" i="2"/>
  <c r="AK72" i="2"/>
  <c r="AG72" i="2"/>
  <c r="D72" i="2"/>
  <c r="C72" i="2"/>
  <c r="AI72" i="2" s="1"/>
  <c r="B72" i="2"/>
  <c r="AK71" i="2"/>
  <c r="AG71" i="2"/>
  <c r="D71" i="2"/>
  <c r="C71" i="2"/>
  <c r="AI71" i="2" s="1"/>
  <c r="B71" i="2"/>
  <c r="AK70" i="2"/>
  <c r="AG70" i="2"/>
  <c r="D70" i="2"/>
  <c r="C70" i="2"/>
  <c r="AI70" i="2" s="1"/>
  <c r="B70" i="2"/>
  <c r="AK69" i="2"/>
  <c r="AG69" i="2"/>
  <c r="D69" i="2"/>
  <c r="C69" i="2"/>
  <c r="AI69" i="2" s="1"/>
  <c r="B69" i="2"/>
  <c r="AK68" i="2"/>
  <c r="AG68" i="2"/>
  <c r="D68" i="2"/>
  <c r="C68" i="2"/>
  <c r="AI68" i="2" s="1"/>
  <c r="B68" i="2"/>
  <c r="AK67" i="2"/>
  <c r="AG67" i="2"/>
  <c r="D67" i="2"/>
  <c r="C67" i="2"/>
  <c r="AI67" i="2" s="1"/>
  <c r="B67" i="2"/>
  <c r="AK66" i="2"/>
  <c r="AG66" i="2"/>
  <c r="D66" i="2"/>
  <c r="C66" i="2"/>
  <c r="AI66" i="2" s="1"/>
  <c r="B66" i="2"/>
  <c r="AK65" i="2"/>
  <c r="AG65" i="2"/>
  <c r="D65" i="2"/>
  <c r="C65" i="2"/>
  <c r="AI65" i="2" s="1"/>
  <c r="B65" i="2"/>
  <c r="AK64" i="2"/>
  <c r="AG64" i="2"/>
  <c r="D64" i="2"/>
  <c r="C64" i="2"/>
  <c r="AI64" i="2" s="1"/>
  <c r="B64" i="2"/>
  <c r="AK63" i="2"/>
  <c r="AG63" i="2"/>
  <c r="D63" i="2"/>
  <c r="C63" i="2"/>
  <c r="AI63" i="2" s="1"/>
  <c r="B63" i="2"/>
  <c r="AK62" i="2"/>
  <c r="AG62" i="2"/>
  <c r="D62" i="2"/>
  <c r="C62" i="2"/>
  <c r="AI62" i="2" s="1"/>
  <c r="B62" i="2"/>
  <c r="AK61" i="2"/>
  <c r="AG61" i="2"/>
  <c r="D61" i="2"/>
  <c r="C61" i="2"/>
  <c r="AI61" i="2" s="1"/>
  <c r="B61" i="2"/>
  <c r="AK60" i="2"/>
  <c r="AG60" i="2"/>
  <c r="D60" i="2"/>
  <c r="C60" i="2"/>
  <c r="AI60" i="2" s="1"/>
  <c r="B60" i="2"/>
  <c r="AK59" i="2"/>
  <c r="AG59" i="2"/>
  <c r="D59" i="2"/>
  <c r="C59" i="2"/>
  <c r="AI59" i="2" s="1"/>
  <c r="B59" i="2"/>
  <c r="AK58" i="2"/>
  <c r="AG58" i="2"/>
  <c r="D58" i="2"/>
  <c r="C58" i="2"/>
  <c r="AI58" i="2" s="1"/>
  <c r="B58" i="2"/>
  <c r="AK57" i="2"/>
  <c r="AG57" i="2"/>
  <c r="D57" i="2"/>
  <c r="C57" i="2"/>
  <c r="AI57" i="2" s="1"/>
  <c r="B57" i="2"/>
  <c r="AK56" i="2"/>
  <c r="AG56" i="2"/>
  <c r="D56" i="2"/>
  <c r="C56" i="2"/>
  <c r="AI56" i="2" s="1"/>
  <c r="B56" i="2"/>
  <c r="AK55" i="2"/>
  <c r="AG55" i="2"/>
  <c r="D55" i="2"/>
  <c r="C55" i="2"/>
  <c r="AI55" i="2" s="1"/>
  <c r="B55" i="2"/>
  <c r="AK54" i="2"/>
  <c r="AG54" i="2"/>
  <c r="D54" i="2"/>
  <c r="C54" i="2"/>
  <c r="AI54" i="2" s="1"/>
  <c r="B54" i="2"/>
  <c r="AK53" i="2"/>
  <c r="AG53" i="2"/>
  <c r="D53" i="2"/>
  <c r="C53" i="2"/>
  <c r="AI53" i="2" s="1"/>
  <c r="B53" i="2"/>
  <c r="AK52" i="2"/>
  <c r="AG52" i="2"/>
  <c r="D52" i="2"/>
  <c r="C52" i="2"/>
  <c r="AI52" i="2" s="1"/>
  <c r="B52" i="2"/>
  <c r="AK51" i="2"/>
  <c r="AG51" i="2"/>
  <c r="D51" i="2"/>
  <c r="C51" i="2"/>
  <c r="AI51" i="2" s="1"/>
  <c r="B51" i="2"/>
  <c r="AK50" i="2"/>
  <c r="AG50" i="2"/>
  <c r="D50" i="2"/>
  <c r="C50" i="2"/>
  <c r="AI50" i="2" s="1"/>
  <c r="B50" i="2"/>
  <c r="AK49" i="2"/>
  <c r="AG49" i="2"/>
  <c r="D49" i="2"/>
  <c r="C49" i="2"/>
  <c r="AI49" i="2" s="1"/>
  <c r="B49" i="2"/>
  <c r="AK48" i="2"/>
  <c r="AG48" i="2"/>
  <c r="D48" i="2"/>
  <c r="C48" i="2"/>
  <c r="AI48" i="2" s="1"/>
  <c r="B48" i="2"/>
  <c r="AK47" i="2"/>
  <c r="AG47" i="2"/>
  <c r="D47" i="2"/>
  <c r="C47" i="2"/>
  <c r="AI47" i="2" s="1"/>
  <c r="B47" i="2"/>
  <c r="AK46" i="2"/>
  <c r="AG46" i="2"/>
  <c r="D46" i="2"/>
  <c r="C46" i="2"/>
  <c r="AI46" i="2" s="1"/>
  <c r="B46" i="2"/>
  <c r="AK45" i="2"/>
  <c r="AG45" i="2"/>
  <c r="D45" i="2"/>
  <c r="C45" i="2"/>
  <c r="AI45" i="2" s="1"/>
  <c r="B45" i="2"/>
  <c r="AK44" i="2"/>
  <c r="AG44" i="2"/>
  <c r="D44" i="2"/>
  <c r="C44" i="2"/>
  <c r="AI44" i="2" s="1"/>
  <c r="B44" i="2"/>
  <c r="AK43" i="2"/>
  <c r="AG43" i="2"/>
  <c r="D43" i="2"/>
  <c r="C43" i="2"/>
  <c r="AI43" i="2" s="1"/>
  <c r="B43" i="2"/>
  <c r="AK42" i="2"/>
  <c r="AG42" i="2"/>
  <c r="D42" i="2"/>
  <c r="C42" i="2"/>
  <c r="AI42" i="2" s="1"/>
  <c r="B42" i="2"/>
  <c r="AK41" i="2"/>
  <c r="AG41" i="2"/>
  <c r="D41" i="2"/>
  <c r="C41" i="2"/>
  <c r="AI41" i="2" s="1"/>
  <c r="B41" i="2"/>
  <c r="AK40" i="2"/>
  <c r="AG40" i="2"/>
  <c r="D40" i="2"/>
  <c r="C40" i="2"/>
  <c r="AI40" i="2" s="1"/>
  <c r="B40" i="2"/>
  <c r="AK39" i="2"/>
  <c r="AG39" i="2"/>
  <c r="D39" i="2"/>
  <c r="C39" i="2"/>
  <c r="AI39" i="2" s="1"/>
  <c r="B39" i="2"/>
  <c r="AK38" i="2"/>
  <c r="AG38" i="2"/>
  <c r="D38" i="2"/>
  <c r="C38" i="2"/>
  <c r="AI38" i="2" s="1"/>
  <c r="B38" i="2"/>
  <c r="AK37" i="2"/>
  <c r="AG37" i="2"/>
  <c r="D37" i="2"/>
  <c r="C37" i="2"/>
  <c r="AI37" i="2" s="1"/>
  <c r="B37" i="2"/>
  <c r="AK36" i="2"/>
  <c r="AG36" i="2"/>
  <c r="D36" i="2"/>
  <c r="C36" i="2"/>
  <c r="AI36" i="2" s="1"/>
  <c r="B36" i="2"/>
  <c r="AK35" i="2"/>
  <c r="AG35" i="2"/>
  <c r="D35" i="2"/>
  <c r="C35" i="2"/>
  <c r="AI35" i="2" s="1"/>
  <c r="B35" i="2"/>
  <c r="AK34" i="2"/>
  <c r="AG34" i="2"/>
  <c r="D34" i="2"/>
  <c r="C34" i="2"/>
  <c r="AI34" i="2" s="1"/>
  <c r="B34" i="2"/>
  <c r="AK33" i="2"/>
  <c r="AG33" i="2"/>
  <c r="D33" i="2"/>
  <c r="C33" i="2"/>
  <c r="AI33" i="2" s="1"/>
  <c r="B33" i="2"/>
  <c r="AK32" i="2"/>
  <c r="AG32" i="2"/>
  <c r="D32" i="2"/>
  <c r="C32" i="2"/>
  <c r="AI32" i="2" s="1"/>
  <c r="B32" i="2"/>
  <c r="AK31" i="2"/>
  <c r="AG31" i="2"/>
  <c r="D31" i="2"/>
  <c r="C31" i="2"/>
  <c r="AI31" i="2" s="1"/>
  <c r="B31" i="2"/>
  <c r="AK30" i="2"/>
  <c r="AG30" i="2"/>
  <c r="D30" i="2"/>
  <c r="C30" i="2"/>
  <c r="AI30" i="2" s="1"/>
  <c r="B30" i="2"/>
  <c r="AK29" i="2"/>
  <c r="AG29" i="2"/>
  <c r="D29" i="2"/>
  <c r="C29" i="2"/>
  <c r="AI29" i="2" s="1"/>
  <c r="B29" i="2"/>
  <c r="AK28" i="2"/>
  <c r="AG28" i="2"/>
  <c r="D28" i="2"/>
  <c r="C28" i="2"/>
  <c r="AI28" i="2" s="1"/>
  <c r="B28" i="2"/>
  <c r="AK27" i="2"/>
  <c r="AG27" i="2"/>
  <c r="D27" i="2"/>
  <c r="C27" i="2"/>
  <c r="AI27" i="2" s="1"/>
  <c r="B27" i="2"/>
  <c r="AK26" i="2"/>
  <c r="AG26" i="2"/>
  <c r="D26" i="2"/>
  <c r="C26" i="2"/>
  <c r="AI26" i="2" s="1"/>
  <c r="B26" i="2"/>
  <c r="AK25" i="2"/>
  <c r="AG25" i="2"/>
  <c r="D25" i="2"/>
  <c r="C25" i="2"/>
  <c r="AI25" i="2" s="1"/>
  <c r="B25" i="2"/>
  <c r="AK24" i="2"/>
  <c r="AG24" i="2"/>
  <c r="D24" i="2"/>
  <c r="C24" i="2"/>
  <c r="AI24" i="2" s="1"/>
  <c r="B24" i="2"/>
  <c r="AK23" i="2"/>
  <c r="AG23" i="2"/>
  <c r="D23" i="2"/>
  <c r="C23" i="2"/>
  <c r="AI23" i="2" s="1"/>
  <c r="B23" i="2"/>
  <c r="AK22" i="2"/>
  <c r="AG22" i="2"/>
  <c r="D22" i="2"/>
  <c r="C22" i="2"/>
  <c r="AI22" i="2" s="1"/>
  <c r="B22" i="2"/>
  <c r="AK21" i="2"/>
  <c r="AG21" i="2"/>
  <c r="D21" i="2"/>
  <c r="C21" i="2"/>
  <c r="AI21" i="2" s="1"/>
  <c r="B21" i="2"/>
  <c r="AK20" i="2"/>
  <c r="AG20" i="2"/>
  <c r="D20" i="2"/>
  <c r="C20" i="2"/>
  <c r="AI20" i="2" s="1"/>
  <c r="B20" i="2"/>
  <c r="AK19" i="2"/>
  <c r="AG19" i="2"/>
  <c r="D19" i="2"/>
  <c r="C19" i="2"/>
  <c r="AI19" i="2" s="1"/>
  <c r="B19" i="2"/>
  <c r="AK18" i="2"/>
  <c r="AG18" i="2"/>
  <c r="D18" i="2"/>
  <c r="C18" i="2"/>
  <c r="AI18" i="2" s="1"/>
  <c r="B18" i="2"/>
  <c r="AK17" i="2"/>
  <c r="AG17" i="2"/>
  <c r="D17" i="2"/>
  <c r="C17" i="2"/>
  <c r="AI17" i="2" s="1"/>
  <c r="B17" i="2"/>
  <c r="AK16" i="2"/>
  <c r="AG16" i="2"/>
  <c r="D16" i="2"/>
  <c r="C16" i="2"/>
  <c r="AI16" i="2" s="1"/>
  <c r="B16" i="2"/>
  <c r="V13" i="2"/>
  <c r="U13" i="3" s="1"/>
  <c r="T13" i="2"/>
  <c r="B7" i="2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S13" i="3"/>
  <c r="B7" i="3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E671" i="1"/>
  <c r="AF681" i="2"/>
  <c r="I670" i="1"/>
  <c r="H670" i="1"/>
  <c r="AD681" i="2" s="1"/>
  <c r="G670" i="1"/>
  <c r="F670" i="1"/>
  <c r="AF680" i="2"/>
  <c r="G669" i="1"/>
  <c r="I669" i="1" s="1"/>
  <c r="F669" i="1"/>
  <c r="H669" i="1" s="1"/>
  <c r="AD680" i="2" s="1"/>
  <c r="AF679" i="2"/>
  <c r="G668" i="1"/>
  <c r="I668" i="1" s="1"/>
  <c r="F668" i="1"/>
  <c r="H668" i="1" s="1"/>
  <c r="AD679" i="2" s="1"/>
  <c r="AF678" i="2"/>
  <c r="G667" i="1"/>
  <c r="I667" i="1" s="1"/>
  <c r="F667" i="1"/>
  <c r="H667" i="1" s="1"/>
  <c r="AD678" i="2" s="1"/>
  <c r="AF677" i="2"/>
  <c r="H666" i="1"/>
  <c r="AD677" i="2" s="1"/>
  <c r="G666" i="1"/>
  <c r="I666" i="1" s="1"/>
  <c r="F666" i="1"/>
  <c r="AF676" i="2"/>
  <c r="G665" i="1"/>
  <c r="I665" i="1" s="1"/>
  <c r="F665" i="1"/>
  <c r="H665" i="1" s="1"/>
  <c r="AF675" i="2"/>
  <c r="G664" i="1"/>
  <c r="I664" i="1" s="1"/>
  <c r="F664" i="1"/>
  <c r="H664" i="1" s="1"/>
  <c r="AD675" i="2" s="1"/>
  <c r="AF674" i="2"/>
  <c r="G663" i="1"/>
  <c r="I663" i="1" s="1"/>
  <c r="F663" i="1"/>
  <c r="H663" i="1" s="1"/>
  <c r="AD674" i="2" s="1"/>
  <c r="AF673" i="2"/>
  <c r="G662" i="1"/>
  <c r="I662" i="1" s="1"/>
  <c r="F662" i="1"/>
  <c r="H662" i="1" s="1"/>
  <c r="AD673" i="2" s="1"/>
  <c r="AF672" i="2"/>
  <c r="G661" i="1"/>
  <c r="I661" i="1" s="1"/>
  <c r="F661" i="1"/>
  <c r="H661" i="1" s="1"/>
  <c r="AD672" i="2" s="1"/>
  <c r="AF671" i="2"/>
  <c r="G660" i="1"/>
  <c r="I660" i="1" s="1"/>
  <c r="F660" i="1"/>
  <c r="H660" i="1" s="1"/>
  <c r="AF670" i="2"/>
  <c r="G659" i="1"/>
  <c r="I659" i="1" s="1"/>
  <c r="F659" i="1"/>
  <c r="H659" i="1" s="1"/>
  <c r="AD670" i="2" s="1"/>
  <c r="AF669" i="2"/>
  <c r="I658" i="1"/>
  <c r="G658" i="1"/>
  <c r="F658" i="1"/>
  <c r="H658" i="1" s="1"/>
  <c r="AD669" i="2" s="1"/>
  <c r="AF668" i="2"/>
  <c r="G657" i="1"/>
  <c r="I657" i="1" s="1"/>
  <c r="F657" i="1"/>
  <c r="H657" i="1" s="1"/>
  <c r="AF667" i="2"/>
  <c r="G656" i="1"/>
  <c r="I656" i="1" s="1"/>
  <c r="F656" i="1"/>
  <c r="H656" i="1" s="1"/>
  <c r="AD667" i="2" s="1"/>
  <c r="AF666" i="2"/>
  <c r="G655" i="1"/>
  <c r="I655" i="1" s="1"/>
  <c r="F655" i="1"/>
  <c r="H655" i="1" s="1"/>
  <c r="AD666" i="2" s="1"/>
  <c r="AF665" i="2"/>
  <c r="G654" i="1"/>
  <c r="I654" i="1" s="1"/>
  <c r="F654" i="1"/>
  <c r="H654" i="1" s="1"/>
  <c r="AD665" i="2" s="1"/>
  <c r="AF664" i="2"/>
  <c r="G653" i="1"/>
  <c r="I653" i="1" s="1"/>
  <c r="F653" i="1"/>
  <c r="H653" i="1" s="1"/>
  <c r="AF663" i="2"/>
  <c r="G652" i="1"/>
  <c r="I652" i="1" s="1"/>
  <c r="F652" i="1"/>
  <c r="H652" i="1" s="1"/>
  <c r="AF662" i="2"/>
  <c r="I651" i="1"/>
  <c r="G651" i="1"/>
  <c r="F651" i="1"/>
  <c r="H651" i="1" s="1"/>
  <c r="AD662" i="2" s="1"/>
  <c r="AF661" i="2"/>
  <c r="I650" i="1"/>
  <c r="G650" i="1"/>
  <c r="F650" i="1"/>
  <c r="H650" i="1" s="1"/>
  <c r="AD661" i="2" s="1"/>
  <c r="AF660" i="2"/>
  <c r="H649" i="1"/>
  <c r="G649" i="1"/>
  <c r="I649" i="1" s="1"/>
  <c r="F649" i="1"/>
  <c r="AF659" i="2"/>
  <c r="G648" i="1"/>
  <c r="I648" i="1" s="1"/>
  <c r="F648" i="1"/>
  <c r="H648" i="1" s="1"/>
  <c r="AD659" i="2" s="1"/>
  <c r="AF658" i="2"/>
  <c r="G647" i="1"/>
  <c r="I647" i="1" s="1"/>
  <c r="F647" i="1"/>
  <c r="H647" i="1" s="1"/>
  <c r="AD658" i="2" s="1"/>
  <c r="AF657" i="2"/>
  <c r="G646" i="1"/>
  <c r="I646" i="1" s="1"/>
  <c r="F646" i="1"/>
  <c r="H646" i="1" s="1"/>
  <c r="AD657" i="2" s="1"/>
  <c r="AF656" i="2"/>
  <c r="H645" i="1"/>
  <c r="AD656" i="2" s="1"/>
  <c r="G645" i="1"/>
  <c r="I645" i="1" s="1"/>
  <c r="F645" i="1"/>
  <c r="AF655" i="2"/>
  <c r="G644" i="1"/>
  <c r="I644" i="1" s="1"/>
  <c r="F644" i="1"/>
  <c r="H644" i="1" s="1"/>
  <c r="AF654" i="2"/>
  <c r="I643" i="1"/>
  <c r="G643" i="1"/>
  <c r="F643" i="1"/>
  <c r="H643" i="1" s="1"/>
  <c r="AD654" i="2" s="1"/>
  <c r="AF653" i="2"/>
  <c r="G642" i="1"/>
  <c r="I642" i="1" s="1"/>
  <c r="F642" i="1"/>
  <c r="H642" i="1" s="1"/>
  <c r="AD653" i="2" s="1"/>
  <c r="AF652" i="2"/>
  <c r="H641" i="1"/>
  <c r="G641" i="1"/>
  <c r="I641" i="1" s="1"/>
  <c r="F641" i="1"/>
  <c r="AF651" i="2"/>
  <c r="G640" i="1"/>
  <c r="I640" i="1" s="1"/>
  <c r="F640" i="1"/>
  <c r="H640" i="1" s="1"/>
  <c r="AD651" i="2" s="1"/>
  <c r="AF650" i="2"/>
  <c r="G639" i="1"/>
  <c r="I639" i="1" s="1"/>
  <c r="F639" i="1"/>
  <c r="H639" i="1" s="1"/>
  <c r="AF649" i="2"/>
  <c r="G638" i="1"/>
  <c r="I638" i="1" s="1"/>
  <c r="F638" i="1"/>
  <c r="H638" i="1" s="1"/>
  <c r="AD649" i="2" s="1"/>
  <c r="AF648" i="2"/>
  <c r="H637" i="1"/>
  <c r="AD648" i="2" s="1"/>
  <c r="G637" i="1"/>
  <c r="I637" i="1" s="1"/>
  <c r="F637" i="1"/>
  <c r="AF647" i="2"/>
  <c r="G636" i="1"/>
  <c r="I636" i="1" s="1"/>
  <c r="F636" i="1"/>
  <c r="H636" i="1" s="1"/>
  <c r="AF646" i="2"/>
  <c r="I635" i="1"/>
  <c r="G635" i="1"/>
  <c r="F635" i="1"/>
  <c r="H635" i="1" s="1"/>
  <c r="AD646" i="2" s="1"/>
  <c r="AF645" i="2"/>
  <c r="I634" i="1"/>
  <c r="G634" i="1"/>
  <c r="F634" i="1"/>
  <c r="H634" i="1" s="1"/>
  <c r="AD645" i="2" s="1"/>
  <c r="AF644" i="2"/>
  <c r="H633" i="1"/>
  <c r="G633" i="1"/>
  <c r="I633" i="1" s="1"/>
  <c r="F633" i="1"/>
  <c r="AF643" i="2"/>
  <c r="G632" i="1"/>
  <c r="I632" i="1" s="1"/>
  <c r="F632" i="1"/>
  <c r="H632" i="1" s="1"/>
  <c r="AD643" i="2" s="1"/>
  <c r="AF642" i="2"/>
  <c r="G631" i="1"/>
  <c r="I631" i="1" s="1"/>
  <c r="F631" i="1"/>
  <c r="H631" i="1" s="1"/>
  <c r="AD642" i="2" s="1"/>
  <c r="AF641" i="2"/>
  <c r="G630" i="1"/>
  <c r="I630" i="1" s="1"/>
  <c r="F630" i="1"/>
  <c r="H630" i="1" s="1"/>
  <c r="AD641" i="2" s="1"/>
  <c r="AF640" i="2"/>
  <c r="H629" i="1"/>
  <c r="AD640" i="2" s="1"/>
  <c r="G629" i="1"/>
  <c r="I629" i="1" s="1"/>
  <c r="F629" i="1"/>
  <c r="AF639" i="2"/>
  <c r="G628" i="1"/>
  <c r="I628" i="1" s="1"/>
  <c r="F628" i="1"/>
  <c r="H628" i="1" s="1"/>
  <c r="AF638" i="2"/>
  <c r="G627" i="1"/>
  <c r="I627" i="1" s="1"/>
  <c r="F627" i="1"/>
  <c r="H627" i="1" s="1"/>
  <c r="AD638" i="2" s="1"/>
  <c r="AF637" i="2"/>
  <c r="I626" i="1"/>
  <c r="G626" i="1"/>
  <c r="F626" i="1"/>
  <c r="H626" i="1" s="1"/>
  <c r="AD637" i="2" s="1"/>
  <c r="AF636" i="2"/>
  <c r="G625" i="1"/>
  <c r="I625" i="1" s="1"/>
  <c r="F625" i="1"/>
  <c r="H625" i="1" s="1"/>
  <c r="AF635" i="2"/>
  <c r="G624" i="1"/>
  <c r="I624" i="1" s="1"/>
  <c r="F624" i="1"/>
  <c r="H624" i="1" s="1"/>
  <c r="AD635" i="2" s="1"/>
  <c r="AF634" i="2"/>
  <c r="G623" i="1"/>
  <c r="I623" i="1" s="1"/>
  <c r="F623" i="1"/>
  <c r="H623" i="1" s="1"/>
  <c r="AD634" i="2" s="1"/>
  <c r="AF633" i="2"/>
  <c r="G622" i="1"/>
  <c r="I622" i="1" s="1"/>
  <c r="F622" i="1"/>
  <c r="H622" i="1" s="1"/>
  <c r="AD633" i="2" s="1"/>
  <c r="AF632" i="2"/>
  <c r="G621" i="1"/>
  <c r="I621" i="1" s="1"/>
  <c r="F621" i="1"/>
  <c r="H621" i="1" s="1"/>
  <c r="AD632" i="2" s="1"/>
  <c r="AF631" i="2"/>
  <c r="G620" i="1"/>
  <c r="I620" i="1" s="1"/>
  <c r="F620" i="1"/>
  <c r="H620" i="1" s="1"/>
  <c r="AF630" i="2"/>
  <c r="I619" i="1"/>
  <c r="G619" i="1"/>
  <c r="F619" i="1"/>
  <c r="H619" i="1" s="1"/>
  <c r="AD630" i="2" s="1"/>
  <c r="AF629" i="2"/>
  <c r="I618" i="1"/>
  <c r="G618" i="1"/>
  <c r="F618" i="1"/>
  <c r="H618" i="1" s="1"/>
  <c r="AF628" i="2"/>
  <c r="H617" i="1"/>
  <c r="G617" i="1"/>
  <c r="I617" i="1" s="1"/>
  <c r="F617" i="1"/>
  <c r="AF627" i="2"/>
  <c r="G616" i="1"/>
  <c r="I616" i="1" s="1"/>
  <c r="F616" i="1"/>
  <c r="H616" i="1" s="1"/>
  <c r="AD627" i="2" s="1"/>
  <c r="AF626" i="2"/>
  <c r="G615" i="1"/>
  <c r="I615" i="1" s="1"/>
  <c r="F615" i="1"/>
  <c r="H615" i="1" s="1"/>
  <c r="AD626" i="2" s="1"/>
  <c r="AF625" i="2"/>
  <c r="G614" i="1"/>
  <c r="I614" i="1" s="1"/>
  <c r="F614" i="1"/>
  <c r="H614" i="1" s="1"/>
  <c r="AD625" i="2" s="1"/>
  <c r="AF624" i="2"/>
  <c r="H613" i="1"/>
  <c r="AD624" i="2" s="1"/>
  <c r="G613" i="1"/>
  <c r="I613" i="1" s="1"/>
  <c r="F613" i="1"/>
  <c r="AF623" i="2"/>
  <c r="G612" i="1"/>
  <c r="I612" i="1" s="1"/>
  <c r="F612" i="1"/>
  <c r="H612" i="1" s="1"/>
  <c r="AF622" i="2"/>
  <c r="G611" i="1"/>
  <c r="I611" i="1" s="1"/>
  <c r="F611" i="1"/>
  <c r="H611" i="1" s="1"/>
  <c r="AD622" i="2" s="1"/>
  <c r="AF621" i="2"/>
  <c r="G610" i="1"/>
  <c r="I610" i="1" s="1"/>
  <c r="F610" i="1"/>
  <c r="H610" i="1" s="1"/>
  <c r="AD621" i="2" s="1"/>
  <c r="AF620" i="2"/>
  <c r="H609" i="1"/>
  <c r="G609" i="1"/>
  <c r="I609" i="1" s="1"/>
  <c r="F609" i="1"/>
  <c r="AF619" i="2"/>
  <c r="G608" i="1"/>
  <c r="I608" i="1" s="1"/>
  <c r="F608" i="1"/>
  <c r="H608" i="1" s="1"/>
  <c r="AD619" i="2" s="1"/>
  <c r="AF618" i="2"/>
  <c r="G607" i="1"/>
  <c r="I607" i="1" s="1"/>
  <c r="F607" i="1"/>
  <c r="H607" i="1" s="1"/>
  <c r="AD618" i="2" s="1"/>
  <c r="AF617" i="2"/>
  <c r="G606" i="1"/>
  <c r="I606" i="1" s="1"/>
  <c r="F606" i="1"/>
  <c r="H606" i="1" s="1"/>
  <c r="AD617" i="2" s="1"/>
  <c r="AF616" i="2"/>
  <c r="G605" i="1"/>
  <c r="I605" i="1" s="1"/>
  <c r="F605" i="1"/>
  <c r="H605" i="1" s="1"/>
  <c r="AD616" i="2" s="1"/>
  <c r="AF615" i="2"/>
  <c r="G604" i="1"/>
  <c r="I604" i="1" s="1"/>
  <c r="F604" i="1"/>
  <c r="H604" i="1" s="1"/>
  <c r="AF614" i="2"/>
  <c r="G603" i="1"/>
  <c r="I603" i="1" s="1"/>
  <c r="F603" i="1"/>
  <c r="H603" i="1" s="1"/>
  <c r="AD614" i="2" s="1"/>
  <c r="AF613" i="2"/>
  <c r="G602" i="1"/>
  <c r="I602" i="1" s="1"/>
  <c r="F602" i="1"/>
  <c r="H602" i="1" s="1"/>
  <c r="AF612" i="2"/>
  <c r="H601" i="1"/>
  <c r="G601" i="1"/>
  <c r="I601" i="1" s="1"/>
  <c r="F601" i="1"/>
  <c r="AF611" i="2"/>
  <c r="G600" i="1"/>
  <c r="I600" i="1" s="1"/>
  <c r="F600" i="1"/>
  <c r="H600" i="1" s="1"/>
  <c r="AD611" i="2" s="1"/>
  <c r="AF610" i="2"/>
  <c r="G599" i="1"/>
  <c r="I599" i="1" s="1"/>
  <c r="F599" i="1"/>
  <c r="H599" i="1" s="1"/>
  <c r="AD610" i="2" s="1"/>
  <c r="AF609" i="2"/>
  <c r="G598" i="1"/>
  <c r="I598" i="1" s="1"/>
  <c r="F598" i="1"/>
  <c r="H598" i="1" s="1"/>
  <c r="AD609" i="2" s="1"/>
  <c r="AF608" i="2"/>
  <c r="G597" i="1"/>
  <c r="I597" i="1" s="1"/>
  <c r="F597" i="1"/>
  <c r="H597" i="1" s="1"/>
  <c r="AD608" i="2" s="1"/>
  <c r="AF607" i="2"/>
  <c r="G596" i="1"/>
  <c r="I596" i="1" s="1"/>
  <c r="F596" i="1"/>
  <c r="H596" i="1" s="1"/>
  <c r="AF606" i="2"/>
  <c r="G595" i="1"/>
  <c r="I595" i="1" s="1"/>
  <c r="F595" i="1"/>
  <c r="H595" i="1" s="1"/>
  <c r="AD606" i="2" s="1"/>
  <c r="AF605" i="2"/>
  <c r="G594" i="1"/>
  <c r="I594" i="1" s="1"/>
  <c r="F594" i="1"/>
  <c r="H594" i="1" s="1"/>
  <c r="AD605" i="2" s="1"/>
  <c r="AF604" i="2"/>
  <c r="G593" i="1"/>
  <c r="I593" i="1" s="1"/>
  <c r="F593" i="1"/>
  <c r="H593" i="1" s="1"/>
  <c r="AF603" i="2"/>
  <c r="G592" i="1"/>
  <c r="I592" i="1" s="1"/>
  <c r="F592" i="1"/>
  <c r="H592" i="1" s="1"/>
  <c r="AD603" i="2" s="1"/>
  <c r="AF602" i="2"/>
  <c r="G591" i="1"/>
  <c r="I591" i="1" s="1"/>
  <c r="F591" i="1"/>
  <c r="H591" i="1" s="1"/>
  <c r="AD602" i="2" s="1"/>
  <c r="AF601" i="2"/>
  <c r="G590" i="1"/>
  <c r="I590" i="1" s="1"/>
  <c r="F590" i="1"/>
  <c r="H590" i="1" s="1"/>
  <c r="AD601" i="2" s="1"/>
  <c r="AF600" i="2"/>
  <c r="G589" i="1"/>
  <c r="I589" i="1" s="1"/>
  <c r="F589" i="1"/>
  <c r="H589" i="1" s="1"/>
  <c r="AD600" i="2" s="1"/>
  <c r="AF599" i="2"/>
  <c r="G588" i="1"/>
  <c r="I588" i="1" s="1"/>
  <c r="F588" i="1"/>
  <c r="H588" i="1" s="1"/>
  <c r="AF598" i="2"/>
  <c r="G587" i="1"/>
  <c r="I587" i="1" s="1"/>
  <c r="F587" i="1"/>
  <c r="H587" i="1" s="1"/>
  <c r="AD598" i="2" s="1"/>
  <c r="AF597" i="2"/>
  <c r="G586" i="1"/>
  <c r="I586" i="1" s="1"/>
  <c r="F586" i="1"/>
  <c r="H586" i="1" s="1"/>
  <c r="AD597" i="2" s="1"/>
  <c r="AF596" i="2"/>
  <c r="G585" i="1"/>
  <c r="I585" i="1" s="1"/>
  <c r="F585" i="1"/>
  <c r="H585" i="1" s="1"/>
  <c r="AF595" i="2"/>
  <c r="G584" i="1"/>
  <c r="I584" i="1" s="1"/>
  <c r="F584" i="1"/>
  <c r="H584" i="1" s="1"/>
  <c r="AD595" i="2" s="1"/>
  <c r="AF594" i="2"/>
  <c r="G583" i="1"/>
  <c r="I583" i="1" s="1"/>
  <c r="F583" i="1"/>
  <c r="H583" i="1" s="1"/>
  <c r="AF593" i="2"/>
  <c r="G582" i="1"/>
  <c r="I582" i="1" s="1"/>
  <c r="F582" i="1"/>
  <c r="H582" i="1" s="1"/>
  <c r="AD593" i="2" s="1"/>
  <c r="AF592" i="2"/>
  <c r="G581" i="1"/>
  <c r="I581" i="1" s="1"/>
  <c r="F581" i="1"/>
  <c r="H581" i="1" s="1"/>
  <c r="AD592" i="2" s="1"/>
  <c r="AF591" i="2"/>
  <c r="G580" i="1"/>
  <c r="I580" i="1" s="1"/>
  <c r="F580" i="1"/>
  <c r="H580" i="1" s="1"/>
  <c r="AF590" i="2"/>
  <c r="G579" i="1"/>
  <c r="I579" i="1" s="1"/>
  <c r="F579" i="1"/>
  <c r="H579" i="1" s="1"/>
  <c r="AD590" i="2" s="1"/>
  <c r="AF589" i="2"/>
  <c r="G578" i="1"/>
  <c r="I578" i="1" s="1"/>
  <c r="F578" i="1"/>
  <c r="H578" i="1" s="1"/>
  <c r="AD589" i="2" s="1"/>
  <c r="AF588" i="2"/>
  <c r="G577" i="1"/>
  <c r="I577" i="1" s="1"/>
  <c r="F577" i="1"/>
  <c r="H577" i="1" s="1"/>
  <c r="AF587" i="2"/>
  <c r="G576" i="1"/>
  <c r="I576" i="1" s="1"/>
  <c r="F576" i="1"/>
  <c r="H576" i="1" s="1"/>
  <c r="AD587" i="2" s="1"/>
  <c r="AF586" i="2"/>
  <c r="G575" i="1"/>
  <c r="I575" i="1" s="1"/>
  <c r="F575" i="1"/>
  <c r="H575" i="1" s="1"/>
  <c r="AD586" i="2" s="1"/>
  <c r="AF585" i="2"/>
  <c r="I574" i="1"/>
  <c r="G574" i="1"/>
  <c r="F574" i="1"/>
  <c r="H574" i="1" s="1"/>
  <c r="AD585" i="2" s="1"/>
  <c r="AF584" i="2"/>
  <c r="G573" i="1"/>
  <c r="I573" i="1" s="1"/>
  <c r="F573" i="1"/>
  <c r="H573" i="1" s="1"/>
  <c r="AD584" i="2" s="1"/>
  <c r="AF583" i="2"/>
  <c r="G572" i="1"/>
  <c r="I572" i="1" s="1"/>
  <c r="F572" i="1"/>
  <c r="H572" i="1" s="1"/>
  <c r="AF582" i="2"/>
  <c r="I571" i="1"/>
  <c r="G571" i="1"/>
  <c r="F571" i="1"/>
  <c r="H571" i="1" s="1"/>
  <c r="AD582" i="2" s="1"/>
  <c r="AF581" i="2"/>
  <c r="G570" i="1"/>
  <c r="I570" i="1" s="1"/>
  <c r="F570" i="1"/>
  <c r="H570" i="1" s="1"/>
  <c r="AD581" i="2" s="1"/>
  <c r="AF580" i="2"/>
  <c r="H569" i="1"/>
  <c r="G569" i="1"/>
  <c r="I569" i="1" s="1"/>
  <c r="F569" i="1"/>
  <c r="AF579" i="2"/>
  <c r="G568" i="1"/>
  <c r="I568" i="1" s="1"/>
  <c r="F568" i="1"/>
  <c r="H568" i="1" s="1"/>
  <c r="AD579" i="2" s="1"/>
  <c r="AF578" i="2"/>
  <c r="G567" i="1"/>
  <c r="I567" i="1" s="1"/>
  <c r="F567" i="1"/>
  <c r="H567" i="1" s="1"/>
  <c r="AD578" i="2" s="1"/>
  <c r="AF577" i="2"/>
  <c r="G566" i="1"/>
  <c r="I566" i="1" s="1"/>
  <c r="F566" i="1"/>
  <c r="H566" i="1" s="1"/>
  <c r="AD577" i="2" s="1"/>
  <c r="AF576" i="2"/>
  <c r="H565" i="1"/>
  <c r="AD576" i="2" s="1"/>
  <c r="G565" i="1"/>
  <c r="I565" i="1" s="1"/>
  <c r="F565" i="1"/>
  <c r="AF575" i="2"/>
  <c r="G564" i="1"/>
  <c r="I564" i="1" s="1"/>
  <c r="F564" i="1"/>
  <c r="H564" i="1" s="1"/>
  <c r="AF574" i="2"/>
  <c r="G563" i="1"/>
  <c r="I563" i="1" s="1"/>
  <c r="F563" i="1"/>
  <c r="H563" i="1" s="1"/>
  <c r="AD574" i="2" s="1"/>
  <c r="AF573" i="2"/>
  <c r="G562" i="1"/>
  <c r="I562" i="1" s="1"/>
  <c r="F562" i="1"/>
  <c r="H562" i="1" s="1"/>
  <c r="AD573" i="2" s="1"/>
  <c r="AF572" i="2"/>
  <c r="G561" i="1"/>
  <c r="I561" i="1" s="1"/>
  <c r="F561" i="1"/>
  <c r="H561" i="1" s="1"/>
  <c r="AF571" i="2"/>
  <c r="G560" i="1"/>
  <c r="I560" i="1" s="1"/>
  <c r="F560" i="1"/>
  <c r="H560" i="1" s="1"/>
  <c r="AD571" i="2" s="1"/>
  <c r="AF570" i="2"/>
  <c r="G559" i="1"/>
  <c r="I559" i="1" s="1"/>
  <c r="F559" i="1"/>
  <c r="H559" i="1" s="1"/>
  <c r="AD570" i="2" s="1"/>
  <c r="AF569" i="2"/>
  <c r="G558" i="1"/>
  <c r="I558" i="1" s="1"/>
  <c r="F558" i="1"/>
  <c r="H558" i="1" s="1"/>
  <c r="AD569" i="2" s="1"/>
  <c r="AF568" i="2"/>
  <c r="H557" i="1"/>
  <c r="AD568" i="2" s="1"/>
  <c r="G557" i="1"/>
  <c r="I557" i="1" s="1"/>
  <c r="F557" i="1"/>
  <c r="AF567" i="2"/>
  <c r="G556" i="1"/>
  <c r="I556" i="1" s="1"/>
  <c r="F556" i="1"/>
  <c r="H556" i="1" s="1"/>
  <c r="AF566" i="2"/>
  <c r="G555" i="1"/>
  <c r="I555" i="1" s="1"/>
  <c r="F555" i="1"/>
  <c r="H555" i="1" s="1"/>
  <c r="AD566" i="2" s="1"/>
  <c r="AF565" i="2"/>
  <c r="G554" i="1"/>
  <c r="I554" i="1" s="1"/>
  <c r="F554" i="1"/>
  <c r="H554" i="1" s="1"/>
  <c r="AD565" i="2" s="1"/>
  <c r="AF564" i="2"/>
  <c r="G553" i="1"/>
  <c r="I553" i="1" s="1"/>
  <c r="F553" i="1"/>
  <c r="H553" i="1" s="1"/>
  <c r="AF563" i="2"/>
  <c r="G552" i="1"/>
  <c r="I552" i="1" s="1"/>
  <c r="F552" i="1"/>
  <c r="H552" i="1" s="1"/>
  <c r="AD563" i="2" s="1"/>
  <c r="AF562" i="2"/>
  <c r="G551" i="1"/>
  <c r="I551" i="1" s="1"/>
  <c r="F551" i="1"/>
  <c r="H551" i="1" s="1"/>
  <c r="AD562" i="2" s="1"/>
  <c r="AF561" i="2"/>
  <c r="G550" i="1"/>
  <c r="I550" i="1" s="1"/>
  <c r="F550" i="1"/>
  <c r="H550" i="1" s="1"/>
  <c r="AD561" i="2" s="1"/>
  <c r="AF560" i="2"/>
  <c r="G549" i="1"/>
  <c r="I549" i="1" s="1"/>
  <c r="F549" i="1"/>
  <c r="H549" i="1" s="1"/>
  <c r="AD560" i="2" s="1"/>
  <c r="AF559" i="2"/>
  <c r="G548" i="1"/>
  <c r="I548" i="1" s="1"/>
  <c r="F548" i="1"/>
  <c r="H548" i="1" s="1"/>
  <c r="AF558" i="2"/>
  <c r="G547" i="1"/>
  <c r="I547" i="1" s="1"/>
  <c r="F547" i="1"/>
  <c r="H547" i="1" s="1"/>
  <c r="AD558" i="2" s="1"/>
  <c r="AF557" i="2"/>
  <c r="H546" i="1"/>
  <c r="AD557" i="2" s="1"/>
  <c r="G546" i="1"/>
  <c r="I546" i="1" s="1"/>
  <c r="F546" i="1"/>
  <c r="AF556" i="2"/>
  <c r="H545" i="1"/>
  <c r="G545" i="1"/>
  <c r="I545" i="1" s="1"/>
  <c r="F545" i="1"/>
  <c r="AF555" i="2"/>
  <c r="G544" i="1"/>
  <c r="I544" i="1" s="1"/>
  <c r="F544" i="1"/>
  <c r="H544" i="1" s="1"/>
  <c r="AD555" i="2" s="1"/>
  <c r="AF554" i="2"/>
  <c r="G543" i="1"/>
  <c r="I543" i="1" s="1"/>
  <c r="F543" i="1"/>
  <c r="H543" i="1" s="1"/>
  <c r="AF553" i="2"/>
  <c r="H542" i="1"/>
  <c r="AD553" i="2" s="1"/>
  <c r="G542" i="1"/>
  <c r="I542" i="1" s="1"/>
  <c r="F542" i="1"/>
  <c r="AF552" i="2"/>
  <c r="G541" i="1"/>
  <c r="I541" i="1" s="1"/>
  <c r="F541" i="1"/>
  <c r="H541" i="1" s="1"/>
  <c r="AD552" i="2" s="1"/>
  <c r="AF551" i="2"/>
  <c r="G540" i="1"/>
  <c r="I540" i="1" s="1"/>
  <c r="F540" i="1"/>
  <c r="H540" i="1" s="1"/>
  <c r="AF550" i="2"/>
  <c r="G539" i="1"/>
  <c r="I539" i="1" s="1"/>
  <c r="F539" i="1"/>
  <c r="H539" i="1" s="1"/>
  <c r="AD550" i="2" s="1"/>
  <c r="AF549" i="2"/>
  <c r="G538" i="1"/>
  <c r="I538" i="1" s="1"/>
  <c r="F538" i="1"/>
  <c r="H538" i="1" s="1"/>
  <c r="AD549" i="2" s="1"/>
  <c r="AF548" i="2"/>
  <c r="G537" i="1"/>
  <c r="I537" i="1" s="1"/>
  <c r="F537" i="1"/>
  <c r="H537" i="1" s="1"/>
  <c r="AF547" i="2"/>
  <c r="G536" i="1"/>
  <c r="I536" i="1" s="1"/>
  <c r="F536" i="1"/>
  <c r="H536" i="1" s="1"/>
  <c r="AD547" i="2" s="1"/>
  <c r="AF546" i="2"/>
  <c r="G535" i="1"/>
  <c r="I535" i="1" s="1"/>
  <c r="F535" i="1"/>
  <c r="H535" i="1" s="1"/>
  <c r="AD546" i="2" s="1"/>
  <c r="AF545" i="2"/>
  <c r="I534" i="1"/>
  <c r="G534" i="1"/>
  <c r="F534" i="1"/>
  <c r="H534" i="1" s="1"/>
  <c r="AD545" i="2" s="1"/>
  <c r="AF544" i="2"/>
  <c r="H533" i="1"/>
  <c r="AD544" i="2" s="1"/>
  <c r="G533" i="1"/>
  <c r="I533" i="1" s="1"/>
  <c r="F533" i="1"/>
  <c r="AF543" i="2"/>
  <c r="G532" i="1"/>
  <c r="I532" i="1" s="1"/>
  <c r="F532" i="1"/>
  <c r="H532" i="1" s="1"/>
  <c r="AD543" i="2" s="1"/>
  <c r="AF542" i="2"/>
  <c r="G531" i="1"/>
  <c r="I531" i="1" s="1"/>
  <c r="F531" i="1"/>
  <c r="H531" i="1" s="1"/>
  <c r="AD542" i="2" s="1"/>
  <c r="AF541" i="2"/>
  <c r="I530" i="1"/>
  <c r="G530" i="1"/>
  <c r="F530" i="1"/>
  <c r="H530" i="1" s="1"/>
  <c r="AD541" i="2" s="1"/>
  <c r="AF540" i="2"/>
  <c r="H529" i="1"/>
  <c r="G529" i="1"/>
  <c r="I529" i="1" s="1"/>
  <c r="F529" i="1"/>
  <c r="AF539" i="2"/>
  <c r="G528" i="1"/>
  <c r="I528" i="1" s="1"/>
  <c r="F528" i="1"/>
  <c r="H528" i="1" s="1"/>
  <c r="AF538" i="2"/>
  <c r="G527" i="1"/>
  <c r="I527" i="1" s="1"/>
  <c r="F527" i="1"/>
  <c r="H527" i="1" s="1"/>
  <c r="AD538" i="2" s="1"/>
  <c r="AF537" i="2"/>
  <c r="H526" i="1"/>
  <c r="AD537" i="2" s="1"/>
  <c r="G526" i="1"/>
  <c r="I526" i="1" s="1"/>
  <c r="F526" i="1"/>
  <c r="AF536" i="2"/>
  <c r="G525" i="1"/>
  <c r="I525" i="1" s="1"/>
  <c r="F525" i="1"/>
  <c r="H525" i="1" s="1"/>
  <c r="AD536" i="2" s="1"/>
  <c r="AF535" i="2"/>
  <c r="G524" i="1"/>
  <c r="I524" i="1" s="1"/>
  <c r="F524" i="1"/>
  <c r="H524" i="1" s="1"/>
  <c r="AD535" i="2" s="1"/>
  <c r="AF534" i="2"/>
  <c r="G523" i="1"/>
  <c r="I523" i="1" s="1"/>
  <c r="F523" i="1"/>
  <c r="H523" i="1" s="1"/>
  <c r="AD534" i="2" s="1"/>
  <c r="AF533" i="2"/>
  <c r="G522" i="1"/>
  <c r="I522" i="1" s="1"/>
  <c r="F522" i="1"/>
  <c r="H522" i="1" s="1"/>
  <c r="AD533" i="2" s="1"/>
  <c r="AF532" i="2"/>
  <c r="G521" i="1"/>
  <c r="I521" i="1" s="1"/>
  <c r="F521" i="1"/>
  <c r="H521" i="1" s="1"/>
  <c r="AF531" i="2"/>
  <c r="G520" i="1"/>
  <c r="I520" i="1" s="1"/>
  <c r="F520" i="1"/>
  <c r="H520" i="1" s="1"/>
  <c r="AD531" i="2" s="1"/>
  <c r="AF530" i="2"/>
  <c r="G519" i="1"/>
  <c r="I519" i="1" s="1"/>
  <c r="F519" i="1"/>
  <c r="H519" i="1" s="1"/>
  <c r="AD530" i="2" s="1"/>
  <c r="AF529" i="2"/>
  <c r="I518" i="1"/>
  <c r="G518" i="1"/>
  <c r="F518" i="1"/>
  <c r="H518" i="1" s="1"/>
  <c r="AD529" i="2" s="1"/>
  <c r="AF528" i="2"/>
  <c r="G517" i="1"/>
  <c r="I517" i="1" s="1"/>
  <c r="F517" i="1"/>
  <c r="H517" i="1" s="1"/>
  <c r="AD528" i="2" s="1"/>
  <c r="AF527" i="2"/>
  <c r="G516" i="1"/>
  <c r="I516" i="1" s="1"/>
  <c r="F516" i="1"/>
  <c r="H516" i="1" s="1"/>
  <c r="AF526" i="2"/>
  <c r="G515" i="1"/>
  <c r="I515" i="1" s="1"/>
  <c r="F515" i="1"/>
  <c r="H515" i="1" s="1"/>
  <c r="AD526" i="2" s="1"/>
  <c r="AF525" i="2"/>
  <c r="I514" i="1"/>
  <c r="H514" i="1"/>
  <c r="AD525" i="2" s="1"/>
  <c r="G514" i="1"/>
  <c r="F514" i="1"/>
  <c r="AF524" i="2"/>
  <c r="H513" i="1"/>
  <c r="G513" i="1"/>
  <c r="I513" i="1" s="1"/>
  <c r="F513" i="1"/>
  <c r="AF523" i="2"/>
  <c r="G512" i="1"/>
  <c r="I512" i="1" s="1"/>
  <c r="F512" i="1"/>
  <c r="H512" i="1" s="1"/>
  <c r="AF522" i="2"/>
  <c r="G511" i="1"/>
  <c r="I511" i="1" s="1"/>
  <c r="F511" i="1"/>
  <c r="H511" i="1" s="1"/>
  <c r="AF521" i="2"/>
  <c r="H510" i="1"/>
  <c r="AD521" i="2" s="1"/>
  <c r="G510" i="1"/>
  <c r="I510" i="1" s="1"/>
  <c r="F510" i="1"/>
  <c r="AF520" i="2"/>
  <c r="G509" i="1"/>
  <c r="I509" i="1" s="1"/>
  <c r="F509" i="1"/>
  <c r="H509" i="1" s="1"/>
  <c r="AD520" i="2" s="1"/>
  <c r="AF519" i="2"/>
  <c r="G508" i="1"/>
  <c r="I508" i="1" s="1"/>
  <c r="F508" i="1"/>
  <c r="H508" i="1" s="1"/>
  <c r="AD519" i="2" s="1"/>
  <c r="AF518" i="2"/>
  <c r="G507" i="1"/>
  <c r="I507" i="1" s="1"/>
  <c r="F507" i="1"/>
  <c r="H507" i="1" s="1"/>
  <c r="AD518" i="2" s="1"/>
  <c r="AF517" i="2"/>
  <c r="I506" i="1"/>
  <c r="H506" i="1"/>
  <c r="AD517" i="2" s="1"/>
  <c r="G506" i="1"/>
  <c r="F506" i="1"/>
  <c r="AF516" i="2"/>
  <c r="G505" i="1"/>
  <c r="I505" i="1" s="1"/>
  <c r="F505" i="1"/>
  <c r="H505" i="1" s="1"/>
  <c r="AF515" i="2"/>
  <c r="G504" i="1"/>
  <c r="I504" i="1" s="1"/>
  <c r="F504" i="1"/>
  <c r="H504" i="1" s="1"/>
  <c r="AD515" i="2" s="1"/>
  <c r="AF514" i="2"/>
  <c r="I503" i="1"/>
  <c r="G503" i="1"/>
  <c r="F503" i="1"/>
  <c r="H503" i="1" s="1"/>
  <c r="AD514" i="2" s="1"/>
  <c r="AF513" i="2"/>
  <c r="G502" i="1"/>
  <c r="I502" i="1" s="1"/>
  <c r="F502" i="1"/>
  <c r="H502" i="1" s="1"/>
  <c r="AD513" i="2" s="1"/>
  <c r="AF512" i="2"/>
  <c r="G501" i="1"/>
  <c r="I501" i="1" s="1"/>
  <c r="F501" i="1"/>
  <c r="H501" i="1" s="1"/>
  <c r="AD512" i="2" s="1"/>
  <c r="AF511" i="2"/>
  <c r="G500" i="1"/>
  <c r="I500" i="1" s="1"/>
  <c r="F500" i="1"/>
  <c r="H500" i="1" s="1"/>
  <c r="AF510" i="2"/>
  <c r="I499" i="1"/>
  <c r="G499" i="1"/>
  <c r="F499" i="1"/>
  <c r="H499" i="1" s="1"/>
  <c r="AF509" i="2"/>
  <c r="G498" i="1"/>
  <c r="I498" i="1" s="1"/>
  <c r="F498" i="1"/>
  <c r="H498" i="1" s="1"/>
  <c r="AD509" i="2" s="1"/>
  <c r="AF508" i="2"/>
  <c r="G497" i="1"/>
  <c r="I497" i="1" s="1"/>
  <c r="F497" i="1"/>
  <c r="H497" i="1" s="1"/>
  <c r="AF507" i="2"/>
  <c r="G496" i="1"/>
  <c r="I496" i="1" s="1"/>
  <c r="F496" i="1"/>
  <c r="H496" i="1" s="1"/>
  <c r="AF506" i="2"/>
  <c r="I495" i="1"/>
  <c r="G495" i="1"/>
  <c r="F495" i="1"/>
  <c r="H495" i="1" s="1"/>
  <c r="AD506" i="2" s="1"/>
  <c r="AF505" i="2"/>
  <c r="G494" i="1"/>
  <c r="I494" i="1" s="1"/>
  <c r="F494" i="1"/>
  <c r="H494" i="1" s="1"/>
  <c r="AD505" i="2" s="1"/>
  <c r="AF504" i="2"/>
  <c r="G493" i="1"/>
  <c r="I493" i="1" s="1"/>
  <c r="F493" i="1"/>
  <c r="H493" i="1" s="1"/>
  <c r="AD504" i="2" s="1"/>
  <c r="AF503" i="2"/>
  <c r="G492" i="1"/>
  <c r="I492" i="1" s="1"/>
  <c r="F492" i="1"/>
  <c r="H492" i="1" s="1"/>
  <c r="AD503" i="2" s="1"/>
  <c r="AF502" i="2"/>
  <c r="G491" i="1"/>
  <c r="I491" i="1" s="1"/>
  <c r="F491" i="1"/>
  <c r="H491" i="1" s="1"/>
  <c r="AD502" i="2" s="1"/>
  <c r="AF501" i="2"/>
  <c r="H490" i="1"/>
  <c r="AD501" i="2" s="1"/>
  <c r="G490" i="1"/>
  <c r="I490" i="1" s="1"/>
  <c r="F490" i="1"/>
  <c r="AF500" i="2"/>
  <c r="G489" i="1"/>
  <c r="I489" i="1" s="1"/>
  <c r="F489" i="1"/>
  <c r="H489" i="1" s="1"/>
  <c r="AF499" i="2"/>
  <c r="G488" i="1"/>
  <c r="I488" i="1" s="1"/>
  <c r="F488" i="1"/>
  <c r="H488" i="1" s="1"/>
  <c r="AD499" i="2" s="1"/>
  <c r="AF498" i="2"/>
  <c r="G487" i="1"/>
  <c r="I487" i="1" s="1"/>
  <c r="F487" i="1"/>
  <c r="H487" i="1" s="1"/>
  <c r="AD498" i="2" s="1"/>
  <c r="AF497" i="2"/>
  <c r="H486" i="1"/>
  <c r="AD497" i="2" s="1"/>
  <c r="G486" i="1"/>
  <c r="I486" i="1" s="1"/>
  <c r="F486" i="1"/>
  <c r="AF496" i="2"/>
  <c r="G485" i="1"/>
  <c r="I485" i="1" s="1"/>
  <c r="F485" i="1"/>
  <c r="H485" i="1" s="1"/>
  <c r="AD496" i="2" s="1"/>
  <c r="AF495" i="2"/>
  <c r="G484" i="1"/>
  <c r="I484" i="1" s="1"/>
  <c r="F484" i="1"/>
  <c r="H484" i="1" s="1"/>
  <c r="AF494" i="2"/>
  <c r="G483" i="1"/>
  <c r="I483" i="1" s="1"/>
  <c r="F483" i="1"/>
  <c r="H483" i="1" s="1"/>
  <c r="AD494" i="2" s="1"/>
  <c r="AF493" i="2"/>
  <c r="G482" i="1"/>
  <c r="I482" i="1" s="1"/>
  <c r="F482" i="1"/>
  <c r="H482" i="1" s="1"/>
  <c r="AD493" i="2" s="1"/>
  <c r="AF492" i="2"/>
  <c r="G481" i="1"/>
  <c r="I481" i="1" s="1"/>
  <c r="F481" i="1"/>
  <c r="H481" i="1" s="1"/>
  <c r="AF491" i="2"/>
  <c r="G480" i="1"/>
  <c r="I480" i="1" s="1"/>
  <c r="F480" i="1"/>
  <c r="H480" i="1" s="1"/>
  <c r="AF490" i="2"/>
  <c r="G479" i="1"/>
  <c r="I479" i="1" s="1"/>
  <c r="F479" i="1"/>
  <c r="H479" i="1" s="1"/>
  <c r="AF489" i="2"/>
  <c r="G478" i="1"/>
  <c r="I478" i="1" s="1"/>
  <c r="F478" i="1"/>
  <c r="H478" i="1" s="1"/>
  <c r="AF488" i="2"/>
  <c r="G477" i="1"/>
  <c r="I477" i="1" s="1"/>
  <c r="F477" i="1"/>
  <c r="H477" i="1" s="1"/>
  <c r="AD488" i="2" s="1"/>
  <c r="AF487" i="2"/>
  <c r="G476" i="1"/>
  <c r="I476" i="1" s="1"/>
  <c r="F476" i="1"/>
  <c r="H476" i="1" s="1"/>
  <c r="AF486" i="2"/>
  <c r="G475" i="1"/>
  <c r="I475" i="1" s="1"/>
  <c r="F475" i="1"/>
  <c r="H475" i="1" s="1"/>
  <c r="AD486" i="2" s="1"/>
  <c r="AF485" i="2"/>
  <c r="G474" i="1"/>
  <c r="I474" i="1" s="1"/>
  <c r="F474" i="1"/>
  <c r="H474" i="1" s="1"/>
  <c r="AD485" i="2" s="1"/>
  <c r="AF484" i="2"/>
  <c r="G473" i="1"/>
  <c r="I473" i="1" s="1"/>
  <c r="F473" i="1"/>
  <c r="H473" i="1" s="1"/>
  <c r="AF483" i="2"/>
  <c r="G472" i="1"/>
  <c r="I472" i="1" s="1"/>
  <c r="F472" i="1"/>
  <c r="H472" i="1" s="1"/>
  <c r="AD483" i="2" s="1"/>
  <c r="AF482" i="2"/>
  <c r="G471" i="1"/>
  <c r="I471" i="1" s="1"/>
  <c r="F471" i="1"/>
  <c r="H471" i="1" s="1"/>
  <c r="AD482" i="2" s="1"/>
  <c r="AF481" i="2"/>
  <c r="G470" i="1"/>
  <c r="I470" i="1" s="1"/>
  <c r="F470" i="1"/>
  <c r="H470" i="1" s="1"/>
  <c r="AD481" i="2" s="1"/>
  <c r="AF480" i="2"/>
  <c r="G469" i="1"/>
  <c r="I469" i="1" s="1"/>
  <c r="F469" i="1"/>
  <c r="H469" i="1" s="1"/>
  <c r="AD480" i="2" s="1"/>
  <c r="AF479" i="2"/>
  <c r="G468" i="1"/>
  <c r="I468" i="1" s="1"/>
  <c r="F468" i="1"/>
  <c r="H468" i="1" s="1"/>
  <c r="AD479" i="2" s="1"/>
  <c r="AF478" i="2"/>
  <c r="I467" i="1"/>
  <c r="G467" i="1"/>
  <c r="F467" i="1"/>
  <c r="H467" i="1" s="1"/>
  <c r="AD478" i="2" s="1"/>
  <c r="AF477" i="2"/>
  <c r="I466" i="1"/>
  <c r="G466" i="1"/>
  <c r="F466" i="1"/>
  <c r="H466" i="1" s="1"/>
  <c r="AD477" i="2" s="1"/>
  <c r="AF476" i="2"/>
  <c r="G465" i="1"/>
  <c r="I465" i="1" s="1"/>
  <c r="F465" i="1"/>
  <c r="H465" i="1" s="1"/>
  <c r="AF475" i="2"/>
  <c r="G464" i="1"/>
  <c r="I464" i="1" s="1"/>
  <c r="F464" i="1"/>
  <c r="H464" i="1" s="1"/>
  <c r="AD475" i="2" s="1"/>
  <c r="AF474" i="2"/>
  <c r="G463" i="1"/>
  <c r="I463" i="1" s="1"/>
  <c r="F463" i="1"/>
  <c r="H463" i="1" s="1"/>
  <c r="AD474" i="2" s="1"/>
  <c r="AF473" i="2"/>
  <c r="G462" i="1"/>
  <c r="I462" i="1" s="1"/>
  <c r="F462" i="1"/>
  <c r="H462" i="1" s="1"/>
  <c r="AD473" i="2" s="1"/>
  <c r="AF472" i="2"/>
  <c r="G461" i="1"/>
  <c r="I461" i="1" s="1"/>
  <c r="F461" i="1"/>
  <c r="H461" i="1" s="1"/>
  <c r="AD472" i="2" s="1"/>
  <c r="AF471" i="2"/>
  <c r="G460" i="1"/>
  <c r="I460" i="1" s="1"/>
  <c r="F460" i="1"/>
  <c r="H460" i="1" s="1"/>
  <c r="AD471" i="2" s="1"/>
  <c r="AF470" i="2"/>
  <c r="G459" i="1"/>
  <c r="I459" i="1" s="1"/>
  <c r="F459" i="1"/>
  <c r="H459" i="1" s="1"/>
  <c r="AD470" i="2" s="1"/>
  <c r="AF469" i="2"/>
  <c r="G458" i="1"/>
  <c r="I458" i="1" s="1"/>
  <c r="F458" i="1"/>
  <c r="H458" i="1" s="1"/>
  <c r="AD469" i="2" s="1"/>
  <c r="AF468" i="2"/>
  <c r="G457" i="1"/>
  <c r="I457" i="1" s="1"/>
  <c r="F457" i="1"/>
  <c r="H457" i="1" s="1"/>
  <c r="AF467" i="2"/>
  <c r="G456" i="1"/>
  <c r="I456" i="1" s="1"/>
  <c r="F456" i="1"/>
  <c r="H456" i="1" s="1"/>
  <c r="AD467" i="2" s="1"/>
  <c r="AF466" i="2"/>
  <c r="G455" i="1"/>
  <c r="I455" i="1" s="1"/>
  <c r="F455" i="1"/>
  <c r="H455" i="1" s="1"/>
  <c r="AD466" i="2" s="1"/>
  <c r="AF465" i="2"/>
  <c r="G454" i="1"/>
  <c r="I454" i="1" s="1"/>
  <c r="F454" i="1"/>
  <c r="H454" i="1" s="1"/>
  <c r="AD465" i="2" s="1"/>
  <c r="AF464" i="2"/>
  <c r="H453" i="1"/>
  <c r="AD464" i="2" s="1"/>
  <c r="G453" i="1"/>
  <c r="I453" i="1" s="1"/>
  <c r="F453" i="1"/>
  <c r="AF463" i="2"/>
  <c r="G452" i="1"/>
  <c r="I452" i="1" s="1"/>
  <c r="F452" i="1"/>
  <c r="H452" i="1" s="1"/>
  <c r="AF462" i="2"/>
  <c r="G451" i="1"/>
  <c r="I451" i="1" s="1"/>
  <c r="F451" i="1"/>
  <c r="H451" i="1" s="1"/>
  <c r="AD462" i="2" s="1"/>
  <c r="AF461" i="2"/>
  <c r="H450" i="1"/>
  <c r="G450" i="1"/>
  <c r="I450" i="1" s="1"/>
  <c r="F450" i="1"/>
  <c r="AF460" i="2"/>
  <c r="H449" i="1"/>
  <c r="G449" i="1"/>
  <c r="I449" i="1" s="1"/>
  <c r="F449" i="1"/>
  <c r="AF459" i="2"/>
  <c r="G448" i="1"/>
  <c r="I448" i="1" s="1"/>
  <c r="F448" i="1"/>
  <c r="H448" i="1" s="1"/>
  <c r="AF458" i="2"/>
  <c r="G447" i="1"/>
  <c r="I447" i="1" s="1"/>
  <c r="F447" i="1"/>
  <c r="H447" i="1" s="1"/>
  <c r="AF457" i="2"/>
  <c r="H446" i="1"/>
  <c r="AD457" i="2" s="1"/>
  <c r="G446" i="1"/>
  <c r="I446" i="1" s="1"/>
  <c r="F446" i="1"/>
  <c r="AF456" i="2"/>
  <c r="G445" i="1"/>
  <c r="I445" i="1" s="1"/>
  <c r="F445" i="1"/>
  <c r="H445" i="1" s="1"/>
  <c r="AD456" i="2" s="1"/>
  <c r="AF455" i="2"/>
  <c r="G444" i="1"/>
  <c r="I444" i="1" s="1"/>
  <c r="F444" i="1"/>
  <c r="H444" i="1" s="1"/>
  <c r="AF454" i="2"/>
  <c r="G443" i="1"/>
  <c r="I443" i="1" s="1"/>
  <c r="F443" i="1"/>
  <c r="H443" i="1" s="1"/>
  <c r="AD454" i="2" s="1"/>
  <c r="AF453" i="2"/>
  <c r="H442" i="1"/>
  <c r="AD453" i="2" s="1"/>
  <c r="G442" i="1"/>
  <c r="I442" i="1" s="1"/>
  <c r="F442" i="1"/>
  <c r="AF452" i="2"/>
  <c r="H441" i="1"/>
  <c r="G441" i="1"/>
  <c r="I441" i="1" s="1"/>
  <c r="F441" i="1"/>
  <c r="AF451" i="2"/>
  <c r="G440" i="1"/>
  <c r="I440" i="1" s="1"/>
  <c r="F440" i="1"/>
  <c r="H440" i="1" s="1"/>
  <c r="AD451" i="2" s="1"/>
  <c r="AF450" i="2"/>
  <c r="G439" i="1"/>
  <c r="I439" i="1" s="1"/>
  <c r="F439" i="1"/>
  <c r="H439" i="1" s="1"/>
  <c r="AD450" i="2" s="1"/>
  <c r="AF449" i="2"/>
  <c r="G438" i="1"/>
  <c r="I438" i="1" s="1"/>
  <c r="F438" i="1"/>
  <c r="H438" i="1" s="1"/>
  <c r="AD449" i="2" s="1"/>
  <c r="AF448" i="2"/>
  <c r="H437" i="1"/>
  <c r="AD448" i="2" s="1"/>
  <c r="G437" i="1"/>
  <c r="I437" i="1" s="1"/>
  <c r="F437" i="1"/>
  <c r="AF447" i="2"/>
  <c r="G436" i="1"/>
  <c r="I436" i="1" s="1"/>
  <c r="F436" i="1"/>
  <c r="H436" i="1" s="1"/>
  <c r="AD447" i="2" s="1"/>
  <c r="AF446" i="2"/>
  <c r="G435" i="1"/>
  <c r="I435" i="1" s="1"/>
  <c r="F435" i="1"/>
  <c r="H435" i="1" s="1"/>
  <c r="AD446" i="2" s="1"/>
  <c r="AF445" i="2"/>
  <c r="H434" i="1"/>
  <c r="G434" i="1"/>
  <c r="I434" i="1" s="1"/>
  <c r="F434" i="1"/>
  <c r="AF444" i="2"/>
  <c r="G433" i="1"/>
  <c r="I433" i="1" s="1"/>
  <c r="F433" i="1"/>
  <c r="H433" i="1" s="1"/>
  <c r="AF443" i="2"/>
  <c r="G432" i="1"/>
  <c r="I432" i="1" s="1"/>
  <c r="F432" i="1"/>
  <c r="H432" i="1" s="1"/>
  <c r="AF442" i="2"/>
  <c r="G431" i="1"/>
  <c r="I431" i="1" s="1"/>
  <c r="F431" i="1"/>
  <c r="H431" i="1" s="1"/>
  <c r="AD442" i="2" s="1"/>
  <c r="AF441" i="2"/>
  <c r="H430" i="1"/>
  <c r="AD441" i="2" s="1"/>
  <c r="G430" i="1"/>
  <c r="I430" i="1" s="1"/>
  <c r="F430" i="1"/>
  <c r="AF440" i="2"/>
  <c r="G429" i="1"/>
  <c r="I429" i="1" s="1"/>
  <c r="F429" i="1"/>
  <c r="H429" i="1" s="1"/>
  <c r="AD440" i="2" s="1"/>
  <c r="AF439" i="2"/>
  <c r="G428" i="1"/>
  <c r="I428" i="1" s="1"/>
  <c r="F428" i="1"/>
  <c r="H428" i="1" s="1"/>
  <c r="AD439" i="2" s="1"/>
  <c r="AF438" i="2"/>
  <c r="G427" i="1"/>
  <c r="I427" i="1" s="1"/>
  <c r="F427" i="1"/>
  <c r="H427" i="1" s="1"/>
  <c r="AD438" i="2" s="1"/>
  <c r="AF437" i="2"/>
  <c r="G426" i="1"/>
  <c r="I426" i="1" s="1"/>
  <c r="F426" i="1"/>
  <c r="H426" i="1" s="1"/>
  <c r="AD437" i="2" s="1"/>
  <c r="AF436" i="2"/>
  <c r="G425" i="1"/>
  <c r="I425" i="1" s="1"/>
  <c r="F425" i="1"/>
  <c r="H425" i="1" s="1"/>
  <c r="AF435" i="2"/>
  <c r="G424" i="1"/>
  <c r="I424" i="1" s="1"/>
  <c r="F424" i="1"/>
  <c r="H424" i="1" s="1"/>
  <c r="AD435" i="2" s="1"/>
  <c r="AF434" i="2"/>
  <c r="G423" i="1"/>
  <c r="I423" i="1" s="1"/>
  <c r="F423" i="1"/>
  <c r="H423" i="1" s="1"/>
  <c r="AD434" i="2" s="1"/>
  <c r="AF433" i="2"/>
  <c r="G422" i="1"/>
  <c r="I422" i="1" s="1"/>
  <c r="F422" i="1"/>
  <c r="H422" i="1" s="1"/>
  <c r="AF432" i="2"/>
  <c r="G421" i="1"/>
  <c r="I421" i="1" s="1"/>
  <c r="F421" i="1"/>
  <c r="H421" i="1" s="1"/>
  <c r="AD432" i="2" s="1"/>
  <c r="AF431" i="2"/>
  <c r="G420" i="1"/>
  <c r="I420" i="1" s="1"/>
  <c r="F420" i="1"/>
  <c r="H420" i="1" s="1"/>
  <c r="AF430" i="2"/>
  <c r="I419" i="1"/>
  <c r="G419" i="1"/>
  <c r="F419" i="1"/>
  <c r="H419" i="1" s="1"/>
  <c r="AD430" i="2" s="1"/>
  <c r="AF429" i="2"/>
  <c r="I418" i="1"/>
  <c r="G418" i="1"/>
  <c r="F418" i="1"/>
  <c r="H418" i="1" s="1"/>
  <c r="AD429" i="2" s="1"/>
  <c r="AF428" i="2"/>
  <c r="G417" i="1"/>
  <c r="I417" i="1" s="1"/>
  <c r="F417" i="1"/>
  <c r="H417" i="1" s="1"/>
  <c r="AF427" i="2"/>
  <c r="G416" i="1"/>
  <c r="I416" i="1" s="1"/>
  <c r="F416" i="1"/>
  <c r="H416" i="1" s="1"/>
  <c r="AD427" i="2" s="1"/>
  <c r="AF426" i="2"/>
  <c r="G415" i="1"/>
  <c r="I415" i="1" s="1"/>
  <c r="F415" i="1"/>
  <c r="H415" i="1" s="1"/>
  <c r="AF425" i="2"/>
  <c r="G414" i="1"/>
  <c r="I414" i="1" s="1"/>
  <c r="F414" i="1"/>
  <c r="H414" i="1" s="1"/>
  <c r="AD425" i="2" s="1"/>
  <c r="AF424" i="2"/>
  <c r="G413" i="1"/>
  <c r="I413" i="1" s="1"/>
  <c r="F413" i="1"/>
  <c r="H413" i="1" s="1"/>
  <c r="AD424" i="2" s="1"/>
  <c r="AF423" i="2"/>
  <c r="G412" i="1"/>
  <c r="I412" i="1" s="1"/>
  <c r="F412" i="1"/>
  <c r="H412" i="1" s="1"/>
  <c r="AF422" i="2"/>
  <c r="G411" i="1"/>
  <c r="I411" i="1" s="1"/>
  <c r="F411" i="1"/>
  <c r="H411" i="1" s="1"/>
  <c r="AD422" i="2" s="1"/>
  <c r="AF421" i="2"/>
  <c r="G410" i="1"/>
  <c r="I410" i="1" s="1"/>
  <c r="F410" i="1"/>
  <c r="H410" i="1" s="1"/>
  <c r="AD421" i="2" s="1"/>
  <c r="AF420" i="2"/>
  <c r="H409" i="1"/>
  <c r="G409" i="1"/>
  <c r="I409" i="1" s="1"/>
  <c r="F409" i="1"/>
  <c r="AF419" i="2"/>
  <c r="G408" i="1"/>
  <c r="I408" i="1" s="1"/>
  <c r="F408" i="1"/>
  <c r="H408" i="1" s="1"/>
  <c r="AD419" i="2" s="1"/>
  <c r="AF418" i="2"/>
  <c r="G407" i="1"/>
  <c r="I407" i="1" s="1"/>
  <c r="F407" i="1"/>
  <c r="H407" i="1" s="1"/>
  <c r="AD418" i="2" s="1"/>
  <c r="AF417" i="2"/>
  <c r="G406" i="1"/>
  <c r="I406" i="1" s="1"/>
  <c r="F406" i="1"/>
  <c r="H406" i="1" s="1"/>
  <c r="AF416" i="2"/>
  <c r="G405" i="1"/>
  <c r="I405" i="1" s="1"/>
  <c r="F405" i="1"/>
  <c r="H405" i="1" s="1"/>
  <c r="AD416" i="2" s="1"/>
  <c r="AF415" i="2"/>
  <c r="G404" i="1"/>
  <c r="I404" i="1" s="1"/>
  <c r="F404" i="1"/>
  <c r="H404" i="1" s="1"/>
  <c r="AD415" i="2" s="1"/>
  <c r="AF414" i="2"/>
  <c r="G403" i="1"/>
  <c r="I403" i="1" s="1"/>
  <c r="F403" i="1"/>
  <c r="H403" i="1" s="1"/>
  <c r="AD414" i="2" s="1"/>
  <c r="AF413" i="2"/>
  <c r="G402" i="1"/>
  <c r="I402" i="1" s="1"/>
  <c r="F402" i="1"/>
  <c r="H402" i="1" s="1"/>
  <c r="AD413" i="2" s="1"/>
  <c r="AF412" i="2"/>
  <c r="G401" i="1"/>
  <c r="I401" i="1" s="1"/>
  <c r="F401" i="1"/>
  <c r="H401" i="1" s="1"/>
  <c r="AF411" i="2"/>
  <c r="G400" i="1"/>
  <c r="I400" i="1" s="1"/>
  <c r="F400" i="1"/>
  <c r="H400" i="1" s="1"/>
  <c r="AF410" i="2"/>
  <c r="G399" i="1"/>
  <c r="I399" i="1" s="1"/>
  <c r="F399" i="1"/>
  <c r="H399" i="1" s="1"/>
  <c r="AD410" i="2" s="1"/>
  <c r="AF409" i="2"/>
  <c r="G398" i="1"/>
  <c r="I398" i="1" s="1"/>
  <c r="F398" i="1"/>
  <c r="H398" i="1" s="1"/>
  <c r="AD409" i="2" s="1"/>
  <c r="AF408" i="2"/>
  <c r="G397" i="1"/>
  <c r="I397" i="1" s="1"/>
  <c r="F397" i="1"/>
  <c r="H397" i="1" s="1"/>
  <c r="AD408" i="2" s="1"/>
  <c r="AF407" i="2"/>
  <c r="G396" i="1"/>
  <c r="I396" i="1" s="1"/>
  <c r="F396" i="1"/>
  <c r="H396" i="1" s="1"/>
  <c r="AD407" i="2" s="1"/>
  <c r="AF406" i="2"/>
  <c r="G395" i="1"/>
  <c r="I395" i="1" s="1"/>
  <c r="F395" i="1"/>
  <c r="H395" i="1" s="1"/>
  <c r="AD406" i="2" s="1"/>
  <c r="AF405" i="2"/>
  <c r="I394" i="1"/>
  <c r="G394" i="1"/>
  <c r="F394" i="1"/>
  <c r="H394" i="1" s="1"/>
  <c r="AD405" i="2" s="1"/>
  <c r="AF404" i="2"/>
  <c r="G393" i="1"/>
  <c r="I393" i="1" s="1"/>
  <c r="F393" i="1"/>
  <c r="H393" i="1" s="1"/>
  <c r="AF403" i="2"/>
  <c r="G392" i="1"/>
  <c r="I392" i="1" s="1"/>
  <c r="F392" i="1"/>
  <c r="H392" i="1" s="1"/>
  <c r="AD403" i="2" s="1"/>
  <c r="AF402" i="2"/>
  <c r="G391" i="1"/>
  <c r="I391" i="1" s="1"/>
  <c r="F391" i="1"/>
  <c r="H391" i="1" s="1"/>
  <c r="AD402" i="2" s="1"/>
  <c r="AF401" i="2"/>
  <c r="G390" i="1"/>
  <c r="I390" i="1" s="1"/>
  <c r="F390" i="1"/>
  <c r="H390" i="1" s="1"/>
  <c r="AD401" i="2" s="1"/>
  <c r="AF400" i="2"/>
  <c r="G389" i="1"/>
  <c r="I389" i="1" s="1"/>
  <c r="F389" i="1"/>
  <c r="H389" i="1" s="1"/>
  <c r="AD400" i="2" s="1"/>
  <c r="AF399" i="2"/>
  <c r="G388" i="1"/>
  <c r="I388" i="1" s="1"/>
  <c r="F388" i="1"/>
  <c r="H388" i="1" s="1"/>
  <c r="AF398" i="2"/>
  <c r="G387" i="1"/>
  <c r="I387" i="1" s="1"/>
  <c r="F387" i="1"/>
  <c r="H387" i="1" s="1"/>
  <c r="AD398" i="2" s="1"/>
  <c r="AF397" i="2"/>
  <c r="G386" i="1"/>
  <c r="I386" i="1" s="1"/>
  <c r="F386" i="1"/>
  <c r="H386" i="1" s="1"/>
  <c r="AD397" i="2" s="1"/>
  <c r="AF396" i="2"/>
  <c r="G385" i="1"/>
  <c r="I385" i="1" s="1"/>
  <c r="F385" i="1"/>
  <c r="H385" i="1" s="1"/>
  <c r="AF395" i="2"/>
  <c r="G384" i="1"/>
  <c r="I384" i="1" s="1"/>
  <c r="F384" i="1"/>
  <c r="H384" i="1" s="1"/>
  <c r="AF394" i="2"/>
  <c r="G383" i="1"/>
  <c r="I383" i="1" s="1"/>
  <c r="F383" i="1"/>
  <c r="H383" i="1" s="1"/>
  <c r="AF393" i="2"/>
  <c r="G382" i="1"/>
  <c r="I382" i="1" s="1"/>
  <c r="F382" i="1"/>
  <c r="H382" i="1" s="1"/>
  <c r="AD393" i="2" s="1"/>
  <c r="AF392" i="2"/>
  <c r="G381" i="1"/>
  <c r="I381" i="1" s="1"/>
  <c r="F381" i="1"/>
  <c r="H381" i="1" s="1"/>
  <c r="AD392" i="2" s="1"/>
  <c r="AF391" i="2"/>
  <c r="G380" i="1"/>
  <c r="I380" i="1" s="1"/>
  <c r="F380" i="1"/>
  <c r="H380" i="1" s="1"/>
  <c r="AF390" i="2"/>
  <c r="I379" i="1"/>
  <c r="G379" i="1"/>
  <c r="F379" i="1"/>
  <c r="H379" i="1" s="1"/>
  <c r="AD390" i="2" s="1"/>
  <c r="AF389" i="2"/>
  <c r="G378" i="1"/>
  <c r="I378" i="1" s="1"/>
  <c r="F378" i="1"/>
  <c r="H378" i="1" s="1"/>
  <c r="AD389" i="2" s="1"/>
  <c r="AF388" i="2"/>
  <c r="H377" i="1"/>
  <c r="G377" i="1"/>
  <c r="I377" i="1" s="1"/>
  <c r="F377" i="1"/>
  <c r="AF387" i="2"/>
  <c r="G376" i="1"/>
  <c r="I376" i="1" s="1"/>
  <c r="F376" i="1"/>
  <c r="H376" i="1" s="1"/>
  <c r="AD387" i="2" s="1"/>
  <c r="AF386" i="2"/>
  <c r="G375" i="1"/>
  <c r="I375" i="1" s="1"/>
  <c r="F375" i="1"/>
  <c r="H375" i="1" s="1"/>
  <c r="AD386" i="2" s="1"/>
  <c r="AF385" i="2"/>
  <c r="G374" i="1"/>
  <c r="I374" i="1" s="1"/>
  <c r="F374" i="1"/>
  <c r="H374" i="1" s="1"/>
  <c r="AD385" i="2" s="1"/>
  <c r="AF384" i="2"/>
  <c r="G373" i="1"/>
  <c r="I373" i="1" s="1"/>
  <c r="F373" i="1"/>
  <c r="H373" i="1" s="1"/>
  <c r="AD384" i="2" s="1"/>
  <c r="AF383" i="2"/>
  <c r="G372" i="1"/>
  <c r="I372" i="1" s="1"/>
  <c r="F372" i="1"/>
  <c r="H372" i="1" s="1"/>
  <c r="AF382" i="2"/>
  <c r="G371" i="1"/>
  <c r="I371" i="1" s="1"/>
  <c r="F371" i="1"/>
  <c r="H371" i="1" s="1"/>
  <c r="AD382" i="2" s="1"/>
  <c r="AF381" i="2"/>
  <c r="H370" i="1"/>
  <c r="AD381" i="2" s="1"/>
  <c r="G370" i="1"/>
  <c r="I370" i="1" s="1"/>
  <c r="F370" i="1"/>
  <c r="AF380" i="2"/>
  <c r="G369" i="1"/>
  <c r="I369" i="1" s="1"/>
  <c r="F369" i="1"/>
  <c r="H369" i="1" s="1"/>
  <c r="AF379" i="2"/>
  <c r="G368" i="1"/>
  <c r="I368" i="1" s="1"/>
  <c r="F368" i="1"/>
  <c r="H368" i="1" s="1"/>
  <c r="AD379" i="2" s="1"/>
  <c r="AF378" i="2"/>
  <c r="G367" i="1"/>
  <c r="I367" i="1" s="1"/>
  <c r="F367" i="1"/>
  <c r="H367" i="1" s="1"/>
  <c r="AD378" i="2" s="1"/>
  <c r="AF377" i="2"/>
  <c r="G366" i="1"/>
  <c r="I366" i="1" s="1"/>
  <c r="F366" i="1"/>
  <c r="H366" i="1" s="1"/>
  <c r="AD377" i="2" s="1"/>
  <c r="AF376" i="2"/>
  <c r="G365" i="1"/>
  <c r="I365" i="1" s="1"/>
  <c r="F365" i="1"/>
  <c r="H365" i="1" s="1"/>
  <c r="AD376" i="2" s="1"/>
  <c r="AF375" i="2"/>
  <c r="G364" i="1"/>
  <c r="I364" i="1" s="1"/>
  <c r="F364" i="1"/>
  <c r="H364" i="1" s="1"/>
  <c r="AD375" i="2" s="1"/>
  <c r="AF374" i="2"/>
  <c r="G363" i="1"/>
  <c r="I363" i="1" s="1"/>
  <c r="F363" i="1"/>
  <c r="H363" i="1" s="1"/>
  <c r="AD374" i="2" s="1"/>
  <c r="AF373" i="2"/>
  <c r="I362" i="1"/>
  <c r="G362" i="1"/>
  <c r="F362" i="1"/>
  <c r="H362" i="1" s="1"/>
  <c r="AD373" i="2" s="1"/>
  <c r="AF372" i="2"/>
  <c r="H361" i="1"/>
  <c r="G361" i="1"/>
  <c r="I361" i="1" s="1"/>
  <c r="F361" i="1"/>
  <c r="AF371" i="2"/>
  <c r="G360" i="1"/>
  <c r="I360" i="1" s="1"/>
  <c r="F360" i="1"/>
  <c r="H360" i="1" s="1"/>
  <c r="AD371" i="2" s="1"/>
  <c r="AF370" i="2"/>
  <c r="G359" i="1"/>
  <c r="I359" i="1" s="1"/>
  <c r="F359" i="1"/>
  <c r="H359" i="1" s="1"/>
  <c r="AD370" i="2" s="1"/>
  <c r="AF369" i="2"/>
  <c r="G358" i="1"/>
  <c r="I358" i="1" s="1"/>
  <c r="F358" i="1"/>
  <c r="H358" i="1" s="1"/>
  <c r="AD369" i="2" s="1"/>
  <c r="AF368" i="2"/>
  <c r="G357" i="1"/>
  <c r="I357" i="1" s="1"/>
  <c r="F357" i="1"/>
  <c r="H357" i="1" s="1"/>
  <c r="AD368" i="2" s="1"/>
  <c r="AF367" i="2"/>
  <c r="G356" i="1"/>
  <c r="I356" i="1" s="1"/>
  <c r="F356" i="1"/>
  <c r="H356" i="1" s="1"/>
  <c r="AF366" i="2"/>
  <c r="G355" i="1"/>
  <c r="I355" i="1" s="1"/>
  <c r="F355" i="1"/>
  <c r="H355" i="1" s="1"/>
  <c r="AD366" i="2" s="1"/>
  <c r="AF365" i="2"/>
  <c r="G354" i="1"/>
  <c r="I354" i="1" s="1"/>
  <c r="F354" i="1"/>
  <c r="H354" i="1" s="1"/>
  <c r="AD365" i="2" s="1"/>
  <c r="AF364" i="2"/>
  <c r="G353" i="1"/>
  <c r="I353" i="1" s="1"/>
  <c r="F353" i="1"/>
  <c r="H353" i="1" s="1"/>
  <c r="AF363" i="2"/>
  <c r="G352" i="1"/>
  <c r="I352" i="1" s="1"/>
  <c r="F352" i="1"/>
  <c r="H352" i="1" s="1"/>
  <c r="AF362" i="2"/>
  <c r="G351" i="1"/>
  <c r="I351" i="1" s="1"/>
  <c r="F351" i="1"/>
  <c r="H351" i="1" s="1"/>
  <c r="AD362" i="2" s="1"/>
  <c r="AF361" i="2"/>
  <c r="G350" i="1"/>
  <c r="I350" i="1" s="1"/>
  <c r="F350" i="1"/>
  <c r="H350" i="1" s="1"/>
  <c r="AD361" i="2" s="1"/>
  <c r="AF360" i="2"/>
  <c r="H349" i="1"/>
  <c r="AD360" i="2" s="1"/>
  <c r="G349" i="1"/>
  <c r="I349" i="1" s="1"/>
  <c r="F349" i="1"/>
  <c r="AF359" i="2"/>
  <c r="G348" i="1"/>
  <c r="I348" i="1" s="1"/>
  <c r="F348" i="1"/>
  <c r="H348" i="1" s="1"/>
  <c r="AF358" i="2"/>
  <c r="G347" i="1"/>
  <c r="I347" i="1" s="1"/>
  <c r="F347" i="1"/>
  <c r="H347" i="1" s="1"/>
  <c r="AD358" i="2" s="1"/>
  <c r="AF357" i="2"/>
  <c r="G346" i="1"/>
  <c r="I346" i="1" s="1"/>
  <c r="F346" i="1"/>
  <c r="H346" i="1" s="1"/>
  <c r="AD357" i="2" s="1"/>
  <c r="AF356" i="2"/>
  <c r="G345" i="1"/>
  <c r="I345" i="1" s="1"/>
  <c r="F345" i="1"/>
  <c r="H345" i="1" s="1"/>
  <c r="AF355" i="2"/>
  <c r="G344" i="1"/>
  <c r="I344" i="1" s="1"/>
  <c r="F344" i="1"/>
  <c r="H344" i="1" s="1"/>
  <c r="AD355" i="2" s="1"/>
  <c r="AF354" i="2"/>
  <c r="G343" i="1"/>
  <c r="I343" i="1" s="1"/>
  <c r="F343" i="1"/>
  <c r="H343" i="1" s="1"/>
  <c r="AD354" i="2" s="1"/>
  <c r="AF353" i="2"/>
  <c r="G342" i="1"/>
  <c r="I342" i="1" s="1"/>
  <c r="F342" i="1"/>
  <c r="H342" i="1" s="1"/>
  <c r="AD353" i="2" s="1"/>
  <c r="AF352" i="2"/>
  <c r="G341" i="1"/>
  <c r="I341" i="1" s="1"/>
  <c r="F341" i="1"/>
  <c r="H341" i="1" s="1"/>
  <c r="AD352" i="2" s="1"/>
  <c r="AF351" i="2"/>
  <c r="G340" i="1"/>
  <c r="I340" i="1" s="1"/>
  <c r="F340" i="1"/>
  <c r="H340" i="1" s="1"/>
  <c r="AF350" i="2"/>
  <c r="G339" i="1"/>
  <c r="I339" i="1" s="1"/>
  <c r="F339" i="1"/>
  <c r="H339" i="1" s="1"/>
  <c r="AD350" i="2" s="1"/>
  <c r="AF349" i="2"/>
  <c r="G338" i="1"/>
  <c r="I338" i="1" s="1"/>
  <c r="F338" i="1"/>
  <c r="H338" i="1" s="1"/>
  <c r="AD349" i="2" s="1"/>
  <c r="AF348" i="2"/>
  <c r="H337" i="1"/>
  <c r="G337" i="1"/>
  <c r="I337" i="1" s="1"/>
  <c r="F337" i="1"/>
  <c r="AF347" i="2"/>
  <c r="G336" i="1"/>
  <c r="I336" i="1" s="1"/>
  <c r="F336" i="1"/>
  <c r="H336" i="1" s="1"/>
  <c r="AF346" i="2"/>
  <c r="G335" i="1"/>
  <c r="I335" i="1" s="1"/>
  <c r="F335" i="1"/>
  <c r="H335" i="1" s="1"/>
  <c r="AD346" i="2" s="1"/>
  <c r="AF345" i="2"/>
  <c r="G334" i="1"/>
  <c r="I334" i="1" s="1"/>
  <c r="F334" i="1"/>
  <c r="H334" i="1" s="1"/>
  <c r="AD345" i="2" s="1"/>
  <c r="AF344" i="2"/>
  <c r="H333" i="1"/>
  <c r="AD344" i="2" s="1"/>
  <c r="G333" i="1"/>
  <c r="I333" i="1" s="1"/>
  <c r="F333" i="1"/>
  <c r="AF343" i="2"/>
  <c r="G332" i="1"/>
  <c r="I332" i="1" s="1"/>
  <c r="F332" i="1"/>
  <c r="H332" i="1" s="1"/>
  <c r="AD343" i="2" s="1"/>
  <c r="AF342" i="2"/>
  <c r="G331" i="1"/>
  <c r="I331" i="1" s="1"/>
  <c r="F331" i="1"/>
  <c r="H331" i="1" s="1"/>
  <c r="AD342" i="2" s="1"/>
  <c r="AF341" i="2"/>
  <c r="G330" i="1"/>
  <c r="I330" i="1" s="1"/>
  <c r="F330" i="1"/>
  <c r="H330" i="1" s="1"/>
  <c r="AF340" i="2"/>
  <c r="G329" i="1"/>
  <c r="I329" i="1" s="1"/>
  <c r="F329" i="1"/>
  <c r="H329" i="1" s="1"/>
  <c r="AF339" i="2"/>
  <c r="G328" i="1"/>
  <c r="I328" i="1" s="1"/>
  <c r="F328" i="1"/>
  <c r="H328" i="1" s="1"/>
  <c r="AD339" i="2" s="1"/>
  <c r="AF338" i="2"/>
  <c r="G327" i="1"/>
  <c r="I327" i="1" s="1"/>
  <c r="F327" i="1"/>
  <c r="H327" i="1" s="1"/>
  <c r="AD338" i="2" s="1"/>
  <c r="AF337" i="2"/>
  <c r="G326" i="1"/>
  <c r="I326" i="1" s="1"/>
  <c r="F326" i="1"/>
  <c r="H326" i="1" s="1"/>
  <c r="AD337" i="2" s="1"/>
  <c r="AF336" i="2"/>
  <c r="G325" i="1"/>
  <c r="I325" i="1" s="1"/>
  <c r="F325" i="1"/>
  <c r="H325" i="1" s="1"/>
  <c r="AD336" i="2" s="1"/>
  <c r="AF335" i="2"/>
  <c r="G324" i="1"/>
  <c r="I324" i="1" s="1"/>
  <c r="F324" i="1"/>
  <c r="H324" i="1" s="1"/>
  <c r="AF334" i="2"/>
  <c r="G323" i="1"/>
  <c r="I323" i="1" s="1"/>
  <c r="F323" i="1"/>
  <c r="H323" i="1" s="1"/>
  <c r="AD334" i="2" s="1"/>
  <c r="AF333" i="2"/>
  <c r="G322" i="1"/>
  <c r="I322" i="1" s="1"/>
  <c r="F322" i="1"/>
  <c r="H322" i="1" s="1"/>
  <c r="AD333" i="2" s="1"/>
  <c r="AF332" i="2"/>
  <c r="H321" i="1"/>
  <c r="G321" i="1"/>
  <c r="I321" i="1" s="1"/>
  <c r="F321" i="1"/>
  <c r="AF331" i="2"/>
  <c r="G320" i="1"/>
  <c r="I320" i="1" s="1"/>
  <c r="F320" i="1"/>
  <c r="H320" i="1" s="1"/>
  <c r="AF330" i="2"/>
  <c r="G319" i="1"/>
  <c r="I319" i="1" s="1"/>
  <c r="F319" i="1"/>
  <c r="H319" i="1" s="1"/>
  <c r="AF329" i="2"/>
  <c r="G318" i="1"/>
  <c r="I318" i="1" s="1"/>
  <c r="F318" i="1"/>
  <c r="H318" i="1" s="1"/>
  <c r="AD329" i="2" s="1"/>
  <c r="AF328" i="2"/>
  <c r="G317" i="1"/>
  <c r="I317" i="1" s="1"/>
  <c r="F317" i="1"/>
  <c r="H317" i="1" s="1"/>
  <c r="AD328" i="2" s="1"/>
  <c r="AF327" i="2"/>
  <c r="G316" i="1"/>
  <c r="I316" i="1" s="1"/>
  <c r="F316" i="1"/>
  <c r="H316" i="1" s="1"/>
  <c r="AF326" i="2"/>
  <c r="I315" i="1"/>
  <c r="G315" i="1"/>
  <c r="F315" i="1"/>
  <c r="H315" i="1" s="1"/>
  <c r="AD326" i="2" s="1"/>
  <c r="AF325" i="2"/>
  <c r="G314" i="1"/>
  <c r="I314" i="1" s="1"/>
  <c r="F314" i="1"/>
  <c r="H314" i="1" s="1"/>
  <c r="AD325" i="2" s="1"/>
  <c r="AF324" i="2"/>
  <c r="G313" i="1"/>
  <c r="I313" i="1" s="1"/>
  <c r="F313" i="1"/>
  <c r="H313" i="1" s="1"/>
  <c r="AF323" i="2"/>
  <c r="G312" i="1"/>
  <c r="I312" i="1" s="1"/>
  <c r="F312" i="1"/>
  <c r="H312" i="1" s="1"/>
  <c r="AD323" i="2" s="1"/>
  <c r="AF322" i="2"/>
  <c r="G311" i="1"/>
  <c r="I311" i="1" s="1"/>
  <c r="F311" i="1"/>
  <c r="H311" i="1" s="1"/>
  <c r="AF321" i="2"/>
  <c r="I310" i="1"/>
  <c r="G310" i="1"/>
  <c r="F310" i="1"/>
  <c r="H310" i="1" s="1"/>
  <c r="AD321" i="2" s="1"/>
  <c r="AF320" i="2"/>
  <c r="G309" i="1"/>
  <c r="I309" i="1" s="1"/>
  <c r="F309" i="1"/>
  <c r="H309" i="1" s="1"/>
  <c r="AD320" i="2" s="1"/>
  <c r="AF319" i="2"/>
  <c r="G308" i="1"/>
  <c r="I308" i="1" s="1"/>
  <c r="F308" i="1"/>
  <c r="H308" i="1" s="1"/>
  <c r="AD319" i="2" s="1"/>
  <c r="AF318" i="2"/>
  <c r="G307" i="1"/>
  <c r="I307" i="1" s="1"/>
  <c r="F307" i="1"/>
  <c r="H307" i="1" s="1"/>
  <c r="AD318" i="2" s="1"/>
  <c r="AF317" i="2"/>
  <c r="H306" i="1"/>
  <c r="AD317" i="2" s="1"/>
  <c r="G306" i="1"/>
  <c r="I306" i="1" s="1"/>
  <c r="F306" i="1"/>
  <c r="AF316" i="2"/>
  <c r="G305" i="1"/>
  <c r="I305" i="1" s="1"/>
  <c r="F305" i="1"/>
  <c r="H305" i="1" s="1"/>
  <c r="AF315" i="2"/>
  <c r="G304" i="1"/>
  <c r="I304" i="1" s="1"/>
  <c r="F304" i="1"/>
  <c r="H304" i="1" s="1"/>
  <c r="AF314" i="2"/>
  <c r="G303" i="1"/>
  <c r="I303" i="1" s="1"/>
  <c r="F303" i="1"/>
  <c r="H303" i="1" s="1"/>
  <c r="AD314" i="2" s="1"/>
  <c r="AF313" i="2"/>
  <c r="G302" i="1"/>
  <c r="I302" i="1" s="1"/>
  <c r="F302" i="1"/>
  <c r="H302" i="1" s="1"/>
  <c r="AD313" i="2" s="1"/>
  <c r="AF312" i="2"/>
  <c r="G301" i="1"/>
  <c r="I301" i="1" s="1"/>
  <c r="F301" i="1"/>
  <c r="H301" i="1" s="1"/>
  <c r="AD312" i="2" s="1"/>
  <c r="AF311" i="2"/>
  <c r="G300" i="1"/>
  <c r="I300" i="1" s="1"/>
  <c r="F300" i="1"/>
  <c r="H300" i="1" s="1"/>
  <c r="AD311" i="2" s="1"/>
  <c r="AF310" i="2"/>
  <c r="G299" i="1"/>
  <c r="I299" i="1" s="1"/>
  <c r="F299" i="1"/>
  <c r="H299" i="1" s="1"/>
  <c r="AD310" i="2" s="1"/>
  <c r="AF309" i="2"/>
  <c r="I298" i="1"/>
  <c r="H298" i="1"/>
  <c r="AD309" i="2" s="1"/>
  <c r="G298" i="1"/>
  <c r="F298" i="1"/>
  <c r="AF308" i="2"/>
  <c r="G297" i="1"/>
  <c r="I297" i="1" s="1"/>
  <c r="F297" i="1"/>
  <c r="H297" i="1" s="1"/>
  <c r="AF307" i="2"/>
  <c r="G296" i="1"/>
  <c r="I296" i="1" s="1"/>
  <c r="F296" i="1"/>
  <c r="H296" i="1" s="1"/>
  <c r="AD307" i="2" s="1"/>
  <c r="AF306" i="2"/>
  <c r="G295" i="1"/>
  <c r="I295" i="1" s="1"/>
  <c r="F295" i="1"/>
  <c r="H295" i="1" s="1"/>
  <c r="AD306" i="2" s="1"/>
  <c r="AF305" i="2"/>
  <c r="H294" i="1"/>
  <c r="AD305" i="2" s="1"/>
  <c r="G294" i="1"/>
  <c r="I294" i="1" s="1"/>
  <c r="F294" i="1"/>
  <c r="AF304" i="2"/>
  <c r="G293" i="1"/>
  <c r="I293" i="1" s="1"/>
  <c r="F293" i="1"/>
  <c r="H293" i="1" s="1"/>
  <c r="AD304" i="2" s="1"/>
  <c r="AF303" i="2"/>
  <c r="G292" i="1"/>
  <c r="I292" i="1" s="1"/>
  <c r="F292" i="1"/>
  <c r="H292" i="1" s="1"/>
  <c r="AF302" i="2"/>
  <c r="G291" i="1"/>
  <c r="I291" i="1" s="1"/>
  <c r="F291" i="1"/>
  <c r="H291" i="1" s="1"/>
  <c r="AD302" i="2" s="1"/>
  <c r="AF301" i="2"/>
  <c r="I290" i="1"/>
  <c r="G290" i="1"/>
  <c r="F290" i="1"/>
  <c r="H290" i="1" s="1"/>
  <c r="AD301" i="2" s="1"/>
  <c r="AF300" i="2"/>
  <c r="G289" i="1"/>
  <c r="I289" i="1" s="1"/>
  <c r="F289" i="1"/>
  <c r="H289" i="1" s="1"/>
  <c r="AF299" i="2"/>
  <c r="G288" i="1"/>
  <c r="I288" i="1" s="1"/>
  <c r="F288" i="1"/>
  <c r="H288" i="1" s="1"/>
  <c r="AF298" i="2"/>
  <c r="G287" i="1"/>
  <c r="I287" i="1" s="1"/>
  <c r="F287" i="1"/>
  <c r="H287" i="1" s="1"/>
  <c r="AK287" i="1" s="1"/>
  <c r="AF297" i="2"/>
  <c r="H286" i="1"/>
  <c r="AD297" i="2" s="1"/>
  <c r="G286" i="1"/>
  <c r="I286" i="1" s="1"/>
  <c r="F286" i="1"/>
  <c r="AF296" i="2"/>
  <c r="G285" i="1"/>
  <c r="I285" i="1" s="1"/>
  <c r="F285" i="1"/>
  <c r="H285" i="1" s="1"/>
  <c r="AD296" i="2" s="1"/>
  <c r="AF295" i="2"/>
  <c r="G284" i="1"/>
  <c r="I284" i="1" s="1"/>
  <c r="F284" i="1"/>
  <c r="H284" i="1" s="1"/>
  <c r="AF294" i="2"/>
  <c r="G283" i="1"/>
  <c r="I283" i="1" s="1"/>
  <c r="F283" i="1"/>
  <c r="H283" i="1" s="1"/>
  <c r="AD294" i="2" s="1"/>
  <c r="AF293" i="2"/>
  <c r="G282" i="1"/>
  <c r="I282" i="1" s="1"/>
  <c r="F282" i="1"/>
  <c r="H282" i="1" s="1"/>
  <c r="AD293" i="2" s="1"/>
  <c r="AF292" i="2"/>
  <c r="H281" i="1"/>
  <c r="G281" i="1"/>
  <c r="I281" i="1" s="1"/>
  <c r="F281" i="1"/>
  <c r="AF291" i="2"/>
  <c r="G280" i="1"/>
  <c r="I280" i="1" s="1"/>
  <c r="F280" i="1"/>
  <c r="H280" i="1" s="1"/>
  <c r="AD291" i="2" s="1"/>
  <c r="AF290" i="2"/>
  <c r="G279" i="1"/>
  <c r="I279" i="1" s="1"/>
  <c r="F279" i="1"/>
  <c r="H279" i="1" s="1"/>
  <c r="AD290" i="2" s="1"/>
  <c r="AF289" i="2"/>
  <c r="G278" i="1"/>
  <c r="I278" i="1" s="1"/>
  <c r="F278" i="1"/>
  <c r="H278" i="1" s="1"/>
  <c r="AD289" i="2" s="1"/>
  <c r="AF288" i="2"/>
  <c r="G277" i="1"/>
  <c r="I277" i="1" s="1"/>
  <c r="F277" i="1"/>
  <c r="H277" i="1" s="1"/>
  <c r="AD288" i="2" s="1"/>
  <c r="AF287" i="2"/>
  <c r="G276" i="1"/>
  <c r="I276" i="1" s="1"/>
  <c r="F276" i="1"/>
  <c r="H276" i="1" s="1"/>
  <c r="AD287" i="2" s="1"/>
  <c r="AF286" i="2"/>
  <c r="G275" i="1"/>
  <c r="I275" i="1" s="1"/>
  <c r="F275" i="1"/>
  <c r="H275" i="1" s="1"/>
  <c r="AD286" i="2" s="1"/>
  <c r="AF285" i="2"/>
  <c r="H274" i="1"/>
  <c r="AD285" i="2" s="1"/>
  <c r="G274" i="1"/>
  <c r="I274" i="1" s="1"/>
  <c r="F274" i="1"/>
  <c r="AF284" i="2"/>
  <c r="G273" i="1"/>
  <c r="I273" i="1" s="1"/>
  <c r="F273" i="1"/>
  <c r="H273" i="1" s="1"/>
  <c r="AF283" i="2"/>
  <c r="G272" i="1"/>
  <c r="I272" i="1" s="1"/>
  <c r="F272" i="1"/>
  <c r="H272" i="1" s="1"/>
  <c r="AD283" i="2" s="1"/>
  <c r="AF282" i="2"/>
  <c r="I271" i="1"/>
  <c r="G271" i="1"/>
  <c r="F271" i="1"/>
  <c r="H271" i="1" s="1"/>
  <c r="AD282" i="2" s="1"/>
  <c r="AF281" i="2"/>
  <c r="H270" i="1"/>
  <c r="AD281" i="2" s="1"/>
  <c r="G270" i="1"/>
  <c r="I270" i="1" s="1"/>
  <c r="F270" i="1"/>
  <c r="AF280" i="2"/>
  <c r="G269" i="1"/>
  <c r="I269" i="1" s="1"/>
  <c r="F269" i="1"/>
  <c r="H269" i="1" s="1"/>
  <c r="AD280" i="2" s="1"/>
  <c r="AF279" i="2"/>
  <c r="G268" i="1"/>
  <c r="I268" i="1" s="1"/>
  <c r="F268" i="1"/>
  <c r="H268" i="1" s="1"/>
  <c r="AD279" i="2" s="1"/>
  <c r="AF278" i="2"/>
  <c r="G267" i="1"/>
  <c r="I267" i="1" s="1"/>
  <c r="F267" i="1"/>
  <c r="H267" i="1" s="1"/>
  <c r="AD278" i="2" s="1"/>
  <c r="AF277" i="2"/>
  <c r="G266" i="1"/>
  <c r="I266" i="1" s="1"/>
  <c r="F266" i="1"/>
  <c r="H266" i="1" s="1"/>
  <c r="AD277" i="2" s="1"/>
  <c r="AF276" i="2"/>
  <c r="G265" i="1"/>
  <c r="I265" i="1" s="1"/>
  <c r="F265" i="1"/>
  <c r="H265" i="1" s="1"/>
  <c r="AF275" i="2"/>
  <c r="G264" i="1"/>
  <c r="I264" i="1" s="1"/>
  <c r="F264" i="1"/>
  <c r="H264" i="1" s="1"/>
  <c r="AF274" i="2"/>
  <c r="I263" i="1"/>
  <c r="G263" i="1"/>
  <c r="F263" i="1"/>
  <c r="H263" i="1" s="1"/>
  <c r="AD274" i="2" s="1"/>
  <c r="AF273" i="2"/>
  <c r="I262" i="1"/>
  <c r="G262" i="1"/>
  <c r="F262" i="1"/>
  <c r="H262" i="1" s="1"/>
  <c r="AD273" i="2" s="1"/>
  <c r="AF272" i="2"/>
  <c r="G261" i="1"/>
  <c r="I261" i="1" s="1"/>
  <c r="F261" i="1"/>
  <c r="H261" i="1" s="1"/>
  <c r="AF271" i="2"/>
  <c r="G260" i="1"/>
  <c r="I260" i="1" s="1"/>
  <c r="F260" i="1"/>
  <c r="H260" i="1" s="1"/>
  <c r="AD271" i="2" s="1"/>
  <c r="AF270" i="2"/>
  <c r="G259" i="1"/>
  <c r="I259" i="1" s="1"/>
  <c r="F259" i="1"/>
  <c r="H259" i="1" s="1"/>
  <c r="AD270" i="2" s="1"/>
  <c r="AF269" i="2"/>
  <c r="I258" i="1"/>
  <c r="G258" i="1"/>
  <c r="F258" i="1"/>
  <c r="H258" i="1" s="1"/>
  <c r="AD269" i="2" s="1"/>
  <c r="AF268" i="2"/>
  <c r="G257" i="1"/>
  <c r="I257" i="1" s="1"/>
  <c r="F257" i="1"/>
  <c r="H257" i="1" s="1"/>
  <c r="AF267" i="2"/>
  <c r="G256" i="1"/>
  <c r="I256" i="1" s="1"/>
  <c r="F256" i="1"/>
  <c r="H256" i="1" s="1"/>
  <c r="AF266" i="2"/>
  <c r="G255" i="1"/>
  <c r="I255" i="1" s="1"/>
  <c r="F255" i="1"/>
  <c r="H255" i="1" s="1"/>
  <c r="AF265" i="2"/>
  <c r="G254" i="1"/>
  <c r="I254" i="1" s="1"/>
  <c r="F254" i="1"/>
  <c r="H254" i="1" s="1"/>
  <c r="AD265" i="2" s="1"/>
  <c r="AF264" i="2"/>
  <c r="G253" i="1"/>
  <c r="I253" i="1" s="1"/>
  <c r="F253" i="1"/>
  <c r="H253" i="1" s="1"/>
  <c r="AD264" i="2" s="1"/>
  <c r="AF263" i="2"/>
  <c r="G252" i="1"/>
  <c r="I252" i="1" s="1"/>
  <c r="F252" i="1"/>
  <c r="H252" i="1" s="1"/>
  <c r="AF262" i="2"/>
  <c r="G251" i="1"/>
  <c r="I251" i="1" s="1"/>
  <c r="F251" i="1"/>
  <c r="H251" i="1" s="1"/>
  <c r="AD262" i="2" s="1"/>
  <c r="AF261" i="2"/>
  <c r="I250" i="1"/>
  <c r="G250" i="1"/>
  <c r="F250" i="1"/>
  <c r="H250" i="1" s="1"/>
  <c r="AD261" i="2" s="1"/>
  <c r="AF260" i="2"/>
  <c r="H249" i="1"/>
  <c r="G249" i="1"/>
  <c r="I249" i="1" s="1"/>
  <c r="F249" i="1"/>
  <c r="AF259" i="2"/>
  <c r="G248" i="1"/>
  <c r="I248" i="1" s="1"/>
  <c r="F248" i="1"/>
  <c r="H248" i="1" s="1"/>
  <c r="AD259" i="2" s="1"/>
  <c r="AF258" i="2"/>
  <c r="G247" i="1"/>
  <c r="I247" i="1" s="1"/>
  <c r="F247" i="1"/>
  <c r="H247" i="1" s="1"/>
  <c r="AD258" i="2" s="1"/>
  <c r="AF257" i="2"/>
  <c r="G246" i="1"/>
  <c r="I246" i="1" s="1"/>
  <c r="F246" i="1"/>
  <c r="H246" i="1" s="1"/>
  <c r="AD257" i="2" s="1"/>
  <c r="AF256" i="2"/>
  <c r="G245" i="1"/>
  <c r="I245" i="1" s="1"/>
  <c r="F245" i="1"/>
  <c r="H245" i="1" s="1"/>
  <c r="AD256" i="2" s="1"/>
  <c r="AF255" i="2"/>
  <c r="G244" i="1"/>
  <c r="I244" i="1" s="1"/>
  <c r="F244" i="1"/>
  <c r="H244" i="1" s="1"/>
  <c r="AD255" i="2" s="1"/>
  <c r="AF254" i="2"/>
  <c r="G243" i="1"/>
  <c r="I243" i="1" s="1"/>
  <c r="F243" i="1"/>
  <c r="H243" i="1" s="1"/>
  <c r="AF253" i="2"/>
  <c r="G242" i="1"/>
  <c r="I242" i="1" s="1"/>
  <c r="F242" i="1"/>
  <c r="H242" i="1" s="1"/>
  <c r="AD253" i="2" s="1"/>
  <c r="AF252" i="2"/>
  <c r="H241" i="1"/>
  <c r="G241" i="1"/>
  <c r="I241" i="1" s="1"/>
  <c r="F241" i="1"/>
  <c r="AF251" i="2"/>
  <c r="G240" i="1"/>
  <c r="I240" i="1" s="1"/>
  <c r="F240" i="1"/>
  <c r="H240" i="1" s="1"/>
  <c r="AF250" i="2"/>
  <c r="G239" i="1"/>
  <c r="I239" i="1" s="1"/>
  <c r="F239" i="1"/>
  <c r="H239" i="1" s="1"/>
  <c r="AD250" i="2" s="1"/>
  <c r="AF249" i="2"/>
  <c r="G238" i="1"/>
  <c r="I238" i="1" s="1"/>
  <c r="F238" i="1"/>
  <c r="H238" i="1" s="1"/>
  <c r="AD249" i="2" s="1"/>
  <c r="AF248" i="2"/>
  <c r="G237" i="1"/>
  <c r="I237" i="1" s="1"/>
  <c r="F237" i="1"/>
  <c r="H237" i="1" s="1"/>
  <c r="AD248" i="2" s="1"/>
  <c r="AF247" i="2"/>
  <c r="G236" i="1"/>
  <c r="I236" i="1" s="1"/>
  <c r="F236" i="1"/>
  <c r="H236" i="1" s="1"/>
  <c r="AD247" i="2" s="1"/>
  <c r="AF246" i="2"/>
  <c r="G235" i="1"/>
  <c r="I235" i="1" s="1"/>
  <c r="F235" i="1"/>
  <c r="H235" i="1" s="1"/>
  <c r="AD246" i="2" s="1"/>
  <c r="AF245" i="2"/>
  <c r="I234" i="1"/>
  <c r="G234" i="1"/>
  <c r="F234" i="1"/>
  <c r="H234" i="1" s="1"/>
  <c r="AD245" i="2" s="1"/>
  <c r="AF244" i="2"/>
  <c r="H233" i="1"/>
  <c r="G233" i="1"/>
  <c r="I233" i="1" s="1"/>
  <c r="F233" i="1"/>
  <c r="AF243" i="2"/>
  <c r="G232" i="1"/>
  <c r="I232" i="1" s="1"/>
  <c r="F232" i="1"/>
  <c r="H232" i="1" s="1"/>
  <c r="AD243" i="2" s="1"/>
  <c r="AF242" i="2"/>
  <c r="G231" i="1"/>
  <c r="I231" i="1" s="1"/>
  <c r="F231" i="1"/>
  <c r="H231" i="1" s="1"/>
  <c r="AD242" i="2" s="1"/>
  <c r="AF241" i="2"/>
  <c r="G230" i="1"/>
  <c r="I230" i="1" s="1"/>
  <c r="F230" i="1"/>
  <c r="H230" i="1" s="1"/>
  <c r="AD241" i="2" s="1"/>
  <c r="AF240" i="2"/>
  <c r="G229" i="1"/>
  <c r="I229" i="1" s="1"/>
  <c r="F229" i="1"/>
  <c r="H229" i="1" s="1"/>
  <c r="AD240" i="2" s="1"/>
  <c r="AF239" i="2"/>
  <c r="G228" i="1"/>
  <c r="I228" i="1" s="1"/>
  <c r="F228" i="1"/>
  <c r="H228" i="1" s="1"/>
  <c r="AF238" i="2"/>
  <c r="G227" i="1"/>
  <c r="I227" i="1" s="1"/>
  <c r="F227" i="1"/>
  <c r="H227" i="1" s="1"/>
  <c r="AD238" i="2" s="1"/>
  <c r="AF237" i="2"/>
  <c r="I226" i="1"/>
  <c r="G226" i="1"/>
  <c r="F226" i="1"/>
  <c r="H226" i="1" s="1"/>
  <c r="AD237" i="2" s="1"/>
  <c r="AF236" i="2"/>
  <c r="G225" i="1"/>
  <c r="I225" i="1" s="1"/>
  <c r="F225" i="1"/>
  <c r="H225" i="1" s="1"/>
  <c r="AF235" i="2"/>
  <c r="G224" i="1"/>
  <c r="I224" i="1" s="1"/>
  <c r="F224" i="1"/>
  <c r="H224" i="1" s="1"/>
  <c r="AF234" i="2"/>
  <c r="G223" i="1"/>
  <c r="I223" i="1" s="1"/>
  <c r="F223" i="1"/>
  <c r="H223" i="1" s="1"/>
  <c r="AF233" i="2"/>
  <c r="G222" i="1"/>
  <c r="I222" i="1" s="1"/>
  <c r="F222" i="1"/>
  <c r="H222" i="1" s="1"/>
  <c r="AD233" i="2" s="1"/>
  <c r="AF232" i="2"/>
  <c r="G221" i="1"/>
  <c r="I221" i="1" s="1"/>
  <c r="F221" i="1"/>
  <c r="H221" i="1" s="1"/>
  <c r="AF231" i="2"/>
  <c r="G220" i="1"/>
  <c r="I220" i="1" s="1"/>
  <c r="F220" i="1"/>
  <c r="H220" i="1" s="1"/>
  <c r="AF230" i="2"/>
  <c r="G219" i="1"/>
  <c r="I219" i="1" s="1"/>
  <c r="F219" i="1"/>
  <c r="H219" i="1" s="1"/>
  <c r="AF229" i="2"/>
  <c r="I218" i="1"/>
  <c r="G218" i="1"/>
  <c r="F218" i="1"/>
  <c r="H218" i="1" s="1"/>
  <c r="AD229" i="2" s="1"/>
  <c r="AF228" i="2"/>
  <c r="H217" i="1"/>
  <c r="AD228" i="2" s="1"/>
  <c r="G217" i="1"/>
  <c r="I217" i="1" s="1"/>
  <c r="F217" i="1"/>
  <c r="AF227" i="2"/>
  <c r="G216" i="1"/>
  <c r="I216" i="1" s="1"/>
  <c r="F216" i="1"/>
  <c r="H216" i="1" s="1"/>
  <c r="AD227" i="2" s="1"/>
  <c r="AF226" i="2"/>
  <c r="G215" i="1"/>
  <c r="I215" i="1" s="1"/>
  <c r="F215" i="1"/>
  <c r="H215" i="1" s="1"/>
  <c r="AD226" i="2" s="1"/>
  <c r="AF225" i="2"/>
  <c r="G214" i="1"/>
  <c r="I214" i="1" s="1"/>
  <c r="F214" i="1"/>
  <c r="H214" i="1" s="1"/>
  <c r="AD225" i="2" s="1"/>
  <c r="AF224" i="2"/>
  <c r="G213" i="1"/>
  <c r="I213" i="1" s="1"/>
  <c r="F213" i="1"/>
  <c r="H213" i="1" s="1"/>
  <c r="AD224" i="2" s="1"/>
  <c r="AF223" i="2"/>
  <c r="G212" i="1"/>
  <c r="I212" i="1" s="1"/>
  <c r="F212" i="1"/>
  <c r="H212" i="1" s="1"/>
  <c r="AF222" i="2"/>
  <c r="G211" i="1"/>
  <c r="I211" i="1" s="1"/>
  <c r="F211" i="1"/>
  <c r="H211" i="1" s="1"/>
  <c r="AF221" i="2"/>
  <c r="G210" i="1"/>
  <c r="I210" i="1" s="1"/>
  <c r="F210" i="1"/>
  <c r="H210" i="1" s="1"/>
  <c r="AD221" i="2" s="1"/>
  <c r="AF220" i="2"/>
  <c r="H209" i="1"/>
  <c r="AD220" i="2" s="1"/>
  <c r="G209" i="1"/>
  <c r="I209" i="1" s="1"/>
  <c r="F209" i="1"/>
  <c r="AF219" i="2"/>
  <c r="G208" i="1"/>
  <c r="I208" i="1" s="1"/>
  <c r="F208" i="1"/>
  <c r="H208" i="1" s="1"/>
  <c r="AD219" i="2" s="1"/>
  <c r="AF218" i="2"/>
  <c r="G207" i="1"/>
  <c r="I207" i="1" s="1"/>
  <c r="F207" i="1"/>
  <c r="H207" i="1" s="1"/>
  <c r="AF217" i="2"/>
  <c r="G206" i="1"/>
  <c r="I206" i="1" s="1"/>
  <c r="F206" i="1"/>
  <c r="H206" i="1" s="1"/>
  <c r="AD217" i="2" s="1"/>
  <c r="AF216" i="2"/>
  <c r="G205" i="1"/>
  <c r="I205" i="1" s="1"/>
  <c r="F205" i="1"/>
  <c r="H205" i="1" s="1"/>
  <c r="AD216" i="2" s="1"/>
  <c r="AF215" i="2"/>
  <c r="G204" i="1"/>
  <c r="I204" i="1" s="1"/>
  <c r="F204" i="1"/>
  <c r="H204" i="1" s="1"/>
  <c r="AF214" i="2"/>
  <c r="G203" i="1"/>
  <c r="I203" i="1" s="1"/>
  <c r="F203" i="1"/>
  <c r="H203" i="1" s="1"/>
  <c r="AF213" i="2"/>
  <c r="H202" i="1"/>
  <c r="G202" i="1"/>
  <c r="I202" i="1" s="1"/>
  <c r="F202" i="1"/>
  <c r="AF212" i="2"/>
  <c r="G201" i="1"/>
  <c r="I201" i="1" s="1"/>
  <c r="F201" i="1"/>
  <c r="H201" i="1" s="1"/>
  <c r="AF211" i="2"/>
  <c r="G200" i="1"/>
  <c r="I200" i="1" s="1"/>
  <c r="F200" i="1"/>
  <c r="H200" i="1" s="1"/>
  <c r="AD211" i="2" s="1"/>
  <c r="AF210" i="2"/>
  <c r="G199" i="1"/>
  <c r="I199" i="1" s="1"/>
  <c r="F199" i="1"/>
  <c r="H199" i="1" s="1"/>
  <c r="AF209" i="2"/>
  <c r="G198" i="1"/>
  <c r="I198" i="1" s="1"/>
  <c r="F198" i="1"/>
  <c r="H198" i="1" s="1"/>
  <c r="AD209" i="2" s="1"/>
  <c r="AF208" i="2"/>
  <c r="G197" i="1"/>
  <c r="I197" i="1" s="1"/>
  <c r="F197" i="1"/>
  <c r="H197" i="1" s="1"/>
  <c r="AD208" i="2" s="1"/>
  <c r="AF207" i="2"/>
  <c r="H196" i="1"/>
  <c r="G196" i="1"/>
  <c r="I196" i="1" s="1"/>
  <c r="F196" i="1"/>
  <c r="AF206" i="2"/>
  <c r="G195" i="1"/>
  <c r="I195" i="1" s="1"/>
  <c r="F195" i="1"/>
  <c r="H195" i="1" s="1"/>
  <c r="AD206" i="2" s="1"/>
  <c r="AF205" i="2"/>
  <c r="G194" i="1"/>
  <c r="I194" i="1" s="1"/>
  <c r="F194" i="1"/>
  <c r="H194" i="1" s="1"/>
  <c r="AD205" i="2" s="1"/>
  <c r="AF204" i="2"/>
  <c r="G193" i="1"/>
  <c r="I193" i="1" s="1"/>
  <c r="F193" i="1"/>
  <c r="H193" i="1" s="1"/>
  <c r="AD204" i="2" s="1"/>
  <c r="AF203" i="2"/>
  <c r="G192" i="1"/>
  <c r="I192" i="1" s="1"/>
  <c r="F192" i="1"/>
  <c r="H192" i="1" s="1"/>
  <c r="AD203" i="2" s="1"/>
  <c r="AF202" i="2"/>
  <c r="G191" i="1"/>
  <c r="I191" i="1" s="1"/>
  <c r="F191" i="1"/>
  <c r="H191" i="1" s="1"/>
  <c r="AD202" i="2" s="1"/>
  <c r="AF201" i="2"/>
  <c r="G190" i="1"/>
  <c r="I190" i="1" s="1"/>
  <c r="F190" i="1"/>
  <c r="H190" i="1" s="1"/>
  <c r="AF200" i="2"/>
  <c r="G189" i="1"/>
  <c r="I189" i="1" s="1"/>
  <c r="F189" i="1"/>
  <c r="H189" i="1" s="1"/>
  <c r="AD200" i="2" s="1"/>
  <c r="AF199" i="2"/>
  <c r="G188" i="1"/>
  <c r="I188" i="1" s="1"/>
  <c r="F188" i="1"/>
  <c r="H188" i="1" s="1"/>
  <c r="AD199" i="2" s="1"/>
  <c r="AF198" i="2"/>
  <c r="G187" i="1"/>
  <c r="I187" i="1" s="1"/>
  <c r="F187" i="1"/>
  <c r="H187" i="1" s="1"/>
  <c r="AD198" i="2" s="1"/>
  <c r="AF197" i="2"/>
  <c r="G186" i="1"/>
  <c r="I186" i="1" s="1"/>
  <c r="F186" i="1"/>
  <c r="H186" i="1" s="1"/>
  <c r="AF196" i="2"/>
  <c r="G185" i="1"/>
  <c r="I185" i="1" s="1"/>
  <c r="F185" i="1"/>
  <c r="H185" i="1" s="1"/>
  <c r="AD196" i="2" s="1"/>
  <c r="AF195" i="2"/>
  <c r="G184" i="1"/>
  <c r="I184" i="1" s="1"/>
  <c r="F184" i="1"/>
  <c r="H184" i="1" s="1"/>
  <c r="AD195" i="2" s="1"/>
  <c r="AF194" i="2"/>
  <c r="G183" i="1"/>
  <c r="I183" i="1" s="1"/>
  <c r="F183" i="1"/>
  <c r="H183" i="1" s="1"/>
  <c r="AD194" i="2" s="1"/>
  <c r="AF193" i="2"/>
  <c r="G182" i="1"/>
  <c r="I182" i="1" s="1"/>
  <c r="F182" i="1"/>
  <c r="H182" i="1" s="1"/>
  <c r="AF192" i="2"/>
  <c r="G181" i="1"/>
  <c r="I181" i="1" s="1"/>
  <c r="F181" i="1"/>
  <c r="H181" i="1" s="1"/>
  <c r="AD192" i="2" s="1"/>
  <c r="AF191" i="2"/>
  <c r="G180" i="1"/>
  <c r="I180" i="1" s="1"/>
  <c r="F180" i="1"/>
  <c r="H180" i="1" s="1"/>
  <c r="AD191" i="2" s="1"/>
  <c r="AF190" i="2"/>
  <c r="G179" i="1"/>
  <c r="I179" i="1" s="1"/>
  <c r="F179" i="1"/>
  <c r="H179" i="1" s="1"/>
  <c r="AD190" i="2" s="1"/>
  <c r="AF189" i="2"/>
  <c r="G178" i="1"/>
  <c r="I178" i="1" s="1"/>
  <c r="F178" i="1"/>
  <c r="H178" i="1" s="1"/>
  <c r="AD189" i="2" s="1"/>
  <c r="AF188" i="2"/>
  <c r="H177" i="1"/>
  <c r="AD188" i="2" s="1"/>
  <c r="G177" i="1"/>
  <c r="I177" i="1" s="1"/>
  <c r="F177" i="1"/>
  <c r="AF187" i="2"/>
  <c r="G176" i="1"/>
  <c r="I176" i="1" s="1"/>
  <c r="F176" i="1"/>
  <c r="H176" i="1" s="1"/>
  <c r="AD187" i="2" s="1"/>
  <c r="AF186" i="2"/>
  <c r="G175" i="1"/>
  <c r="I175" i="1" s="1"/>
  <c r="F175" i="1"/>
  <c r="H175" i="1" s="1"/>
  <c r="AD186" i="2" s="1"/>
  <c r="AF185" i="2"/>
  <c r="G174" i="1"/>
  <c r="I174" i="1" s="1"/>
  <c r="F174" i="1"/>
  <c r="H174" i="1" s="1"/>
  <c r="AD185" i="2" s="1"/>
  <c r="AF184" i="2"/>
  <c r="G173" i="1"/>
  <c r="I173" i="1" s="1"/>
  <c r="F173" i="1"/>
  <c r="H173" i="1" s="1"/>
  <c r="AD184" i="2" s="1"/>
  <c r="AF183" i="2"/>
  <c r="G172" i="1"/>
  <c r="I172" i="1" s="1"/>
  <c r="F172" i="1"/>
  <c r="H172" i="1" s="1"/>
  <c r="AD183" i="2" s="1"/>
  <c r="AF182" i="2"/>
  <c r="G171" i="1"/>
  <c r="I171" i="1" s="1"/>
  <c r="F171" i="1"/>
  <c r="H171" i="1" s="1"/>
  <c r="AD182" i="2" s="1"/>
  <c r="AF181" i="2"/>
  <c r="G170" i="1"/>
  <c r="I170" i="1" s="1"/>
  <c r="F170" i="1"/>
  <c r="H170" i="1" s="1"/>
  <c r="AD181" i="2" s="1"/>
  <c r="AF180" i="2"/>
  <c r="G169" i="1"/>
  <c r="I169" i="1" s="1"/>
  <c r="F169" i="1"/>
  <c r="H169" i="1" s="1"/>
  <c r="AD180" i="2" s="1"/>
  <c r="AF179" i="2"/>
  <c r="G168" i="1"/>
  <c r="I168" i="1" s="1"/>
  <c r="F168" i="1"/>
  <c r="H168" i="1" s="1"/>
  <c r="AD179" i="2" s="1"/>
  <c r="AF178" i="2"/>
  <c r="G167" i="1"/>
  <c r="I167" i="1" s="1"/>
  <c r="F167" i="1"/>
  <c r="H167" i="1" s="1"/>
  <c r="AD178" i="2" s="1"/>
  <c r="AF177" i="2"/>
  <c r="G166" i="1"/>
  <c r="I166" i="1" s="1"/>
  <c r="F166" i="1"/>
  <c r="H166" i="1" s="1"/>
  <c r="AF176" i="2"/>
  <c r="G165" i="1"/>
  <c r="I165" i="1" s="1"/>
  <c r="F165" i="1"/>
  <c r="H165" i="1" s="1"/>
  <c r="AD176" i="2" s="1"/>
  <c r="AF175" i="2"/>
  <c r="G164" i="1"/>
  <c r="I164" i="1" s="1"/>
  <c r="F164" i="1"/>
  <c r="H164" i="1" s="1"/>
  <c r="AD175" i="2" s="1"/>
  <c r="AF174" i="2"/>
  <c r="G163" i="1"/>
  <c r="I163" i="1" s="1"/>
  <c r="F163" i="1"/>
  <c r="H163" i="1" s="1"/>
  <c r="AD174" i="2" s="1"/>
  <c r="AF173" i="2"/>
  <c r="I162" i="1"/>
  <c r="G162" i="1"/>
  <c r="F162" i="1"/>
  <c r="H162" i="1" s="1"/>
  <c r="AD173" i="2" s="1"/>
  <c r="AF172" i="2"/>
  <c r="H161" i="1"/>
  <c r="AD172" i="2" s="1"/>
  <c r="G161" i="1"/>
  <c r="I161" i="1" s="1"/>
  <c r="F161" i="1"/>
  <c r="AF171" i="2"/>
  <c r="G160" i="1"/>
  <c r="I160" i="1" s="1"/>
  <c r="F160" i="1"/>
  <c r="H160" i="1" s="1"/>
  <c r="AD171" i="2" s="1"/>
  <c r="AF170" i="2"/>
  <c r="G159" i="1"/>
  <c r="I159" i="1" s="1"/>
  <c r="F159" i="1"/>
  <c r="H159" i="1" s="1"/>
  <c r="AD170" i="2" s="1"/>
  <c r="AF169" i="2"/>
  <c r="G158" i="1"/>
  <c r="I158" i="1" s="1"/>
  <c r="F158" i="1"/>
  <c r="H158" i="1" s="1"/>
  <c r="AD169" i="2" s="1"/>
  <c r="AF168" i="2"/>
  <c r="G157" i="1"/>
  <c r="I157" i="1" s="1"/>
  <c r="F157" i="1"/>
  <c r="H157" i="1" s="1"/>
  <c r="AD168" i="2" s="1"/>
  <c r="AF167" i="2"/>
  <c r="G156" i="1"/>
  <c r="I156" i="1" s="1"/>
  <c r="F156" i="1"/>
  <c r="H156" i="1" s="1"/>
  <c r="AD167" i="2" s="1"/>
  <c r="AF166" i="2"/>
  <c r="G155" i="1"/>
  <c r="I155" i="1" s="1"/>
  <c r="F155" i="1"/>
  <c r="H155" i="1" s="1"/>
  <c r="AD166" i="2" s="1"/>
  <c r="AF165" i="2"/>
  <c r="G154" i="1"/>
  <c r="I154" i="1" s="1"/>
  <c r="F154" i="1"/>
  <c r="H154" i="1" s="1"/>
  <c r="AD165" i="2" s="1"/>
  <c r="AF164" i="2"/>
  <c r="G153" i="1"/>
  <c r="I153" i="1" s="1"/>
  <c r="F153" i="1"/>
  <c r="H153" i="1" s="1"/>
  <c r="AD164" i="2" s="1"/>
  <c r="AF163" i="2"/>
  <c r="G152" i="1"/>
  <c r="I152" i="1" s="1"/>
  <c r="F152" i="1"/>
  <c r="H152" i="1" s="1"/>
  <c r="AD163" i="2" s="1"/>
  <c r="AF162" i="2"/>
  <c r="G151" i="1"/>
  <c r="I151" i="1" s="1"/>
  <c r="F151" i="1"/>
  <c r="H151" i="1" s="1"/>
  <c r="AD162" i="2" s="1"/>
  <c r="AF161" i="2"/>
  <c r="G150" i="1"/>
  <c r="I150" i="1" s="1"/>
  <c r="F150" i="1"/>
  <c r="H150" i="1" s="1"/>
  <c r="AD161" i="2" s="1"/>
  <c r="AF160" i="2"/>
  <c r="I149" i="1"/>
  <c r="G149" i="1"/>
  <c r="F149" i="1"/>
  <c r="H149" i="1" s="1"/>
  <c r="AD160" i="2" s="1"/>
  <c r="AF159" i="2"/>
  <c r="G148" i="1"/>
  <c r="I148" i="1" s="1"/>
  <c r="F148" i="1"/>
  <c r="H148" i="1" s="1"/>
  <c r="AD159" i="2" s="1"/>
  <c r="AF158" i="2"/>
  <c r="G147" i="1"/>
  <c r="I147" i="1" s="1"/>
  <c r="F147" i="1"/>
  <c r="H147" i="1" s="1"/>
  <c r="AD158" i="2" s="1"/>
  <c r="AF157" i="2"/>
  <c r="G146" i="1"/>
  <c r="I146" i="1" s="1"/>
  <c r="F146" i="1"/>
  <c r="H146" i="1" s="1"/>
  <c r="AF156" i="2"/>
  <c r="G145" i="1"/>
  <c r="I145" i="1" s="1"/>
  <c r="F145" i="1"/>
  <c r="H145" i="1" s="1"/>
  <c r="AD156" i="2" s="1"/>
  <c r="AF155" i="2"/>
  <c r="G144" i="1"/>
  <c r="I144" i="1" s="1"/>
  <c r="F144" i="1"/>
  <c r="H144" i="1" s="1"/>
  <c r="AD155" i="2" s="1"/>
  <c r="AF154" i="2"/>
  <c r="G143" i="1"/>
  <c r="I143" i="1" s="1"/>
  <c r="F143" i="1"/>
  <c r="H143" i="1" s="1"/>
  <c r="AD154" i="2" s="1"/>
  <c r="AF153" i="2"/>
  <c r="G142" i="1"/>
  <c r="I142" i="1" s="1"/>
  <c r="F142" i="1"/>
  <c r="H142" i="1" s="1"/>
  <c r="AD153" i="2" s="1"/>
  <c r="AF152" i="2"/>
  <c r="G141" i="1"/>
  <c r="I141" i="1" s="1"/>
  <c r="F141" i="1"/>
  <c r="H141" i="1" s="1"/>
  <c r="AF151" i="2"/>
  <c r="H140" i="1"/>
  <c r="AD151" i="2" s="1"/>
  <c r="G140" i="1"/>
  <c r="I140" i="1" s="1"/>
  <c r="F140" i="1"/>
  <c r="AF150" i="2"/>
  <c r="G139" i="1"/>
  <c r="I139" i="1" s="1"/>
  <c r="F139" i="1"/>
  <c r="H139" i="1" s="1"/>
  <c r="AD150" i="2" s="1"/>
  <c r="AF149" i="2"/>
  <c r="G138" i="1"/>
  <c r="I138" i="1" s="1"/>
  <c r="F138" i="1"/>
  <c r="H138" i="1" s="1"/>
  <c r="AF148" i="2"/>
  <c r="G137" i="1"/>
  <c r="I137" i="1" s="1"/>
  <c r="F137" i="1"/>
  <c r="H137" i="1" s="1"/>
  <c r="AD148" i="2" s="1"/>
  <c r="AF147" i="2"/>
  <c r="G136" i="1"/>
  <c r="I136" i="1" s="1"/>
  <c r="F136" i="1"/>
  <c r="H136" i="1" s="1"/>
  <c r="AD147" i="2" s="1"/>
  <c r="AF146" i="2"/>
  <c r="G135" i="1"/>
  <c r="I135" i="1" s="1"/>
  <c r="F135" i="1"/>
  <c r="H135" i="1" s="1"/>
  <c r="AD146" i="2" s="1"/>
  <c r="AF145" i="2"/>
  <c r="G134" i="1"/>
  <c r="I134" i="1" s="1"/>
  <c r="F134" i="1"/>
  <c r="H134" i="1" s="1"/>
  <c r="AF144" i="2"/>
  <c r="G133" i="1"/>
  <c r="I133" i="1" s="1"/>
  <c r="F133" i="1"/>
  <c r="H133" i="1" s="1"/>
  <c r="AF143" i="2"/>
  <c r="G132" i="1"/>
  <c r="I132" i="1" s="1"/>
  <c r="F132" i="1"/>
  <c r="H132" i="1" s="1"/>
  <c r="AF142" i="2"/>
  <c r="G131" i="1"/>
  <c r="I131" i="1" s="1"/>
  <c r="F131" i="1"/>
  <c r="H131" i="1" s="1"/>
  <c r="AD142" i="2" s="1"/>
  <c r="AF141" i="2"/>
  <c r="G130" i="1"/>
  <c r="I130" i="1" s="1"/>
  <c r="F130" i="1"/>
  <c r="H130" i="1" s="1"/>
  <c r="AD141" i="2" s="1"/>
  <c r="AF140" i="2"/>
  <c r="G129" i="1"/>
  <c r="I129" i="1" s="1"/>
  <c r="F129" i="1"/>
  <c r="H129" i="1" s="1"/>
  <c r="AD140" i="2" s="1"/>
  <c r="AF139" i="2"/>
  <c r="G128" i="1"/>
  <c r="I128" i="1" s="1"/>
  <c r="F128" i="1"/>
  <c r="H128" i="1" s="1"/>
  <c r="AF138" i="2"/>
  <c r="G127" i="1"/>
  <c r="I127" i="1" s="1"/>
  <c r="F127" i="1"/>
  <c r="H127" i="1" s="1"/>
  <c r="AD138" i="2" s="1"/>
  <c r="AF137" i="2"/>
  <c r="G126" i="1"/>
  <c r="I126" i="1" s="1"/>
  <c r="F126" i="1"/>
  <c r="H126" i="1" s="1"/>
  <c r="AF136" i="2"/>
  <c r="G125" i="1"/>
  <c r="I125" i="1" s="1"/>
  <c r="F125" i="1"/>
  <c r="H125" i="1" s="1"/>
  <c r="AD136" i="2" s="1"/>
  <c r="AF135" i="2"/>
  <c r="H124" i="1"/>
  <c r="AD135" i="2" s="1"/>
  <c r="G124" i="1"/>
  <c r="I124" i="1" s="1"/>
  <c r="F124" i="1"/>
  <c r="AF134" i="2"/>
  <c r="G123" i="1"/>
  <c r="I123" i="1" s="1"/>
  <c r="F123" i="1"/>
  <c r="H123" i="1" s="1"/>
  <c r="AD134" i="2" s="1"/>
  <c r="AF133" i="2"/>
  <c r="G122" i="1"/>
  <c r="I122" i="1" s="1"/>
  <c r="F122" i="1"/>
  <c r="H122" i="1" s="1"/>
  <c r="AD133" i="2" s="1"/>
  <c r="AF132" i="2"/>
  <c r="G121" i="1"/>
  <c r="I121" i="1" s="1"/>
  <c r="F121" i="1"/>
  <c r="H121" i="1" s="1"/>
  <c r="AD132" i="2" s="1"/>
  <c r="AF131" i="2"/>
  <c r="G120" i="1"/>
  <c r="I120" i="1" s="1"/>
  <c r="F120" i="1"/>
  <c r="H120" i="1" s="1"/>
  <c r="AD131" i="2" s="1"/>
  <c r="AF130" i="2"/>
  <c r="G119" i="1"/>
  <c r="I119" i="1" s="1"/>
  <c r="F119" i="1"/>
  <c r="H119" i="1" s="1"/>
  <c r="AD130" i="2" s="1"/>
  <c r="AF129" i="2"/>
  <c r="G118" i="1"/>
  <c r="I118" i="1" s="1"/>
  <c r="F118" i="1"/>
  <c r="H118" i="1" s="1"/>
  <c r="AF128" i="2"/>
  <c r="G117" i="1"/>
  <c r="I117" i="1" s="1"/>
  <c r="F117" i="1"/>
  <c r="H117" i="1" s="1"/>
  <c r="AD128" i="2" s="1"/>
  <c r="AF127" i="2"/>
  <c r="H116" i="1"/>
  <c r="G116" i="1"/>
  <c r="I116" i="1" s="1"/>
  <c r="F116" i="1"/>
  <c r="AF126" i="2"/>
  <c r="G115" i="1"/>
  <c r="I115" i="1" s="1"/>
  <c r="F115" i="1"/>
  <c r="H115" i="1" s="1"/>
  <c r="AD126" i="2" s="1"/>
  <c r="AF125" i="2"/>
  <c r="G114" i="1"/>
  <c r="I114" i="1" s="1"/>
  <c r="F114" i="1"/>
  <c r="H114" i="1" s="1"/>
  <c r="AD125" i="2" s="1"/>
  <c r="AF124" i="2"/>
  <c r="G113" i="1"/>
  <c r="I113" i="1" s="1"/>
  <c r="F113" i="1"/>
  <c r="H113" i="1" s="1"/>
  <c r="AD124" i="2" s="1"/>
  <c r="AF123" i="2"/>
  <c r="G112" i="1"/>
  <c r="I112" i="1" s="1"/>
  <c r="F112" i="1"/>
  <c r="H112" i="1" s="1"/>
  <c r="AF122" i="2"/>
  <c r="G111" i="1"/>
  <c r="I111" i="1" s="1"/>
  <c r="F111" i="1"/>
  <c r="H111" i="1" s="1"/>
  <c r="AD122" i="2" s="1"/>
  <c r="AF121" i="2"/>
  <c r="I110" i="1"/>
  <c r="H110" i="1"/>
  <c r="G110" i="1"/>
  <c r="F110" i="1"/>
  <c r="AF120" i="2"/>
  <c r="G109" i="1"/>
  <c r="I109" i="1" s="1"/>
  <c r="F109" i="1"/>
  <c r="H109" i="1" s="1"/>
  <c r="AD120" i="2" s="1"/>
  <c r="AF119" i="2"/>
  <c r="H108" i="1"/>
  <c r="G108" i="1"/>
  <c r="I108" i="1" s="1"/>
  <c r="F108" i="1"/>
  <c r="AF118" i="2"/>
  <c r="G107" i="1"/>
  <c r="I107" i="1" s="1"/>
  <c r="F107" i="1"/>
  <c r="H107" i="1" s="1"/>
  <c r="AD118" i="2" s="1"/>
  <c r="AF117" i="2"/>
  <c r="G106" i="1"/>
  <c r="I106" i="1" s="1"/>
  <c r="F106" i="1"/>
  <c r="H106" i="1" s="1"/>
  <c r="AD117" i="2" s="1"/>
  <c r="AF116" i="2"/>
  <c r="G105" i="1"/>
  <c r="I105" i="1" s="1"/>
  <c r="F105" i="1"/>
  <c r="H105" i="1" s="1"/>
  <c r="AD116" i="2" s="1"/>
  <c r="AF115" i="2"/>
  <c r="G104" i="1"/>
  <c r="I104" i="1" s="1"/>
  <c r="F104" i="1"/>
  <c r="H104" i="1" s="1"/>
  <c r="AD115" i="2" s="1"/>
  <c r="AF114" i="2"/>
  <c r="G103" i="1"/>
  <c r="I103" i="1" s="1"/>
  <c r="F103" i="1"/>
  <c r="H103" i="1" s="1"/>
  <c r="AD114" i="2" s="1"/>
  <c r="AF113" i="2"/>
  <c r="H102" i="1"/>
  <c r="G102" i="1"/>
  <c r="I102" i="1" s="1"/>
  <c r="F102" i="1"/>
  <c r="AF112" i="2"/>
  <c r="G101" i="1"/>
  <c r="I101" i="1" s="1"/>
  <c r="F101" i="1"/>
  <c r="H101" i="1" s="1"/>
  <c r="AD112" i="2" s="1"/>
  <c r="AF111" i="2"/>
  <c r="G100" i="1"/>
  <c r="I100" i="1" s="1"/>
  <c r="F100" i="1"/>
  <c r="H100" i="1" s="1"/>
  <c r="AD111" i="2" s="1"/>
  <c r="AF110" i="2"/>
  <c r="G99" i="1"/>
  <c r="I99" i="1" s="1"/>
  <c r="F99" i="1"/>
  <c r="H99" i="1" s="1"/>
  <c r="AD110" i="2" s="1"/>
  <c r="AF109" i="2"/>
  <c r="G98" i="1"/>
  <c r="I98" i="1" s="1"/>
  <c r="F98" i="1"/>
  <c r="H98" i="1" s="1"/>
  <c r="AF108" i="2"/>
  <c r="G97" i="1"/>
  <c r="I97" i="1" s="1"/>
  <c r="F97" i="1"/>
  <c r="H97" i="1" s="1"/>
  <c r="AD108" i="2" s="1"/>
  <c r="AF107" i="2"/>
  <c r="G96" i="1"/>
  <c r="I96" i="1" s="1"/>
  <c r="F96" i="1"/>
  <c r="H96" i="1" s="1"/>
  <c r="AD107" i="2" s="1"/>
  <c r="AF106" i="2"/>
  <c r="G95" i="1"/>
  <c r="I95" i="1" s="1"/>
  <c r="F95" i="1"/>
  <c r="H95" i="1" s="1"/>
  <c r="AD106" i="2" s="1"/>
  <c r="AF105" i="2"/>
  <c r="G94" i="1"/>
  <c r="I94" i="1" s="1"/>
  <c r="F94" i="1"/>
  <c r="H94" i="1" s="1"/>
  <c r="AF104" i="2"/>
  <c r="G93" i="1"/>
  <c r="I93" i="1" s="1"/>
  <c r="F93" i="1"/>
  <c r="H93" i="1" s="1"/>
  <c r="AF103" i="2"/>
  <c r="G92" i="1"/>
  <c r="I92" i="1" s="1"/>
  <c r="F92" i="1"/>
  <c r="H92" i="1" s="1"/>
  <c r="AD103" i="2" s="1"/>
  <c r="AF102" i="2"/>
  <c r="G91" i="1"/>
  <c r="I91" i="1" s="1"/>
  <c r="F91" i="1"/>
  <c r="H91" i="1" s="1"/>
  <c r="AD102" i="2" s="1"/>
  <c r="AF101" i="2"/>
  <c r="G90" i="1"/>
  <c r="I90" i="1" s="1"/>
  <c r="F90" i="1"/>
  <c r="H90" i="1" s="1"/>
  <c r="AD101" i="2" s="1"/>
  <c r="AF100" i="2"/>
  <c r="G89" i="1"/>
  <c r="I89" i="1" s="1"/>
  <c r="F89" i="1"/>
  <c r="H89" i="1" s="1"/>
  <c r="AF99" i="2"/>
  <c r="G88" i="1"/>
  <c r="I88" i="1" s="1"/>
  <c r="F88" i="1"/>
  <c r="H88" i="1" s="1"/>
  <c r="AD99" i="2" s="1"/>
  <c r="AF98" i="2"/>
  <c r="G87" i="1"/>
  <c r="I87" i="1" s="1"/>
  <c r="F87" i="1"/>
  <c r="H87" i="1" s="1"/>
  <c r="AD98" i="2" s="1"/>
  <c r="AF97" i="2"/>
  <c r="I86" i="1"/>
  <c r="H86" i="1"/>
  <c r="G86" i="1"/>
  <c r="F86" i="1"/>
  <c r="AF96" i="2"/>
  <c r="G85" i="1"/>
  <c r="I85" i="1" s="1"/>
  <c r="F85" i="1"/>
  <c r="H85" i="1" s="1"/>
  <c r="AD96" i="2" s="1"/>
  <c r="AF95" i="2"/>
  <c r="H84" i="1"/>
  <c r="G84" i="1"/>
  <c r="I84" i="1" s="1"/>
  <c r="F84" i="1"/>
  <c r="AF94" i="2"/>
  <c r="G83" i="1"/>
  <c r="I83" i="1" s="1"/>
  <c r="F83" i="1"/>
  <c r="H83" i="1" s="1"/>
  <c r="AD94" i="2" s="1"/>
  <c r="AF93" i="2"/>
  <c r="G82" i="1"/>
  <c r="I82" i="1" s="1"/>
  <c r="F82" i="1"/>
  <c r="H82" i="1" s="1"/>
  <c r="AD93" i="2" s="1"/>
  <c r="AF92" i="2"/>
  <c r="G81" i="1"/>
  <c r="I81" i="1" s="1"/>
  <c r="F81" i="1"/>
  <c r="H81" i="1" s="1"/>
  <c r="AD92" i="2" s="1"/>
  <c r="AF91" i="2"/>
  <c r="G80" i="1"/>
  <c r="I80" i="1" s="1"/>
  <c r="F80" i="1"/>
  <c r="H80" i="1" s="1"/>
  <c r="AD91" i="2" s="1"/>
  <c r="AF90" i="2"/>
  <c r="G79" i="1"/>
  <c r="I79" i="1" s="1"/>
  <c r="F79" i="1"/>
  <c r="H79" i="1" s="1"/>
  <c r="AD90" i="2" s="1"/>
  <c r="AF89" i="2"/>
  <c r="H78" i="1"/>
  <c r="G78" i="1"/>
  <c r="I78" i="1" s="1"/>
  <c r="F78" i="1"/>
  <c r="AF88" i="2"/>
  <c r="G77" i="1"/>
  <c r="I77" i="1" s="1"/>
  <c r="F77" i="1"/>
  <c r="H77" i="1" s="1"/>
  <c r="AD88" i="2" s="1"/>
  <c r="AF87" i="2"/>
  <c r="G76" i="1"/>
  <c r="I76" i="1" s="1"/>
  <c r="F76" i="1"/>
  <c r="H76" i="1" s="1"/>
  <c r="AD87" i="2" s="1"/>
  <c r="AF86" i="2"/>
  <c r="G75" i="1"/>
  <c r="I75" i="1" s="1"/>
  <c r="F75" i="1"/>
  <c r="H75" i="1" s="1"/>
  <c r="AD86" i="2" s="1"/>
  <c r="AF85" i="2"/>
  <c r="G74" i="1"/>
  <c r="I74" i="1" s="1"/>
  <c r="F74" i="1"/>
  <c r="H74" i="1" s="1"/>
  <c r="AD85" i="2" s="1"/>
  <c r="AF84" i="2"/>
  <c r="G73" i="1"/>
  <c r="I73" i="1" s="1"/>
  <c r="F73" i="1"/>
  <c r="H73" i="1" s="1"/>
  <c r="AD84" i="2" s="1"/>
  <c r="AF83" i="2"/>
  <c r="G72" i="1"/>
  <c r="I72" i="1" s="1"/>
  <c r="F72" i="1"/>
  <c r="H72" i="1" s="1"/>
  <c r="AD83" i="2" s="1"/>
  <c r="AF82" i="2"/>
  <c r="G71" i="1"/>
  <c r="I71" i="1" s="1"/>
  <c r="F71" i="1"/>
  <c r="H71" i="1" s="1"/>
  <c r="AD82" i="2" s="1"/>
  <c r="AF81" i="2"/>
  <c r="I70" i="1"/>
  <c r="H70" i="1"/>
  <c r="G70" i="1"/>
  <c r="F70" i="1"/>
  <c r="AF80" i="2"/>
  <c r="G69" i="1"/>
  <c r="I69" i="1" s="1"/>
  <c r="F69" i="1"/>
  <c r="H69" i="1" s="1"/>
  <c r="AD80" i="2" s="1"/>
  <c r="AF79" i="2"/>
  <c r="G68" i="1"/>
  <c r="I68" i="1" s="1"/>
  <c r="F68" i="1"/>
  <c r="H68" i="1" s="1"/>
  <c r="AD79" i="2" s="1"/>
  <c r="AF78" i="2"/>
  <c r="G67" i="1"/>
  <c r="I67" i="1" s="1"/>
  <c r="F67" i="1"/>
  <c r="H67" i="1" s="1"/>
  <c r="AF77" i="2"/>
  <c r="G66" i="1"/>
  <c r="I66" i="1" s="1"/>
  <c r="F66" i="1"/>
  <c r="H66" i="1" s="1"/>
  <c r="AD77" i="2" s="1"/>
  <c r="AF76" i="2"/>
  <c r="G65" i="1"/>
  <c r="I65" i="1" s="1"/>
  <c r="F65" i="1"/>
  <c r="H65" i="1" s="1"/>
  <c r="AF75" i="2"/>
  <c r="G64" i="1"/>
  <c r="I64" i="1" s="1"/>
  <c r="F64" i="1"/>
  <c r="H64" i="1" s="1"/>
  <c r="AD75" i="2" s="1"/>
  <c r="AF74" i="2"/>
  <c r="G63" i="1"/>
  <c r="I63" i="1" s="1"/>
  <c r="F63" i="1"/>
  <c r="H63" i="1" s="1"/>
  <c r="AD74" i="2" s="1"/>
  <c r="AF73" i="2"/>
  <c r="G62" i="1"/>
  <c r="I62" i="1" s="1"/>
  <c r="F62" i="1"/>
  <c r="H62" i="1" s="1"/>
  <c r="AD73" i="2" s="1"/>
  <c r="AF72" i="2"/>
  <c r="G61" i="1"/>
  <c r="I61" i="1" s="1"/>
  <c r="AC72" i="2" s="1"/>
  <c r="F61" i="1"/>
  <c r="H61" i="1" s="1"/>
  <c r="AD72" i="2" s="1"/>
  <c r="AF71" i="2"/>
  <c r="G60" i="1"/>
  <c r="I60" i="1" s="1"/>
  <c r="F60" i="1"/>
  <c r="H60" i="1" s="1"/>
  <c r="AD71" i="2" s="1"/>
  <c r="AF70" i="2"/>
  <c r="G59" i="1"/>
  <c r="I59" i="1" s="1"/>
  <c r="F59" i="1"/>
  <c r="H59" i="1" s="1"/>
  <c r="AD70" i="2" s="1"/>
  <c r="AF69" i="2"/>
  <c r="G58" i="1"/>
  <c r="I58" i="1" s="1"/>
  <c r="F58" i="1"/>
  <c r="H58" i="1" s="1"/>
  <c r="AD69" i="2" s="1"/>
  <c r="AF68" i="2"/>
  <c r="H57" i="1"/>
  <c r="AD68" i="2" s="1"/>
  <c r="G57" i="1"/>
  <c r="I57" i="1" s="1"/>
  <c r="F57" i="1"/>
  <c r="AF67" i="2"/>
  <c r="G56" i="1"/>
  <c r="I56" i="1" s="1"/>
  <c r="F56" i="1"/>
  <c r="H56" i="1" s="1"/>
  <c r="AD67" i="2" s="1"/>
  <c r="AF66" i="2"/>
  <c r="G55" i="1"/>
  <c r="I55" i="1" s="1"/>
  <c r="F55" i="1"/>
  <c r="H55" i="1" s="1"/>
  <c r="AD66" i="2" s="1"/>
  <c r="AF65" i="2"/>
  <c r="G54" i="1"/>
  <c r="I54" i="1" s="1"/>
  <c r="F54" i="1"/>
  <c r="H54" i="1" s="1"/>
  <c r="AF64" i="2"/>
  <c r="G53" i="1"/>
  <c r="I53" i="1" s="1"/>
  <c r="F53" i="1"/>
  <c r="H53" i="1" s="1"/>
  <c r="AD64" i="2" s="1"/>
  <c r="AF63" i="2"/>
  <c r="G52" i="1"/>
  <c r="I52" i="1" s="1"/>
  <c r="F52" i="1"/>
  <c r="H52" i="1" s="1"/>
  <c r="AD63" i="2" s="1"/>
  <c r="AF62" i="2"/>
  <c r="G51" i="1"/>
  <c r="I51" i="1" s="1"/>
  <c r="F51" i="1"/>
  <c r="H51" i="1" s="1"/>
  <c r="AD62" i="2" s="1"/>
  <c r="AF61" i="2"/>
  <c r="G50" i="1"/>
  <c r="I50" i="1" s="1"/>
  <c r="F50" i="1"/>
  <c r="H50" i="1" s="1"/>
  <c r="AD61" i="2" s="1"/>
  <c r="AF60" i="2"/>
  <c r="H49" i="1"/>
  <c r="AD60" i="2" s="1"/>
  <c r="G49" i="1"/>
  <c r="I49" i="1" s="1"/>
  <c r="F49" i="1"/>
  <c r="AF59" i="2"/>
  <c r="G48" i="1"/>
  <c r="I48" i="1" s="1"/>
  <c r="F48" i="1"/>
  <c r="H48" i="1" s="1"/>
  <c r="AD59" i="2" s="1"/>
  <c r="AF58" i="2"/>
  <c r="G47" i="1"/>
  <c r="I47" i="1" s="1"/>
  <c r="F47" i="1"/>
  <c r="H47" i="1" s="1"/>
  <c r="AD58" i="2" s="1"/>
  <c r="AF57" i="2"/>
  <c r="G46" i="1"/>
  <c r="I46" i="1" s="1"/>
  <c r="F46" i="1"/>
  <c r="H46" i="1" s="1"/>
  <c r="AF56" i="2"/>
  <c r="H45" i="1"/>
  <c r="AD56" i="2" s="1"/>
  <c r="G45" i="1"/>
  <c r="I45" i="1" s="1"/>
  <c r="F45" i="1"/>
  <c r="AF55" i="2"/>
  <c r="G44" i="1"/>
  <c r="I44" i="1" s="1"/>
  <c r="F44" i="1"/>
  <c r="H44" i="1" s="1"/>
  <c r="AD55" i="2" s="1"/>
  <c r="AF54" i="2"/>
  <c r="G43" i="1"/>
  <c r="I43" i="1" s="1"/>
  <c r="F43" i="1"/>
  <c r="H43" i="1" s="1"/>
  <c r="AD54" i="2" s="1"/>
  <c r="AF53" i="2"/>
  <c r="G42" i="1"/>
  <c r="I42" i="1" s="1"/>
  <c r="F42" i="1"/>
  <c r="H42" i="1" s="1"/>
  <c r="AF52" i="2"/>
  <c r="G41" i="1"/>
  <c r="I41" i="1" s="1"/>
  <c r="F41" i="1"/>
  <c r="H41" i="1" s="1"/>
  <c r="AF51" i="2"/>
  <c r="G40" i="1"/>
  <c r="I40" i="1" s="1"/>
  <c r="F40" i="1"/>
  <c r="H40" i="1" s="1"/>
  <c r="AD51" i="2" s="1"/>
  <c r="AF50" i="2"/>
  <c r="G39" i="1"/>
  <c r="I39" i="1" s="1"/>
  <c r="F39" i="1"/>
  <c r="H39" i="1" s="1"/>
  <c r="AD50" i="2" s="1"/>
  <c r="AF49" i="2"/>
  <c r="G38" i="1"/>
  <c r="I38" i="1" s="1"/>
  <c r="F38" i="1"/>
  <c r="H38" i="1" s="1"/>
  <c r="AF48" i="2"/>
  <c r="H37" i="1"/>
  <c r="G37" i="1"/>
  <c r="I37" i="1" s="1"/>
  <c r="F37" i="1"/>
  <c r="AF47" i="2"/>
  <c r="G36" i="1"/>
  <c r="I36" i="1" s="1"/>
  <c r="F36" i="1"/>
  <c r="H36" i="1" s="1"/>
  <c r="AD47" i="2" s="1"/>
  <c r="AF46" i="2"/>
  <c r="G35" i="1"/>
  <c r="I35" i="1" s="1"/>
  <c r="F35" i="1"/>
  <c r="H35" i="1" s="1"/>
  <c r="AD46" i="2" s="1"/>
  <c r="AF45" i="2"/>
  <c r="G34" i="1"/>
  <c r="I34" i="1" s="1"/>
  <c r="F34" i="1"/>
  <c r="H34" i="1" s="1"/>
  <c r="AD45" i="2" s="1"/>
  <c r="AF44" i="2"/>
  <c r="G33" i="1"/>
  <c r="I33" i="1" s="1"/>
  <c r="F33" i="1"/>
  <c r="H33" i="1" s="1"/>
  <c r="AD44" i="2" s="1"/>
  <c r="AF43" i="2"/>
  <c r="G32" i="1"/>
  <c r="I32" i="1" s="1"/>
  <c r="F32" i="1"/>
  <c r="H32" i="1" s="1"/>
  <c r="AD43" i="2" s="1"/>
  <c r="AF42" i="2"/>
  <c r="G31" i="1"/>
  <c r="I31" i="1" s="1"/>
  <c r="F31" i="1"/>
  <c r="H31" i="1" s="1"/>
  <c r="AD42" i="2" s="1"/>
  <c r="AF41" i="2"/>
  <c r="G30" i="1"/>
  <c r="I30" i="1" s="1"/>
  <c r="F30" i="1"/>
  <c r="H30" i="1" s="1"/>
  <c r="AF40" i="2"/>
  <c r="G29" i="1"/>
  <c r="I29" i="1" s="1"/>
  <c r="F29" i="1"/>
  <c r="H29" i="1" s="1"/>
  <c r="AF39" i="2"/>
  <c r="H28" i="1"/>
  <c r="AD39" i="2" s="1"/>
  <c r="G28" i="1"/>
  <c r="I28" i="1" s="1"/>
  <c r="F28" i="1"/>
  <c r="AF38" i="2"/>
  <c r="G27" i="1"/>
  <c r="I27" i="1" s="1"/>
  <c r="F27" i="1"/>
  <c r="H27" i="1" s="1"/>
  <c r="AD38" i="2" s="1"/>
  <c r="AF37" i="2"/>
  <c r="G26" i="1"/>
  <c r="I26" i="1" s="1"/>
  <c r="F26" i="1"/>
  <c r="H26" i="1" s="1"/>
  <c r="AD37" i="2" s="1"/>
  <c r="AF36" i="2"/>
  <c r="H25" i="1"/>
  <c r="AD36" i="2" s="1"/>
  <c r="G25" i="1"/>
  <c r="I25" i="1" s="1"/>
  <c r="F25" i="1"/>
  <c r="AF35" i="2"/>
  <c r="G24" i="1"/>
  <c r="I24" i="1" s="1"/>
  <c r="F24" i="1"/>
  <c r="H24" i="1" s="1"/>
  <c r="AD35" i="2" s="1"/>
  <c r="AF34" i="2"/>
  <c r="G23" i="1"/>
  <c r="I23" i="1" s="1"/>
  <c r="F23" i="1"/>
  <c r="H23" i="1" s="1"/>
  <c r="AD34" i="2" s="1"/>
  <c r="AF33" i="2"/>
  <c r="G22" i="1"/>
  <c r="I22" i="1" s="1"/>
  <c r="F22" i="1"/>
  <c r="H22" i="1" s="1"/>
  <c r="AF32" i="2"/>
  <c r="G21" i="1"/>
  <c r="I21" i="1" s="1"/>
  <c r="F21" i="1"/>
  <c r="H21" i="1" s="1"/>
  <c r="AF31" i="2"/>
  <c r="G20" i="1"/>
  <c r="I20" i="1" s="1"/>
  <c r="F20" i="1"/>
  <c r="H20" i="1" s="1"/>
  <c r="AF30" i="2"/>
  <c r="G19" i="1"/>
  <c r="I19" i="1" s="1"/>
  <c r="F19" i="1"/>
  <c r="H19" i="1" s="1"/>
  <c r="AD30" i="2" s="1"/>
  <c r="AF29" i="2"/>
  <c r="G18" i="1"/>
  <c r="I18" i="1" s="1"/>
  <c r="X29" i="2" s="1"/>
  <c r="F18" i="1"/>
  <c r="H18" i="1" s="1"/>
  <c r="AD29" i="2" s="1"/>
  <c r="AF28" i="2"/>
  <c r="H17" i="1"/>
  <c r="G17" i="1"/>
  <c r="I17" i="1" s="1"/>
  <c r="F17" i="1"/>
  <c r="AF27" i="2"/>
  <c r="G16" i="1"/>
  <c r="I16" i="1" s="1"/>
  <c r="F16" i="1"/>
  <c r="H16" i="1" s="1"/>
  <c r="AD27" i="2" s="1"/>
  <c r="AF26" i="2"/>
  <c r="G15" i="1"/>
  <c r="I15" i="1" s="1"/>
  <c r="F15" i="1"/>
  <c r="H15" i="1" s="1"/>
  <c r="AD26" i="2" s="1"/>
  <c r="AF25" i="2"/>
  <c r="G14" i="1"/>
  <c r="I14" i="1" s="1"/>
  <c r="Z25" i="2" s="1"/>
  <c r="F14" i="1"/>
  <c r="H14" i="1" s="1"/>
  <c r="AF24" i="2"/>
  <c r="G13" i="1"/>
  <c r="I13" i="1" s="1"/>
  <c r="F13" i="1"/>
  <c r="H13" i="1" s="1"/>
  <c r="AF23" i="2"/>
  <c r="G12" i="1"/>
  <c r="I12" i="1" s="1"/>
  <c r="F12" i="1"/>
  <c r="H12" i="1" s="1"/>
  <c r="AD23" i="2" s="1"/>
  <c r="AF22" i="2"/>
  <c r="G11" i="1"/>
  <c r="I11" i="1" s="1"/>
  <c r="F11" i="1"/>
  <c r="H11" i="1" s="1"/>
  <c r="AD22" i="2" s="1"/>
  <c r="AF21" i="2"/>
  <c r="G10" i="1"/>
  <c r="I10" i="1" s="1"/>
  <c r="F10" i="1"/>
  <c r="H10" i="1" s="1"/>
  <c r="AD21" i="2" s="1"/>
  <c r="AF20" i="2"/>
  <c r="G9" i="1"/>
  <c r="I9" i="1" s="1"/>
  <c r="F9" i="1"/>
  <c r="H9" i="1" s="1"/>
  <c r="AF19" i="2"/>
  <c r="G8" i="1"/>
  <c r="I8" i="1" s="1"/>
  <c r="F8" i="1"/>
  <c r="H8" i="1" s="1"/>
  <c r="AD19" i="2" s="1"/>
  <c r="AF18" i="2"/>
  <c r="G7" i="1"/>
  <c r="I7" i="1" s="1"/>
  <c r="F7" i="1"/>
  <c r="H7" i="1" s="1"/>
  <c r="AD18" i="2" s="1"/>
  <c r="AF17" i="2"/>
  <c r="G6" i="1"/>
  <c r="I6" i="1" s="1"/>
  <c r="F6" i="1"/>
  <c r="H6" i="1" s="1"/>
  <c r="H5" i="1"/>
  <c r="G5" i="1"/>
  <c r="I5" i="1" s="1"/>
  <c r="Y16" i="2" s="1"/>
  <c r="F5" i="1"/>
  <c r="D1" i="1"/>
  <c r="D161" i="16" l="1"/>
  <c r="D164" i="16" s="1"/>
  <c r="C100" i="16"/>
  <c r="E161" i="16"/>
  <c r="T161" i="16"/>
  <c r="U161" i="16" s="1"/>
  <c r="C132" i="16"/>
  <c r="E129" i="16"/>
  <c r="F129" i="16" s="1"/>
  <c r="F132" i="16" s="1"/>
  <c r="E97" i="16"/>
  <c r="F97" i="16" s="1"/>
  <c r="F100" i="16" s="1"/>
  <c r="T97" i="16"/>
  <c r="U97" i="16" s="1"/>
  <c r="U100" i="16" s="1"/>
  <c r="T65" i="16"/>
  <c r="T33" i="16"/>
  <c r="AK416" i="1"/>
  <c r="AK508" i="1"/>
  <c r="AK668" i="1"/>
  <c r="AK544" i="1"/>
  <c r="AK260" i="1"/>
  <c r="AE271" i="2" s="1"/>
  <c r="AK464" i="1"/>
  <c r="AE475" i="2" s="1"/>
  <c r="AK46" i="1"/>
  <c r="AE57" i="2" s="1"/>
  <c r="AD57" i="2"/>
  <c r="AK288" i="1"/>
  <c r="AD299" i="2"/>
  <c r="AK305" i="1"/>
  <c r="AE316" i="2" s="1"/>
  <c r="AD316" i="2"/>
  <c r="AK320" i="1"/>
  <c r="AE331" i="2" s="1"/>
  <c r="AD331" i="2"/>
  <c r="AK340" i="1"/>
  <c r="AE351" i="2" s="1"/>
  <c r="AD351" i="2"/>
  <c r="AK384" i="1"/>
  <c r="AD395" i="2"/>
  <c r="AK577" i="1"/>
  <c r="AD588" i="2"/>
  <c r="AK620" i="1"/>
  <c r="AE631" i="2" s="1"/>
  <c r="AD631" i="2"/>
  <c r="AK641" i="1"/>
  <c r="AE652" i="2" s="1"/>
  <c r="AD652" i="2"/>
  <c r="AK652" i="1"/>
  <c r="AD663" i="2"/>
  <c r="AK78" i="1"/>
  <c r="AE89" i="2" s="1"/>
  <c r="AD89" i="2"/>
  <c r="K104" i="2"/>
  <c r="AD104" i="2"/>
  <c r="AK203" i="1"/>
  <c r="AE214" i="2" s="1"/>
  <c r="AD214" i="2"/>
  <c r="AK353" i="1"/>
  <c r="AE364" i="2" s="1"/>
  <c r="AD364" i="2"/>
  <c r="AK372" i="1"/>
  <c r="AE383" i="2" s="1"/>
  <c r="AD383" i="2"/>
  <c r="AK543" i="1"/>
  <c r="AE554" i="2" s="1"/>
  <c r="AD554" i="2"/>
  <c r="AD613" i="2"/>
  <c r="C39" i="17"/>
  <c r="AK609" i="1"/>
  <c r="AD620" i="2"/>
  <c r="AD78" i="2"/>
  <c r="C9" i="17"/>
  <c r="AK220" i="1"/>
  <c r="AE231" i="2" s="1"/>
  <c r="AD231" i="2"/>
  <c r="AK417" i="1"/>
  <c r="AE428" i="2" s="1"/>
  <c r="AD428" i="2"/>
  <c r="AK448" i="1"/>
  <c r="AD459" i="2"/>
  <c r="AK457" i="1"/>
  <c r="AE468" i="2" s="1"/>
  <c r="AD468" i="2"/>
  <c r="AK481" i="1"/>
  <c r="AE492" i="2" s="1"/>
  <c r="AD492" i="2"/>
  <c r="AK500" i="1"/>
  <c r="AE511" i="2" s="1"/>
  <c r="AD511" i="2"/>
  <c r="AK511" i="1"/>
  <c r="AD522" i="2"/>
  <c r="AK513" i="1"/>
  <c r="AE524" i="2" s="1"/>
  <c r="AD524" i="2"/>
  <c r="AK529" i="1"/>
  <c r="AE540" i="2" s="1"/>
  <c r="AD540" i="2"/>
  <c r="AK545" i="1"/>
  <c r="AE556" i="2" s="1"/>
  <c r="AD556" i="2"/>
  <c r="C37" i="17"/>
  <c r="AK553" i="1"/>
  <c r="AD564" i="2"/>
  <c r="AK580" i="1"/>
  <c r="AD591" i="2"/>
  <c r="AK585" i="1"/>
  <c r="AE596" i="2" s="1"/>
  <c r="AD596" i="2"/>
  <c r="AK612" i="1"/>
  <c r="AE623" i="2" s="1"/>
  <c r="AD623" i="2"/>
  <c r="AK633" i="1"/>
  <c r="AD644" i="2"/>
  <c r="AK644" i="1"/>
  <c r="AD655" i="2"/>
  <c r="S31" i="2"/>
  <c r="AD31" i="2"/>
  <c r="AK126" i="1"/>
  <c r="AE137" i="2" s="1"/>
  <c r="AD137" i="2"/>
  <c r="AK146" i="1"/>
  <c r="AE157" i="2" s="1"/>
  <c r="AD157" i="2"/>
  <c r="AK225" i="1"/>
  <c r="AE236" i="2" s="1"/>
  <c r="AD236" i="2"/>
  <c r="AD461" i="2"/>
  <c r="C35" i="17"/>
  <c r="AK465" i="1"/>
  <c r="AE476" i="2" s="1"/>
  <c r="AD476" i="2"/>
  <c r="AK479" i="1"/>
  <c r="AD490" i="2"/>
  <c r="AK505" i="1"/>
  <c r="AE516" i="2" s="1"/>
  <c r="AD516" i="2"/>
  <c r="H272" i="2"/>
  <c r="AD272" i="2"/>
  <c r="AK273" i="1"/>
  <c r="AE284" i="2" s="1"/>
  <c r="AD284" i="2"/>
  <c r="AD341" i="2"/>
  <c r="C34" i="17"/>
  <c r="AK337" i="1"/>
  <c r="AE348" i="2" s="1"/>
  <c r="AD348" i="2"/>
  <c r="AK401" i="1"/>
  <c r="AE412" i="2" s="1"/>
  <c r="AD412" i="2"/>
  <c r="AK452" i="1"/>
  <c r="AE463" i="2" s="1"/>
  <c r="AD463" i="2"/>
  <c r="AK497" i="1"/>
  <c r="AE508" i="2" s="1"/>
  <c r="AD508" i="2"/>
  <c r="AK572" i="1"/>
  <c r="AD583" i="2"/>
  <c r="AD629" i="2"/>
  <c r="C40" i="17"/>
  <c r="M20" i="2"/>
  <c r="AD20" i="2"/>
  <c r="AD40" i="2"/>
  <c r="C25" i="17"/>
  <c r="T144" i="2"/>
  <c r="AD144" i="2"/>
  <c r="AK249" i="1"/>
  <c r="AE260" i="2" s="1"/>
  <c r="AD260" i="2"/>
  <c r="AK433" i="1"/>
  <c r="AE444" i="2" s="1"/>
  <c r="AD444" i="2"/>
  <c r="AD139" i="2"/>
  <c r="C28" i="17"/>
  <c r="AK215" i="1"/>
  <c r="AK240" i="1"/>
  <c r="AE251" i="2" s="1"/>
  <c r="AD251" i="2"/>
  <c r="AK284" i="1"/>
  <c r="AE295" i="2" s="1"/>
  <c r="AD295" i="2"/>
  <c r="AK313" i="1"/>
  <c r="AE324" i="2" s="1"/>
  <c r="AD324" i="2"/>
  <c r="AK377" i="1"/>
  <c r="AE388" i="2" s="1"/>
  <c r="AD388" i="2"/>
  <c r="AK412" i="1"/>
  <c r="AE423" i="2" s="1"/>
  <c r="AD423" i="2"/>
  <c r="U28" i="2"/>
  <c r="AD28" i="2"/>
  <c r="AD177" i="2"/>
  <c r="C11" i="17"/>
  <c r="AD197" i="2"/>
  <c r="C12" i="17"/>
  <c r="AK223" i="1"/>
  <c r="AE234" i="2" s="1"/>
  <c r="AD234" i="2"/>
  <c r="AK257" i="1"/>
  <c r="AE268" i="2" s="1"/>
  <c r="AD268" i="2"/>
  <c r="AK289" i="1"/>
  <c r="AE300" i="2" s="1"/>
  <c r="AD300" i="2"/>
  <c r="AK336" i="1"/>
  <c r="AD347" i="2"/>
  <c r="AK548" i="1"/>
  <c r="AE559" i="2" s="1"/>
  <c r="AD559" i="2"/>
  <c r="AK556" i="1"/>
  <c r="AE567" i="2" s="1"/>
  <c r="AD567" i="2"/>
  <c r="C22" i="17"/>
  <c r="AD594" i="2"/>
  <c r="C38" i="17"/>
  <c r="Q24" i="2"/>
  <c r="AD24" i="2"/>
  <c r="R41" i="2"/>
  <c r="AD41" i="2"/>
  <c r="M48" i="2"/>
  <c r="AD48" i="2"/>
  <c r="AK62" i="1"/>
  <c r="AE73" i="2" s="1"/>
  <c r="G76" i="2"/>
  <c r="AD76" i="2"/>
  <c r="AK86" i="1"/>
  <c r="AE97" i="2" s="1"/>
  <c r="AD97" i="2"/>
  <c r="AK94" i="1"/>
  <c r="AE105" i="2" s="1"/>
  <c r="AD105" i="2"/>
  <c r="AK116" i="1"/>
  <c r="AD127" i="2"/>
  <c r="AK134" i="1"/>
  <c r="AE145" i="2" s="1"/>
  <c r="AD145" i="2"/>
  <c r="AK141" i="1"/>
  <c r="AE152" i="2" s="1"/>
  <c r="AD152" i="2"/>
  <c r="AK196" i="1"/>
  <c r="AE207" i="2" s="1"/>
  <c r="AD207" i="2"/>
  <c r="AK199" i="1"/>
  <c r="AD210" i="2"/>
  <c r="AK211" i="1"/>
  <c r="AE222" i="2" s="1"/>
  <c r="AD222" i="2"/>
  <c r="AK228" i="1"/>
  <c r="AE239" i="2" s="1"/>
  <c r="AD239" i="2"/>
  <c r="AD275" i="2"/>
  <c r="C14" i="17"/>
  <c r="AK272" i="1"/>
  <c r="AD298" i="2"/>
  <c r="C32" i="17"/>
  <c r="AD322" i="2"/>
  <c r="C33" i="17"/>
  <c r="AK316" i="1"/>
  <c r="AE327" i="2" s="1"/>
  <c r="AD327" i="2"/>
  <c r="AK351" i="1"/>
  <c r="AE362" i="2" s="1"/>
  <c r="AK361" i="1"/>
  <c r="AE372" i="2" s="1"/>
  <c r="AD372" i="2"/>
  <c r="C15" i="17"/>
  <c r="AK432" i="1"/>
  <c r="AD443" i="2"/>
  <c r="AK441" i="1"/>
  <c r="AE452" i="2" s="1"/>
  <c r="AD452" i="2"/>
  <c r="AK484" i="1"/>
  <c r="AE495" i="2" s="1"/>
  <c r="AD495" i="2"/>
  <c r="AK489" i="1"/>
  <c r="AE500" i="2" s="1"/>
  <c r="AD500" i="2"/>
  <c r="AK516" i="1"/>
  <c r="AD527" i="2"/>
  <c r="AK561" i="1"/>
  <c r="AE572" i="2" s="1"/>
  <c r="AD572" i="2"/>
  <c r="AK588" i="1"/>
  <c r="AE599" i="2" s="1"/>
  <c r="AD599" i="2"/>
  <c r="AK625" i="1"/>
  <c r="AD636" i="2"/>
  <c r="AK636" i="1"/>
  <c r="AD647" i="2"/>
  <c r="AK657" i="1"/>
  <c r="AE668" i="2" s="1"/>
  <c r="AD668" i="2"/>
  <c r="AK665" i="1"/>
  <c r="AE676" i="2" s="1"/>
  <c r="AD676" i="2"/>
  <c r="M16" i="2"/>
  <c r="AK5" i="1"/>
  <c r="W16" i="2"/>
  <c r="C7" i="17"/>
  <c r="AD16" i="2"/>
  <c r="AK84" i="1"/>
  <c r="AE95" i="2" s="1"/>
  <c r="AD95" i="2"/>
  <c r="C26" i="17"/>
  <c r="W100" i="2"/>
  <c r="AD100" i="2"/>
  <c r="AK204" i="1"/>
  <c r="AD215" i="2"/>
  <c r="AD232" i="2"/>
  <c r="C31" i="17"/>
  <c r="AK233" i="1"/>
  <c r="AE244" i="2" s="1"/>
  <c r="AD244" i="2"/>
  <c r="AD254" i="2"/>
  <c r="C13" i="17"/>
  <c r="AK292" i="1"/>
  <c r="AD303" i="2"/>
  <c r="AK297" i="1"/>
  <c r="AE308" i="2" s="1"/>
  <c r="AD308" i="2"/>
  <c r="AK304" i="1"/>
  <c r="AE315" i="2" s="1"/>
  <c r="AD315" i="2"/>
  <c r="AK319" i="1"/>
  <c r="AD330" i="2"/>
  <c r="AK321" i="1"/>
  <c r="AE332" i="2" s="1"/>
  <c r="AD332" i="2"/>
  <c r="AK324" i="1"/>
  <c r="AE335" i="2" s="1"/>
  <c r="AD335" i="2"/>
  <c r="AK368" i="1"/>
  <c r="AE379" i="2" s="1"/>
  <c r="AK383" i="1"/>
  <c r="AD394" i="2"/>
  <c r="AK388" i="1"/>
  <c r="AE399" i="2" s="1"/>
  <c r="AD399" i="2"/>
  <c r="AK393" i="1"/>
  <c r="AE404" i="2" s="1"/>
  <c r="AD404" i="2"/>
  <c r="AK420" i="1"/>
  <c r="AE431" i="2" s="1"/>
  <c r="AD431" i="2"/>
  <c r="AK425" i="1"/>
  <c r="AD436" i="2"/>
  <c r="AD445" i="2"/>
  <c r="C19" i="17"/>
  <c r="AK444" i="1"/>
  <c r="AE455" i="2" s="1"/>
  <c r="AD455" i="2"/>
  <c r="AK496" i="1"/>
  <c r="AE507" i="2" s="1"/>
  <c r="AD507" i="2"/>
  <c r="AK512" i="1"/>
  <c r="AD523" i="2"/>
  <c r="AK521" i="1"/>
  <c r="AE532" i="2" s="1"/>
  <c r="AD532" i="2"/>
  <c r="C36" i="17"/>
  <c r="AK528" i="1"/>
  <c r="AE539" i="2" s="1"/>
  <c r="AD539" i="2"/>
  <c r="AK537" i="1"/>
  <c r="AE548" i="2" s="1"/>
  <c r="AD548" i="2"/>
  <c r="AK564" i="1"/>
  <c r="AD575" i="2"/>
  <c r="AK593" i="1"/>
  <c r="AD604" i="2"/>
  <c r="AD664" i="2"/>
  <c r="C41" i="17"/>
  <c r="AK660" i="1"/>
  <c r="AE671" i="2" s="1"/>
  <c r="AD671" i="2"/>
  <c r="O32" i="2"/>
  <c r="AD32" i="2"/>
  <c r="AD109" i="2"/>
  <c r="C27" i="17"/>
  <c r="AK110" i="1"/>
  <c r="AE121" i="2" s="1"/>
  <c r="AD121" i="2"/>
  <c r="AK348" i="1"/>
  <c r="AE359" i="2" s="1"/>
  <c r="AD359" i="2"/>
  <c r="AK22" i="1"/>
  <c r="AE33" i="2" s="1"/>
  <c r="AD33" i="2"/>
  <c r="AK6" i="1"/>
  <c r="AD17" i="2"/>
  <c r="AK70" i="1"/>
  <c r="AE81" i="2" s="1"/>
  <c r="AD81" i="2"/>
  <c r="AK102" i="1"/>
  <c r="AE113" i="2" s="1"/>
  <c r="AD113" i="2"/>
  <c r="AD123" i="2"/>
  <c r="C10" i="17"/>
  <c r="AK132" i="1"/>
  <c r="AD143" i="2"/>
  <c r="AK224" i="1"/>
  <c r="AE235" i="2" s="1"/>
  <c r="AD235" i="2"/>
  <c r="AK256" i="1"/>
  <c r="AE267" i="2" s="1"/>
  <c r="AD267" i="2"/>
  <c r="AK329" i="1"/>
  <c r="AE340" i="2" s="1"/>
  <c r="AD340" i="2"/>
  <c r="AK352" i="1"/>
  <c r="AD363" i="2"/>
  <c r="AK473" i="1"/>
  <c r="AE484" i="2" s="1"/>
  <c r="AD484" i="2"/>
  <c r="AD510" i="2"/>
  <c r="C21" i="17"/>
  <c r="AK540" i="1"/>
  <c r="AD551" i="2"/>
  <c r="AK596" i="1"/>
  <c r="AD607" i="2"/>
  <c r="AK617" i="1"/>
  <c r="AE628" i="2" s="1"/>
  <c r="AD628" i="2"/>
  <c r="AK628" i="1"/>
  <c r="AE639" i="2" s="1"/>
  <c r="AD639" i="2"/>
  <c r="AK649" i="1"/>
  <c r="AD660" i="2"/>
  <c r="I52" i="2"/>
  <c r="AD52" i="2"/>
  <c r="AK54" i="1"/>
  <c r="AE65" i="2" s="1"/>
  <c r="AD65" i="2"/>
  <c r="AK108" i="1"/>
  <c r="AE119" i="2" s="1"/>
  <c r="AD119" i="2"/>
  <c r="AK118" i="1"/>
  <c r="AE129" i="2" s="1"/>
  <c r="AD129" i="2"/>
  <c r="AD149" i="2"/>
  <c r="C29" i="17"/>
  <c r="AK476" i="1"/>
  <c r="AE487" i="2" s="1"/>
  <c r="AD487" i="2"/>
  <c r="AD212" i="2"/>
  <c r="C30" i="17"/>
  <c r="AK252" i="1"/>
  <c r="AD263" i="2"/>
  <c r="AK281" i="1"/>
  <c r="AE292" i="2" s="1"/>
  <c r="AD292" i="2"/>
  <c r="AK356" i="1"/>
  <c r="AE367" i="2" s="1"/>
  <c r="AD367" i="2"/>
  <c r="AK409" i="1"/>
  <c r="AE420" i="2" s="1"/>
  <c r="AD420" i="2"/>
  <c r="AD53" i="2"/>
  <c r="C8" i="17"/>
  <c r="AK255" i="1"/>
  <c r="AD266" i="2"/>
  <c r="AK380" i="1"/>
  <c r="AE391" i="2" s="1"/>
  <c r="AD391" i="2"/>
  <c r="AK385" i="1"/>
  <c r="AE396" i="2" s="1"/>
  <c r="AD396" i="2"/>
  <c r="C16" i="17"/>
  <c r="AK400" i="1"/>
  <c r="AE411" i="2" s="1"/>
  <c r="AD411" i="2"/>
  <c r="AK415" i="1"/>
  <c r="AE426" i="2" s="1"/>
  <c r="AD426" i="2"/>
  <c r="AD433" i="2"/>
  <c r="C18" i="17"/>
  <c r="AK38" i="1"/>
  <c r="AE49" i="2" s="1"/>
  <c r="AD49" i="2"/>
  <c r="AK14" i="1"/>
  <c r="AE25" i="2" s="1"/>
  <c r="AD25" i="2"/>
  <c r="AK182" i="1"/>
  <c r="AE193" i="2" s="1"/>
  <c r="AD193" i="2"/>
  <c r="AK190" i="1"/>
  <c r="AE201" i="2" s="1"/>
  <c r="AD201" i="2"/>
  <c r="U213" i="2"/>
  <c r="AD213" i="2"/>
  <c r="AK207" i="1"/>
  <c r="AE218" i="2" s="1"/>
  <c r="AD218" i="2"/>
  <c r="AK212" i="1"/>
  <c r="AE223" i="2" s="1"/>
  <c r="AD223" i="2"/>
  <c r="AK219" i="1"/>
  <c r="AE230" i="2" s="1"/>
  <c r="AD230" i="2"/>
  <c r="AK241" i="1"/>
  <c r="AE252" i="2" s="1"/>
  <c r="AD252" i="2"/>
  <c r="AK265" i="1"/>
  <c r="AE276" i="2" s="1"/>
  <c r="AD276" i="2"/>
  <c r="AK345" i="1"/>
  <c r="AE356" i="2" s="1"/>
  <c r="AD356" i="2"/>
  <c r="AK369" i="1"/>
  <c r="AE380" i="2" s="1"/>
  <c r="AD380" i="2"/>
  <c r="AD417" i="2"/>
  <c r="C17" i="17"/>
  <c r="AK447" i="1"/>
  <c r="AE458" i="2" s="1"/>
  <c r="AD458" i="2"/>
  <c r="AK449" i="1"/>
  <c r="AE460" i="2" s="1"/>
  <c r="AD460" i="2"/>
  <c r="AD489" i="2"/>
  <c r="C20" i="17"/>
  <c r="AK480" i="1"/>
  <c r="AD491" i="2"/>
  <c r="AK569" i="1"/>
  <c r="AD580" i="2"/>
  <c r="AK601" i="1"/>
  <c r="AE612" i="2" s="1"/>
  <c r="AD612" i="2"/>
  <c r="AK604" i="1"/>
  <c r="AE615" i="2" s="1"/>
  <c r="AD615" i="2"/>
  <c r="AD650" i="2"/>
  <c r="C23" i="17"/>
  <c r="AE17" i="2"/>
  <c r="K43" i="17"/>
  <c r="L43" i="17"/>
  <c r="O43" i="17" s="1"/>
  <c r="M43" i="17"/>
  <c r="AE436" i="2"/>
  <c r="I28" i="2"/>
  <c r="A1" i="2"/>
  <c r="J33" i="2"/>
  <c r="AH33" i="2" s="1"/>
  <c r="J97" i="2"/>
  <c r="AH97" i="2" s="1"/>
  <c r="AK30" i="1"/>
  <c r="AE41" i="2" s="1"/>
  <c r="U16" i="2"/>
  <c r="AC29" i="2"/>
  <c r="F49" i="15"/>
  <c r="K46" i="15"/>
  <c r="F45" i="15"/>
  <c r="C46" i="15"/>
  <c r="C45" i="15"/>
  <c r="K45" i="15"/>
  <c r="H46" i="15"/>
  <c r="H47" i="15"/>
  <c r="H48" i="15" s="1"/>
  <c r="J49" i="15"/>
  <c r="E46" i="15"/>
  <c r="M46" i="15"/>
  <c r="G46" i="15"/>
  <c r="I49" i="15"/>
  <c r="F46" i="15"/>
  <c r="A1" i="3"/>
  <c r="X62" i="2"/>
  <c r="AC62" i="2"/>
  <c r="E62" i="2"/>
  <c r="Z62" i="2"/>
  <c r="AB62" i="2"/>
  <c r="AA62" i="2"/>
  <c r="Y62" i="2"/>
  <c r="P18" i="2"/>
  <c r="H18" i="2"/>
  <c r="V18" i="2"/>
  <c r="N18" i="2"/>
  <c r="F18" i="2"/>
  <c r="U18" i="2"/>
  <c r="M18" i="2"/>
  <c r="T18" i="2"/>
  <c r="L18" i="2"/>
  <c r="R18" i="2"/>
  <c r="J18" i="2"/>
  <c r="AH18" i="2" s="1"/>
  <c r="Q18" i="2"/>
  <c r="I18" i="2"/>
  <c r="W18" i="2"/>
  <c r="S18" i="2"/>
  <c r="H671" i="1"/>
  <c r="O18" i="2"/>
  <c r="K18" i="2"/>
  <c r="G18" i="2"/>
  <c r="AK7" i="1"/>
  <c r="U115" i="2"/>
  <c r="M115" i="2"/>
  <c r="P115" i="2"/>
  <c r="H115" i="2"/>
  <c r="W115" i="2"/>
  <c r="L115" i="2"/>
  <c r="V115" i="2"/>
  <c r="K115" i="2"/>
  <c r="T115" i="2"/>
  <c r="J115" i="2"/>
  <c r="AH115" i="2" s="1"/>
  <c r="S115" i="2"/>
  <c r="I115" i="2"/>
  <c r="R115" i="2"/>
  <c r="G115" i="2"/>
  <c r="O115" i="2"/>
  <c r="Q115" i="2"/>
  <c r="N115" i="2"/>
  <c r="F115" i="2"/>
  <c r="AK104" i="1"/>
  <c r="W21" i="2"/>
  <c r="O21" i="2"/>
  <c r="G21" i="2"/>
  <c r="U21" i="2"/>
  <c r="M21" i="2"/>
  <c r="T21" i="2"/>
  <c r="L21" i="2"/>
  <c r="S21" i="2"/>
  <c r="K21" i="2"/>
  <c r="Q21" i="2"/>
  <c r="I21" i="2"/>
  <c r="P21" i="2"/>
  <c r="H21" i="2"/>
  <c r="AK10" i="1"/>
  <c r="V21" i="2"/>
  <c r="N21" i="2"/>
  <c r="R21" i="2"/>
  <c r="J21" i="2"/>
  <c r="AH21" i="2" s="1"/>
  <c r="F21" i="2"/>
  <c r="U19" i="2"/>
  <c r="M19" i="2"/>
  <c r="S19" i="2"/>
  <c r="K19" i="2"/>
  <c r="R19" i="2"/>
  <c r="J19" i="2"/>
  <c r="AH19" i="2" s="1"/>
  <c r="Q19" i="2"/>
  <c r="I19" i="2"/>
  <c r="W19" i="2"/>
  <c r="O19" i="2"/>
  <c r="G19" i="2"/>
  <c r="V19" i="2"/>
  <c r="N19" i="2"/>
  <c r="F19" i="2"/>
  <c r="L19" i="2"/>
  <c r="H19" i="2"/>
  <c r="T19" i="2"/>
  <c r="P19" i="2"/>
  <c r="AK8" i="1"/>
  <c r="S29" i="2"/>
  <c r="K29" i="2"/>
  <c r="W29" i="2"/>
  <c r="O29" i="2"/>
  <c r="G29" i="2"/>
  <c r="T29" i="2"/>
  <c r="I29" i="2"/>
  <c r="Q29" i="2"/>
  <c r="F29" i="2"/>
  <c r="P29" i="2"/>
  <c r="N29" i="2"/>
  <c r="V29" i="2"/>
  <c r="L29" i="2"/>
  <c r="U29" i="2"/>
  <c r="J29" i="2"/>
  <c r="AH29" i="2" s="1"/>
  <c r="M29" i="2"/>
  <c r="H29" i="2"/>
  <c r="AK18" i="1"/>
  <c r="R29" i="2"/>
  <c r="AC31" i="2"/>
  <c r="E31" i="2"/>
  <c r="Y31" i="2"/>
  <c r="AB31" i="2"/>
  <c r="AA31" i="2"/>
  <c r="Z31" i="2"/>
  <c r="X31" i="2"/>
  <c r="V50" i="2"/>
  <c r="N50" i="2"/>
  <c r="F50" i="2"/>
  <c r="U50" i="2"/>
  <c r="M50" i="2"/>
  <c r="T50" i="2"/>
  <c r="L50" i="2"/>
  <c r="S50" i="2"/>
  <c r="K50" i="2"/>
  <c r="R50" i="2"/>
  <c r="J50" i="2"/>
  <c r="AH50" i="2" s="1"/>
  <c r="Q50" i="2"/>
  <c r="I50" i="2"/>
  <c r="P50" i="2"/>
  <c r="H50" i="2"/>
  <c r="G50" i="2"/>
  <c r="W50" i="2"/>
  <c r="O50" i="2"/>
  <c r="AK39" i="1"/>
  <c r="X52" i="2"/>
  <c r="AC52" i="2"/>
  <c r="E52" i="2"/>
  <c r="AB52" i="2"/>
  <c r="AA52" i="2"/>
  <c r="Z52" i="2"/>
  <c r="Y52" i="2"/>
  <c r="Z54" i="2"/>
  <c r="Y54" i="2"/>
  <c r="X54" i="2"/>
  <c r="AC54" i="2"/>
  <c r="E54" i="2"/>
  <c r="AB54" i="2"/>
  <c r="AA54" i="2"/>
  <c r="P62" i="2"/>
  <c r="H62" i="2"/>
  <c r="W62" i="2"/>
  <c r="O62" i="2"/>
  <c r="G62" i="2"/>
  <c r="V62" i="2"/>
  <c r="N62" i="2"/>
  <c r="F62" i="2"/>
  <c r="U62" i="2"/>
  <c r="M62" i="2"/>
  <c r="R62" i="2"/>
  <c r="J62" i="2"/>
  <c r="AH62" i="2" s="1"/>
  <c r="L62" i="2"/>
  <c r="K62" i="2"/>
  <c r="I62" i="2"/>
  <c r="T62" i="2"/>
  <c r="S62" i="2"/>
  <c r="Q62" i="2"/>
  <c r="AK51" i="1"/>
  <c r="Y75" i="2"/>
  <c r="X75" i="2"/>
  <c r="AA75" i="2"/>
  <c r="Z75" i="2"/>
  <c r="AC75" i="2"/>
  <c r="AB75" i="2"/>
  <c r="E75" i="2"/>
  <c r="Q83" i="2"/>
  <c r="I83" i="2"/>
  <c r="P83" i="2"/>
  <c r="H83" i="2"/>
  <c r="W83" i="2"/>
  <c r="O83" i="2"/>
  <c r="G83" i="2"/>
  <c r="V83" i="2"/>
  <c r="N83" i="2"/>
  <c r="F83" i="2"/>
  <c r="U83" i="2"/>
  <c r="M83" i="2"/>
  <c r="S83" i="2"/>
  <c r="K83" i="2"/>
  <c r="R83" i="2"/>
  <c r="L83" i="2"/>
  <c r="J83" i="2"/>
  <c r="AH83" i="2" s="1"/>
  <c r="T83" i="2"/>
  <c r="AK72" i="1"/>
  <c r="S93" i="2"/>
  <c r="K93" i="2"/>
  <c r="R93" i="2"/>
  <c r="J93" i="2"/>
  <c r="AH93" i="2" s="1"/>
  <c r="Q93" i="2"/>
  <c r="I93" i="2"/>
  <c r="P93" i="2"/>
  <c r="H93" i="2"/>
  <c r="W93" i="2"/>
  <c r="O93" i="2"/>
  <c r="G93" i="2"/>
  <c r="U93" i="2"/>
  <c r="M93" i="2"/>
  <c r="T93" i="2"/>
  <c r="N93" i="2"/>
  <c r="L93" i="2"/>
  <c r="F93" i="2"/>
  <c r="V93" i="2"/>
  <c r="AK82" i="1"/>
  <c r="AC95" i="2"/>
  <c r="E95" i="2"/>
  <c r="AB95" i="2"/>
  <c r="AA95" i="2"/>
  <c r="Z95" i="2"/>
  <c r="Y95" i="2"/>
  <c r="X95" i="2"/>
  <c r="P114" i="2"/>
  <c r="H114" i="2"/>
  <c r="S114" i="2"/>
  <c r="K114" i="2"/>
  <c r="Q114" i="2"/>
  <c r="F114" i="2"/>
  <c r="O114" i="2"/>
  <c r="N114" i="2"/>
  <c r="W114" i="2"/>
  <c r="M114" i="2"/>
  <c r="V114" i="2"/>
  <c r="L114" i="2"/>
  <c r="T114" i="2"/>
  <c r="I114" i="2"/>
  <c r="J114" i="2"/>
  <c r="AH114" i="2" s="1"/>
  <c r="G114" i="2"/>
  <c r="U114" i="2"/>
  <c r="R114" i="2"/>
  <c r="AK103" i="1"/>
  <c r="Z116" i="2"/>
  <c r="AC116" i="2"/>
  <c r="E116" i="2"/>
  <c r="AB116" i="2"/>
  <c r="AA116" i="2"/>
  <c r="Y116" i="2"/>
  <c r="X116" i="2"/>
  <c r="AB118" i="2"/>
  <c r="AC118" i="2"/>
  <c r="AA118" i="2"/>
  <c r="Z118" i="2"/>
  <c r="E118" i="2"/>
  <c r="Y118" i="2"/>
  <c r="X118" i="2"/>
  <c r="T126" i="2"/>
  <c r="L126" i="2"/>
  <c r="W126" i="2"/>
  <c r="O126" i="2"/>
  <c r="G126" i="2"/>
  <c r="N126" i="2"/>
  <c r="M126" i="2"/>
  <c r="V126" i="2"/>
  <c r="K126" i="2"/>
  <c r="U126" i="2"/>
  <c r="J126" i="2"/>
  <c r="AH126" i="2" s="1"/>
  <c r="S126" i="2"/>
  <c r="I126" i="2"/>
  <c r="Q126" i="2"/>
  <c r="F126" i="2"/>
  <c r="R126" i="2"/>
  <c r="P126" i="2"/>
  <c r="H126" i="2"/>
  <c r="AK115" i="1"/>
  <c r="AC139" i="2"/>
  <c r="E139" i="2"/>
  <c r="AB139" i="2"/>
  <c r="Y139" i="2"/>
  <c r="X139" i="2"/>
  <c r="AA139" i="2"/>
  <c r="Z139" i="2"/>
  <c r="W147" i="2"/>
  <c r="O147" i="2"/>
  <c r="G147" i="2"/>
  <c r="V147" i="2"/>
  <c r="N147" i="2"/>
  <c r="F147" i="2"/>
  <c r="U147" i="2"/>
  <c r="M147" i="2"/>
  <c r="T147" i="2"/>
  <c r="L147" i="2"/>
  <c r="Q147" i="2"/>
  <c r="I147" i="2"/>
  <c r="P147" i="2"/>
  <c r="H147" i="2"/>
  <c r="K147" i="2"/>
  <c r="J147" i="2"/>
  <c r="AH147" i="2" s="1"/>
  <c r="S147" i="2"/>
  <c r="R147" i="2"/>
  <c r="AK136" i="1"/>
  <c r="W155" i="2"/>
  <c r="O155" i="2"/>
  <c r="G155" i="2"/>
  <c r="V155" i="2"/>
  <c r="N155" i="2"/>
  <c r="F155" i="2"/>
  <c r="U155" i="2"/>
  <c r="M155" i="2"/>
  <c r="T155" i="2"/>
  <c r="L155" i="2"/>
  <c r="Q155" i="2"/>
  <c r="I155" i="2"/>
  <c r="P155" i="2"/>
  <c r="H155" i="2"/>
  <c r="R155" i="2"/>
  <c r="K155" i="2"/>
  <c r="J155" i="2"/>
  <c r="AH155" i="2" s="1"/>
  <c r="S155" i="2"/>
  <c r="AK144" i="1"/>
  <c r="U169" i="2"/>
  <c r="M169" i="2"/>
  <c r="T169" i="2"/>
  <c r="L169" i="2"/>
  <c r="S169" i="2"/>
  <c r="K169" i="2"/>
  <c r="R169" i="2"/>
  <c r="J169" i="2"/>
  <c r="AH169" i="2" s="1"/>
  <c r="W169" i="2"/>
  <c r="O169" i="2"/>
  <c r="G169" i="2"/>
  <c r="V169" i="2"/>
  <c r="N169" i="2"/>
  <c r="F169" i="2"/>
  <c r="Q169" i="2"/>
  <c r="I169" i="2"/>
  <c r="P169" i="2"/>
  <c r="H169" i="2"/>
  <c r="AK158" i="1"/>
  <c r="W171" i="2"/>
  <c r="O171" i="2"/>
  <c r="G171" i="2"/>
  <c r="V171" i="2"/>
  <c r="N171" i="2"/>
  <c r="F171" i="2"/>
  <c r="U171" i="2"/>
  <c r="M171" i="2"/>
  <c r="T171" i="2"/>
  <c r="L171" i="2"/>
  <c r="Q171" i="2"/>
  <c r="I171" i="2"/>
  <c r="P171" i="2"/>
  <c r="H171" i="2"/>
  <c r="S171" i="2"/>
  <c r="R171" i="2"/>
  <c r="K171" i="2"/>
  <c r="J171" i="2"/>
  <c r="AH171" i="2" s="1"/>
  <c r="AK160" i="1"/>
  <c r="AC188" i="2"/>
  <c r="E188" i="2"/>
  <c r="AB188" i="2"/>
  <c r="AA188" i="2"/>
  <c r="Z188" i="2"/>
  <c r="Y188" i="2"/>
  <c r="X188" i="2"/>
  <c r="U27" i="2"/>
  <c r="M27" i="2"/>
  <c r="S27" i="2"/>
  <c r="K27" i="2"/>
  <c r="R27" i="2"/>
  <c r="J27" i="2"/>
  <c r="AH27" i="2" s="1"/>
  <c r="Q27" i="2"/>
  <c r="I27" i="2"/>
  <c r="W27" i="2"/>
  <c r="O27" i="2"/>
  <c r="G27" i="2"/>
  <c r="V27" i="2"/>
  <c r="N27" i="2"/>
  <c r="F27" i="2"/>
  <c r="P27" i="2"/>
  <c r="L27" i="2"/>
  <c r="H27" i="2"/>
  <c r="T27" i="2"/>
  <c r="AK16" i="1"/>
  <c r="T134" i="2"/>
  <c r="L134" i="2"/>
  <c r="P134" i="2"/>
  <c r="W134" i="2"/>
  <c r="O134" i="2"/>
  <c r="G134" i="2"/>
  <c r="U134" i="2"/>
  <c r="I134" i="2"/>
  <c r="S134" i="2"/>
  <c r="H134" i="2"/>
  <c r="R134" i="2"/>
  <c r="F134" i="2"/>
  <c r="Q134" i="2"/>
  <c r="N134" i="2"/>
  <c r="K134" i="2"/>
  <c r="J134" i="2"/>
  <c r="AH134" i="2" s="1"/>
  <c r="V134" i="2"/>
  <c r="M134" i="2"/>
  <c r="AK123" i="1"/>
  <c r="AC147" i="2"/>
  <c r="E147" i="2"/>
  <c r="AB147" i="2"/>
  <c r="Y147" i="2"/>
  <c r="X147" i="2"/>
  <c r="AA147" i="2"/>
  <c r="Z147" i="2"/>
  <c r="U153" i="2"/>
  <c r="M153" i="2"/>
  <c r="T153" i="2"/>
  <c r="L153" i="2"/>
  <c r="S153" i="2"/>
  <c r="K153" i="2"/>
  <c r="R153" i="2"/>
  <c r="J153" i="2"/>
  <c r="AH153" i="2" s="1"/>
  <c r="W153" i="2"/>
  <c r="O153" i="2"/>
  <c r="G153" i="2"/>
  <c r="V153" i="2"/>
  <c r="N153" i="2"/>
  <c r="F153" i="2"/>
  <c r="Q153" i="2"/>
  <c r="P153" i="2"/>
  <c r="I153" i="2"/>
  <c r="H153" i="2"/>
  <c r="AK142" i="1"/>
  <c r="Q165" i="2"/>
  <c r="I165" i="2"/>
  <c r="P165" i="2"/>
  <c r="H165" i="2"/>
  <c r="W165" i="2"/>
  <c r="O165" i="2"/>
  <c r="G165" i="2"/>
  <c r="V165" i="2"/>
  <c r="N165" i="2"/>
  <c r="F165" i="2"/>
  <c r="S165" i="2"/>
  <c r="K165" i="2"/>
  <c r="R165" i="2"/>
  <c r="J165" i="2"/>
  <c r="AH165" i="2" s="1"/>
  <c r="M165" i="2"/>
  <c r="L165" i="2"/>
  <c r="U165" i="2"/>
  <c r="T165" i="2"/>
  <c r="AK154" i="1"/>
  <c r="S167" i="2"/>
  <c r="K167" i="2"/>
  <c r="R167" i="2"/>
  <c r="J167" i="2"/>
  <c r="AH167" i="2" s="1"/>
  <c r="Q167" i="2"/>
  <c r="I167" i="2"/>
  <c r="P167" i="2"/>
  <c r="H167" i="2"/>
  <c r="U167" i="2"/>
  <c r="M167" i="2"/>
  <c r="T167" i="2"/>
  <c r="L167" i="2"/>
  <c r="G167" i="2"/>
  <c r="F167" i="2"/>
  <c r="W167" i="2"/>
  <c r="O167" i="2"/>
  <c r="V167" i="2"/>
  <c r="N167" i="2"/>
  <c r="AK156" i="1"/>
  <c r="Y184" i="2"/>
  <c r="X184" i="2"/>
  <c r="AC184" i="2"/>
  <c r="E184" i="2"/>
  <c r="AA184" i="2"/>
  <c r="AB184" i="2"/>
  <c r="Z184" i="2"/>
  <c r="AC198" i="2"/>
  <c r="E198" i="2"/>
  <c r="AB198" i="2"/>
  <c r="AA198" i="2"/>
  <c r="Y198" i="2"/>
  <c r="Z198" i="2"/>
  <c r="X198" i="2"/>
  <c r="AC27" i="2"/>
  <c r="E27" i="2"/>
  <c r="AA27" i="2"/>
  <c r="Z27" i="2"/>
  <c r="Y27" i="2"/>
  <c r="AB27" i="2"/>
  <c r="X27" i="2"/>
  <c r="S35" i="2"/>
  <c r="K35" i="2"/>
  <c r="Q35" i="2"/>
  <c r="I35" i="2"/>
  <c r="P35" i="2"/>
  <c r="H35" i="2"/>
  <c r="U35" i="2"/>
  <c r="M35" i="2"/>
  <c r="T35" i="2"/>
  <c r="O35" i="2"/>
  <c r="N35" i="2"/>
  <c r="L35" i="2"/>
  <c r="W35" i="2"/>
  <c r="G35" i="2"/>
  <c r="V35" i="2"/>
  <c r="F35" i="2"/>
  <c r="R35" i="2"/>
  <c r="J35" i="2"/>
  <c r="AH35" i="2" s="1"/>
  <c r="AK24" i="1"/>
  <c r="U45" i="2"/>
  <c r="M45" i="2"/>
  <c r="T45" i="2"/>
  <c r="L45" i="2"/>
  <c r="S45" i="2"/>
  <c r="K45" i="2"/>
  <c r="R45" i="2"/>
  <c r="J45" i="2"/>
  <c r="AH45" i="2" s="1"/>
  <c r="Q45" i="2"/>
  <c r="I45" i="2"/>
  <c r="P45" i="2"/>
  <c r="H45" i="2"/>
  <c r="W45" i="2"/>
  <c r="O45" i="2"/>
  <c r="G45" i="2"/>
  <c r="V45" i="2"/>
  <c r="N45" i="2"/>
  <c r="AK34" i="1"/>
  <c r="F45" i="2"/>
  <c r="AC47" i="2"/>
  <c r="E47" i="2"/>
  <c r="AB47" i="2"/>
  <c r="AA47" i="2"/>
  <c r="Z47" i="2"/>
  <c r="Y47" i="2"/>
  <c r="X47" i="2"/>
  <c r="T66" i="2"/>
  <c r="L66" i="2"/>
  <c r="S66" i="2"/>
  <c r="K66" i="2"/>
  <c r="R66" i="2"/>
  <c r="J66" i="2"/>
  <c r="AH66" i="2" s="1"/>
  <c r="Q66" i="2"/>
  <c r="I66" i="2"/>
  <c r="V66" i="2"/>
  <c r="N66" i="2"/>
  <c r="F66" i="2"/>
  <c r="G66" i="2"/>
  <c r="W66" i="2"/>
  <c r="U66" i="2"/>
  <c r="P66" i="2"/>
  <c r="O66" i="2"/>
  <c r="M66" i="2"/>
  <c r="H66" i="2"/>
  <c r="AK55" i="1"/>
  <c r="AC68" i="2"/>
  <c r="E68" i="2"/>
  <c r="AB68" i="2"/>
  <c r="AA68" i="2"/>
  <c r="X68" i="2"/>
  <c r="Z68" i="2"/>
  <c r="Y68" i="2"/>
  <c r="X70" i="2"/>
  <c r="AC70" i="2"/>
  <c r="E70" i="2"/>
  <c r="Z70" i="2"/>
  <c r="AB70" i="2"/>
  <c r="AA70" i="2"/>
  <c r="Y70" i="2"/>
  <c r="P78" i="2"/>
  <c r="H78" i="2"/>
  <c r="W78" i="2"/>
  <c r="O78" i="2"/>
  <c r="G78" i="2"/>
  <c r="V78" i="2"/>
  <c r="N78" i="2"/>
  <c r="F78" i="2"/>
  <c r="U78" i="2"/>
  <c r="M78" i="2"/>
  <c r="T78" i="2"/>
  <c r="L78" i="2"/>
  <c r="R78" i="2"/>
  <c r="J78" i="2"/>
  <c r="AH78" i="2" s="1"/>
  <c r="K78" i="2"/>
  <c r="I78" i="2"/>
  <c r="S78" i="2"/>
  <c r="Q78" i="2"/>
  <c r="AK67" i="1"/>
  <c r="Y91" i="2"/>
  <c r="X91" i="2"/>
  <c r="AC91" i="2"/>
  <c r="E91" i="2"/>
  <c r="AA91" i="2"/>
  <c r="Z91" i="2"/>
  <c r="AB91" i="2"/>
  <c r="Q99" i="2"/>
  <c r="I99" i="2"/>
  <c r="P99" i="2"/>
  <c r="H99" i="2"/>
  <c r="W99" i="2"/>
  <c r="O99" i="2"/>
  <c r="G99" i="2"/>
  <c r="V99" i="2"/>
  <c r="N99" i="2"/>
  <c r="F99" i="2"/>
  <c r="U99" i="2"/>
  <c r="M99" i="2"/>
  <c r="S99" i="2"/>
  <c r="K99" i="2"/>
  <c r="T99" i="2"/>
  <c r="R99" i="2"/>
  <c r="L99" i="2"/>
  <c r="J99" i="2"/>
  <c r="AH99" i="2" s="1"/>
  <c r="AK88" i="1"/>
  <c r="W109" i="2"/>
  <c r="O109" i="2"/>
  <c r="G109" i="2"/>
  <c r="R109" i="2"/>
  <c r="J109" i="2"/>
  <c r="AH109" i="2" s="1"/>
  <c r="S109" i="2"/>
  <c r="H109" i="2"/>
  <c r="Q109" i="2"/>
  <c r="F109" i="2"/>
  <c r="P109" i="2"/>
  <c r="N109" i="2"/>
  <c r="M109" i="2"/>
  <c r="U109" i="2"/>
  <c r="K109" i="2"/>
  <c r="L109" i="2"/>
  <c r="I109" i="2"/>
  <c r="V109" i="2"/>
  <c r="T109" i="2"/>
  <c r="AK98" i="1"/>
  <c r="Y111" i="2"/>
  <c r="AB111" i="2"/>
  <c r="AC111" i="2"/>
  <c r="AA111" i="2"/>
  <c r="Z111" i="2"/>
  <c r="E111" i="2"/>
  <c r="X111" i="2"/>
  <c r="P130" i="2"/>
  <c r="H130" i="2"/>
  <c r="S130" i="2"/>
  <c r="K130" i="2"/>
  <c r="Q130" i="2"/>
  <c r="F130" i="2"/>
  <c r="O130" i="2"/>
  <c r="N130" i="2"/>
  <c r="W130" i="2"/>
  <c r="M130" i="2"/>
  <c r="V130" i="2"/>
  <c r="L130" i="2"/>
  <c r="T130" i="2"/>
  <c r="I130" i="2"/>
  <c r="U130" i="2"/>
  <c r="R130" i="2"/>
  <c r="J130" i="2"/>
  <c r="AH130" i="2" s="1"/>
  <c r="G130" i="2"/>
  <c r="AK119" i="1"/>
  <c r="Z132" i="2"/>
  <c r="AC132" i="2"/>
  <c r="E132" i="2"/>
  <c r="AB132" i="2"/>
  <c r="AA132" i="2"/>
  <c r="Y132" i="2"/>
  <c r="X132" i="2"/>
  <c r="AB134" i="2"/>
  <c r="X134" i="2"/>
  <c r="AC134" i="2"/>
  <c r="E134" i="2"/>
  <c r="AA134" i="2"/>
  <c r="Y134" i="2"/>
  <c r="Z134" i="2"/>
  <c r="V142" i="2"/>
  <c r="N142" i="2"/>
  <c r="F142" i="2"/>
  <c r="U142" i="2"/>
  <c r="M142" i="2"/>
  <c r="T142" i="2"/>
  <c r="L142" i="2"/>
  <c r="S142" i="2"/>
  <c r="K142" i="2"/>
  <c r="P142" i="2"/>
  <c r="H142" i="2"/>
  <c r="W142" i="2"/>
  <c r="O142" i="2"/>
  <c r="G142" i="2"/>
  <c r="R142" i="2"/>
  <c r="Q142" i="2"/>
  <c r="J142" i="2"/>
  <c r="AH142" i="2" s="1"/>
  <c r="I142" i="2"/>
  <c r="AK131" i="1"/>
  <c r="AA159" i="2"/>
  <c r="Z159" i="2"/>
  <c r="Y159" i="2"/>
  <c r="X159" i="2"/>
  <c r="AC159" i="2"/>
  <c r="E159" i="2"/>
  <c r="AB159" i="2"/>
  <c r="U161" i="2"/>
  <c r="M161" i="2"/>
  <c r="T161" i="2"/>
  <c r="L161" i="2"/>
  <c r="S161" i="2"/>
  <c r="K161" i="2"/>
  <c r="R161" i="2"/>
  <c r="J161" i="2"/>
  <c r="AH161" i="2" s="1"/>
  <c r="W161" i="2"/>
  <c r="O161" i="2"/>
  <c r="G161" i="2"/>
  <c r="V161" i="2"/>
  <c r="N161" i="2"/>
  <c r="F161" i="2"/>
  <c r="Q161" i="2"/>
  <c r="P161" i="2"/>
  <c r="H161" i="2"/>
  <c r="I161" i="2"/>
  <c r="AK150" i="1"/>
  <c r="W163" i="2"/>
  <c r="O163" i="2"/>
  <c r="G163" i="2"/>
  <c r="V163" i="2"/>
  <c r="N163" i="2"/>
  <c r="F163" i="2"/>
  <c r="U163" i="2"/>
  <c r="M163" i="2"/>
  <c r="T163" i="2"/>
  <c r="L163" i="2"/>
  <c r="Q163" i="2"/>
  <c r="I163" i="2"/>
  <c r="P163" i="2"/>
  <c r="H163" i="2"/>
  <c r="S163" i="2"/>
  <c r="R163" i="2"/>
  <c r="K163" i="2"/>
  <c r="J163" i="2"/>
  <c r="AH163" i="2" s="1"/>
  <c r="AK152" i="1"/>
  <c r="AC180" i="2"/>
  <c r="AB180" i="2"/>
  <c r="AA180" i="2"/>
  <c r="Z180" i="2"/>
  <c r="E180" i="2"/>
  <c r="Y180" i="2"/>
  <c r="X180" i="2"/>
  <c r="AC206" i="2"/>
  <c r="E206" i="2"/>
  <c r="AB206" i="2"/>
  <c r="AA206" i="2"/>
  <c r="Y206" i="2"/>
  <c r="Z206" i="2"/>
  <c r="X206" i="2"/>
  <c r="Y208" i="2"/>
  <c r="X208" i="2"/>
  <c r="AC208" i="2"/>
  <c r="E208" i="2"/>
  <c r="AA208" i="2"/>
  <c r="AB208" i="2"/>
  <c r="Z208" i="2"/>
  <c r="U37" i="2"/>
  <c r="M37" i="2"/>
  <c r="T37" i="2"/>
  <c r="L37" i="2"/>
  <c r="S37" i="2"/>
  <c r="K37" i="2"/>
  <c r="R37" i="2"/>
  <c r="J37" i="2"/>
  <c r="AH37" i="2" s="1"/>
  <c r="P37" i="2"/>
  <c r="H37" i="2"/>
  <c r="W37" i="2"/>
  <c r="O37" i="2"/>
  <c r="G37" i="2"/>
  <c r="V37" i="2"/>
  <c r="Q37" i="2"/>
  <c r="I37" i="2"/>
  <c r="F37" i="2"/>
  <c r="AK26" i="1"/>
  <c r="N37" i="2"/>
  <c r="AC60" i="2"/>
  <c r="E60" i="2"/>
  <c r="AB60" i="2"/>
  <c r="AA60" i="2"/>
  <c r="X60" i="2"/>
  <c r="Z60" i="2"/>
  <c r="Y60" i="2"/>
  <c r="Y83" i="2"/>
  <c r="X83" i="2"/>
  <c r="AC83" i="2"/>
  <c r="E83" i="2"/>
  <c r="AA83" i="2"/>
  <c r="AB83" i="2"/>
  <c r="Z83" i="2"/>
  <c r="Q91" i="2"/>
  <c r="I91" i="2"/>
  <c r="P91" i="2"/>
  <c r="H91" i="2"/>
  <c r="W91" i="2"/>
  <c r="O91" i="2"/>
  <c r="G91" i="2"/>
  <c r="V91" i="2"/>
  <c r="N91" i="2"/>
  <c r="F91" i="2"/>
  <c r="U91" i="2"/>
  <c r="M91" i="2"/>
  <c r="S91" i="2"/>
  <c r="K91" i="2"/>
  <c r="T91" i="2"/>
  <c r="R91" i="2"/>
  <c r="L91" i="2"/>
  <c r="J91" i="2"/>
  <c r="AH91" i="2" s="1"/>
  <c r="AK80" i="1"/>
  <c r="S101" i="2"/>
  <c r="K101" i="2"/>
  <c r="R101" i="2"/>
  <c r="J101" i="2"/>
  <c r="AH101" i="2" s="1"/>
  <c r="Q101" i="2"/>
  <c r="I101" i="2"/>
  <c r="P101" i="2"/>
  <c r="H101" i="2"/>
  <c r="W101" i="2"/>
  <c r="O101" i="2"/>
  <c r="G101" i="2"/>
  <c r="U101" i="2"/>
  <c r="M101" i="2"/>
  <c r="V101" i="2"/>
  <c r="T101" i="2"/>
  <c r="N101" i="2"/>
  <c r="L101" i="2"/>
  <c r="F101" i="2"/>
  <c r="AK90" i="1"/>
  <c r="AC103" i="2"/>
  <c r="E103" i="2"/>
  <c r="AB103" i="2"/>
  <c r="AA103" i="2"/>
  <c r="Z103" i="2"/>
  <c r="Y103" i="2"/>
  <c r="X103" i="2"/>
  <c r="P122" i="2"/>
  <c r="H122" i="2"/>
  <c r="S122" i="2"/>
  <c r="K122" i="2"/>
  <c r="V122" i="2"/>
  <c r="L122" i="2"/>
  <c r="U122" i="2"/>
  <c r="J122" i="2"/>
  <c r="AH122" i="2" s="1"/>
  <c r="T122" i="2"/>
  <c r="I122" i="2"/>
  <c r="R122" i="2"/>
  <c r="G122" i="2"/>
  <c r="Q122" i="2"/>
  <c r="F122" i="2"/>
  <c r="N122" i="2"/>
  <c r="W122" i="2"/>
  <c r="O122" i="2"/>
  <c r="M122" i="2"/>
  <c r="AK111" i="1"/>
  <c r="Z124" i="2"/>
  <c r="AC124" i="2"/>
  <c r="E124" i="2"/>
  <c r="AB124" i="2"/>
  <c r="Y124" i="2"/>
  <c r="AA124" i="2"/>
  <c r="X124" i="2"/>
  <c r="AB126" i="2"/>
  <c r="Y126" i="2"/>
  <c r="X126" i="2"/>
  <c r="AA126" i="2"/>
  <c r="AC126" i="2"/>
  <c r="Z126" i="2"/>
  <c r="E126" i="2"/>
  <c r="T22" i="2"/>
  <c r="L22" i="2"/>
  <c r="R22" i="2"/>
  <c r="J22" i="2"/>
  <c r="AH22" i="2" s="1"/>
  <c r="Q22" i="2"/>
  <c r="I22" i="2"/>
  <c r="P22" i="2"/>
  <c r="H22" i="2"/>
  <c r="V22" i="2"/>
  <c r="N22" i="2"/>
  <c r="F22" i="2"/>
  <c r="U22" i="2"/>
  <c r="M22" i="2"/>
  <c r="O22" i="2"/>
  <c r="K22" i="2"/>
  <c r="G22" i="2"/>
  <c r="W22" i="2"/>
  <c r="S22" i="2"/>
  <c r="AK11" i="1"/>
  <c r="AA35" i="2"/>
  <c r="Y35" i="2"/>
  <c r="X35" i="2"/>
  <c r="AC35" i="2"/>
  <c r="E35" i="2"/>
  <c r="AB35" i="2"/>
  <c r="Z35" i="2"/>
  <c r="S43" i="2"/>
  <c r="K43" i="2"/>
  <c r="R43" i="2"/>
  <c r="J43" i="2"/>
  <c r="AH43" i="2" s="1"/>
  <c r="Q43" i="2"/>
  <c r="I43" i="2"/>
  <c r="P43" i="2"/>
  <c r="H43" i="2"/>
  <c r="W43" i="2"/>
  <c r="O43" i="2"/>
  <c r="G43" i="2"/>
  <c r="V43" i="2"/>
  <c r="N43" i="2"/>
  <c r="F43" i="2"/>
  <c r="U43" i="2"/>
  <c r="M43" i="2"/>
  <c r="T43" i="2"/>
  <c r="L43" i="2"/>
  <c r="AK32" i="1"/>
  <c r="U53" i="2"/>
  <c r="M53" i="2"/>
  <c r="T53" i="2"/>
  <c r="L53" i="2"/>
  <c r="S53" i="2"/>
  <c r="K53" i="2"/>
  <c r="R53" i="2"/>
  <c r="J53" i="2"/>
  <c r="AH53" i="2" s="1"/>
  <c r="Q53" i="2"/>
  <c r="I53" i="2"/>
  <c r="P53" i="2"/>
  <c r="H53" i="2"/>
  <c r="W53" i="2"/>
  <c r="O53" i="2"/>
  <c r="G53" i="2"/>
  <c r="V53" i="2"/>
  <c r="N53" i="2"/>
  <c r="F53" i="2"/>
  <c r="AK42" i="1"/>
  <c r="AC55" i="2"/>
  <c r="E55" i="2"/>
  <c r="AB55" i="2"/>
  <c r="AA55" i="2"/>
  <c r="Z55" i="2"/>
  <c r="Y55" i="2"/>
  <c r="X55" i="2"/>
  <c r="T74" i="2"/>
  <c r="L74" i="2"/>
  <c r="S74" i="2"/>
  <c r="K74" i="2"/>
  <c r="R74" i="2"/>
  <c r="J74" i="2"/>
  <c r="AH74" i="2" s="1"/>
  <c r="Q74" i="2"/>
  <c r="I74" i="2"/>
  <c r="V74" i="2"/>
  <c r="N74" i="2"/>
  <c r="F74" i="2"/>
  <c r="W74" i="2"/>
  <c r="U74" i="2"/>
  <c r="P74" i="2"/>
  <c r="O74" i="2"/>
  <c r="M74" i="2"/>
  <c r="H74" i="2"/>
  <c r="G74" i="2"/>
  <c r="AK63" i="1"/>
  <c r="AC76" i="2"/>
  <c r="E76" i="2"/>
  <c r="AB76" i="2"/>
  <c r="AA76" i="2"/>
  <c r="X76" i="2"/>
  <c r="Y76" i="2"/>
  <c r="Z76" i="2"/>
  <c r="X78" i="2"/>
  <c r="AC78" i="2"/>
  <c r="E78" i="2"/>
  <c r="AB78" i="2"/>
  <c r="Z78" i="2"/>
  <c r="AA78" i="2"/>
  <c r="Y78" i="2"/>
  <c r="P86" i="2"/>
  <c r="H86" i="2"/>
  <c r="W86" i="2"/>
  <c r="O86" i="2"/>
  <c r="G86" i="2"/>
  <c r="V86" i="2"/>
  <c r="N86" i="2"/>
  <c r="F86" i="2"/>
  <c r="U86" i="2"/>
  <c r="M86" i="2"/>
  <c r="T86" i="2"/>
  <c r="L86" i="2"/>
  <c r="R86" i="2"/>
  <c r="J86" i="2"/>
  <c r="AH86" i="2" s="1"/>
  <c r="S86" i="2"/>
  <c r="Q86" i="2"/>
  <c r="K86" i="2"/>
  <c r="I86" i="2"/>
  <c r="AK75" i="1"/>
  <c r="Y99" i="2"/>
  <c r="X99" i="2"/>
  <c r="AC99" i="2"/>
  <c r="E99" i="2"/>
  <c r="AA99" i="2"/>
  <c r="AB99" i="2"/>
  <c r="Z99" i="2"/>
  <c r="Q107" i="2"/>
  <c r="I107" i="2"/>
  <c r="P107" i="2"/>
  <c r="H107" i="2"/>
  <c r="W107" i="2"/>
  <c r="O107" i="2"/>
  <c r="G107" i="2"/>
  <c r="V107" i="2"/>
  <c r="N107" i="2"/>
  <c r="F107" i="2"/>
  <c r="U107" i="2"/>
  <c r="M107" i="2"/>
  <c r="S107" i="2"/>
  <c r="K107" i="2"/>
  <c r="L107" i="2"/>
  <c r="J107" i="2"/>
  <c r="AH107" i="2" s="1"/>
  <c r="T107" i="2"/>
  <c r="R107" i="2"/>
  <c r="AK96" i="1"/>
  <c r="W117" i="2"/>
  <c r="O117" i="2"/>
  <c r="G117" i="2"/>
  <c r="R117" i="2"/>
  <c r="J117" i="2"/>
  <c r="AH117" i="2" s="1"/>
  <c r="M117" i="2"/>
  <c r="V117" i="2"/>
  <c r="L117" i="2"/>
  <c r="U117" i="2"/>
  <c r="K117" i="2"/>
  <c r="T117" i="2"/>
  <c r="I117" i="2"/>
  <c r="S117" i="2"/>
  <c r="H117" i="2"/>
  <c r="P117" i="2"/>
  <c r="F117" i="2"/>
  <c r="Q117" i="2"/>
  <c r="N117" i="2"/>
  <c r="AK106" i="1"/>
  <c r="Y119" i="2"/>
  <c r="AB119" i="2"/>
  <c r="X119" i="2"/>
  <c r="AA119" i="2"/>
  <c r="Z119" i="2"/>
  <c r="E119" i="2"/>
  <c r="AC119" i="2"/>
  <c r="Q138" i="2"/>
  <c r="I138" i="2"/>
  <c r="P138" i="2"/>
  <c r="H138" i="2"/>
  <c r="W138" i="2"/>
  <c r="O138" i="2"/>
  <c r="G138" i="2"/>
  <c r="T138" i="2"/>
  <c r="L138" i="2"/>
  <c r="S138" i="2"/>
  <c r="K138" i="2"/>
  <c r="V138" i="2"/>
  <c r="U138" i="2"/>
  <c r="R138" i="2"/>
  <c r="N138" i="2"/>
  <c r="M138" i="2"/>
  <c r="F138" i="2"/>
  <c r="J138" i="2"/>
  <c r="AH138" i="2" s="1"/>
  <c r="AK127" i="1"/>
  <c r="AB140" i="2"/>
  <c r="AA140" i="2"/>
  <c r="Z140" i="2"/>
  <c r="Y140" i="2"/>
  <c r="AC140" i="2"/>
  <c r="E140" i="2"/>
  <c r="X140" i="2"/>
  <c r="AC142" i="2"/>
  <c r="E142" i="2"/>
  <c r="AB142" i="2"/>
  <c r="AA142" i="2"/>
  <c r="X142" i="2"/>
  <c r="Z142" i="2"/>
  <c r="Y142" i="2"/>
  <c r="V150" i="2"/>
  <c r="N150" i="2"/>
  <c r="F150" i="2"/>
  <c r="U150" i="2"/>
  <c r="M150" i="2"/>
  <c r="T150" i="2"/>
  <c r="L150" i="2"/>
  <c r="S150" i="2"/>
  <c r="K150" i="2"/>
  <c r="P150" i="2"/>
  <c r="H150" i="2"/>
  <c r="W150" i="2"/>
  <c r="O150" i="2"/>
  <c r="G150" i="2"/>
  <c r="R150" i="2"/>
  <c r="Q150" i="2"/>
  <c r="J150" i="2"/>
  <c r="AH150" i="2" s="1"/>
  <c r="I150" i="2"/>
  <c r="AK139" i="1"/>
  <c r="X176" i="2"/>
  <c r="AC176" i="2"/>
  <c r="E176" i="2"/>
  <c r="Z176" i="2"/>
  <c r="Y176" i="2"/>
  <c r="AA176" i="2"/>
  <c r="AB176" i="2"/>
  <c r="R189" i="2"/>
  <c r="J189" i="2"/>
  <c r="AH189" i="2" s="1"/>
  <c r="Q189" i="2"/>
  <c r="I189" i="2"/>
  <c r="P189" i="2"/>
  <c r="H189" i="2"/>
  <c r="W189" i="2"/>
  <c r="O189" i="2"/>
  <c r="G189" i="2"/>
  <c r="V189" i="2"/>
  <c r="N189" i="2"/>
  <c r="F189" i="2"/>
  <c r="T189" i="2"/>
  <c r="L189" i="2"/>
  <c r="U189" i="2"/>
  <c r="K189" i="2"/>
  <c r="S189" i="2"/>
  <c r="M189" i="2"/>
  <c r="AK178" i="1"/>
  <c r="T191" i="2"/>
  <c r="L191" i="2"/>
  <c r="S191" i="2"/>
  <c r="K191" i="2"/>
  <c r="R191" i="2"/>
  <c r="J191" i="2"/>
  <c r="AH191" i="2" s="1"/>
  <c r="Q191" i="2"/>
  <c r="I191" i="2"/>
  <c r="P191" i="2"/>
  <c r="H191" i="2"/>
  <c r="V191" i="2"/>
  <c r="N191" i="2"/>
  <c r="F191" i="2"/>
  <c r="W191" i="2"/>
  <c r="U191" i="2"/>
  <c r="O191" i="2"/>
  <c r="M191" i="2"/>
  <c r="G191" i="2"/>
  <c r="AK180" i="1"/>
  <c r="T199" i="2"/>
  <c r="L199" i="2"/>
  <c r="S199" i="2"/>
  <c r="K199" i="2"/>
  <c r="R199" i="2"/>
  <c r="J199" i="2"/>
  <c r="AH199" i="2" s="1"/>
  <c r="Q199" i="2"/>
  <c r="I199" i="2"/>
  <c r="P199" i="2"/>
  <c r="H199" i="2"/>
  <c r="V199" i="2"/>
  <c r="N199" i="2"/>
  <c r="F199" i="2"/>
  <c r="G199" i="2"/>
  <c r="O199" i="2"/>
  <c r="M199" i="2"/>
  <c r="W199" i="2"/>
  <c r="U199" i="2"/>
  <c r="AK188" i="1"/>
  <c r="T58" i="2"/>
  <c r="L58" i="2"/>
  <c r="S58" i="2"/>
  <c r="K58" i="2"/>
  <c r="R58" i="2"/>
  <c r="J58" i="2"/>
  <c r="AH58" i="2" s="1"/>
  <c r="Q58" i="2"/>
  <c r="I58" i="2"/>
  <c r="V58" i="2"/>
  <c r="N58" i="2"/>
  <c r="O58" i="2"/>
  <c r="M58" i="2"/>
  <c r="H58" i="2"/>
  <c r="G58" i="2"/>
  <c r="F58" i="2"/>
  <c r="W58" i="2"/>
  <c r="U58" i="2"/>
  <c r="P58" i="2"/>
  <c r="AK47" i="1"/>
  <c r="AB22" i="2"/>
  <c r="Z22" i="2"/>
  <c r="Y22" i="2"/>
  <c r="X22" i="2"/>
  <c r="AC22" i="2"/>
  <c r="E22" i="2"/>
  <c r="AA22" i="2"/>
  <c r="S51" i="2"/>
  <c r="K51" i="2"/>
  <c r="R51" i="2"/>
  <c r="J51" i="2"/>
  <c r="AH51" i="2" s="1"/>
  <c r="Q51" i="2"/>
  <c r="I51" i="2"/>
  <c r="P51" i="2"/>
  <c r="H51" i="2"/>
  <c r="W51" i="2"/>
  <c r="O51" i="2"/>
  <c r="G51" i="2"/>
  <c r="V51" i="2"/>
  <c r="N51" i="2"/>
  <c r="F51" i="2"/>
  <c r="U51" i="2"/>
  <c r="M51" i="2"/>
  <c r="L51" i="2"/>
  <c r="T51" i="2"/>
  <c r="AK40" i="1"/>
  <c r="T82" i="2"/>
  <c r="L82" i="2"/>
  <c r="S82" i="2"/>
  <c r="K82" i="2"/>
  <c r="R82" i="2"/>
  <c r="J82" i="2"/>
  <c r="AH82" i="2" s="1"/>
  <c r="Q82" i="2"/>
  <c r="I82" i="2"/>
  <c r="P82" i="2"/>
  <c r="H82" i="2"/>
  <c r="V82" i="2"/>
  <c r="N82" i="2"/>
  <c r="F82" i="2"/>
  <c r="W82" i="2"/>
  <c r="U82" i="2"/>
  <c r="O82" i="2"/>
  <c r="M82" i="2"/>
  <c r="G82" i="2"/>
  <c r="AK71" i="1"/>
  <c r="X86" i="2"/>
  <c r="AC86" i="2"/>
  <c r="E86" i="2"/>
  <c r="AB86" i="2"/>
  <c r="Z86" i="2"/>
  <c r="AA86" i="2"/>
  <c r="Y86" i="2"/>
  <c r="P94" i="2"/>
  <c r="H94" i="2"/>
  <c r="W94" i="2"/>
  <c r="O94" i="2"/>
  <c r="G94" i="2"/>
  <c r="V94" i="2"/>
  <c r="N94" i="2"/>
  <c r="F94" i="2"/>
  <c r="U94" i="2"/>
  <c r="M94" i="2"/>
  <c r="T94" i="2"/>
  <c r="L94" i="2"/>
  <c r="R94" i="2"/>
  <c r="J94" i="2"/>
  <c r="AH94" i="2" s="1"/>
  <c r="S94" i="2"/>
  <c r="Q94" i="2"/>
  <c r="K94" i="2"/>
  <c r="I94" i="2"/>
  <c r="AK83" i="1"/>
  <c r="W125" i="2"/>
  <c r="O125" i="2"/>
  <c r="G125" i="2"/>
  <c r="R125" i="2"/>
  <c r="J125" i="2"/>
  <c r="AH125" i="2" s="1"/>
  <c r="S125" i="2"/>
  <c r="H125" i="2"/>
  <c r="Q125" i="2"/>
  <c r="F125" i="2"/>
  <c r="P125" i="2"/>
  <c r="N125" i="2"/>
  <c r="M125" i="2"/>
  <c r="U125" i="2"/>
  <c r="K125" i="2"/>
  <c r="T125" i="2"/>
  <c r="L125" i="2"/>
  <c r="I125" i="2"/>
  <c r="V125" i="2"/>
  <c r="AK114" i="1"/>
  <c r="Y127" i="2"/>
  <c r="AB127" i="2"/>
  <c r="AC127" i="2"/>
  <c r="AA127" i="2"/>
  <c r="Z127" i="2"/>
  <c r="E127" i="2"/>
  <c r="X127" i="2"/>
  <c r="R146" i="2"/>
  <c r="J146" i="2"/>
  <c r="AH146" i="2" s="1"/>
  <c r="Q146" i="2"/>
  <c r="I146" i="2"/>
  <c r="P146" i="2"/>
  <c r="H146" i="2"/>
  <c r="W146" i="2"/>
  <c r="O146" i="2"/>
  <c r="G146" i="2"/>
  <c r="T146" i="2"/>
  <c r="L146" i="2"/>
  <c r="S146" i="2"/>
  <c r="K146" i="2"/>
  <c r="V146" i="2"/>
  <c r="U146" i="2"/>
  <c r="N146" i="2"/>
  <c r="F146" i="2"/>
  <c r="M146" i="2"/>
  <c r="AK135" i="1"/>
  <c r="AB148" i="2"/>
  <c r="AA148" i="2"/>
  <c r="Z148" i="2"/>
  <c r="Y148" i="2"/>
  <c r="AC148" i="2"/>
  <c r="E148" i="2"/>
  <c r="X148" i="2"/>
  <c r="AC150" i="2"/>
  <c r="E150" i="2"/>
  <c r="AB150" i="2"/>
  <c r="AA150" i="2"/>
  <c r="X150" i="2"/>
  <c r="Y150" i="2"/>
  <c r="Z150" i="2"/>
  <c r="AB156" i="2"/>
  <c r="AA156" i="2"/>
  <c r="Z156" i="2"/>
  <c r="Y156" i="2"/>
  <c r="AC156" i="2"/>
  <c r="E156" i="2"/>
  <c r="X156" i="2"/>
  <c r="AB172" i="2"/>
  <c r="AA172" i="2"/>
  <c r="Z172" i="2"/>
  <c r="Y172" i="2"/>
  <c r="AC172" i="2"/>
  <c r="E172" i="2"/>
  <c r="X172" i="2"/>
  <c r="V185" i="2"/>
  <c r="N185" i="2"/>
  <c r="F185" i="2"/>
  <c r="U185" i="2"/>
  <c r="M185" i="2"/>
  <c r="T185" i="2"/>
  <c r="L185" i="2"/>
  <c r="S185" i="2"/>
  <c r="K185" i="2"/>
  <c r="R185" i="2"/>
  <c r="J185" i="2"/>
  <c r="AH185" i="2" s="1"/>
  <c r="P185" i="2"/>
  <c r="H185" i="2"/>
  <c r="Q185" i="2"/>
  <c r="O185" i="2"/>
  <c r="I185" i="2"/>
  <c r="G185" i="2"/>
  <c r="W185" i="2"/>
  <c r="AK174" i="1"/>
  <c r="P187" i="2"/>
  <c r="H187" i="2"/>
  <c r="W187" i="2"/>
  <c r="O187" i="2"/>
  <c r="G187" i="2"/>
  <c r="V187" i="2"/>
  <c r="N187" i="2"/>
  <c r="F187" i="2"/>
  <c r="U187" i="2"/>
  <c r="M187" i="2"/>
  <c r="T187" i="2"/>
  <c r="L187" i="2"/>
  <c r="R187" i="2"/>
  <c r="J187" i="2"/>
  <c r="AH187" i="2" s="1"/>
  <c r="K187" i="2"/>
  <c r="I187" i="2"/>
  <c r="S187" i="2"/>
  <c r="Q187" i="2"/>
  <c r="AK176" i="1"/>
  <c r="AC39" i="2"/>
  <c r="E39" i="2"/>
  <c r="AB39" i="2"/>
  <c r="Z39" i="2"/>
  <c r="Y39" i="2"/>
  <c r="X39" i="2"/>
  <c r="AA39" i="2"/>
  <c r="P70" i="2"/>
  <c r="H70" i="2"/>
  <c r="W70" i="2"/>
  <c r="O70" i="2"/>
  <c r="G70" i="2"/>
  <c r="V70" i="2"/>
  <c r="N70" i="2"/>
  <c r="F70" i="2"/>
  <c r="U70" i="2"/>
  <c r="M70" i="2"/>
  <c r="R70" i="2"/>
  <c r="J70" i="2"/>
  <c r="AH70" i="2" s="1"/>
  <c r="I70" i="2"/>
  <c r="T70" i="2"/>
  <c r="S70" i="2"/>
  <c r="Q70" i="2"/>
  <c r="L70" i="2"/>
  <c r="K70" i="2"/>
  <c r="AK59" i="1"/>
  <c r="Z20" i="2"/>
  <c r="X20" i="2"/>
  <c r="AB20" i="2"/>
  <c r="AA20" i="2"/>
  <c r="Y20" i="2"/>
  <c r="E20" i="2"/>
  <c r="AC20" i="2"/>
  <c r="AA43" i="2"/>
  <c r="Z43" i="2"/>
  <c r="Y43" i="2"/>
  <c r="X43" i="2"/>
  <c r="AC43" i="2"/>
  <c r="E43" i="2"/>
  <c r="AB43" i="2"/>
  <c r="AC63" i="2"/>
  <c r="E63" i="2"/>
  <c r="AB63" i="2"/>
  <c r="AA63" i="2"/>
  <c r="Z63" i="2"/>
  <c r="Y63" i="2"/>
  <c r="X63" i="2"/>
  <c r="Y107" i="2"/>
  <c r="X107" i="2"/>
  <c r="AC107" i="2"/>
  <c r="E107" i="2"/>
  <c r="AA107" i="2"/>
  <c r="AB107" i="2"/>
  <c r="Z107" i="2"/>
  <c r="AA51" i="2"/>
  <c r="Z51" i="2"/>
  <c r="Y51" i="2"/>
  <c r="X51" i="2"/>
  <c r="AC51" i="2"/>
  <c r="E51" i="2"/>
  <c r="AB51" i="2"/>
  <c r="Q59" i="2"/>
  <c r="I59" i="2"/>
  <c r="P59" i="2"/>
  <c r="H59" i="2"/>
  <c r="W59" i="2"/>
  <c r="O59" i="2"/>
  <c r="G59" i="2"/>
  <c r="V59" i="2"/>
  <c r="N59" i="2"/>
  <c r="F59" i="2"/>
  <c r="S59" i="2"/>
  <c r="K59" i="2"/>
  <c r="R59" i="2"/>
  <c r="M59" i="2"/>
  <c r="L59" i="2"/>
  <c r="J59" i="2"/>
  <c r="AH59" i="2" s="1"/>
  <c r="U59" i="2"/>
  <c r="T59" i="2"/>
  <c r="AK48" i="1"/>
  <c r="S69" i="2"/>
  <c r="K69" i="2"/>
  <c r="R69" i="2"/>
  <c r="J69" i="2"/>
  <c r="AH69" i="2" s="1"/>
  <c r="Q69" i="2"/>
  <c r="I69" i="2"/>
  <c r="P69" i="2"/>
  <c r="H69" i="2"/>
  <c r="U69" i="2"/>
  <c r="M69" i="2"/>
  <c r="F69" i="2"/>
  <c r="W69" i="2"/>
  <c r="V69" i="2"/>
  <c r="T69" i="2"/>
  <c r="O69" i="2"/>
  <c r="N69" i="2"/>
  <c r="L69" i="2"/>
  <c r="G69" i="2"/>
  <c r="AK58" i="1"/>
  <c r="AC71" i="2"/>
  <c r="E71" i="2"/>
  <c r="AB71" i="2"/>
  <c r="AA71" i="2"/>
  <c r="Z71" i="2"/>
  <c r="Y71" i="2"/>
  <c r="X71" i="2"/>
  <c r="T90" i="2"/>
  <c r="L90" i="2"/>
  <c r="S90" i="2"/>
  <c r="K90" i="2"/>
  <c r="R90" i="2"/>
  <c r="J90" i="2"/>
  <c r="AH90" i="2" s="1"/>
  <c r="Q90" i="2"/>
  <c r="I90" i="2"/>
  <c r="P90" i="2"/>
  <c r="H90" i="2"/>
  <c r="V90" i="2"/>
  <c r="N90" i="2"/>
  <c r="F90" i="2"/>
  <c r="G90" i="2"/>
  <c r="W90" i="2"/>
  <c r="U90" i="2"/>
  <c r="O90" i="2"/>
  <c r="M90" i="2"/>
  <c r="AK79" i="1"/>
  <c r="AC92" i="2"/>
  <c r="E92" i="2"/>
  <c r="AB92" i="2"/>
  <c r="AA92" i="2"/>
  <c r="Z92" i="2"/>
  <c r="X92" i="2"/>
  <c r="Y92" i="2"/>
  <c r="X94" i="2"/>
  <c r="AC94" i="2"/>
  <c r="E94" i="2"/>
  <c r="AB94" i="2"/>
  <c r="Z94" i="2"/>
  <c r="AA94" i="2"/>
  <c r="Y94" i="2"/>
  <c r="P102" i="2"/>
  <c r="H102" i="2"/>
  <c r="W102" i="2"/>
  <c r="O102" i="2"/>
  <c r="G102" i="2"/>
  <c r="V102" i="2"/>
  <c r="N102" i="2"/>
  <c r="F102" i="2"/>
  <c r="U102" i="2"/>
  <c r="M102" i="2"/>
  <c r="T102" i="2"/>
  <c r="L102" i="2"/>
  <c r="R102" i="2"/>
  <c r="J102" i="2"/>
  <c r="AH102" i="2" s="1"/>
  <c r="K102" i="2"/>
  <c r="I102" i="2"/>
  <c r="S102" i="2"/>
  <c r="Q102" i="2"/>
  <c r="AK91" i="1"/>
  <c r="AC115" i="2"/>
  <c r="E115" i="2"/>
  <c r="X115" i="2"/>
  <c r="AB115" i="2"/>
  <c r="Z115" i="2"/>
  <c r="AA115" i="2"/>
  <c r="Y115" i="2"/>
  <c r="U123" i="2"/>
  <c r="M123" i="2"/>
  <c r="P123" i="2"/>
  <c r="H123" i="2"/>
  <c r="R123" i="2"/>
  <c r="G123" i="2"/>
  <c r="Q123" i="2"/>
  <c r="F123" i="2"/>
  <c r="O123" i="2"/>
  <c r="N123" i="2"/>
  <c r="W123" i="2"/>
  <c r="L123" i="2"/>
  <c r="T123" i="2"/>
  <c r="J123" i="2"/>
  <c r="AH123" i="2" s="1"/>
  <c r="V123" i="2"/>
  <c r="S123" i="2"/>
  <c r="K123" i="2"/>
  <c r="I123" i="2"/>
  <c r="AK112" i="1"/>
  <c r="AE127" i="2"/>
  <c r="Y135" i="2"/>
  <c r="AC135" i="2"/>
  <c r="E135" i="2"/>
  <c r="AB135" i="2"/>
  <c r="AA135" i="2"/>
  <c r="Z135" i="2"/>
  <c r="X135" i="2"/>
  <c r="V158" i="2"/>
  <c r="N158" i="2"/>
  <c r="F158" i="2"/>
  <c r="U158" i="2"/>
  <c r="M158" i="2"/>
  <c r="T158" i="2"/>
  <c r="L158" i="2"/>
  <c r="S158" i="2"/>
  <c r="K158" i="2"/>
  <c r="P158" i="2"/>
  <c r="H158" i="2"/>
  <c r="W158" i="2"/>
  <c r="O158" i="2"/>
  <c r="G158" i="2"/>
  <c r="R158" i="2"/>
  <c r="Q158" i="2"/>
  <c r="J158" i="2"/>
  <c r="AH158" i="2" s="1"/>
  <c r="I158" i="2"/>
  <c r="AK147" i="1"/>
  <c r="X168" i="2"/>
  <c r="AC168" i="2"/>
  <c r="E168" i="2"/>
  <c r="Z168" i="2"/>
  <c r="Y168" i="2"/>
  <c r="AB168" i="2"/>
  <c r="AA168" i="2"/>
  <c r="R181" i="2"/>
  <c r="J181" i="2"/>
  <c r="AH181" i="2" s="1"/>
  <c r="Q181" i="2"/>
  <c r="I181" i="2"/>
  <c r="P181" i="2"/>
  <c r="H181" i="2"/>
  <c r="W181" i="2"/>
  <c r="O181" i="2"/>
  <c r="G181" i="2"/>
  <c r="V181" i="2"/>
  <c r="N181" i="2"/>
  <c r="F181" i="2"/>
  <c r="T181" i="2"/>
  <c r="L181" i="2"/>
  <c r="U181" i="2"/>
  <c r="S181" i="2"/>
  <c r="M181" i="2"/>
  <c r="K181" i="2"/>
  <c r="AK170" i="1"/>
  <c r="T183" i="2"/>
  <c r="L183" i="2"/>
  <c r="S183" i="2"/>
  <c r="K183" i="2"/>
  <c r="R183" i="2"/>
  <c r="J183" i="2"/>
  <c r="AH183" i="2" s="1"/>
  <c r="Q183" i="2"/>
  <c r="I183" i="2"/>
  <c r="P183" i="2"/>
  <c r="H183" i="2"/>
  <c r="V183" i="2"/>
  <c r="N183" i="2"/>
  <c r="F183" i="2"/>
  <c r="U183" i="2"/>
  <c r="O183" i="2"/>
  <c r="M183" i="2"/>
  <c r="G183" i="2"/>
  <c r="W183" i="2"/>
  <c r="AK172" i="1"/>
  <c r="S61" i="2"/>
  <c r="K61" i="2"/>
  <c r="R61" i="2"/>
  <c r="J61" i="2"/>
  <c r="AH61" i="2" s="1"/>
  <c r="Q61" i="2"/>
  <c r="I61" i="2"/>
  <c r="P61" i="2"/>
  <c r="H61" i="2"/>
  <c r="U61" i="2"/>
  <c r="M61" i="2"/>
  <c r="N61" i="2"/>
  <c r="L61" i="2"/>
  <c r="G61" i="2"/>
  <c r="F61" i="2"/>
  <c r="W61" i="2"/>
  <c r="V61" i="2"/>
  <c r="T61" i="2"/>
  <c r="AK50" i="1"/>
  <c r="O61" i="2"/>
  <c r="AC84" i="2"/>
  <c r="E84" i="2"/>
  <c r="AB84" i="2"/>
  <c r="AA84" i="2"/>
  <c r="Z84" i="2"/>
  <c r="X84" i="2"/>
  <c r="Y84" i="2"/>
  <c r="P26" i="2"/>
  <c r="H26" i="2"/>
  <c r="V26" i="2"/>
  <c r="N26" i="2"/>
  <c r="F26" i="2"/>
  <c r="U26" i="2"/>
  <c r="M26" i="2"/>
  <c r="T26" i="2"/>
  <c r="L26" i="2"/>
  <c r="R26" i="2"/>
  <c r="J26" i="2"/>
  <c r="AH26" i="2" s="1"/>
  <c r="Q26" i="2"/>
  <c r="I26" i="2"/>
  <c r="W26" i="2"/>
  <c r="O26" i="2"/>
  <c r="S26" i="2"/>
  <c r="K26" i="2"/>
  <c r="AK15" i="1"/>
  <c r="G26" i="2"/>
  <c r="Z28" i="2"/>
  <c r="X28" i="2"/>
  <c r="AB28" i="2"/>
  <c r="AA28" i="2"/>
  <c r="AC28" i="2"/>
  <c r="Y28" i="2"/>
  <c r="E28" i="2"/>
  <c r="X30" i="2"/>
  <c r="AB30" i="2"/>
  <c r="Z30" i="2"/>
  <c r="E30" i="2"/>
  <c r="AC30" i="2"/>
  <c r="AA30" i="2"/>
  <c r="Y30" i="2"/>
  <c r="R38" i="2"/>
  <c r="J38" i="2"/>
  <c r="AH38" i="2" s="1"/>
  <c r="Q38" i="2"/>
  <c r="I38" i="2"/>
  <c r="P38" i="2"/>
  <c r="H38" i="2"/>
  <c r="W38" i="2"/>
  <c r="O38" i="2"/>
  <c r="G38" i="2"/>
  <c r="U38" i="2"/>
  <c r="M38" i="2"/>
  <c r="T38" i="2"/>
  <c r="L38" i="2"/>
  <c r="K38" i="2"/>
  <c r="S38" i="2"/>
  <c r="N38" i="2"/>
  <c r="V38" i="2"/>
  <c r="F38" i="2"/>
  <c r="AK27" i="1"/>
  <c r="W133" i="2"/>
  <c r="O133" i="2"/>
  <c r="G133" i="2"/>
  <c r="R133" i="2"/>
  <c r="J133" i="2"/>
  <c r="AH133" i="2" s="1"/>
  <c r="M133" i="2"/>
  <c r="V133" i="2"/>
  <c r="L133" i="2"/>
  <c r="U133" i="2"/>
  <c r="K133" i="2"/>
  <c r="T133" i="2"/>
  <c r="I133" i="2"/>
  <c r="S133" i="2"/>
  <c r="H133" i="2"/>
  <c r="P133" i="2"/>
  <c r="Q133" i="2"/>
  <c r="N133" i="2"/>
  <c r="F133" i="2"/>
  <c r="AK122" i="1"/>
  <c r="V34" i="2"/>
  <c r="N34" i="2"/>
  <c r="F34" i="2"/>
  <c r="T34" i="2"/>
  <c r="L34" i="2"/>
  <c r="S34" i="2"/>
  <c r="K34" i="2"/>
  <c r="P34" i="2"/>
  <c r="H34" i="2"/>
  <c r="M34" i="2"/>
  <c r="I34" i="2"/>
  <c r="W34" i="2"/>
  <c r="G34" i="2"/>
  <c r="U34" i="2"/>
  <c r="Q34" i="2"/>
  <c r="O34" i="2"/>
  <c r="R34" i="2"/>
  <c r="J34" i="2"/>
  <c r="AH34" i="2" s="1"/>
  <c r="AK23" i="1"/>
  <c r="X36" i="2"/>
  <c r="AC36" i="2"/>
  <c r="E36" i="2"/>
  <c r="AA36" i="2"/>
  <c r="Z36" i="2"/>
  <c r="AB36" i="2"/>
  <c r="Y36" i="2"/>
  <c r="Z38" i="2"/>
  <c r="Y38" i="2"/>
  <c r="X38" i="2"/>
  <c r="AC38" i="2"/>
  <c r="E38" i="2"/>
  <c r="AB38" i="2"/>
  <c r="AA38" i="2"/>
  <c r="R46" i="2"/>
  <c r="J46" i="2"/>
  <c r="AH46" i="2" s="1"/>
  <c r="Q46" i="2"/>
  <c r="I46" i="2"/>
  <c r="P46" i="2"/>
  <c r="H46" i="2"/>
  <c r="W46" i="2"/>
  <c r="O46" i="2"/>
  <c r="G46" i="2"/>
  <c r="V46" i="2"/>
  <c r="N46" i="2"/>
  <c r="F46" i="2"/>
  <c r="U46" i="2"/>
  <c r="M46" i="2"/>
  <c r="T46" i="2"/>
  <c r="L46" i="2"/>
  <c r="S46" i="2"/>
  <c r="K46" i="2"/>
  <c r="AK35" i="1"/>
  <c r="Y59" i="2"/>
  <c r="X59" i="2"/>
  <c r="AA59" i="2"/>
  <c r="AC59" i="2"/>
  <c r="AB59" i="2"/>
  <c r="E59" i="2"/>
  <c r="Z59" i="2"/>
  <c r="Q67" i="2"/>
  <c r="I67" i="2"/>
  <c r="P67" i="2"/>
  <c r="H67" i="2"/>
  <c r="W67" i="2"/>
  <c r="O67" i="2"/>
  <c r="G67" i="2"/>
  <c r="V67" i="2"/>
  <c r="N67" i="2"/>
  <c r="F67" i="2"/>
  <c r="S67" i="2"/>
  <c r="K67" i="2"/>
  <c r="J67" i="2"/>
  <c r="AH67" i="2" s="1"/>
  <c r="U67" i="2"/>
  <c r="T67" i="2"/>
  <c r="R67" i="2"/>
  <c r="M67" i="2"/>
  <c r="L67" i="2"/>
  <c r="AK56" i="1"/>
  <c r="S77" i="2"/>
  <c r="K77" i="2"/>
  <c r="R77" i="2"/>
  <c r="J77" i="2"/>
  <c r="AH77" i="2" s="1"/>
  <c r="Q77" i="2"/>
  <c r="I77" i="2"/>
  <c r="P77" i="2"/>
  <c r="H77" i="2"/>
  <c r="W77" i="2"/>
  <c r="O77" i="2"/>
  <c r="G77" i="2"/>
  <c r="U77" i="2"/>
  <c r="M77" i="2"/>
  <c r="V77" i="2"/>
  <c r="T77" i="2"/>
  <c r="N77" i="2"/>
  <c r="L77" i="2"/>
  <c r="F77" i="2"/>
  <c r="AK66" i="1"/>
  <c r="AC79" i="2"/>
  <c r="E79" i="2"/>
  <c r="AB79" i="2"/>
  <c r="AA79" i="2"/>
  <c r="Z79" i="2"/>
  <c r="Y79" i="2"/>
  <c r="X79" i="2"/>
  <c r="T98" i="2"/>
  <c r="L98" i="2"/>
  <c r="S98" i="2"/>
  <c r="K98" i="2"/>
  <c r="R98" i="2"/>
  <c r="J98" i="2"/>
  <c r="AH98" i="2" s="1"/>
  <c r="Q98" i="2"/>
  <c r="I98" i="2"/>
  <c r="P98" i="2"/>
  <c r="H98" i="2"/>
  <c r="V98" i="2"/>
  <c r="N98" i="2"/>
  <c r="F98" i="2"/>
  <c r="U98" i="2"/>
  <c r="O98" i="2"/>
  <c r="M98" i="2"/>
  <c r="G98" i="2"/>
  <c r="W98" i="2"/>
  <c r="AK87" i="1"/>
  <c r="AC100" i="2"/>
  <c r="E100" i="2"/>
  <c r="AB100" i="2"/>
  <c r="AA100" i="2"/>
  <c r="Z100" i="2"/>
  <c r="X100" i="2"/>
  <c r="Y100" i="2"/>
  <c r="X102" i="2"/>
  <c r="AC102" i="2"/>
  <c r="E102" i="2"/>
  <c r="AB102" i="2"/>
  <c r="Z102" i="2"/>
  <c r="AA102" i="2"/>
  <c r="Y102" i="2"/>
  <c r="T110" i="2"/>
  <c r="L110" i="2"/>
  <c r="W110" i="2"/>
  <c r="O110" i="2"/>
  <c r="G110" i="2"/>
  <c r="N110" i="2"/>
  <c r="M110" i="2"/>
  <c r="V110" i="2"/>
  <c r="K110" i="2"/>
  <c r="U110" i="2"/>
  <c r="J110" i="2"/>
  <c r="AH110" i="2" s="1"/>
  <c r="S110" i="2"/>
  <c r="I110" i="2"/>
  <c r="Q110" i="2"/>
  <c r="F110" i="2"/>
  <c r="R110" i="2"/>
  <c r="P110" i="2"/>
  <c r="H110" i="2"/>
  <c r="AK99" i="1"/>
  <c r="AC123" i="2"/>
  <c r="E123" i="2"/>
  <c r="X123" i="2"/>
  <c r="AB123" i="2"/>
  <c r="AA123" i="2"/>
  <c r="Z123" i="2"/>
  <c r="Y123" i="2"/>
  <c r="U131" i="2"/>
  <c r="M131" i="2"/>
  <c r="P131" i="2"/>
  <c r="H131" i="2"/>
  <c r="W131" i="2"/>
  <c r="L131" i="2"/>
  <c r="V131" i="2"/>
  <c r="K131" i="2"/>
  <c r="T131" i="2"/>
  <c r="J131" i="2"/>
  <c r="AH131" i="2" s="1"/>
  <c r="S131" i="2"/>
  <c r="I131" i="2"/>
  <c r="R131" i="2"/>
  <c r="G131" i="2"/>
  <c r="O131" i="2"/>
  <c r="Q131" i="2"/>
  <c r="N131" i="2"/>
  <c r="F131" i="2"/>
  <c r="AK120" i="1"/>
  <c r="Q141" i="2"/>
  <c r="I141" i="2"/>
  <c r="P141" i="2"/>
  <c r="H141" i="2"/>
  <c r="W141" i="2"/>
  <c r="O141" i="2"/>
  <c r="G141" i="2"/>
  <c r="V141" i="2"/>
  <c r="N141" i="2"/>
  <c r="F141" i="2"/>
  <c r="S141" i="2"/>
  <c r="K141" i="2"/>
  <c r="R141" i="2"/>
  <c r="J141" i="2"/>
  <c r="AH141" i="2" s="1"/>
  <c r="U141" i="2"/>
  <c r="T141" i="2"/>
  <c r="L141" i="2"/>
  <c r="M141" i="2"/>
  <c r="AK130" i="1"/>
  <c r="AA143" i="2"/>
  <c r="Z143" i="2"/>
  <c r="Y143" i="2"/>
  <c r="X143" i="2"/>
  <c r="AC143" i="2"/>
  <c r="E143" i="2"/>
  <c r="AB143" i="2"/>
  <c r="Z154" i="2"/>
  <c r="Y154" i="2"/>
  <c r="X154" i="2"/>
  <c r="AB154" i="2"/>
  <c r="AA154" i="2"/>
  <c r="E154" i="2"/>
  <c r="AC154" i="2"/>
  <c r="AB164" i="2"/>
  <c r="AA164" i="2"/>
  <c r="Z164" i="2"/>
  <c r="Y164" i="2"/>
  <c r="AC164" i="2"/>
  <c r="E164" i="2"/>
  <c r="X164" i="2"/>
  <c r="T177" i="2"/>
  <c r="L177" i="2"/>
  <c r="P177" i="2"/>
  <c r="H177" i="2"/>
  <c r="Q177" i="2"/>
  <c r="F177" i="2"/>
  <c r="O177" i="2"/>
  <c r="N177" i="2"/>
  <c r="W177" i="2"/>
  <c r="M177" i="2"/>
  <c r="S177" i="2"/>
  <c r="I177" i="2"/>
  <c r="R177" i="2"/>
  <c r="G177" i="2"/>
  <c r="K177" i="2"/>
  <c r="J177" i="2"/>
  <c r="AH177" i="2" s="1"/>
  <c r="V177" i="2"/>
  <c r="U177" i="2"/>
  <c r="AK166" i="1"/>
  <c r="V179" i="2"/>
  <c r="N179" i="2"/>
  <c r="F179" i="2"/>
  <c r="U179" i="2"/>
  <c r="R179" i="2"/>
  <c r="J179" i="2"/>
  <c r="AH179" i="2" s="1"/>
  <c r="Q179" i="2"/>
  <c r="G179" i="2"/>
  <c r="P179" i="2"/>
  <c r="O179" i="2"/>
  <c r="M179" i="2"/>
  <c r="T179" i="2"/>
  <c r="I179" i="2"/>
  <c r="S179" i="2"/>
  <c r="H179" i="2"/>
  <c r="W179" i="2"/>
  <c r="L179" i="2"/>
  <c r="K179" i="2"/>
  <c r="AK168" i="1"/>
  <c r="AC19" i="2"/>
  <c r="E19" i="2"/>
  <c r="AA19" i="2"/>
  <c r="Z19" i="2"/>
  <c r="Y19" i="2"/>
  <c r="X19" i="2"/>
  <c r="AB19" i="2"/>
  <c r="P30" i="2"/>
  <c r="H30" i="2"/>
  <c r="T30" i="2"/>
  <c r="L30" i="2"/>
  <c r="O30" i="2"/>
  <c r="W30" i="2"/>
  <c r="M30" i="2"/>
  <c r="V30" i="2"/>
  <c r="K30" i="2"/>
  <c r="U30" i="2"/>
  <c r="J30" i="2"/>
  <c r="AH30" i="2" s="1"/>
  <c r="R30" i="2"/>
  <c r="G30" i="2"/>
  <c r="Q30" i="2"/>
  <c r="F30" i="2"/>
  <c r="S30" i="2"/>
  <c r="I30" i="2"/>
  <c r="N30" i="2"/>
  <c r="AK19" i="1"/>
  <c r="Y23" i="2"/>
  <c r="AC23" i="2"/>
  <c r="E23" i="2"/>
  <c r="AA23" i="2"/>
  <c r="Z23" i="2"/>
  <c r="AB23" i="2"/>
  <c r="X23" i="2"/>
  <c r="V42" i="2"/>
  <c r="N42" i="2"/>
  <c r="F42" i="2"/>
  <c r="U42" i="2"/>
  <c r="M42" i="2"/>
  <c r="T42" i="2"/>
  <c r="L42" i="2"/>
  <c r="S42" i="2"/>
  <c r="K42" i="2"/>
  <c r="R42" i="2"/>
  <c r="J42" i="2"/>
  <c r="AH42" i="2" s="1"/>
  <c r="Q42" i="2"/>
  <c r="I42" i="2"/>
  <c r="P42" i="2"/>
  <c r="H42" i="2"/>
  <c r="O42" i="2"/>
  <c r="W42" i="2"/>
  <c r="G42" i="2"/>
  <c r="AK31" i="1"/>
  <c r="X44" i="2"/>
  <c r="AC44" i="2"/>
  <c r="E44" i="2"/>
  <c r="AB44" i="2"/>
  <c r="AA44" i="2"/>
  <c r="Z44" i="2"/>
  <c r="Y44" i="2"/>
  <c r="Z46" i="2"/>
  <c r="Y46" i="2"/>
  <c r="X46" i="2"/>
  <c r="AC46" i="2"/>
  <c r="E46" i="2"/>
  <c r="AB46" i="2"/>
  <c r="AA46" i="2"/>
  <c r="R54" i="2"/>
  <c r="J54" i="2"/>
  <c r="AH54" i="2" s="1"/>
  <c r="Q54" i="2"/>
  <c r="I54" i="2"/>
  <c r="P54" i="2"/>
  <c r="H54" i="2"/>
  <c r="W54" i="2"/>
  <c r="O54" i="2"/>
  <c r="G54" i="2"/>
  <c r="V54" i="2"/>
  <c r="N54" i="2"/>
  <c r="F54" i="2"/>
  <c r="U54" i="2"/>
  <c r="M54" i="2"/>
  <c r="T54" i="2"/>
  <c r="L54" i="2"/>
  <c r="K54" i="2"/>
  <c r="AK43" i="1"/>
  <c r="S54" i="2"/>
  <c r="Y67" i="2"/>
  <c r="X67" i="2"/>
  <c r="AA67" i="2"/>
  <c r="AC67" i="2"/>
  <c r="AB67" i="2"/>
  <c r="E67" i="2"/>
  <c r="Z67" i="2"/>
  <c r="Q75" i="2"/>
  <c r="I75" i="2"/>
  <c r="P75" i="2"/>
  <c r="H75" i="2"/>
  <c r="W75" i="2"/>
  <c r="O75" i="2"/>
  <c r="G75" i="2"/>
  <c r="V75" i="2"/>
  <c r="N75" i="2"/>
  <c r="F75" i="2"/>
  <c r="S75" i="2"/>
  <c r="K75" i="2"/>
  <c r="U75" i="2"/>
  <c r="T75" i="2"/>
  <c r="R75" i="2"/>
  <c r="M75" i="2"/>
  <c r="L75" i="2"/>
  <c r="J75" i="2"/>
  <c r="AH75" i="2" s="1"/>
  <c r="AK64" i="1"/>
  <c r="S85" i="2"/>
  <c r="K85" i="2"/>
  <c r="R85" i="2"/>
  <c r="J85" i="2"/>
  <c r="AH85" i="2" s="1"/>
  <c r="Q85" i="2"/>
  <c r="I85" i="2"/>
  <c r="P85" i="2"/>
  <c r="H85" i="2"/>
  <c r="W85" i="2"/>
  <c r="O85" i="2"/>
  <c r="G85" i="2"/>
  <c r="U85" i="2"/>
  <c r="M85" i="2"/>
  <c r="F85" i="2"/>
  <c r="V85" i="2"/>
  <c r="T85" i="2"/>
  <c r="N85" i="2"/>
  <c r="L85" i="2"/>
  <c r="AK74" i="1"/>
  <c r="AC87" i="2"/>
  <c r="E87" i="2"/>
  <c r="AB87" i="2"/>
  <c r="AA87" i="2"/>
  <c r="Z87" i="2"/>
  <c r="Y87" i="2"/>
  <c r="X87" i="2"/>
  <c r="T106" i="2"/>
  <c r="L106" i="2"/>
  <c r="S106" i="2"/>
  <c r="K106" i="2"/>
  <c r="R106" i="2"/>
  <c r="J106" i="2"/>
  <c r="AH106" i="2" s="1"/>
  <c r="Q106" i="2"/>
  <c r="I106" i="2"/>
  <c r="P106" i="2"/>
  <c r="H106" i="2"/>
  <c r="V106" i="2"/>
  <c r="N106" i="2"/>
  <c r="F106" i="2"/>
  <c r="W106" i="2"/>
  <c r="U106" i="2"/>
  <c r="O106" i="2"/>
  <c r="M106" i="2"/>
  <c r="G106" i="2"/>
  <c r="AK95" i="1"/>
  <c r="Z108" i="2"/>
  <c r="AC108" i="2"/>
  <c r="E108" i="2"/>
  <c r="AB108" i="2"/>
  <c r="Y108" i="2"/>
  <c r="AA108" i="2"/>
  <c r="X108" i="2"/>
  <c r="AB110" i="2"/>
  <c r="Y110" i="2"/>
  <c r="X110" i="2"/>
  <c r="AA110" i="2"/>
  <c r="AC110" i="2"/>
  <c r="Z110" i="2"/>
  <c r="E110" i="2"/>
  <c r="T118" i="2"/>
  <c r="L118" i="2"/>
  <c r="W118" i="2"/>
  <c r="O118" i="2"/>
  <c r="G118" i="2"/>
  <c r="S118" i="2"/>
  <c r="I118" i="2"/>
  <c r="R118" i="2"/>
  <c r="H118" i="2"/>
  <c r="Q118" i="2"/>
  <c r="F118" i="2"/>
  <c r="P118" i="2"/>
  <c r="N118" i="2"/>
  <c r="V118" i="2"/>
  <c r="K118" i="2"/>
  <c r="U118" i="2"/>
  <c r="M118" i="2"/>
  <c r="J118" i="2"/>
  <c r="AH118" i="2" s="1"/>
  <c r="AK107" i="1"/>
  <c r="AC131" i="2"/>
  <c r="E131" i="2"/>
  <c r="X131" i="2"/>
  <c r="AB131" i="2"/>
  <c r="Z131" i="2"/>
  <c r="AA131" i="2"/>
  <c r="Y131" i="2"/>
  <c r="V139" i="2"/>
  <c r="N139" i="2"/>
  <c r="F139" i="2"/>
  <c r="U139" i="2"/>
  <c r="M139" i="2"/>
  <c r="T139" i="2"/>
  <c r="L139" i="2"/>
  <c r="Q139" i="2"/>
  <c r="I139" i="2"/>
  <c r="P139" i="2"/>
  <c r="H139" i="2"/>
  <c r="W139" i="2"/>
  <c r="S139" i="2"/>
  <c r="R139" i="2"/>
  <c r="O139" i="2"/>
  <c r="K139" i="2"/>
  <c r="G139" i="2"/>
  <c r="J139" i="2"/>
  <c r="AH139" i="2" s="1"/>
  <c r="AK128" i="1"/>
  <c r="AE143" i="2"/>
  <c r="Q149" i="2"/>
  <c r="I149" i="2"/>
  <c r="P149" i="2"/>
  <c r="H149" i="2"/>
  <c r="W149" i="2"/>
  <c r="O149" i="2"/>
  <c r="G149" i="2"/>
  <c r="V149" i="2"/>
  <c r="N149" i="2"/>
  <c r="F149" i="2"/>
  <c r="S149" i="2"/>
  <c r="K149" i="2"/>
  <c r="R149" i="2"/>
  <c r="J149" i="2"/>
  <c r="AH149" i="2" s="1"/>
  <c r="U149" i="2"/>
  <c r="M149" i="2"/>
  <c r="T149" i="2"/>
  <c r="L149" i="2"/>
  <c r="AK138" i="1"/>
  <c r="Q173" i="2"/>
  <c r="I173" i="2"/>
  <c r="P173" i="2"/>
  <c r="H173" i="2"/>
  <c r="W173" i="2"/>
  <c r="O173" i="2"/>
  <c r="G173" i="2"/>
  <c r="V173" i="2"/>
  <c r="N173" i="2"/>
  <c r="F173" i="2"/>
  <c r="S173" i="2"/>
  <c r="K173" i="2"/>
  <c r="R173" i="2"/>
  <c r="J173" i="2"/>
  <c r="AH173" i="2" s="1"/>
  <c r="T173" i="2"/>
  <c r="M173" i="2"/>
  <c r="L173" i="2"/>
  <c r="U173" i="2"/>
  <c r="AK162" i="1"/>
  <c r="S175" i="2"/>
  <c r="K175" i="2"/>
  <c r="R175" i="2"/>
  <c r="J175" i="2"/>
  <c r="AH175" i="2" s="1"/>
  <c r="Q175" i="2"/>
  <c r="I175" i="2"/>
  <c r="P175" i="2"/>
  <c r="H175" i="2"/>
  <c r="U175" i="2"/>
  <c r="M175" i="2"/>
  <c r="T175" i="2"/>
  <c r="L175" i="2"/>
  <c r="N175" i="2"/>
  <c r="G175" i="2"/>
  <c r="F175" i="2"/>
  <c r="V175" i="2"/>
  <c r="W175" i="2"/>
  <c r="O175" i="2"/>
  <c r="AK164" i="1"/>
  <c r="Y192" i="2"/>
  <c r="X192" i="2"/>
  <c r="AC192" i="2"/>
  <c r="E192" i="2"/>
  <c r="AA192" i="2"/>
  <c r="AB192" i="2"/>
  <c r="Z192" i="2"/>
  <c r="W47" i="2"/>
  <c r="O47" i="2"/>
  <c r="G47" i="2"/>
  <c r="V47" i="2"/>
  <c r="N47" i="2"/>
  <c r="F47" i="2"/>
  <c r="U47" i="2"/>
  <c r="M47" i="2"/>
  <c r="T47" i="2"/>
  <c r="L47" i="2"/>
  <c r="S47" i="2"/>
  <c r="K47" i="2"/>
  <c r="R47" i="2"/>
  <c r="J47" i="2"/>
  <c r="AH47" i="2" s="1"/>
  <c r="Q47" i="2"/>
  <c r="I47" i="2"/>
  <c r="H47" i="2"/>
  <c r="W55" i="2"/>
  <c r="O55" i="2"/>
  <c r="G55" i="2"/>
  <c r="V55" i="2"/>
  <c r="N55" i="2"/>
  <c r="F55" i="2"/>
  <c r="U55" i="2"/>
  <c r="M55" i="2"/>
  <c r="T55" i="2"/>
  <c r="L55" i="2"/>
  <c r="S55" i="2"/>
  <c r="K55" i="2"/>
  <c r="R55" i="2"/>
  <c r="J55" i="2"/>
  <c r="AH55" i="2" s="1"/>
  <c r="Q55" i="2"/>
  <c r="I55" i="2"/>
  <c r="P55" i="2"/>
  <c r="U87" i="2"/>
  <c r="M87" i="2"/>
  <c r="T87" i="2"/>
  <c r="L87" i="2"/>
  <c r="S87" i="2"/>
  <c r="K87" i="2"/>
  <c r="R87" i="2"/>
  <c r="J87" i="2"/>
  <c r="AH87" i="2" s="1"/>
  <c r="Q87" i="2"/>
  <c r="I87" i="2"/>
  <c r="W87" i="2"/>
  <c r="O87" i="2"/>
  <c r="G87" i="2"/>
  <c r="V87" i="2"/>
  <c r="P87" i="2"/>
  <c r="N87" i="2"/>
  <c r="H87" i="2"/>
  <c r="F87" i="2"/>
  <c r="U103" i="2"/>
  <c r="M103" i="2"/>
  <c r="T103" i="2"/>
  <c r="L103" i="2"/>
  <c r="S103" i="2"/>
  <c r="K103" i="2"/>
  <c r="R103" i="2"/>
  <c r="J103" i="2"/>
  <c r="AH103" i="2" s="1"/>
  <c r="Q103" i="2"/>
  <c r="I103" i="2"/>
  <c r="W103" i="2"/>
  <c r="O103" i="2"/>
  <c r="G103" i="2"/>
  <c r="V103" i="2"/>
  <c r="P103" i="2"/>
  <c r="N103" i="2"/>
  <c r="H103" i="2"/>
  <c r="F103" i="2"/>
  <c r="Q111" i="2"/>
  <c r="I111" i="2"/>
  <c r="T111" i="2"/>
  <c r="L111" i="2"/>
  <c r="S111" i="2"/>
  <c r="H111" i="2"/>
  <c r="R111" i="2"/>
  <c r="G111" i="2"/>
  <c r="P111" i="2"/>
  <c r="F111" i="2"/>
  <c r="O111" i="2"/>
  <c r="N111" i="2"/>
  <c r="V111" i="2"/>
  <c r="K111" i="2"/>
  <c r="W111" i="2"/>
  <c r="U111" i="2"/>
  <c r="M111" i="2"/>
  <c r="J111" i="2"/>
  <c r="AH111" i="2" s="1"/>
  <c r="AC174" i="2"/>
  <c r="E174" i="2"/>
  <c r="AB174" i="2"/>
  <c r="AA174" i="2"/>
  <c r="X174" i="2"/>
  <c r="Z174" i="2"/>
  <c r="Y174" i="2"/>
  <c r="AC182" i="2"/>
  <c r="E182" i="2"/>
  <c r="AB182" i="2"/>
  <c r="AA182" i="2"/>
  <c r="Y182" i="2"/>
  <c r="Z182" i="2"/>
  <c r="X182" i="2"/>
  <c r="Z197" i="2"/>
  <c r="Y197" i="2"/>
  <c r="X197" i="2"/>
  <c r="AB197" i="2"/>
  <c r="E197" i="2"/>
  <c r="AC197" i="2"/>
  <c r="AA197" i="2"/>
  <c r="AE215" i="2"/>
  <c r="AE226" i="2"/>
  <c r="W238" i="2"/>
  <c r="O238" i="2"/>
  <c r="G238" i="2"/>
  <c r="V238" i="2"/>
  <c r="N238" i="2"/>
  <c r="F238" i="2"/>
  <c r="U238" i="2"/>
  <c r="M238" i="2"/>
  <c r="T238" i="2"/>
  <c r="L238" i="2"/>
  <c r="S238" i="2"/>
  <c r="K238" i="2"/>
  <c r="Q238" i="2"/>
  <c r="I238" i="2"/>
  <c r="R238" i="2"/>
  <c r="P238" i="2"/>
  <c r="J238" i="2"/>
  <c r="AH238" i="2" s="1"/>
  <c r="H238" i="2"/>
  <c r="AK227" i="1"/>
  <c r="W250" i="2"/>
  <c r="O250" i="2"/>
  <c r="G250" i="2"/>
  <c r="V250" i="2"/>
  <c r="N250" i="2"/>
  <c r="F250" i="2"/>
  <c r="U250" i="2"/>
  <c r="M250" i="2"/>
  <c r="T250" i="2"/>
  <c r="L250" i="2"/>
  <c r="S250" i="2"/>
  <c r="K250" i="2"/>
  <c r="Q250" i="2"/>
  <c r="I250" i="2"/>
  <c r="R250" i="2"/>
  <c r="P250" i="2"/>
  <c r="J250" i="2"/>
  <c r="AH250" i="2" s="1"/>
  <c r="H250" i="2"/>
  <c r="Y260" i="2"/>
  <c r="X260" i="2"/>
  <c r="AC260" i="2"/>
  <c r="E260" i="2"/>
  <c r="AA260" i="2"/>
  <c r="AB260" i="2"/>
  <c r="Z260" i="2"/>
  <c r="AA278" i="2"/>
  <c r="Z278" i="2"/>
  <c r="Y278" i="2"/>
  <c r="X278" i="2"/>
  <c r="AC278" i="2"/>
  <c r="E278" i="2"/>
  <c r="AB278" i="2"/>
  <c r="AC290" i="2"/>
  <c r="E290" i="2"/>
  <c r="AB290" i="2"/>
  <c r="AA290" i="2"/>
  <c r="Y290" i="2"/>
  <c r="X290" i="2"/>
  <c r="Z290" i="2"/>
  <c r="S302" i="2"/>
  <c r="K302" i="2"/>
  <c r="R302" i="2"/>
  <c r="J302" i="2"/>
  <c r="AH302" i="2" s="1"/>
  <c r="Q302" i="2"/>
  <c r="I302" i="2"/>
  <c r="P302" i="2"/>
  <c r="H302" i="2"/>
  <c r="W302" i="2"/>
  <c r="O302" i="2"/>
  <c r="G302" i="2"/>
  <c r="U302" i="2"/>
  <c r="M302" i="2"/>
  <c r="V302" i="2"/>
  <c r="T302" i="2"/>
  <c r="N302" i="2"/>
  <c r="L302" i="2"/>
  <c r="F302" i="2"/>
  <c r="AK291" i="1"/>
  <c r="AA310" i="2"/>
  <c r="Z310" i="2"/>
  <c r="Y310" i="2"/>
  <c r="X310" i="2"/>
  <c r="AC310" i="2"/>
  <c r="E310" i="2"/>
  <c r="AB310" i="2"/>
  <c r="P319" i="2"/>
  <c r="H319" i="2"/>
  <c r="W319" i="2"/>
  <c r="O319" i="2"/>
  <c r="G319" i="2"/>
  <c r="V319" i="2"/>
  <c r="N319" i="2"/>
  <c r="F319" i="2"/>
  <c r="U319" i="2"/>
  <c r="M319" i="2"/>
  <c r="T319" i="2"/>
  <c r="L319" i="2"/>
  <c r="R319" i="2"/>
  <c r="J319" i="2"/>
  <c r="AH319" i="2" s="1"/>
  <c r="S319" i="2"/>
  <c r="Q319" i="2"/>
  <c r="K319" i="2"/>
  <c r="I319" i="2"/>
  <c r="W329" i="2"/>
  <c r="O329" i="2"/>
  <c r="G329" i="2"/>
  <c r="V329" i="2"/>
  <c r="N329" i="2"/>
  <c r="F329" i="2"/>
  <c r="U329" i="2"/>
  <c r="M329" i="2"/>
  <c r="T329" i="2"/>
  <c r="L329" i="2"/>
  <c r="S329" i="2"/>
  <c r="K329" i="2"/>
  <c r="P329" i="2"/>
  <c r="H329" i="2"/>
  <c r="R329" i="2"/>
  <c r="J329" i="2"/>
  <c r="AH329" i="2" s="1"/>
  <c r="Q329" i="2"/>
  <c r="I329" i="2"/>
  <c r="AK318" i="1"/>
  <c r="Y339" i="2"/>
  <c r="X339" i="2"/>
  <c r="AC339" i="2"/>
  <c r="E339" i="2"/>
  <c r="AA339" i="2"/>
  <c r="Z339" i="2"/>
  <c r="AB339" i="2"/>
  <c r="T346" i="2"/>
  <c r="L346" i="2"/>
  <c r="S346" i="2"/>
  <c r="K346" i="2"/>
  <c r="R346" i="2"/>
  <c r="J346" i="2"/>
  <c r="AH346" i="2" s="1"/>
  <c r="Q346" i="2"/>
  <c r="I346" i="2"/>
  <c r="P346" i="2"/>
  <c r="H346" i="2"/>
  <c r="V346" i="2"/>
  <c r="N346" i="2"/>
  <c r="F346" i="2"/>
  <c r="U346" i="2"/>
  <c r="M346" i="2"/>
  <c r="W346" i="2"/>
  <c r="O346" i="2"/>
  <c r="G346" i="2"/>
  <c r="AB354" i="2"/>
  <c r="AA354" i="2"/>
  <c r="Z354" i="2"/>
  <c r="Y354" i="2"/>
  <c r="X354" i="2"/>
  <c r="AC354" i="2"/>
  <c r="E354" i="2"/>
  <c r="P366" i="2"/>
  <c r="H366" i="2"/>
  <c r="W366" i="2"/>
  <c r="O366" i="2"/>
  <c r="G366" i="2"/>
  <c r="V366" i="2"/>
  <c r="N366" i="2"/>
  <c r="F366" i="2"/>
  <c r="U366" i="2"/>
  <c r="M366" i="2"/>
  <c r="T366" i="2"/>
  <c r="L366" i="2"/>
  <c r="Q366" i="2"/>
  <c r="K366" i="2"/>
  <c r="J366" i="2"/>
  <c r="AH366" i="2" s="1"/>
  <c r="I366" i="2"/>
  <c r="S366" i="2"/>
  <c r="R366" i="2"/>
  <c r="AK355" i="1"/>
  <c r="T378" i="2"/>
  <c r="L378" i="2"/>
  <c r="S378" i="2"/>
  <c r="K378" i="2"/>
  <c r="R378" i="2"/>
  <c r="J378" i="2"/>
  <c r="AH378" i="2" s="1"/>
  <c r="Q378" i="2"/>
  <c r="I378" i="2"/>
  <c r="P378" i="2"/>
  <c r="H378" i="2"/>
  <c r="V378" i="2"/>
  <c r="N378" i="2"/>
  <c r="F378" i="2"/>
  <c r="W378" i="2"/>
  <c r="U378" i="2"/>
  <c r="O378" i="2"/>
  <c r="M378" i="2"/>
  <c r="G378" i="2"/>
  <c r="AC388" i="2"/>
  <c r="E388" i="2"/>
  <c r="AB388" i="2"/>
  <c r="AA388" i="2"/>
  <c r="Z388" i="2"/>
  <c r="X388" i="2"/>
  <c r="Y388" i="2"/>
  <c r="Q398" i="2"/>
  <c r="I398" i="2"/>
  <c r="P398" i="2"/>
  <c r="H398" i="2"/>
  <c r="W398" i="2"/>
  <c r="O398" i="2"/>
  <c r="G398" i="2"/>
  <c r="V398" i="2"/>
  <c r="N398" i="2"/>
  <c r="F398" i="2"/>
  <c r="U398" i="2"/>
  <c r="M398" i="2"/>
  <c r="S398" i="2"/>
  <c r="K398" i="2"/>
  <c r="R398" i="2"/>
  <c r="J398" i="2"/>
  <c r="AH398" i="2" s="1"/>
  <c r="T398" i="2"/>
  <c r="L398" i="2"/>
  <c r="AK387" i="1"/>
  <c r="S408" i="2"/>
  <c r="K408" i="2"/>
  <c r="R408" i="2"/>
  <c r="J408" i="2"/>
  <c r="AH408" i="2" s="1"/>
  <c r="Q408" i="2"/>
  <c r="I408" i="2"/>
  <c r="P408" i="2"/>
  <c r="H408" i="2"/>
  <c r="W408" i="2"/>
  <c r="O408" i="2"/>
  <c r="G408" i="2"/>
  <c r="U408" i="2"/>
  <c r="M408" i="2"/>
  <c r="T408" i="2"/>
  <c r="L408" i="2"/>
  <c r="N408" i="2"/>
  <c r="V408" i="2"/>
  <c r="F408" i="2"/>
  <c r="AK397" i="1"/>
  <c r="AC420" i="2"/>
  <c r="E420" i="2"/>
  <c r="AB420" i="2"/>
  <c r="AA420" i="2"/>
  <c r="Y420" i="2"/>
  <c r="X420" i="2"/>
  <c r="Z420" i="2"/>
  <c r="Z435" i="2"/>
  <c r="Y435" i="2"/>
  <c r="AC435" i="2"/>
  <c r="E435" i="2"/>
  <c r="AB435" i="2"/>
  <c r="AA435" i="2"/>
  <c r="X435" i="2"/>
  <c r="T445" i="2"/>
  <c r="L445" i="2"/>
  <c r="S445" i="2"/>
  <c r="K445" i="2"/>
  <c r="R445" i="2"/>
  <c r="J445" i="2"/>
  <c r="AH445" i="2" s="1"/>
  <c r="Q445" i="2"/>
  <c r="I445" i="2"/>
  <c r="P445" i="2"/>
  <c r="H445" i="2"/>
  <c r="W445" i="2"/>
  <c r="O445" i="2"/>
  <c r="G445" i="2"/>
  <c r="V445" i="2"/>
  <c r="N445" i="2"/>
  <c r="F445" i="2"/>
  <c r="U445" i="2"/>
  <c r="M445" i="2"/>
  <c r="AK434" i="1"/>
  <c r="Z467" i="2"/>
  <c r="Y467" i="2"/>
  <c r="X467" i="2"/>
  <c r="AC467" i="2"/>
  <c r="E467" i="2"/>
  <c r="AB467" i="2"/>
  <c r="AA467" i="2"/>
  <c r="W477" i="2"/>
  <c r="O477" i="2"/>
  <c r="G477" i="2"/>
  <c r="V477" i="2"/>
  <c r="N477" i="2"/>
  <c r="F477" i="2"/>
  <c r="U477" i="2"/>
  <c r="M477" i="2"/>
  <c r="T477" i="2"/>
  <c r="L477" i="2"/>
  <c r="S477" i="2"/>
  <c r="K477" i="2"/>
  <c r="Q477" i="2"/>
  <c r="I477" i="2"/>
  <c r="P477" i="2"/>
  <c r="H477" i="2"/>
  <c r="R477" i="2"/>
  <c r="J477" i="2"/>
  <c r="AH477" i="2" s="1"/>
  <c r="AK466" i="1"/>
  <c r="T494" i="2"/>
  <c r="L494" i="2"/>
  <c r="S494" i="2"/>
  <c r="K494" i="2"/>
  <c r="R494" i="2"/>
  <c r="J494" i="2"/>
  <c r="AH494" i="2" s="1"/>
  <c r="Q494" i="2"/>
  <c r="I494" i="2"/>
  <c r="P494" i="2"/>
  <c r="H494" i="2"/>
  <c r="V494" i="2"/>
  <c r="N494" i="2"/>
  <c r="F494" i="2"/>
  <c r="U494" i="2"/>
  <c r="M494" i="2"/>
  <c r="W494" i="2"/>
  <c r="O494" i="2"/>
  <c r="G494" i="2"/>
  <c r="AK483" i="1"/>
  <c r="X516" i="2"/>
  <c r="AC516" i="2"/>
  <c r="E516" i="2"/>
  <c r="AB516" i="2"/>
  <c r="Z516" i="2"/>
  <c r="Y516" i="2"/>
  <c r="AA516" i="2"/>
  <c r="Z534" i="2"/>
  <c r="Y534" i="2"/>
  <c r="X534" i="2"/>
  <c r="AB534" i="2"/>
  <c r="AA534" i="2"/>
  <c r="AC534" i="2"/>
  <c r="E534" i="2"/>
  <c r="W543" i="2"/>
  <c r="O543" i="2"/>
  <c r="G543" i="2"/>
  <c r="V543" i="2"/>
  <c r="N543" i="2"/>
  <c r="F543" i="2"/>
  <c r="U543" i="2"/>
  <c r="M543" i="2"/>
  <c r="T543" i="2"/>
  <c r="L543" i="2"/>
  <c r="S543" i="2"/>
  <c r="K543" i="2"/>
  <c r="Q543" i="2"/>
  <c r="I543" i="2"/>
  <c r="P543" i="2"/>
  <c r="H543" i="2"/>
  <c r="R543" i="2"/>
  <c r="J543" i="2"/>
  <c r="AH543" i="2" s="1"/>
  <c r="X548" i="2"/>
  <c r="AC548" i="2"/>
  <c r="Y548" i="2"/>
  <c r="AA548" i="2"/>
  <c r="Z548" i="2"/>
  <c r="E548" i="2"/>
  <c r="AB548" i="2"/>
  <c r="AA563" i="2"/>
  <c r="Z563" i="2"/>
  <c r="Y563" i="2"/>
  <c r="X563" i="2"/>
  <c r="AC563" i="2"/>
  <c r="E563" i="2"/>
  <c r="AB563" i="2"/>
  <c r="X572" i="2"/>
  <c r="AC572" i="2"/>
  <c r="E572" i="2"/>
  <c r="AB572" i="2"/>
  <c r="Z572" i="2"/>
  <c r="Y572" i="2"/>
  <c r="AA572" i="2"/>
  <c r="AC652" i="2"/>
  <c r="E652" i="2"/>
  <c r="AB652" i="2"/>
  <c r="AA652" i="2"/>
  <c r="Y652" i="2"/>
  <c r="X652" i="2"/>
  <c r="Z652" i="2"/>
  <c r="V68" i="2"/>
  <c r="N68" i="2"/>
  <c r="F68" i="2"/>
  <c r="U68" i="2"/>
  <c r="M68" i="2"/>
  <c r="T68" i="2"/>
  <c r="L68" i="2"/>
  <c r="S68" i="2"/>
  <c r="K68" i="2"/>
  <c r="P68" i="2"/>
  <c r="H68" i="2"/>
  <c r="I68" i="2"/>
  <c r="G68" i="2"/>
  <c r="W68" i="2"/>
  <c r="R68" i="2"/>
  <c r="Q68" i="2"/>
  <c r="O68" i="2"/>
  <c r="V76" i="2"/>
  <c r="N76" i="2"/>
  <c r="F76" i="2"/>
  <c r="U76" i="2"/>
  <c r="M76" i="2"/>
  <c r="T76" i="2"/>
  <c r="L76" i="2"/>
  <c r="S76" i="2"/>
  <c r="K76" i="2"/>
  <c r="P76" i="2"/>
  <c r="H76" i="2"/>
  <c r="W76" i="2"/>
  <c r="R76" i="2"/>
  <c r="Q76" i="2"/>
  <c r="O76" i="2"/>
  <c r="J76" i="2"/>
  <c r="AH76" i="2" s="1"/>
  <c r="I76" i="2"/>
  <c r="V92" i="2"/>
  <c r="N92" i="2"/>
  <c r="F92" i="2"/>
  <c r="U92" i="2"/>
  <c r="M92" i="2"/>
  <c r="T92" i="2"/>
  <c r="L92" i="2"/>
  <c r="S92" i="2"/>
  <c r="K92" i="2"/>
  <c r="R92" i="2"/>
  <c r="J92" i="2"/>
  <c r="AH92" i="2" s="1"/>
  <c r="P92" i="2"/>
  <c r="H92" i="2"/>
  <c r="G92" i="2"/>
  <c r="W92" i="2"/>
  <c r="Q92" i="2"/>
  <c r="O92" i="2"/>
  <c r="I92" i="2"/>
  <c r="AA101" i="2"/>
  <c r="Z101" i="2"/>
  <c r="Y101" i="2"/>
  <c r="X101" i="2"/>
  <c r="AC101" i="2"/>
  <c r="E101" i="2"/>
  <c r="AB101" i="2"/>
  <c r="R116" i="2"/>
  <c r="J116" i="2"/>
  <c r="AH116" i="2" s="1"/>
  <c r="U116" i="2"/>
  <c r="M116" i="2"/>
  <c r="Q116" i="2"/>
  <c r="G116" i="2"/>
  <c r="P116" i="2"/>
  <c r="F116" i="2"/>
  <c r="O116" i="2"/>
  <c r="N116" i="2"/>
  <c r="W116" i="2"/>
  <c r="L116" i="2"/>
  <c r="T116" i="2"/>
  <c r="I116" i="2"/>
  <c r="S116" i="2"/>
  <c r="K116" i="2"/>
  <c r="H116" i="2"/>
  <c r="V116" i="2"/>
  <c r="R124" i="2"/>
  <c r="J124" i="2"/>
  <c r="AH124" i="2" s="1"/>
  <c r="U124" i="2"/>
  <c r="M124" i="2"/>
  <c r="W124" i="2"/>
  <c r="L124" i="2"/>
  <c r="V124" i="2"/>
  <c r="K124" i="2"/>
  <c r="T124" i="2"/>
  <c r="I124" i="2"/>
  <c r="S124" i="2"/>
  <c r="H124" i="2"/>
  <c r="Q124" i="2"/>
  <c r="G124" i="2"/>
  <c r="O124" i="2"/>
  <c r="P124" i="2"/>
  <c r="N124" i="2"/>
  <c r="F124" i="2"/>
  <c r="Z133" i="2"/>
  <c r="X133" i="2"/>
  <c r="AC133" i="2"/>
  <c r="AA133" i="2"/>
  <c r="E133" i="2"/>
  <c r="AB133" i="2"/>
  <c r="Y133" i="2"/>
  <c r="T148" i="2"/>
  <c r="L148" i="2"/>
  <c r="S148" i="2"/>
  <c r="K148" i="2"/>
  <c r="R148" i="2"/>
  <c r="J148" i="2"/>
  <c r="AH148" i="2" s="1"/>
  <c r="Q148" i="2"/>
  <c r="I148" i="2"/>
  <c r="V148" i="2"/>
  <c r="N148" i="2"/>
  <c r="F148" i="2"/>
  <c r="U148" i="2"/>
  <c r="M148" i="2"/>
  <c r="W148" i="2"/>
  <c r="P148" i="2"/>
  <c r="O148" i="2"/>
  <c r="H148" i="2"/>
  <c r="G148" i="2"/>
  <c r="S159" i="2"/>
  <c r="K159" i="2"/>
  <c r="R159" i="2"/>
  <c r="J159" i="2"/>
  <c r="AH159" i="2" s="1"/>
  <c r="Q159" i="2"/>
  <c r="I159" i="2"/>
  <c r="P159" i="2"/>
  <c r="H159" i="2"/>
  <c r="U159" i="2"/>
  <c r="M159" i="2"/>
  <c r="T159" i="2"/>
  <c r="L159" i="2"/>
  <c r="F159" i="2"/>
  <c r="W159" i="2"/>
  <c r="V159" i="2"/>
  <c r="N159" i="2"/>
  <c r="O159" i="2"/>
  <c r="G159" i="2"/>
  <c r="P176" i="2"/>
  <c r="H176" i="2"/>
  <c r="W176" i="2"/>
  <c r="O176" i="2"/>
  <c r="G176" i="2"/>
  <c r="V176" i="2"/>
  <c r="N176" i="2"/>
  <c r="F176" i="2"/>
  <c r="U176" i="2"/>
  <c r="M176" i="2"/>
  <c r="R176" i="2"/>
  <c r="J176" i="2"/>
  <c r="Q176" i="2"/>
  <c r="I176" i="2"/>
  <c r="T176" i="2"/>
  <c r="S176" i="2"/>
  <c r="L176" i="2"/>
  <c r="K176" i="2"/>
  <c r="AK165" i="1"/>
  <c r="Q192" i="2"/>
  <c r="I192" i="2"/>
  <c r="P192" i="2"/>
  <c r="H192" i="2"/>
  <c r="W192" i="2"/>
  <c r="O192" i="2"/>
  <c r="G192" i="2"/>
  <c r="V192" i="2"/>
  <c r="N192" i="2"/>
  <c r="F192" i="2"/>
  <c r="U192" i="2"/>
  <c r="M192" i="2"/>
  <c r="S192" i="2"/>
  <c r="K192" i="2"/>
  <c r="L192" i="2"/>
  <c r="J192" i="2"/>
  <c r="AH192" i="2" s="1"/>
  <c r="T192" i="2"/>
  <c r="R192" i="2"/>
  <c r="AK181" i="1"/>
  <c r="W198" i="2"/>
  <c r="O198" i="2"/>
  <c r="G198" i="2"/>
  <c r="V198" i="2"/>
  <c r="N198" i="2"/>
  <c r="F198" i="2"/>
  <c r="U198" i="2"/>
  <c r="M198" i="2"/>
  <c r="T198" i="2"/>
  <c r="L198" i="2"/>
  <c r="S198" i="2"/>
  <c r="K198" i="2"/>
  <c r="Q198" i="2"/>
  <c r="I198" i="2"/>
  <c r="R198" i="2"/>
  <c r="P198" i="2"/>
  <c r="J198" i="2"/>
  <c r="AH198" i="2" s="1"/>
  <c r="H198" i="2"/>
  <c r="G671" i="1"/>
  <c r="S17" i="2"/>
  <c r="K17" i="2"/>
  <c r="Q17" i="2"/>
  <c r="I17" i="2"/>
  <c r="P17" i="2"/>
  <c r="H17" i="2"/>
  <c r="W17" i="2"/>
  <c r="O17" i="2"/>
  <c r="G17" i="2"/>
  <c r="U17" i="2"/>
  <c r="M17" i="2"/>
  <c r="T17" i="2"/>
  <c r="L17" i="2"/>
  <c r="X18" i="2"/>
  <c r="AC18" i="2"/>
  <c r="E18" i="2"/>
  <c r="AB18" i="2"/>
  <c r="Z18" i="2"/>
  <c r="Y18" i="2"/>
  <c r="S25" i="2"/>
  <c r="K25" i="2"/>
  <c r="Q25" i="2"/>
  <c r="I25" i="2"/>
  <c r="P25" i="2"/>
  <c r="H25" i="2"/>
  <c r="W25" i="2"/>
  <c r="O25" i="2"/>
  <c r="G25" i="2"/>
  <c r="U25" i="2"/>
  <c r="M25" i="2"/>
  <c r="T25" i="2"/>
  <c r="L25" i="2"/>
  <c r="X26" i="2"/>
  <c r="AC26" i="2"/>
  <c r="E26" i="2"/>
  <c r="AB26" i="2"/>
  <c r="Z26" i="2"/>
  <c r="Y26" i="2"/>
  <c r="W33" i="2"/>
  <c r="O33" i="2"/>
  <c r="G33" i="2"/>
  <c r="S33" i="2"/>
  <c r="K33" i="2"/>
  <c r="V33" i="2"/>
  <c r="L33" i="2"/>
  <c r="T33" i="2"/>
  <c r="I33" i="2"/>
  <c r="R33" i="2"/>
  <c r="H33" i="2"/>
  <c r="Q33" i="2"/>
  <c r="F33" i="2"/>
  <c r="N33" i="2"/>
  <c r="M33" i="2"/>
  <c r="AB34" i="2"/>
  <c r="AA34" i="2"/>
  <c r="X34" i="2"/>
  <c r="AC34" i="2"/>
  <c r="Y34" i="2"/>
  <c r="E34" i="2"/>
  <c r="Q41" i="2"/>
  <c r="I41" i="2"/>
  <c r="P41" i="2"/>
  <c r="H41" i="2"/>
  <c r="W41" i="2"/>
  <c r="O41" i="2"/>
  <c r="G41" i="2"/>
  <c r="V41" i="2"/>
  <c r="N41" i="2"/>
  <c r="F41" i="2"/>
  <c r="U41" i="2"/>
  <c r="T41" i="2"/>
  <c r="L41" i="2"/>
  <c r="S41" i="2"/>
  <c r="K41" i="2"/>
  <c r="M41" i="2"/>
  <c r="J41" i="2"/>
  <c r="AH41" i="2" s="1"/>
  <c r="AC42" i="2"/>
  <c r="E42" i="2"/>
  <c r="AB42" i="2"/>
  <c r="AA42" i="2"/>
  <c r="Z42" i="2"/>
  <c r="Y42" i="2"/>
  <c r="X42" i="2"/>
  <c r="Q49" i="2"/>
  <c r="I49" i="2"/>
  <c r="P49" i="2"/>
  <c r="H49" i="2"/>
  <c r="W49" i="2"/>
  <c r="O49" i="2"/>
  <c r="G49" i="2"/>
  <c r="V49" i="2"/>
  <c r="N49" i="2"/>
  <c r="F49" i="2"/>
  <c r="U49" i="2"/>
  <c r="M49" i="2"/>
  <c r="T49" i="2"/>
  <c r="L49" i="2"/>
  <c r="S49" i="2"/>
  <c r="K49" i="2"/>
  <c r="R49" i="2"/>
  <c r="AC50" i="2"/>
  <c r="E50" i="2"/>
  <c r="AB50" i="2"/>
  <c r="AA50" i="2"/>
  <c r="Z50" i="2"/>
  <c r="Y50" i="2"/>
  <c r="X50" i="2"/>
  <c r="W57" i="2"/>
  <c r="O57" i="2"/>
  <c r="G57" i="2"/>
  <c r="V57" i="2"/>
  <c r="N57" i="2"/>
  <c r="F57" i="2"/>
  <c r="U57" i="2"/>
  <c r="M57" i="2"/>
  <c r="T57" i="2"/>
  <c r="L57" i="2"/>
  <c r="I57" i="2"/>
  <c r="H57" i="2"/>
  <c r="S57" i="2"/>
  <c r="R57" i="2"/>
  <c r="Q57" i="2"/>
  <c r="P57" i="2"/>
  <c r="K57" i="2"/>
  <c r="J57" i="2"/>
  <c r="AH57" i="2" s="1"/>
  <c r="AB58" i="2"/>
  <c r="AA58" i="2"/>
  <c r="Z58" i="2"/>
  <c r="Y58" i="2"/>
  <c r="AC58" i="2"/>
  <c r="X58" i="2"/>
  <c r="E58" i="2"/>
  <c r="W65" i="2"/>
  <c r="O65" i="2"/>
  <c r="G65" i="2"/>
  <c r="V65" i="2"/>
  <c r="N65" i="2"/>
  <c r="F65" i="2"/>
  <c r="U65" i="2"/>
  <c r="M65" i="2"/>
  <c r="T65" i="2"/>
  <c r="L65" i="2"/>
  <c r="Q65" i="2"/>
  <c r="I65" i="2"/>
  <c r="J65" i="2"/>
  <c r="AH65" i="2" s="1"/>
  <c r="H65" i="2"/>
  <c r="S65" i="2"/>
  <c r="R65" i="2"/>
  <c r="P65" i="2"/>
  <c r="K65" i="2"/>
  <c r="AB66" i="2"/>
  <c r="AA66" i="2"/>
  <c r="Z66" i="2"/>
  <c r="Y66" i="2"/>
  <c r="AC66" i="2"/>
  <c r="X66" i="2"/>
  <c r="E66" i="2"/>
  <c r="W73" i="2"/>
  <c r="O73" i="2"/>
  <c r="G73" i="2"/>
  <c r="V73" i="2"/>
  <c r="N73" i="2"/>
  <c r="F73" i="2"/>
  <c r="U73" i="2"/>
  <c r="M73" i="2"/>
  <c r="T73" i="2"/>
  <c r="L73" i="2"/>
  <c r="Q73" i="2"/>
  <c r="I73" i="2"/>
  <c r="S73" i="2"/>
  <c r="R73" i="2"/>
  <c r="P73" i="2"/>
  <c r="K73" i="2"/>
  <c r="J73" i="2"/>
  <c r="AH73" i="2" s="1"/>
  <c r="H73" i="2"/>
  <c r="AB74" i="2"/>
  <c r="AA74" i="2"/>
  <c r="Z74" i="2"/>
  <c r="Y74" i="2"/>
  <c r="AC74" i="2"/>
  <c r="X74" i="2"/>
  <c r="E74" i="2"/>
  <c r="W81" i="2"/>
  <c r="O81" i="2"/>
  <c r="G81" i="2"/>
  <c r="V81" i="2"/>
  <c r="N81" i="2"/>
  <c r="F81" i="2"/>
  <c r="U81" i="2"/>
  <c r="M81" i="2"/>
  <c r="T81" i="2"/>
  <c r="L81" i="2"/>
  <c r="S81" i="2"/>
  <c r="K81" i="2"/>
  <c r="Q81" i="2"/>
  <c r="I81" i="2"/>
  <c r="R81" i="2"/>
  <c r="P81" i="2"/>
  <c r="J81" i="2"/>
  <c r="AH81" i="2" s="1"/>
  <c r="H81" i="2"/>
  <c r="AB82" i="2"/>
  <c r="AA82" i="2"/>
  <c r="Z82" i="2"/>
  <c r="Y82" i="2"/>
  <c r="X82" i="2"/>
  <c r="AC82" i="2"/>
  <c r="E82" i="2"/>
  <c r="W89" i="2"/>
  <c r="O89" i="2"/>
  <c r="G89" i="2"/>
  <c r="V89" i="2"/>
  <c r="N89" i="2"/>
  <c r="F89" i="2"/>
  <c r="U89" i="2"/>
  <c r="M89" i="2"/>
  <c r="T89" i="2"/>
  <c r="L89" i="2"/>
  <c r="S89" i="2"/>
  <c r="K89" i="2"/>
  <c r="Q89" i="2"/>
  <c r="I89" i="2"/>
  <c r="R89" i="2"/>
  <c r="P89" i="2"/>
  <c r="J89" i="2"/>
  <c r="AH89" i="2" s="1"/>
  <c r="H89" i="2"/>
  <c r="AB90" i="2"/>
  <c r="AA90" i="2"/>
  <c r="Z90" i="2"/>
  <c r="Y90" i="2"/>
  <c r="X90" i="2"/>
  <c r="E90" i="2"/>
  <c r="AC90" i="2"/>
  <c r="W97" i="2"/>
  <c r="O97" i="2"/>
  <c r="G97" i="2"/>
  <c r="V97" i="2"/>
  <c r="N97" i="2"/>
  <c r="F97" i="2"/>
  <c r="U97" i="2"/>
  <c r="M97" i="2"/>
  <c r="T97" i="2"/>
  <c r="L97" i="2"/>
  <c r="S97" i="2"/>
  <c r="K97" i="2"/>
  <c r="Q97" i="2"/>
  <c r="I97" i="2"/>
  <c r="H97" i="2"/>
  <c r="R97" i="2"/>
  <c r="P97" i="2"/>
  <c r="AB98" i="2"/>
  <c r="AA98" i="2"/>
  <c r="Z98" i="2"/>
  <c r="Y98" i="2"/>
  <c r="X98" i="2"/>
  <c r="E98" i="2"/>
  <c r="AC98" i="2"/>
  <c r="W105" i="2"/>
  <c r="O105" i="2"/>
  <c r="G105" i="2"/>
  <c r="V105" i="2"/>
  <c r="N105" i="2"/>
  <c r="F105" i="2"/>
  <c r="U105" i="2"/>
  <c r="M105" i="2"/>
  <c r="T105" i="2"/>
  <c r="L105" i="2"/>
  <c r="S105" i="2"/>
  <c r="K105" i="2"/>
  <c r="Q105" i="2"/>
  <c r="I105" i="2"/>
  <c r="R105" i="2"/>
  <c r="P105" i="2"/>
  <c r="J105" i="2"/>
  <c r="AH105" i="2" s="1"/>
  <c r="H105" i="2"/>
  <c r="AB106" i="2"/>
  <c r="AA106" i="2"/>
  <c r="Z106" i="2"/>
  <c r="Y106" i="2"/>
  <c r="X106" i="2"/>
  <c r="AC106" i="2"/>
  <c r="E106" i="2"/>
  <c r="S113" i="2"/>
  <c r="K113" i="2"/>
  <c r="V113" i="2"/>
  <c r="N113" i="2"/>
  <c r="F113" i="2"/>
  <c r="U113" i="2"/>
  <c r="J113" i="2"/>
  <c r="AH113" i="2" s="1"/>
  <c r="T113" i="2"/>
  <c r="I113" i="2"/>
  <c r="R113" i="2"/>
  <c r="H113" i="2"/>
  <c r="Q113" i="2"/>
  <c r="G113" i="2"/>
  <c r="P113" i="2"/>
  <c r="M113" i="2"/>
  <c r="W113" i="2"/>
  <c r="O113" i="2"/>
  <c r="L113" i="2"/>
  <c r="X114" i="2"/>
  <c r="AA114" i="2"/>
  <c r="AB114" i="2"/>
  <c r="Z114" i="2"/>
  <c r="E114" i="2"/>
  <c r="Y114" i="2"/>
  <c r="AC114" i="2"/>
  <c r="S121" i="2"/>
  <c r="K121" i="2"/>
  <c r="V121" i="2"/>
  <c r="N121" i="2"/>
  <c r="F121" i="2"/>
  <c r="P121" i="2"/>
  <c r="O121" i="2"/>
  <c r="M121" i="2"/>
  <c r="W121" i="2"/>
  <c r="L121" i="2"/>
  <c r="U121" i="2"/>
  <c r="J121" i="2"/>
  <c r="AH121" i="2" s="1"/>
  <c r="R121" i="2"/>
  <c r="H121" i="2"/>
  <c r="T121" i="2"/>
  <c r="Q121" i="2"/>
  <c r="I121" i="2"/>
  <c r="G121" i="2"/>
  <c r="X122" i="2"/>
  <c r="AA122" i="2"/>
  <c r="AC122" i="2"/>
  <c r="AB122" i="2"/>
  <c r="Y122" i="2"/>
  <c r="E122" i="2"/>
  <c r="Z122" i="2"/>
  <c r="S129" i="2"/>
  <c r="K129" i="2"/>
  <c r="V129" i="2"/>
  <c r="N129" i="2"/>
  <c r="F129" i="2"/>
  <c r="U129" i="2"/>
  <c r="J129" i="2"/>
  <c r="AH129" i="2" s="1"/>
  <c r="T129" i="2"/>
  <c r="I129" i="2"/>
  <c r="R129" i="2"/>
  <c r="H129" i="2"/>
  <c r="Q129" i="2"/>
  <c r="G129" i="2"/>
  <c r="P129" i="2"/>
  <c r="M129" i="2"/>
  <c r="W129" i="2"/>
  <c r="O129" i="2"/>
  <c r="L129" i="2"/>
  <c r="X130" i="2"/>
  <c r="AA130" i="2"/>
  <c r="AB130" i="2"/>
  <c r="Z130" i="2"/>
  <c r="E130" i="2"/>
  <c r="Y130" i="2"/>
  <c r="AC130" i="2"/>
  <c r="S137" i="2"/>
  <c r="K137" i="2"/>
  <c r="R137" i="2"/>
  <c r="J137" i="2"/>
  <c r="AH137" i="2" s="1"/>
  <c r="W137" i="2"/>
  <c r="O137" i="2"/>
  <c r="G137" i="2"/>
  <c r="V137" i="2"/>
  <c r="N137" i="2"/>
  <c r="F137" i="2"/>
  <c r="L137" i="2"/>
  <c r="I137" i="2"/>
  <c r="H137" i="2"/>
  <c r="U137" i="2"/>
  <c r="T137" i="2"/>
  <c r="P137" i="2"/>
  <c r="Q137" i="2"/>
  <c r="M137" i="2"/>
  <c r="Y138" i="2"/>
  <c r="X138" i="2"/>
  <c r="AB138" i="2"/>
  <c r="AA138" i="2"/>
  <c r="AC138" i="2"/>
  <c r="E138" i="2"/>
  <c r="Z138" i="2"/>
  <c r="U145" i="2"/>
  <c r="M145" i="2"/>
  <c r="T145" i="2"/>
  <c r="L145" i="2"/>
  <c r="S145" i="2"/>
  <c r="K145" i="2"/>
  <c r="R145" i="2"/>
  <c r="J145" i="2"/>
  <c r="AH145" i="2" s="1"/>
  <c r="W145" i="2"/>
  <c r="O145" i="2"/>
  <c r="G145" i="2"/>
  <c r="V145" i="2"/>
  <c r="N145" i="2"/>
  <c r="F145" i="2"/>
  <c r="Q145" i="2"/>
  <c r="P145" i="2"/>
  <c r="I145" i="2"/>
  <c r="H145" i="2"/>
  <c r="Z146" i="2"/>
  <c r="Y146" i="2"/>
  <c r="X146" i="2"/>
  <c r="AB146" i="2"/>
  <c r="AA146" i="2"/>
  <c r="AC146" i="2"/>
  <c r="E146" i="2"/>
  <c r="P152" i="2"/>
  <c r="H152" i="2"/>
  <c r="W152" i="2"/>
  <c r="O152" i="2"/>
  <c r="G152" i="2"/>
  <c r="V152" i="2"/>
  <c r="N152" i="2"/>
  <c r="F152" i="2"/>
  <c r="U152" i="2"/>
  <c r="M152" i="2"/>
  <c r="R152" i="2"/>
  <c r="J152" i="2"/>
  <c r="AH152" i="2" s="1"/>
  <c r="Q152" i="2"/>
  <c r="I152" i="2"/>
  <c r="L152" i="2"/>
  <c r="K152" i="2"/>
  <c r="T152" i="2"/>
  <c r="S152" i="2"/>
  <c r="AC153" i="2"/>
  <c r="E153" i="2"/>
  <c r="AB153" i="2"/>
  <c r="AA153" i="2"/>
  <c r="Z153" i="2"/>
  <c r="Y153" i="2"/>
  <c r="X153" i="2"/>
  <c r="Q157" i="2"/>
  <c r="I157" i="2"/>
  <c r="P157" i="2"/>
  <c r="H157" i="2"/>
  <c r="W157" i="2"/>
  <c r="O157" i="2"/>
  <c r="G157" i="2"/>
  <c r="V157" i="2"/>
  <c r="N157" i="2"/>
  <c r="F157" i="2"/>
  <c r="S157" i="2"/>
  <c r="K157" i="2"/>
  <c r="R157" i="2"/>
  <c r="J157" i="2"/>
  <c r="AH157" i="2" s="1"/>
  <c r="L157" i="2"/>
  <c r="T157" i="2"/>
  <c r="U157" i="2"/>
  <c r="M157" i="2"/>
  <c r="AC158" i="2"/>
  <c r="E158" i="2"/>
  <c r="AB158" i="2"/>
  <c r="AA158" i="2"/>
  <c r="X158" i="2"/>
  <c r="Z158" i="2"/>
  <c r="Y158" i="2"/>
  <c r="R162" i="2"/>
  <c r="J162" i="2"/>
  <c r="AH162" i="2" s="1"/>
  <c r="Q162" i="2"/>
  <c r="I162" i="2"/>
  <c r="P162" i="2"/>
  <c r="H162" i="2"/>
  <c r="W162" i="2"/>
  <c r="O162" i="2"/>
  <c r="G162" i="2"/>
  <c r="T162" i="2"/>
  <c r="L162" i="2"/>
  <c r="S162" i="2"/>
  <c r="K162" i="2"/>
  <c r="F162" i="2"/>
  <c r="V162" i="2"/>
  <c r="N162" i="2"/>
  <c r="U162" i="2"/>
  <c r="M162" i="2"/>
  <c r="V166" i="2"/>
  <c r="N166" i="2"/>
  <c r="F166" i="2"/>
  <c r="U166" i="2"/>
  <c r="M166" i="2"/>
  <c r="T166" i="2"/>
  <c r="L166" i="2"/>
  <c r="S166" i="2"/>
  <c r="K166" i="2"/>
  <c r="P166" i="2"/>
  <c r="H166" i="2"/>
  <c r="W166" i="2"/>
  <c r="O166" i="2"/>
  <c r="G166" i="2"/>
  <c r="R166" i="2"/>
  <c r="Q166" i="2"/>
  <c r="I166" i="2"/>
  <c r="J166" i="2"/>
  <c r="AH166" i="2" s="1"/>
  <c r="R170" i="2"/>
  <c r="J170" i="2"/>
  <c r="AH170" i="2" s="1"/>
  <c r="Q170" i="2"/>
  <c r="I170" i="2"/>
  <c r="P170" i="2"/>
  <c r="H170" i="2"/>
  <c r="W170" i="2"/>
  <c r="O170" i="2"/>
  <c r="G170" i="2"/>
  <c r="T170" i="2"/>
  <c r="L170" i="2"/>
  <c r="S170" i="2"/>
  <c r="K170" i="2"/>
  <c r="M170" i="2"/>
  <c r="F170" i="2"/>
  <c r="U170" i="2"/>
  <c r="V170" i="2"/>
  <c r="N170" i="2"/>
  <c r="V174" i="2"/>
  <c r="N174" i="2"/>
  <c r="F174" i="2"/>
  <c r="U174" i="2"/>
  <c r="M174" i="2"/>
  <c r="T174" i="2"/>
  <c r="L174" i="2"/>
  <c r="S174" i="2"/>
  <c r="K174" i="2"/>
  <c r="P174" i="2"/>
  <c r="H174" i="2"/>
  <c r="W174" i="2"/>
  <c r="O174" i="2"/>
  <c r="G174" i="2"/>
  <c r="R174" i="2"/>
  <c r="J174" i="2"/>
  <c r="AH174" i="2" s="1"/>
  <c r="Q174" i="2"/>
  <c r="I174" i="2"/>
  <c r="Q178" i="2"/>
  <c r="I178" i="2"/>
  <c r="U178" i="2"/>
  <c r="M178" i="2"/>
  <c r="V178" i="2"/>
  <c r="K178" i="2"/>
  <c r="T178" i="2"/>
  <c r="J178" i="2"/>
  <c r="AH178" i="2" s="1"/>
  <c r="S178" i="2"/>
  <c r="H178" i="2"/>
  <c r="R178" i="2"/>
  <c r="G178" i="2"/>
  <c r="N178" i="2"/>
  <c r="W178" i="2"/>
  <c r="L178" i="2"/>
  <c r="O178" i="2"/>
  <c r="P178" i="2"/>
  <c r="F178" i="2"/>
  <c r="W182" i="2"/>
  <c r="O182" i="2"/>
  <c r="G182" i="2"/>
  <c r="V182" i="2"/>
  <c r="N182" i="2"/>
  <c r="F182" i="2"/>
  <c r="U182" i="2"/>
  <c r="M182" i="2"/>
  <c r="T182" i="2"/>
  <c r="L182" i="2"/>
  <c r="S182" i="2"/>
  <c r="K182" i="2"/>
  <c r="Q182" i="2"/>
  <c r="I182" i="2"/>
  <c r="H182" i="2"/>
  <c r="P182" i="2"/>
  <c r="J182" i="2"/>
  <c r="AH182" i="2" s="1"/>
  <c r="R182" i="2"/>
  <c r="S186" i="2"/>
  <c r="K186" i="2"/>
  <c r="R186" i="2"/>
  <c r="J186" i="2"/>
  <c r="AH186" i="2" s="1"/>
  <c r="Q186" i="2"/>
  <c r="I186" i="2"/>
  <c r="P186" i="2"/>
  <c r="H186" i="2"/>
  <c r="W186" i="2"/>
  <c r="O186" i="2"/>
  <c r="G186" i="2"/>
  <c r="U186" i="2"/>
  <c r="M186" i="2"/>
  <c r="V186" i="2"/>
  <c r="T186" i="2"/>
  <c r="N186" i="2"/>
  <c r="L186" i="2"/>
  <c r="F186" i="2"/>
  <c r="W190" i="2"/>
  <c r="O190" i="2"/>
  <c r="G190" i="2"/>
  <c r="V190" i="2"/>
  <c r="N190" i="2"/>
  <c r="F190" i="2"/>
  <c r="U190" i="2"/>
  <c r="M190" i="2"/>
  <c r="T190" i="2"/>
  <c r="L190" i="2"/>
  <c r="S190" i="2"/>
  <c r="K190" i="2"/>
  <c r="Q190" i="2"/>
  <c r="I190" i="2"/>
  <c r="P190" i="2"/>
  <c r="J190" i="2"/>
  <c r="AH190" i="2" s="1"/>
  <c r="H190" i="2"/>
  <c r="R190" i="2"/>
  <c r="S194" i="2"/>
  <c r="K194" i="2"/>
  <c r="R194" i="2"/>
  <c r="J194" i="2"/>
  <c r="AH194" i="2" s="1"/>
  <c r="Q194" i="2"/>
  <c r="I194" i="2"/>
  <c r="P194" i="2"/>
  <c r="H194" i="2"/>
  <c r="W194" i="2"/>
  <c r="O194" i="2"/>
  <c r="G194" i="2"/>
  <c r="U194" i="2"/>
  <c r="M194" i="2"/>
  <c r="F194" i="2"/>
  <c r="N194" i="2"/>
  <c r="L194" i="2"/>
  <c r="V194" i="2"/>
  <c r="T194" i="2"/>
  <c r="AK187" i="1"/>
  <c r="AC201" i="2"/>
  <c r="E201" i="2"/>
  <c r="AB201" i="2"/>
  <c r="AA201" i="2"/>
  <c r="Z201" i="2"/>
  <c r="X201" i="2"/>
  <c r="Y201" i="2"/>
  <c r="U204" i="2"/>
  <c r="M204" i="2"/>
  <c r="T204" i="2"/>
  <c r="L204" i="2"/>
  <c r="S204" i="2"/>
  <c r="K204" i="2"/>
  <c r="R204" i="2"/>
  <c r="J204" i="2"/>
  <c r="AH204" i="2" s="1"/>
  <c r="Q204" i="2"/>
  <c r="I204" i="2"/>
  <c r="W204" i="2"/>
  <c r="O204" i="2"/>
  <c r="G204" i="2"/>
  <c r="N204" i="2"/>
  <c r="H204" i="2"/>
  <c r="F204" i="2"/>
  <c r="V204" i="2"/>
  <c r="P204" i="2"/>
  <c r="AK193" i="1"/>
  <c r="T207" i="2"/>
  <c r="L207" i="2"/>
  <c r="S207" i="2"/>
  <c r="K207" i="2"/>
  <c r="R207" i="2"/>
  <c r="J207" i="2"/>
  <c r="Q207" i="2"/>
  <c r="I207" i="2"/>
  <c r="P207" i="2"/>
  <c r="H207" i="2"/>
  <c r="V207" i="2"/>
  <c r="N207" i="2"/>
  <c r="F207" i="2"/>
  <c r="U207" i="2"/>
  <c r="O207" i="2"/>
  <c r="M207" i="2"/>
  <c r="G207" i="2"/>
  <c r="W207" i="2"/>
  <c r="Z213" i="2"/>
  <c r="Y213" i="2"/>
  <c r="X213" i="2"/>
  <c r="AB213" i="2"/>
  <c r="E213" i="2"/>
  <c r="AC213" i="2"/>
  <c r="AA213" i="2"/>
  <c r="T215" i="2"/>
  <c r="L215" i="2"/>
  <c r="S215" i="2"/>
  <c r="K215" i="2"/>
  <c r="R215" i="2"/>
  <c r="J215" i="2"/>
  <c r="AH215" i="2" s="1"/>
  <c r="Q215" i="2"/>
  <c r="I215" i="2"/>
  <c r="P215" i="2"/>
  <c r="H215" i="2"/>
  <c r="V215" i="2"/>
  <c r="N215" i="2"/>
  <c r="F215" i="2"/>
  <c r="W215" i="2"/>
  <c r="U215" i="2"/>
  <c r="G215" i="2"/>
  <c r="O215" i="2"/>
  <c r="M215" i="2"/>
  <c r="Z221" i="2"/>
  <c r="Y221" i="2"/>
  <c r="X221" i="2"/>
  <c r="AB221" i="2"/>
  <c r="E221" i="2"/>
  <c r="AA221" i="2"/>
  <c r="AC221" i="2"/>
  <c r="T223" i="2"/>
  <c r="L223" i="2"/>
  <c r="S223" i="2"/>
  <c r="K223" i="2"/>
  <c r="R223" i="2"/>
  <c r="J223" i="2"/>
  <c r="AH223" i="2" s="1"/>
  <c r="Q223" i="2"/>
  <c r="I223" i="2"/>
  <c r="P223" i="2"/>
  <c r="H223" i="2"/>
  <c r="V223" i="2"/>
  <c r="N223" i="2"/>
  <c r="F223" i="2"/>
  <c r="M223" i="2"/>
  <c r="G223" i="2"/>
  <c r="U223" i="2"/>
  <c r="O223" i="2"/>
  <c r="W223" i="2"/>
  <c r="Z229" i="2"/>
  <c r="Y229" i="2"/>
  <c r="X229" i="2"/>
  <c r="AB229" i="2"/>
  <c r="AA229" i="2"/>
  <c r="AC229" i="2"/>
  <c r="E229" i="2"/>
  <c r="T231" i="2"/>
  <c r="L231" i="2"/>
  <c r="S231" i="2"/>
  <c r="K231" i="2"/>
  <c r="R231" i="2"/>
  <c r="J231" i="2"/>
  <c r="AH231" i="2" s="1"/>
  <c r="Q231" i="2"/>
  <c r="I231" i="2"/>
  <c r="P231" i="2"/>
  <c r="H231" i="2"/>
  <c r="V231" i="2"/>
  <c r="N231" i="2"/>
  <c r="F231" i="2"/>
  <c r="U231" i="2"/>
  <c r="O231" i="2"/>
  <c r="M231" i="2"/>
  <c r="G231" i="2"/>
  <c r="W231" i="2"/>
  <c r="AA234" i="2"/>
  <c r="Z234" i="2"/>
  <c r="Y234" i="2"/>
  <c r="X234" i="2"/>
  <c r="AC234" i="2"/>
  <c r="E234" i="2"/>
  <c r="AB234" i="2"/>
  <c r="AC236" i="2"/>
  <c r="E236" i="2"/>
  <c r="AB236" i="2"/>
  <c r="AA236" i="2"/>
  <c r="Z236" i="2"/>
  <c r="Y236" i="2"/>
  <c r="X236" i="2"/>
  <c r="V241" i="2"/>
  <c r="N241" i="2"/>
  <c r="F241" i="2"/>
  <c r="U241" i="2"/>
  <c r="M241" i="2"/>
  <c r="T241" i="2"/>
  <c r="L241" i="2"/>
  <c r="S241" i="2"/>
  <c r="K241" i="2"/>
  <c r="R241" i="2"/>
  <c r="J241" i="2"/>
  <c r="AH241" i="2" s="1"/>
  <c r="P241" i="2"/>
  <c r="H241" i="2"/>
  <c r="W241" i="2"/>
  <c r="Q241" i="2"/>
  <c r="G241" i="2"/>
  <c r="I241" i="2"/>
  <c r="O241" i="2"/>
  <c r="AK230" i="1"/>
  <c r="S246" i="2"/>
  <c r="K246" i="2"/>
  <c r="Q246" i="2"/>
  <c r="I246" i="2"/>
  <c r="P246" i="2"/>
  <c r="H246" i="2"/>
  <c r="W246" i="2"/>
  <c r="O246" i="2"/>
  <c r="G246" i="2"/>
  <c r="U246" i="2"/>
  <c r="M246" i="2"/>
  <c r="J246" i="2"/>
  <c r="AH246" i="2" s="1"/>
  <c r="F246" i="2"/>
  <c r="V246" i="2"/>
  <c r="T246" i="2"/>
  <c r="N246" i="2"/>
  <c r="R246" i="2"/>
  <c r="L246" i="2"/>
  <c r="AK235" i="1"/>
  <c r="AB251" i="2"/>
  <c r="AA251" i="2"/>
  <c r="Z251" i="2"/>
  <c r="Y251" i="2"/>
  <c r="X251" i="2"/>
  <c r="E251" i="2"/>
  <c r="AC251" i="2"/>
  <c r="AA254" i="2"/>
  <c r="Z254" i="2"/>
  <c r="Y254" i="2"/>
  <c r="X254" i="2"/>
  <c r="AC254" i="2"/>
  <c r="E254" i="2"/>
  <c r="AB254" i="2"/>
  <c r="U256" i="2"/>
  <c r="M256" i="2"/>
  <c r="T256" i="2"/>
  <c r="L256" i="2"/>
  <c r="S256" i="2"/>
  <c r="K256" i="2"/>
  <c r="R256" i="2"/>
  <c r="J256" i="2"/>
  <c r="AH256" i="2" s="1"/>
  <c r="Q256" i="2"/>
  <c r="I256" i="2"/>
  <c r="W256" i="2"/>
  <c r="O256" i="2"/>
  <c r="G256" i="2"/>
  <c r="N256" i="2"/>
  <c r="H256" i="2"/>
  <c r="F256" i="2"/>
  <c r="V256" i="2"/>
  <c r="P256" i="2"/>
  <c r="AK245" i="1"/>
  <c r="W258" i="2"/>
  <c r="O258" i="2"/>
  <c r="G258" i="2"/>
  <c r="V258" i="2"/>
  <c r="N258" i="2"/>
  <c r="F258" i="2"/>
  <c r="U258" i="2"/>
  <c r="M258" i="2"/>
  <c r="T258" i="2"/>
  <c r="L258" i="2"/>
  <c r="S258" i="2"/>
  <c r="K258" i="2"/>
  <c r="Q258" i="2"/>
  <c r="I258" i="2"/>
  <c r="H258" i="2"/>
  <c r="R258" i="2"/>
  <c r="P258" i="2"/>
  <c r="J258" i="2"/>
  <c r="AH258" i="2" s="1"/>
  <c r="V261" i="2"/>
  <c r="N261" i="2"/>
  <c r="F261" i="2"/>
  <c r="U261" i="2"/>
  <c r="M261" i="2"/>
  <c r="T261" i="2"/>
  <c r="L261" i="2"/>
  <c r="S261" i="2"/>
  <c r="K261" i="2"/>
  <c r="R261" i="2"/>
  <c r="J261" i="2"/>
  <c r="AH261" i="2" s="1"/>
  <c r="P261" i="2"/>
  <c r="H261" i="2"/>
  <c r="Q261" i="2"/>
  <c r="O261" i="2"/>
  <c r="I261" i="2"/>
  <c r="G261" i="2"/>
  <c r="W261" i="2"/>
  <c r="AK250" i="1"/>
  <c r="P263" i="2"/>
  <c r="H263" i="2"/>
  <c r="W263" i="2"/>
  <c r="O263" i="2"/>
  <c r="G263" i="2"/>
  <c r="V263" i="2"/>
  <c r="N263" i="2"/>
  <c r="F263" i="2"/>
  <c r="U263" i="2"/>
  <c r="M263" i="2"/>
  <c r="T263" i="2"/>
  <c r="L263" i="2"/>
  <c r="R263" i="2"/>
  <c r="J263" i="2"/>
  <c r="AH263" i="2" s="1"/>
  <c r="Q263" i="2"/>
  <c r="K263" i="2"/>
  <c r="I263" i="2"/>
  <c r="S263" i="2"/>
  <c r="AC266" i="2"/>
  <c r="E266" i="2"/>
  <c r="AB266" i="2"/>
  <c r="AA266" i="2"/>
  <c r="Y266" i="2"/>
  <c r="Z266" i="2"/>
  <c r="X266" i="2"/>
  <c r="Y268" i="2"/>
  <c r="X268" i="2"/>
  <c r="AC268" i="2"/>
  <c r="E268" i="2"/>
  <c r="AA268" i="2"/>
  <c r="AB268" i="2"/>
  <c r="Z268" i="2"/>
  <c r="R273" i="2"/>
  <c r="J273" i="2"/>
  <c r="AH273" i="2" s="1"/>
  <c r="Q273" i="2"/>
  <c r="I273" i="2"/>
  <c r="P273" i="2"/>
  <c r="H273" i="2"/>
  <c r="W273" i="2"/>
  <c r="O273" i="2"/>
  <c r="G273" i="2"/>
  <c r="V273" i="2"/>
  <c r="N273" i="2"/>
  <c r="F273" i="2"/>
  <c r="T273" i="2"/>
  <c r="L273" i="2"/>
  <c r="S273" i="2"/>
  <c r="M273" i="2"/>
  <c r="K273" i="2"/>
  <c r="U273" i="2"/>
  <c r="AK262" i="1"/>
  <c r="S278" i="2"/>
  <c r="K278" i="2"/>
  <c r="R278" i="2"/>
  <c r="J278" i="2"/>
  <c r="AH278" i="2" s="1"/>
  <c r="Q278" i="2"/>
  <c r="I278" i="2"/>
  <c r="P278" i="2"/>
  <c r="H278" i="2"/>
  <c r="W278" i="2"/>
  <c r="O278" i="2"/>
  <c r="G278" i="2"/>
  <c r="U278" i="2"/>
  <c r="M278" i="2"/>
  <c r="V278" i="2"/>
  <c r="T278" i="2"/>
  <c r="N278" i="2"/>
  <c r="L278" i="2"/>
  <c r="F278" i="2"/>
  <c r="AK267" i="1"/>
  <c r="AB283" i="2"/>
  <c r="AA283" i="2"/>
  <c r="Z283" i="2"/>
  <c r="Y283" i="2"/>
  <c r="X283" i="2"/>
  <c r="E283" i="2"/>
  <c r="AC283" i="2"/>
  <c r="AA286" i="2"/>
  <c r="Z286" i="2"/>
  <c r="Y286" i="2"/>
  <c r="X286" i="2"/>
  <c r="AC286" i="2"/>
  <c r="E286" i="2"/>
  <c r="AB286" i="2"/>
  <c r="U288" i="2"/>
  <c r="M288" i="2"/>
  <c r="T288" i="2"/>
  <c r="L288" i="2"/>
  <c r="S288" i="2"/>
  <c r="K288" i="2"/>
  <c r="R288" i="2"/>
  <c r="J288" i="2"/>
  <c r="AH288" i="2" s="1"/>
  <c r="Q288" i="2"/>
  <c r="I288" i="2"/>
  <c r="W288" i="2"/>
  <c r="O288" i="2"/>
  <c r="G288" i="2"/>
  <c r="V288" i="2"/>
  <c r="P288" i="2"/>
  <c r="N288" i="2"/>
  <c r="H288" i="2"/>
  <c r="F288" i="2"/>
  <c r="AK277" i="1"/>
  <c r="W290" i="2"/>
  <c r="O290" i="2"/>
  <c r="G290" i="2"/>
  <c r="V290" i="2"/>
  <c r="N290" i="2"/>
  <c r="F290" i="2"/>
  <c r="U290" i="2"/>
  <c r="M290" i="2"/>
  <c r="T290" i="2"/>
  <c r="L290" i="2"/>
  <c r="S290" i="2"/>
  <c r="K290" i="2"/>
  <c r="Q290" i="2"/>
  <c r="I290" i="2"/>
  <c r="R290" i="2"/>
  <c r="P290" i="2"/>
  <c r="J290" i="2"/>
  <c r="AH290" i="2" s="1"/>
  <c r="H290" i="2"/>
  <c r="V293" i="2"/>
  <c r="N293" i="2"/>
  <c r="F293" i="2"/>
  <c r="U293" i="2"/>
  <c r="M293" i="2"/>
  <c r="T293" i="2"/>
  <c r="L293" i="2"/>
  <c r="S293" i="2"/>
  <c r="K293" i="2"/>
  <c r="R293" i="2"/>
  <c r="J293" i="2"/>
  <c r="AH293" i="2" s="1"/>
  <c r="P293" i="2"/>
  <c r="H293" i="2"/>
  <c r="W293" i="2"/>
  <c r="Q293" i="2"/>
  <c r="O293" i="2"/>
  <c r="I293" i="2"/>
  <c r="G293" i="2"/>
  <c r="AK282" i="1"/>
  <c r="P295" i="2"/>
  <c r="H295" i="2"/>
  <c r="W295" i="2"/>
  <c r="O295" i="2"/>
  <c r="G295" i="2"/>
  <c r="V295" i="2"/>
  <c r="N295" i="2"/>
  <c r="F295" i="2"/>
  <c r="U295" i="2"/>
  <c r="M295" i="2"/>
  <c r="T295" i="2"/>
  <c r="L295" i="2"/>
  <c r="R295" i="2"/>
  <c r="J295" i="2"/>
  <c r="AH295" i="2" s="1"/>
  <c r="S295" i="2"/>
  <c r="Q295" i="2"/>
  <c r="K295" i="2"/>
  <c r="I295" i="2"/>
  <c r="AC298" i="2"/>
  <c r="E298" i="2"/>
  <c r="AB298" i="2"/>
  <c r="AA298" i="2"/>
  <c r="Y298" i="2"/>
  <c r="Z298" i="2"/>
  <c r="X298" i="2"/>
  <c r="Y300" i="2"/>
  <c r="X300" i="2"/>
  <c r="AC300" i="2"/>
  <c r="E300" i="2"/>
  <c r="AA300" i="2"/>
  <c r="AB300" i="2"/>
  <c r="Z300" i="2"/>
  <c r="AE303" i="2"/>
  <c r="R305" i="2"/>
  <c r="J305" i="2"/>
  <c r="AH305" i="2" s="1"/>
  <c r="Q305" i="2"/>
  <c r="I305" i="2"/>
  <c r="P305" i="2"/>
  <c r="H305" i="2"/>
  <c r="W305" i="2"/>
  <c r="O305" i="2"/>
  <c r="G305" i="2"/>
  <c r="V305" i="2"/>
  <c r="N305" i="2"/>
  <c r="F305" i="2"/>
  <c r="T305" i="2"/>
  <c r="L305" i="2"/>
  <c r="U305" i="2"/>
  <c r="S305" i="2"/>
  <c r="M305" i="2"/>
  <c r="K305" i="2"/>
  <c r="AK294" i="1"/>
  <c r="S310" i="2"/>
  <c r="K310" i="2"/>
  <c r="R310" i="2"/>
  <c r="J310" i="2"/>
  <c r="AH310" i="2" s="1"/>
  <c r="Q310" i="2"/>
  <c r="I310" i="2"/>
  <c r="P310" i="2"/>
  <c r="H310" i="2"/>
  <c r="W310" i="2"/>
  <c r="O310" i="2"/>
  <c r="G310" i="2"/>
  <c r="U310" i="2"/>
  <c r="M310" i="2"/>
  <c r="V310" i="2"/>
  <c r="T310" i="2"/>
  <c r="N310" i="2"/>
  <c r="L310" i="2"/>
  <c r="F310" i="2"/>
  <c r="AK299" i="1"/>
  <c r="AB315" i="2"/>
  <c r="AA315" i="2"/>
  <c r="Z315" i="2"/>
  <c r="Y315" i="2"/>
  <c r="X315" i="2"/>
  <c r="AC315" i="2"/>
  <c r="E315" i="2"/>
  <c r="AA318" i="2"/>
  <c r="Z318" i="2"/>
  <c r="Y318" i="2"/>
  <c r="X318" i="2"/>
  <c r="AC318" i="2"/>
  <c r="E318" i="2"/>
  <c r="AB318" i="2"/>
  <c r="U320" i="2"/>
  <c r="M320" i="2"/>
  <c r="T320" i="2"/>
  <c r="L320" i="2"/>
  <c r="S320" i="2"/>
  <c r="K320" i="2"/>
  <c r="R320" i="2"/>
  <c r="J320" i="2"/>
  <c r="AH320" i="2" s="1"/>
  <c r="Q320" i="2"/>
  <c r="I320" i="2"/>
  <c r="W320" i="2"/>
  <c r="O320" i="2"/>
  <c r="G320" i="2"/>
  <c r="F320" i="2"/>
  <c r="V320" i="2"/>
  <c r="P320" i="2"/>
  <c r="N320" i="2"/>
  <c r="H320" i="2"/>
  <c r="AK309" i="1"/>
  <c r="W322" i="2"/>
  <c r="O322" i="2"/>
  <c r="G322" i="2"/>
  <c r="V322" i="2"/>
  <c r="N322" i="2"/>
  <c r="F322" i="2"/>
  <c r="U322" i="2"/>
  <c r="M322" i="2"/>
  <c r="T322" i="2"/>
  <c r="L322" i="2"/>
  <c r="S322" i="2"/>
  <c r="K322" i="2"/>
  <c r="Q322" i="2"/>
  <c r="I322" i="2"/>
  <c r="R322" i="2"/>
  <c r="P322" i="2"/>
  <c r="J322" i="2"/>
  <c r="AH322" i="2" s="1"/>
  <c r="H322" i="2"/>
  <c r="V325" i="2"/>
  <c r="N325" i="2"/>
  <c r="F325" i="2"/>
  <c r="U325" i="2"/>
  <c r="M325" i="2"/>
  <c r="T325" i="2"/>
  <c r="L325" i="2"/>
  <c r="S325" i="2"/>
  <c r="K325" i="2"/>
  <c r="R325" i="2"/>
  <c r="J325" i="2"/>
  <c r="AH325" i="2" s="1"/>
  <c r="P325" i="2"/>
  <c r="H325" i="2"/>
  <c r="G325" i="2"/>
  <c r="W325" i="2"/>
  <c r="Q325" i="2"/>
  <c r="O325" i="2"/>
  <c r="I325" i="2"/>
  <c r="AK314" i="1"/>
  <c r="U327" i="2"/>
  <c r="M327" i="2"/>
  <c r="T327" i="2"/>
  <c r="L327" i="2"/>
  <c r="S327" i="2"/>
  <c r="K327" i="2"/>
  <c r="R327" i="2"/>
  <c r="J327" i="2"/>
  <c r="AH327" i="2" s="1"/>
  <c r="V327" i="2"/>
  <c r="N327" i="2"/>
  <c r="F327" i="2"/>
  <c r="H327" i="2"/>
  <c r="G327" i="2"/>
  <c r="W327" i="2"/>
  <c r="Q327" i="2"/>
  <c r="O327" i="2"/>
  <c r="I327" i="2"/>
  <c r="P327" i="2"/>
  <c r="AB330" i="2"/>
  <c r="AA330" i="2"/>
  <c r="Z330" i="2"/>
  <c r="Y330" i="2"/>
  <c r="X330" i="2"/>
  <c r="AC330" i="2"/>
  <c r="E330" i="2"/>
  <c r="AC332" i="2"/>
  <c r="E332" i="2"/>
  <c r="AB332" i="2"/>
  <c r="AA332" i="2"/>
  <c r="Z332" i="2"/>
  <c r="X332" i="2"/>
  <c r="Y332" i="2"/>
  <c r="W337" i="2"/>
  <c r="O337" i="2"/>
  <c r="G337" i="2"/>
  <c r="V337" i="2"/>
  <c r="N337" i="2"/>
  <c r="F337" i="2"/>
  <c r="U337" i="2"/>
  <c r="M337" i="2"/>
  <c r="T337" i="2"/>
  <c r="L337" i="2"/>
  <c r="S337" i="2"/>
  <c r="K337" i="2"/>
  <c r="Q337" i="2"/>
  <c r="I337" i="2"/>
  <c r="P337" i="2"/>
  <c r="H337" i="2"/>
  <c r="R337" i="2"/>
  <c r="J337" i="2"/>
  <c r="AH337" i="2" s="1"/>
  <c r="AK326" i="1"/>
  <c r="P342" i="2"/>
  <c r="H342" i="2"/>
  <c r="W342" i="2"/>
  <c r="O342" i="2"/>
  <c r="G342" i="2"/>
  <c r="V342" i="2"/>
  <c r="N342" i="2"/>
  <c r="F342" i="2"/>
  <c r="U342" i="2"/>
  <c r="M342" i="2"/>
  <c r="T342" i="2"/>
  <c r="L342" i="2"/>
  <c r="R342" i="2"/>
  <c r="J342" i="2"/>
  <c r="AH342" i="2" s="1"/>
  <c r="Q342" i="2"/>
  <c r="I342" i="2"/>
  <c r="S342" i="2"/>
  <c r="K342" i="2"/>
  <c r="AK331" i="1"/>
  <c r="Y347" i="2"/>
  <c r="X347" i="2"/>
  <c r="AC347" i="2"/>
  <c r="E347" i="2"/>
  <c r="AA347" i="2"/>
  <c r="Z347" i="2"/>
  <c r="AB347" i="2"/>
  <c r="X350" i="2"/>
  <c r="AC350" i="2"/>
  <c r="E350" i="2"/>
  <c r="AB350" i="2"/>
  <c r="Z350" i="2"/>
  <c r="Y350" i="2"/>
  <c r="AA350" i="2"/>
  <c r="R352" i="2"/>
  <c r="J352" i="2"/>
  <c r="AH352" i="2" s="1"/>
  <c r="Q352" i="2"/>
  <c r="I352" i="2"/>
  <c r="P352" i="2"/>
  <c r="H352" i="2"/>
  <c r="W352" i="2"/>
  <c r="O352" i="2"/>
  <c r="G352" i="2"/>
  <c r="V352" i="2"/>
  <c r="N352" i="2"/>
  <c r="F352" i="2"/>
  <c r="T352" i="2"/>
  <c r="L352" i="2"/>
  <c r="S352" i="2"/>
  <c r="K352" i="2"/>
  <c r="U352" i="2"/>
  <c r="M352" i="2"/>
  <c r="AK341" i="1"/>
  <c r="T354" i="2"/>
  <c r="L354" i="2"/>
  <c r="S354" i="2"/>
  <c r="K354" i="2"/>
  <c r="R354" i="2"/>
  <c r="J354" i="2"/>
  <c r="Q354" i="2"/>
  <c r="I354" i="2"/>
  <c r="P354" i="2"/>
  <c r="H354" i="2"/>
  <c r="V354" i="2"/>
  <c r="N354" i="2"/>
  <c r="F354" i="2"/>
  <c r="U354" i="2"/>
  <c r="M354" i="2"/>
  <c r="W354" i="2"/>
  <c r="O354" i="2"/>
  <c r="G354" i="2"/>
  <c r="S357" i="2"/>
  <c r="K357" i="2"/>
  <c r="R357" i="2"/>
  <c r="J357" i="2"/>
  <c r="AH357" i="2" s="1"/>
  <c r="Q357" i="2"/>
  <c r="I357" i="2"/>
  <c r="P357" i="2"/>
  <c r="H357" i="2"/>
  <c r="W357" i="2"/>
  <c r="O357" i="2"/>
  <c r="G357" i="2"/>
  <c r="U357" i="2"/>
  <c r="M357" i="2"/>
  <c r="T357" i="2"/>
  <c r="L357" i="2"/>
  <c r="N357" i="2"/>
  <c r="F357" i="2"/>
  <c r="V357" i="2"/>
  <c r="AK346" i="1"/>
  <c r="S359" i="2"/>
  <c r="K359" i="2"/>
  <c r="R359" i="2"/>
  <c r="I359" i="2"/>
  <c r="Q359" i="2"/>
  <c r="H359" i="2"/>
  <c r="P359" i="2"/>
  <c r="G359" i="2"/>
  <c r="O359" i="2"/>
  <c r="F359" i="2"/>
  <c r="W359" i="2"/>
  <c r="N359" i="2"/>
  <c r="U359" i="2"/>
  <c r="L359" i="2"/>
  <c r="T359" i="2"/>
  <c r="J359" i="2"/>
  <c r="AH359" i="2" s="1"/>
  <c r="M359" i="2"/>
  <c r="V359" i="2"/>
  <c r="AB362" i="2"/>
  <c r="Z362" i="2"/>
  <c r="Y362" i="2"/>
  <c r="X362" i="2"/>
  <c r="AA362" i="2"/>
  <c r="E362" i="2"/>
  <c r="AC362" i="2"/>
  <c r="AB364" i="2"/>
  <c r="AA364" i="2"/>
  <c r="Z364" i="2"/>
  <c r="Y364" i="2"/>
  <c r="X364" i="2"/>
  <c r="E364" i="2"/>
  <c r="AC364" i="2"/>
  <c r="W369" i="2"/>
  <c r="O369" i="2"/>
  <c r="G369" i="2"/>
  <c r="V369" i="2"/>
  <c r="N369" i="2"/>
  <c r="F369" i="2"/>
  <c r="U369" i="2"/>
  <c r="M369" i="2"/>
  <c r="T369" i="2"/>
  <c r="L369" i="2"/>
  <c r="S369" i="2"/>
  <c r="K369" i="2"/>
  <c r="I369" i="2"/>
  <c r="H369" i="2"/>
  <c r="R369" i="2"/>
  <c r="P369" i="2"/>
  <c r="J369" i="2"/>
  <c r="AH369" i="2" s="1"/>
  <c r="Q369" i="2"/>
  <c r="AK358" i="1"/>
  <c r="P374" i="2"/>
  <c r="H374" i="2"/>
  <c r="W374" i="2"/>
  <c r="O374" i="2"/>
  <c r="G374" i="2"/>
  <c r="V374" i="2"/>
  <c r="N374" i="2"/>
  <c r="F374" i="2"/>
  <c r="U374" i="2"/>
  <c r="M374" i="2"/>
  <c r="T374" i="2"/>
  <c r="L374" i="2"/>
  <c r="S374" i="2"/>
  <c r="R374" i="2"/>
  <c r="Q374" i="2"/>
  <c r="K374" i="2"/>
  <c r="I374" i="2"/>
  <c r="J374" i="2"/>
  <c r="AH374" i="2" s="1"/>
  <c r="AK363" i="1"/>
  <c r="Y379" i="2"/>
  <c r="X379" i="2"/>
  <c r="AC379" i="2"/>
  <c r="E379" i="2"/>
  <c r="AA379" i="2"/>
  <c r="AB379" i="2"/>
  <c r="Z379" i="2"/>
  <c r="X382" i="2"/>
  <c r="AC382" i="2"/>
  <c r="E382" i="2"/>
  <c r="AB382" i="2"/>
  <c r="Z382" i="2"/>
  <c r="Y382" i="2"/>
  <c r="AA382" i="2"/>
  <c r="R384" i="2"/>
  <c r="J384" i="2"/>
  <c r="AH384" i="2" s="1"/>
  <c r="Q384" i="2"/>
  <c r="I384" i="2"/>
  <c r="P384" i="2"/>
  <c r="H384" i="2"/>
  <c r="W384" i="2"/>
  <c r="O384" i="2"/>
  <c r="G384" i="2"/>
  <c r="V384" i="2"/>
  <c r="N384" i="2"/>
  <c r="F384" i="2"/>
  <c r="T384" i="2"/>
  <c r="L384" i="2"/>
  <c r="U384" i="2"/>
  <c r="M384" i="2"/>
  <c r="K384" i="2"/>
  <c r="S384" i="2"/>
  <c r="AK373" i="1"/>
  <c r="T386" i="2"/>
  <c r="L386" i="2"/>
  <c r="S386" i="2"/>
  <c r="K386" i="2"/>
  <c r="R386" i="2"/>
  <c r="J386" i="2"/>
  <c r="AH386" i="2" s="1"/>
  <c r="Q386" i="2"/>
  <c r="I386" i="2"/>
  <c r="P386" i="2"/>
  <c r="H386" i="2"/>
  <c r="V386" i="2"/>
  <c r="N386" i="2"/>
  <c r="F386" i="2"/>
  <c r="W386" i="2"/>
  <c r="U386" i="2"/>
  <c r="O386" i="2"/>
  <c r="G386" i="2"/>
  <c r="M386" i="2"/>
  <c r="S389" i="2"/>
  <c r="K389" i="2"/>
  <c r="R389" i="2"/>
  <c r="J389" i="2"/>
  <c r="AH389" i="2" s="1"/>
  <c r="Q389" i="2"/>
  <c r="I389" i="2"/>
  <c r="P389" i="2"/>
  <c r="H389" i="2"/>
  <c r="W389" i="2"/>
  <c r="O389" i="2"/>
  <c r="G389" i="2"/>
  <c r="U389" i="2"/>
  <c r="M389" i="2"/>
  <c r="F389" i="2"/>
  <c r="V389" i="2"/>
  <c r="N389" i="2"/>
  <c r="L389" i="2"/>
  <c r="T389" i="2"/>
  <c r="AK378" i="1"/>
  <c r="U391" i="2"/>
  <c r="M391" i="2"/>
  <c r="T391" i="2"/>
  <c r="L391" i="2"/>
  <c r="S391" i="2"/>
  <c r="K391" i="2"/>
  <c r="R391" i="2"/>
  <c r="J391" i="2"/>
  <c r="AH391" i="2" s="1"/>
  <c r="Q391" i="2"/>
  <c r="I391" i="2"/>
  <c r="W391" i="2"/>
  <c r="O391" i="2"/>
  <c r="G391" i="2"/>
  <c r="V391" i="2"/>
  <c r="P391" i="2"/>
  <c r="H391" i="2"/>
  <c r="F391" i="2"/>
  <c r="N391" i="2"/>
  <c r="AB394" i="2"/>
  <c r="AA394" i="2"/>
  <c r="Z394" i="2"/>
  <c r="Y394" i="2"/>
  <c r="X394" i="2"/>
  <c r="E394" i="2"/>
  <c r="AC394" i="2"/>
  <c r="AC396" i="2"/>
  <c r="E396" i="2"/>
  <c r="AB396" i="2"/>
  <c r="AA396" i="2"/>
  <c r="Y396" i="2"/>
  <c r="Z396" i="2"/>
  <c r="X396" i="2"/>
  <c r="P401" i="2"/>
  <c r="H401" i="2"/>
  <c r="W401" i="2"/>
  <c r="O401" i="2"/>
  <c r="G401" i="2"/>
  <c r="V401" i="2"/>
  <c r="N401" i="2"/>
  <c r="F401" i="2"/>
  <c r="U401" i="2"/>
  <c r="M401" i="2"/>
  <c r="T401" i="2"/>
  <c r="L401" i="2"/>
  <c r="R401" i="2"/>
  <c r="J401" i="2"/>
  <c r="AH401" i="2" s="1"/>
  <c r="Q401" i="2"/>
  <c r="I401" i="2"/>
  <c r="K401" i="2"/>
  <c r="S401" i="2"/>
  <c r="AK390" i="1"/>
  <c r="Q406" i="2"/>
  <c r="I406" i="2"/>
  <c r="P406" i="2"/>
  <c r="H406" i="2"/>
  <c r="W406" i="2"/>
  <c r="O406" i="2"/>
  <c r="G406" i="2"/>
  <c r="V406" i="2"/>
  <c r="N406" i="2"/>
  <c r="F406" i="2"/>
  <c r="U406" i="2"/>
  <c r="M406" i="2"/>
  <c r="S406" i="2"/>
  <c r="K406" i="2"/>
  <c r="R406" i="2"/>
  <c r="J406" i="2"/>
  <c r="AH406" i="2" s="1"/>
  <c r="T406" i="2"/>
  <c r="L406" i="2"/>
  <c r="AK395" i="1"/>
  <c r="Z411" i="2"/>
  <c r="Y411" i="2"/>
  <c r="X411" i="2"/>
  <c r="AB411" i="2"/>
  <c r="AA411" i="2"/>
  <c r="AC411" i="2"/>
  <c r="E411" i="2"/>
  <c r="Y414" i="2"/>
  <c r="X414" i="2"/>
  <c r="AC414" i="2"/>
  <c r="E414" i="2"/>
  <c r="AA414" i="2"/>
  <c r="Z414" i="2"/>
  <c r="AB414" i="2"/>
  <c r="S416" i="2"/>
  <c r="K416" i="2"/>
  <c r="R416" i="2"/>
  <c r="J416" i="2"/>
  <c r="AH416" i="2" s="1"/>
  <c r="Q416" i="2"/>
  <c r="I416" i="2"/>
  <c r="P416" i="2"/>
  <c r="H416" i="2"/>
  <c r="W416" i="2"/>
  <c r="O416" i="2"/>
  <c r="G416" i="2"/>
  <c r="U416" i="2"/>
  <c r="M416" i="2"/>
  <c r="T416" i="2"/>
  <c r="L416" i="2"/>
  <c r="V416" i="2"/>
  <c r="F416" i="2"/>
  <c r="N416" i="2"/>
  <c r="AK405" i="1"/>
  <c r="U418" i="2"/>
  <c r="M418" i="2"/>
  <c r="T418" i="2"/>
  <c r="L418" i="2"/>
  <c r="S418" i="2"/>
  <c r="K418" i="2"/>
  <c r="R418" i="2"/>
  <c r="J418" i="2"/>
  <c r="AH418" i="2" s="1"/>
  <c r="Q418" i="2"/>
  <c r="I418" i="2"/>
  <c r="W418" i="2"/>
  <c r="O418" i="2"/>
  <c r="G418" i="2"/>
  <c r="V418" i="2"/>
  <c r="N418" i="2"/>
  <c r="F418" i="2"/>
  <c r="P418" i="2"/>
  <c r="H418" i="2"/>
  <c r="T421" i="2"/>
  <c r="L421" i="2"/>
  <c r="S421" i="2"/>
  <c r="K421" i="2"/>
  <c r="R421" i="2"/>
  <c r="J421" i="2"/>
  <c r="AH421" i="2" s="1"/>
  <c r="Q421" i="2"/>
  <c r="I421" i="2"/>
  <c r="P421" i="2"/>
  <c r="H421" i="2"/>
  <c r="V421" i="2"/>
  <c r="N421" i="2"/>
  <c r="F421" i="2"/>
  <c r="U421" i="2"/>
  <c r="M421" i="2"/>
  <c r="O421" i="2"/>
  <c r="G421" i="2"/>
  <c r="W421" i="2"/>
  <c r="AK410" i="1"/>
  <c r="V423" i="2"/>
  <c r="N423" i="2"/>
  <c r="F423" i="2"/>
  <c r="U423" i="2"/>
  <c r="M423" i="2"/>
  <c r="T423" i="2"/>
  <c r="L423" i="2"/>
  <c r="S423" i="2"/>
  <c r="K423" i="2"/>
  <c r="R423" i="2"/>
  <c r="J423" i="2"/>
  <c r="AH423" i="2" s="1"/>
  <c r="P423" i="2"/>
  <c r="H423" i="2"/>
  <c r="W423" i="2"/>
  <c r="O423" i="2"/>
  <c r="G423" i="2"/>
  <c r="Q423" i="2"/>
  <c r="I423" i="2"/>
  <c r="AC426" i="2"/>
  <c r="E426" i="2"/>
  <c r="AB426" i="2"/>
  <c r="AA426" i="2"/>
  <c r="Z426" i="2"/>
  <c r="Y426" i="2"/>
  <c r="X426" i="2"/>
  <c r="AC428" i="2"/>
  <c r="E428" i="2"/>
  <c r="AB428" i="2"/>
  <c r="AA428" i="2"/>
  <c r="Y428" i="2"/>
  <c r="X428" i="2"/>
  <c r="Z428" i="2"/>
  <c r="P433" i="2"/>
  <c r="H433" i="2"/>
  <c r="W433" i="2"/>
  <c r="O433" i="2"/>
  <c r="G433" i="2"/>
  <c r="V433" i="2"/>
  <c r="N433" i="2"/>
  <c r="F433" i="2"/>
  <c r="U433" i="2"/>
  <c r="M433" i="2"/>
  <c r="T433" i="2"/>
  <c r="L433" i="2"/>
  <c r="R433" i="2"/>
  <c r="J433" i="2"/>
  <c r="AH433" i="2" s="1"/>
  <c r="Q433" i="2"/>
  <c r="I433" i="2"/>
  <c r="S433" i="2"/>
  <c r="K433" i="2"/>
  <c r="AK422" i="1"/>
  <c r="Q438" i="2"/>
  <c r="I438" i="2"/>
  <c r="P438" i="2"/>
  <c r="H438" i="2"/>
  <c r="W438" i="2"/>
  <c r="O438" i="2"/>
  <c r="G438" i="2"/>
  <c r="V438" i="2"/>
  <c r="N438" i="2"/>
  <c r="F438" i="2"/>
  <c r="U438" i="2"/>
  <c r="M438" i="2"/>
  <c r="T438" i="2"/>
  <c r="L438" i="2"/>
  <c r="S438" i="2"/>
  <c r="K438" i="2"/>
  <c r="R438" i="2"/>
  <c r="J438" i="2"/>
  <c r="AH438" i="2" s="1"/>
  <c r="AK427" i="1"/>
  <c r="Z443" i="2"/>
  <c r="Y443" i="2"/>
  <c r="X443" i="2"/>
  <c r="AC443" i="2"/>
  <c r="E443" i="2"/>
  <c r="AB443" i="2"/>
  <c r="AA443" i="2"/>
  <c r="Y446" i="2"/>
  <c r="X446" i="2"/>
  <c r="AC446" i="2"/>
  <c r="E446" i="2"/>
  <c r="AB446" i="2"/>
  <c r="AA446" i="2"/>
  <c r="Z446" i="2"/>
  <c r="S448" i="2"/>
  <c r="K448" i="2"/>
  <c r="R448" i="2"/>
  <c r="J448" i="2"/>
  <c r="AH448" i="2" s="1"/>
  <c r="Q448" i="2"/>
  <c r="I448" i="2"/>
  <c r="P448" i="2"/>
  <c r="H448" i="2"/>
  <c r="W448" i="2"/>
  <c r="O448" i="2"/>
  <c r="G448" i="2"/>
  <c r="V448" i="2"/>
  <c r="N448" i="2"/>
  <c r="F448" i="2"/>
  <c r="U448" i="2"/>
  <c r="M448" i="2"/>
  <c r="L448" i="2"/>
  <c r="T448" i="2"/>
  <c r="AK437" i="1"/>
  <c r="U450" i="2"/>
  <c r="M450" i="2"/>
  <c r="T450" i="2"/>
  <c r="L450" i="2"/>
  <c r="S450" i="2"/>
  <c r="K450" i="2"/>
  <c r="R450" i="2"/>
  <c r="J450" i="2"/>
  <c r="AH450" i="2" s="1"/>
  <c r="Q450" i="2"/>
  <c r="I450" i="2"/>
  <c r="P450" i="2"/>
  <c r="H450" i="2"/>
  <c r="W450" i="2"/>
  <c r="O450" i="2"/>
  <c r="G450" i="2"/>
  <c r="N450" i="2"/>
  <c r="F450" i="2"/>
  <c r="V450" i="2"/>
  <c r="T453" i="2"/>
  <c r="L453" i="2"/>
  <c r="S453" i="2"/>
  <c r="K453" i="2"/>
  <c r="R453" i="2"/>
  <c r="J453" i="2"/>
  <c r="AH453" i="2" s="1"/>
  <c r="Q453" i="2"/>
  <c r="I453" i="2"/>
  <c r="P453" i="2"/>
  <c r="H453" i="2"/>
  <c r="W453" i="2"/>
  <c r="O453" i="2"/>
  <c r="G453" i="2"/>
  <c r="V453" i="2"/>
  <c r="N453" i="2"/>
  <c r="F453" i="2"/>
  <c r="U453" i="2"/>
  <c r="M453" i="2"/>
  <c r="AK442" i="1"/>
  <c r="V455" i="2"/>
  <c r="N455" i="2"/>
  <c r="F455" i="2"/>
  <c r="U455" i="2"/>
  <c r="M455" i="2"/>
  <c r="T455" i="2"/>
  <c r="L455" i="2"/>
  <c r="S455" i="2"/>
  <c r="K455" i="2"/>
  <c r="R455" i="2"/>
  <c r="J455" i="2"/>
  <c r="AH455" i="2" s="1"/>
  <c r="Q455" i="2"/>
  <c r="I455" i="2"/>
  <c r="P455" i="2"/>
  <c r="H455" i="2"/>
  <c r="W455" i="2"/>
  <c r="O455" i="2"/>
  <c r="G455" i="2"/>
  <c r="AC458" i="2"/>
  <c r="E458" i="2"/>
  <c r="AB458" i="2"/>
  <c r="AA458" i="2"/>
  <c r="Z458" i="2"/>
  <c r="Y458" i="2"/>
  <c r="X458" i="2"/>
  <c r="AC460" i="2"/>
  <c r="E460" i="2"/>
  <c r="AB460" i="2"/>
  <c r="AA460" i="2"/>
  <c r="Z460" i="2"/>
  <c r="Y460" i="2"/>
  <c r="X460" i="2"/>
  <c r="P465" i="2"/>
  <c r="H465" i="2"/>
  <c r="W465" i="2"/>
  <c r="O465" i="2"/>
  <c r="G465" i="2"/>
  <c r="V465" i="2"/>
  <c r="N465" i="2"/>
  <c r="F465" i="2"/>
  <c r="U465" i="2"/>
  <c r="M465" i="2"/>
  <c r="T465" i="2"/>
  <c r="L465" i="2"/>
  <c r="S465" i="2"/>
  <c r="K465" i="2"/>
  <c r="R465" i="2"/>
  <c r="J465" i="2"/>
  <c r="AH465" i="2" s="1"/>
  <c r="Q465" i="2"/>
  <c r="I465" i="2"/>
  <c r="AK454" i="1"/>
  <c r="Q470" i="2"/>
  <c r="I470" i="2"/>
  <c r="P470" i="2"/>
  <c r="H470" i="2"/>
  <c r="W470" i="2"/>
  <c r="O470" i="2"/>
  <c r="G470" i="2"/>
  <c r="V470" i="2"/>
  <c r="N470" i="2"/>
  <c r="F470" i="2"/>
  <c r="U470" i="2"/>
  <c r="M470" i="2"/>
  <c r="T470" i="2"/>
  <c r="L470" i="2"/>
  <c r="S470" i="2"/>
  <c r="K470" i="2"/>
  <c r="R470" i="2"/>
  <c r="J470" i="2"/>
  <c r="AH470" i="2" s="1"/>
  <c r="AK459" i="1"/>
  <c r="AC475" i="2"/>
  <c r="E475" i="2"/>
  <c r="AB475" i="2"/>
  <c r="AA475" i="2"/>
  <c r="Z475" i="2"/>
  <c r="Y475" i="2"/>
  <c r="X475" i="2"/>
  <c r="AB478" i="2"/>
  <c r="AA478" i="2"/>
  <c r="Z478" i="2"/>
  <c r="Y478" i="2"/>
  <c r="X478" i="2"/>
  <c r="AC478" i="2"/>
  <c r="E478" i="2"/>
  <c r="V480" i="2"/>
  <c r="N480" i="2"/>
  <c r="F480" i="2"/>
  <c r="U480" i="2"/>
  <c r="M480" i="2"/>
  <c r="T480" i="2"/>
  <c r="L480" i="2"/>
  <c r="S480" i="2"/>
  <c r="K480" i="2"/>
  <c r="R480" i="2"/>
  <c r="J480" i="2"/>
  <c r="AH480" i="2" s="1"/>
  <c r="P480" i="2"/>
  <c r="H480" i="2"/>
  <c r="W480" i="2"/>
  <c r="O480" i="2"/>
  <c r="G480" i="2"/>
  <c r="Q480" i="2"/>
  <c r="I480" i="2"/>
  <c r="AK469" i="1"/>
  <c r="P482" i="2"/>
  <c r="H482" i="2"/>
  <c r="W482" i="2"/>
  <c r="O482" i="2"/>
  <c r="G482" i="2"/>
  <c r="V482" i="2"/>
  <c r="N482" i="2"/>
  <c r="F482" i="2"/>
  <c r="U482" i="2"/>
  <c r="M482" i="2"/>
  <c r="T482" i="2"/>
  <c r="L482" i="2"/>
  <c r="R482" i="2"/>
  <c r="J482" i="2"/>
  <c r="AH482" i="2" s="1"/>
  <c r="Q482" i="2"/>
  <c r="I482" i="2"/>
  <c r="K482" i="2"/>
  <c r="S482" i="2"/>
  <c r="W485" i="2"/>
  <c r="O485" i="2"/>
  <c r="G485" i="2"/>
  <c r="V485" i="2"/>
  <c r="N485" i="2"/>
  <c r="F485" i="2"/>
  <c r="U485" i="2"/>
  <c r="M485" i="2"/>
  <c r="T485" i="2"/>
  <c r="L485" i="2"/>
  <c r="S485" i="2"/>
  <c r="K485" i="2"/>
  <c r="Q485" i="2"/>
  <c r="I485" i="2"/>
  <c r="P485" i="2"/>
  <c r="H485" i="2"/>
  <c r="R485" i="2"/>
  <c r="J485" i="2"/>
  <c r="AH485" i="2" s="1"/>
  <c r="AK474" i="1"/>
  <c r="Q487" i="2"/>
  <c r="I487" i="2"/>
  <c r="P487" i="2"/>
  <c r="H487" i="2"/>
  <c r="W487" i="2"/>
  <c r="O487" i="2"/>
  <c r="G487" i="2"/>
  <c r="V487" i="2"/>
  <c r="N487" i="2"/>
  <c r="F487" i="2"/>
  <c r="U487" i="2"/>
  <c r="M487" i="2"/>
  <c r="S487" i="2"/>
  <c r="K487" i="2"/>
  <c r="R487" i="2"/>
  <c r="J487" i="2"/>
  <c r="AH487" i="2" s="1"/>
  <c r="T487" i="2"/>
  <c r="L487" i="2"/>
  <c r="X490" i="2"/>
  <c r="AC490" i="2"/>
  <c r="E490" i="2"/>
  <c r="AB490" i="2"/>
  <c r="Z490" i="2"/>
  <c r="Y490" i="2"/>
  <c r="AA490" i="2"/>
  <c r="Z492" i="2"/>
  <c r="Y492" i="2"/>
  <c r="X492" i="2"/>
  <c r="AB492" i="2"/>
  <c r="AA492" i="2"/>
  <c r="E492" i="2"/>
  <c r="AC492" i="2"/>
  <c r="S497" i="2"/>
  <c r="K497" i="2"/>
  <c r="R497" i="2"/>
  <c r="J497" i="2"/>
  <c r="AH497" i="2" s="1"/>
  <c r="Q497" i="2"/>
  <c r="I497" i="2"/>
  <c r="P497" i="2"/>
  <c r="H497" i="2"/>
  <c r="W497" i="2"/>
  <c r="O497" i="2"/>
  <c r="G497" i="2"/>
  <c r="U497" i="2"/>
  <c r="M497" i="2"/>
  <c r="T497" i="2"/>
  <c r="L497" i="2"/>
  <c r="V497" i="2"/>
  <c r="N497" i="2"/>
  <c r="F497" i="2"/>
  <c r="AK486" i="1"/>
  <c r="T502" i="2"/>
  <c r="L502" i="2"/>
  <c r="S502" i="2"/>
  <c r="K502" i="2"/>
  <c r="R502" i="2"/>
  <c r="J502" i="2"/>
  <c r="AH502" i="2" s="1"/>
  <c r="Q502" i="2"/>
  <c r="I502" i="2"/>
  <c r="P502" i="2"/>
  <c r="H502" i="2"/>
  <c r="V502" i="2"/>
  <c r="N502" i="2"/>
  <c r="F502" i="2"/>
  <c r="U502" i="2"/>
  <c r="M502" i="2"/>
  <c r="W502" i="2"/>
  <c r="O502" i="2"/>
  <c r="G502" i="2"/>
  <c r="AK491" i="1"/>
  <c r="AC507" i="2"/>
  <c r="E507" i="2"/>
  <c r="AB507" i="2"/>
  <c r="AA507" i="2"/>
  <c r="Z507" i="2"/>
  <c r="Y507" i="2"/>
  <c r="X507" i="2"/>
  <c r="Z510" i="2"/>
  <c r="X510" i="2"/>
  <c r="AB510" i="2"/>
  <c r="AA510" i="2"/>
  <c r="E510" i="2"/>
  <c r="AC510" i="2"/>
  <c r="Y510" i="2"/>
  <c r="T512" i="2"/>
  <c r="L512" i="2"/>
  <c r="R512" i="2"/>
  <c r="J512" i="2"/>
  <c r="AH512" i="2" s="1"/>
  <c r="Q512" i="2"/>
  <c r="I512" i="2"/>
  <c r="P512" i="2"/>
  <c r="H512" i="2"/>
  <c r="V512" i="2"/>
  <c r="N512" i="2"/>
  <c r="F512" i="2"/>
  <c r="U512" i="2"/>
  <c r="M512" i="2"/>
  <c r="W512" i="2"/>
  <c r="S512" i="2"/>
  <c r="K512" i="2"/>
  <c r="G512" i="2"/>
  <c r="O512" i="2"/>
  <c r="AK501" i="1"/>
  <c r="V514" i="2"/>
  <c r="N514" i="2"/>
  <c r="F514" i="2"/>
  <c r="T514" i="2"/>
  <c r="L514" i="2"/>
  <c r="S514" i="2"/>
  <c r="K514" i="2"/>
  <c r="R514" i="2"/>
  <c r="J514" i="2"/>
  <c r="AH514" i="2" s="1"/>
  <c r="P514" i="2"/>
  <c r="H514" i="2"/>
  <c r="W514" i="2"/>
  <c r="O514" i="2"/>
  <c r="G514" i="2"/>
  <c r="U514" i="2"/>
  <c r="Q514" i="2"/>
  <c r="I514" i="2"/>
  <c r="M514" i="2"/>
  <c r="U517" i="2"/>
  <c r="M517" i="2"/>
  <c r="T517" i="2"/>
  <c r="L517" i="2"/>
  <c r="S517" i="2"/>
  <c r="K517" i="2"/>
  <c r="R517" i="2"/>
  <c r="J517" i="2"/>
  <c r="AH517" i="2" s="1"/>
  <c r="Q517" i="2"/>
  <c r="I517" i="2"/>
  <c r="W517" i="2"/>
  <c r="O517" i="2"/>
  <c r="G517" i="2"/>
  <c r="V517" i="2"/>
  <c r="N517" i="2"/>
  <c r="F517" i="2"/>
  <c r="P517" i="2"/>
  <c r="H517" i="2"/>
  <c r="AK506" i="1"/>
  <c r="W519" i="2"/>
  <c r="O519" i="2"/>
  <c r="G519" i="2"/>
  <c r="V519" i="2"/>
  <c r="N519" i="2"/>
  <c r="F519" i="2"/>
  <c r="U519" i="2"/>
  <c r="M519" i="2"/>
  <c r="T519" i="2"/>
  <c r="L519" i="2"/>
  <c r="S519" i="2"/>
  <c r="K519" i="2"/>
  <c r="Q519" i="2"/>
  <c r="I519" i="2"/>
  <c r="P519" i="2"/>
  <c r="H519" i="2"/>
  <c r="R519" i="2"/>
  <c r="J519" i="2"/>
  <c r="AH519" i="2" s="1"/>
  <c r="AC522" i="2"/>
  <c r="E522" i="2"/>
  <c r="AB522" i="2"/>
  <c r="AA522" i="2"/>
  <c r="Z522" i="2"/>
  <c r="X522" i="2"/>
  <c r="Y522" i="2"/>
  <c r="X524" i="2"/>
  <c r="AC524" i="2"/>
  <c r="E524" i="2"/>
  <c r="AB524" i="2"/>
  <c r="Z524" i="2"/>
  <c r="Y524" i="2"/>
  <c r="AA524" i="2"/>
  <c r="AE527" i="2"/>
  <c r="Q529" i="2"/>
  <c r="I529" i="2"/>
  <c r="P529" i="2"/>
  <c r="H529" i="2"/>
  <c r="W529" i="2"/>
  <c r="O529" i="2"/>
  <c r="G529" i="2"/>
  <c r="V529" i="2"/>
  <c r="N529" i="2"/>
  <c r="F529" i="2"/>
  <c r="U529" i="2"/>
  <c r="M529" i="2"/>
  <c r="S529" i="2"/>
  <c r="K529" i="2"/>
  <c r="R529" i="2"/>
  <c r="J529" i="2"/>
  <c r="AH529" i="2" s="1"/>
  <c r="L529" i="2"/>
  <c r="T529" i="2"/>
  <c r="AK518" i="1"/>
  <c r="R534" i="2"/>
  <c r="J534" i="2"/>
  <c r="AH534" i="2" s="1"/>
  <c r="Q534" i="2"/>
  <c r="I534" i="2"/>
  <c r="P534" i="2"/>
  <c r="H534" i="2"/>
  <c r="W534" i="2"/>
  <c r="O534" i="2"/>
  <c r="G534" i="2"/>
  <c r="V534" i="2"/>
  <c r="N534" i="2"/>
  <c r="F534" i="2"/>
  <c r="T534" i="2"/>
  <c r="L534" i="2"/>
  <c r="S534" i="2"/>
  <c r="K534" i="2"/>
  <c r="U534" i="2"/>
  <c r="M534" i="2"/>
  <c r="AK523" i="1"/>
  <c r="AA539" i="2"/>
  <c r="Z539" i="2"/>
  <c r="Y539" i="2"/>
  <c r="X539" i="2"/>
  <c r="AC539" i="2"/>
  <c r="E539" i="2"/>
  <c r="AB539" i="2"/>
  <c r="Z542" i="2"/>
  <c r="Y542" i="2"/>
  <c r="X542" i="2"/>
  <c r="AB542" i="2"/>
  <c r="AA542" i="2"/>
  <c r="AC542" i="2"/>
  <c r="E542" i="2"/>
  <c r="T544" i="2"/>
  <c r="L544" i="2"/>
  <c r="S544" i="2"/>
  <c r="K544" i="2"/>
  <c r="R544" i="2"/>
  <c r="J544" i="2"/>
  <c r="AH544" i="2" s="1"/>
  <c r="Q544" i="2"/>
  <c r="I544" i="2"/>
  <c r="P544" i="2"/>
  <c r="H544" i="2"/>
  <c r="V544" i="2"/>
  <c r="N544" i="2"/>
  <c r="F544" i="2"/>
  <c r="U544" i="2"/>
  <c r="M544" i="2"/>
  <c r="O544" i="2"/>
  <c r="G544" i="2"/>
  <c r="W544" i="2"/>
  <c r="AK533" i="1"/>
  <c r="V546" i="2"/>
  <c r="N546" i="2"/>
  <c r="O546" i="2"/>
  <c r="F546" i="2"/>
  <c r="W546" i="2"/>
  <c r="M546" i="2"/>
  <c r="U546" i="2"/>
  <c r="L546" i="2"/>
  <c r="T546" i="2"/>
  <c r="K546" i="2"/>
  <c r="S546" i="2"/>
  <c r="J546" i="2"/>
  <c r="AH546" i="2" s="1"/>
  <c r="Q546" i="2"/>
  <c r="H546" i="2"/>
  <c r="P546" i="2"/>
  <c r="G546" i="2"/>
  <c r="I546" i="2"/>
  <c r="R546" i="2"/>
  <c r="U549" i="2"/>
  <c r="M549" i="2"/>
  <c r="T549" i="2"/>
  <c r="L549" i="2"/>
  <c r="S549" i="2"/>
  <c r="K549" i="2"/>
  <c r="R549" i="2"/>
  <c r="J549" i="2"/>
  <c r="AH549" i="2" s="1"/>
  <c r="V549" i="2"/>
  <c r="N549" i="2"/>
  <c r="F549" i="2"/>
  <c r="Q549" i="2"/>
  <c r="P549" i="2"/>
  <c r="O549" i="2"/>
  <c r="I549" i="2"/>
  <c r="H549" i="2"/>
  <c r="W549" i="2"/>
  <c r="G549" i="2"/>
  <c r="AK538" i="1"/>
  <c r="W551" i="2"/>
  <c r="O551" i="2"/>
  <c r="G551" i="2"/>
  <c r="V551" i="2"/>
  <c r="N551" i="2"/>
  <c r="F551" i="2"/>
  <c r="U551" i="2"/>
  <c r="M551" i="2"/>
  <c r="T551" i="2"/>
  <c r="L551" i="2"/>
  <c r="Q551" i="2"/>
  <c r="I551" i="2"/>
  <c r="P551" i="2"/>
  <c r="H551" i="2"/>
  <c r="S551" i="2"/>
  <c r="R551" i="2"/>
  <c r="K551" i="2"/>
  <c r="J551" i="2"/>
  <c r="AH551" i="2" s="1"/>
  <c r="AC554" i="2"/>
  <c r="E554" i="2"/>
  <c r="AB554" i="2"/>
  <c r="AA554" i="2"/>
  <c r="Z554" i="2"/>
  <c r="X554" i="2"/>
  <c r="Y554" i="2"/>
  <c r="X556" i="2"/>
  <c r="AC556" i="2"/>
  <c r="E556" i="2"/>
  <c r="AB556" i="2"/>
  <c r="Z556" i="2"/>
  <c r="Y556" i="2"/>
  <c r="AA556" i="2"/>
  <c r="Q561" i="2"/>
  <c r="I561" i="2"/>
  <c r="P561" i="2"/>
  <c r="H561" i="2"/>
  <c r="W561" i="2"/>
  <c r="O561" i="2"/>
  <c r="G561" i="2"/>
  <c r="V561" i="2"/>
  <c r="N561" i="2"/>
  <c r="F561" i="2"/>
  <c r="U561" i="2"/>
  <c r="M561" i="2"/>
  <c r="S561" i="2"/>
  <c r="K561" i="2"/>
  <c r="R561" i="2"/>
  <c r="J561" i="2"/>
  <c r="AH561" i="2" s="1"/>
  <c r="T561" i="2"/>
  <c r="L561" i="2"/>
  <c r="AK550" i="1"/>
  <c r="AB568" i="2"/>
  <c r="AA568" i="2"/>
  <c r="Z568" i="2"/>
  <c r="Y568" i="2"/>
  <c r="X568" i="2"/>
  <c r="AC568" i="2"/>
  <c r="E568" i="2"/>
  <c r="AC575" i="2"/>
  <c r="E575" i="2"/>
  <c r="AB575" i="2"/>
  <c r="AA575" i="2"/>
  <c r="Y575" i="2"/>
  <c r="X575" i="2"/>
  <c r="Z575" i="2"/>
  <c r="AC584" i="2"/>
  <c r="E584" i="2"/>
  <c r="AB584" i="2"/>
  <c r="Y584" i="2"/>
  <c r="X584" i="2"/>
  <c r="AA584" i="2"/>
  <c r="Z584" i="2"/>
  <c r="X591" i="2"/>
  <c r="AC591" i="2"/>
  <c r="E591" i="2"/>
  <c r="AB591" i="2"/>
  <c r="Z591" i="2"/>
  <c r="Y591" i="2"/>
  <c r="AA591" i="2"/>
  <c r="AC600" i="2"/>
  <c r="E600" i="2"/>
  <c r="AB600" i="2"/>
  <c r="AA600" i="2"/>
  <c r="Z600" i="2"/>
  <c r="Y600" i="2"/>
  <c r="X600" i="2"/>
  <c r="X607" i="2"/>
  <c r="AC607" i="2"/>
  <c r="E607" i="2"/>
  <c r="AB607" i="2"/>
  <c r="Z607" i="2"/>
  <c r="Y607" i="2"/>
  <c r="AA607" i="2"/>
  <c r="AA616" i="2"/>
  <c r="Z616" i="2"/>
  <c r="Y616" i="2"/>
  <c r="X616" i="2"/>
  <c r="AC616" i="2"/>
  <c r="E616" i="2"/>
  <c r="AB616" i="2"/>
  <c r="AC623" i="2"/>
  <c r="E623" i="2"/>
  <c r="AB623" i="2"/>
  <c r="AA623" i="2"/>
  <c r="Z623" i="2"/>
  <c r="Y623" i="2"/>
  <c r="X623" i="2"/>
  <c r="AC632" i="2"/>
  <c r="E632" i="2"/>
  <c r="AB632" i="2"/>
  <c r="AA632" i="2"/>
  <c r="Z632" i="2"/>
  <c r="Y632" i="2"/>
  <c r="X632" i="2"/>
  <c r="AA639" i="2"/>
  <c r="AC639" i="2"/>
  <c r="AB639" i="2"/>
  <c r="Z639" i="2"/>
  <c r="E639" i="2"/>
  <c r="Y639" i="2"/>
  <c r="X639" i="2"/>
  <c r="Y648" i="2"/>
  <c r="X648" i="2"/>
  <c r="AC648" i="2"/>
  <c r="E648" i="2"/>
  <c r="AB648" i="2"/>
  <c r="Z648" i="2"/>
  <c r="AA648" i="2"/>
  <c r="AB655" i="2"/>
  <c r="AA655" i="2"/>
  <c r="Z655" i="2"/>
  <c r="X655" i="2"/>
  <c r="AC655" i="2"/>
  <c r="Y655" i="2"/>
  <c r="E655" i="2"/>
  <c r="X664" i="2"/>
  <c r="AC664" i="2"/>
  <c r="AA664" i="2"/>
  <c r="E664" i="2"/>
  <c r="AB664" i="2"/>
  <c r="Z664" i="2"/>
  <c r="Y664" i="2"/>
  <c r="AC671" i="2"/>
  <c r="E671" i="2"/>
  <c r="AA671" i="2"/>
  <c r="X671" i="2"/>
  <c r="AB671" i="2"/>
  <c r="Z671" i="2"/>
  <c r="Y671" i="2"/>
  <c r="X680" i="2"/>
  <c r="Y680" i="2"/>
  <c r="AB680" i="2"/>
  <c r="Z680" i="2"/>
  <c r="AC680" i="2"/>
  <c r="AA680" i="2"/>
  <c r="E680" i="2"/>
  <c r="V17" i="2"/>
  <c r="AB24" i="2"/>
  <c r="AA24" i="2"/>
  <c r="Z24" i="2"/>
  <c r="X24" i="2"/>
  <c r="Z56" i="2"/>
  <c r="X56" i="2"/>
  <c r="AC56" i="2"/>
  <c r="AB56" i="2"/>
  <c r="AA56" i="2"/>
  <c r="Y56" i="2"/>
  <c r="U63" i="2"/>
  <c r="M63" i="2"/>
  <c r="T63" i="2"/>
  <c r="L63" i="2"/>
  <c r="S63" i="2"/>
  <c r="K63" i="2"/>
  <c r="R63" i="2"/>
  <c r="J63" i="2"/>
  <c r="AH63" i="2" s="1"/>
  <c r="W63" i="2"/>
  <c r="O63" i="2"/>
  <c r="G63" i="2"/>
  <c r="I63" i="2"/>
  <c r="H63" i="2"/>
  <c r="F63" i="2"/>
  <c r="V63" i="2"/>
  <c r="Q63" i="2"/>
  <c r="P63" i="2"/>
  <c r="N63" i="2"/>
  <c r="Z88" i="2"/>
  <c r="Y88" i="2"/>
  <c r="X88" i="2"/>
  <c r="AB88" i="2"/>
  <c r="E88" i="2"/>
  <c r="AC88" i="2"/>
  <c r="AA88" i="2"/>
  <c r="AA151" i="2"/>
  <c r="Z151" i="2"/>
  <c r="Y151" i="2"/>
  <c r="X151" i="2"/>
  <c r="AC151" i="2"/>
  <c r="E151" i="2"/>
  <c r="AB151" i="2"/>
  <c r="Z162" i="2"/>
  <c r="Y162" i="2"/>
  <c r="X162" i="2"/>
  <c r="AB162" i="2"/>
  <c r="AA162" i="2"/>
  <c r="E162" i="2"/>
  <c r="AC162" i="2"/>
  <c r="AA186" i="2"/>
  <c r="Z186" i="2"/>
  <c r="Y186" i="2"/>
  <c r="X186" i="2"/>
  <c r="AC186" i="2"/>
  <c r="E186" i="2"/>
  <c r="AB186" i="2"/>
  <c r="AA194" i="2"/>
  <c r="Z194" i="2"/>
  <c r="Y194" i="2"/>
  <c r="X194" i="2"/>
  <c r="AC194" i="2"/>
  <c r="E194" i="2"/>
  <c r="AB194" i="2"/>
  <c r="Y200" i="2"/>
  <c r="X200" i="2"/>
  <c r="AC200" i="2"/>
  <c r="E200" i="2"/>
  <c r="AA200" i="2"/>
  <c r="Z200" i="2"/>
  <c r="AB200" i="2"/>
  <c r="AE210" i="2"/>
  <c r="U228" i="2"/>
  <c r="M228" i="2"/>
  <c r="T228" i="2"/>
  <c r="L228" i="2"/>
  <c r="S228" i="2"/>
  <c r="K228" i="2"/>
  <c r="R228" i="2"/>
  <c r="J228" i="2"/>
  <c r="AH228" i="2" s="1"/>
  <c r="Q228" i="2"/>
  <c r="I228" i="2"/>
  <c r="W228" i="2"/>
  <c r="O228" i="2"/>
  <c r="G228" i="2"/>
  <c r="N228" i="2"/>
  <c r="H228" i="2"/>
  <c r="F228" i="2"/>
  <c r="V228" i="2"/>
  <c r="P228" i="2"/>
  <c r="AK217" i="1"/>
  <c r="AB243" i="2"/>
  <c r="X243" i="2"/>
  <c r="AC243" i="2"/>
  <c r="AA243" i="2"/>
  <c r="Z243" i="2"/>
  <c r="E243" i="2"/>
  <c r="Y243" i="2"/>
  <c r="P255" i="2"/>
  <c r="H255" i="2"/>
  <c r="W255" i="2"/>
  <c r="O255" i="2"/>
  <c r="G255" i="2"/>
  <c r="V255" i="2"/>
  <c r="N255" i="2"/>
  <c r="F255" i="2"/>
  <c r="U255" i="2"/>
  <c r="M255" i="2"/>
  <c r="T255" i="2"/>
  <c r="L255" i="2"/>
  <c r="R255" i="2"/>
  <c r="J255" i="2"/>
  <c r="AH255" i="2" s="1"/>
  <c r="S255" i="2"/>
  <c r="K255" i="2"/>
  <c r="Q255" i="2"/>
  <c r="I255" i="2"/>
  <c r="W314" i="2"/>
  <c r="O314" i="2"/>
  <c r="G314" i="2"/>
  <c r="V314" i="2"/>
  <c r="N314" i="2"/>
  <c r="F314" i="2"/>
  <c r="U314" i="2"/>
  <c r="M314" i="2"/>
  <c r="T314" i="2"/>
  <c r="L314" i="2"/>
  <c r="S314" i="2"/>
  <c r="K314" i="2"/>
  <c r="Q314" i="2"/>
  <c r="I314" i="2"/>
  <c r="R314" i="2"/>
  <c r="P314" i="2"/>
  <c r="J314" i="2"/>
  <c r="AH314" i="2" s="1"/>
  <c r="H314" i="2"/>
  <c r="AC322" i="2"/>
  <c r="E322" i="2"/>
  <c r="AB322" i="2"/>
  <c r="AA322" i="2"/>
  <c r="Y322" i="2"/>
  <c r="Z322" i="2"/>
  <c r="X322" i="2"/>
  <c r="P334" i="2"/>
  <c r="H334" i="2"/>
  <c r="W334" i="2"/>
  <c r="O334" i="2"/>
  <c r="G334" i="2"/>
  <c r="V334" i="2"/>
  <c r="N334" i="2"/>
  <c r="F334" i="2"/>
  <c r="U334" i="2"/>
  <c r="M334" i="2"/>
  <c r="T334" i="2"/>
  <c r="L334" i="2"/>
  <c r="R334" i="2"/>
  <c r="J334" i="2"/>
  <c r="AH334" i="2" s="1"/>
  <c r="Q334" i="2"/>
  <c r="I334" i="2"/>
  <c r="K334" i="2"/>
  <c r="S334" i="2"/>
  <c r="AK323" i="1"/>
  <c r="R344" i="2"/>
  <c r="J344" i="2"/>
  <c r="AH344" i="2" s="1"/>
  <c r="Q344" i="2"/>
  <c r="I344" i="2"/>
  <c r="P344" i="2"/>
  <c r="H344" i="2"/>
  <c r="W344" i="2"/>
  <c r="O344" i="2"/>
  <c r="G344" i="2"/>
  <c r="V344" i="2"/>
  <c r="N344" i="2"/>
  <c r="F344" i="2"/>
  <c r="T344" i="2"/>
  <c r="L344" i="2"/>
  <c r="S344" i="2"/>
  <c r="K344" i="2"/>
  <c r="U344" i="2"/>
  <c r="M344" i="2"/>
  <c r="AK333" i="1"/>
  <c r="AC356" i="2"/>
  <c r="E356" i="2"/>
  <c r="AB356" i="2"/>
  <c r="AA356" i="2"/>
  <c r="Z356" i="2"/>
  <c r="X356" i="2"/>
  <c r="Y356" i="2"/>
  <c r="Y371" i="2"/>
  <c r="X371" i="2"/>
  <c r="AC371" i="2"/>
  <c r="E371" i="2"/>
  <c r="AA371" i="2"/>
  <c r="Z371" i="2"/>
  <c r="AB371" i="2"/>
  <c r="R376" i="2"/>
  <c r="J376" i="2"/>
  <c r="AH376" i="2" s="1"/>
  <c r="Q376" i="2"/>
  <c r="I376" i="2"/>
  <c r="P376" i="2"/>
  <c r="H376" i="2"/>
  <c r="W376" i="2"/>
  <c r="O376" i="2"/>
  <c r="G376" i="2"/>
  <c r="V376" i="2"/>
  <c r="N376" i="2"/>
  <c r="F376" i="2"/>
  <c r="T376" i="2"/>
  <c r="L376" i="2"/>
  <c r="U376" i="2"/>
  <c r="S376" i="2"/>
  <c r="M376" i="2"/>
  <c r="K376" i="2"/>
  <c r="AK365" i="1"/>
  <c r="AB386" i="2"/>
  <c r="AA386" i="2"/>
  <c r="Z386" i="2"/>
  <c r="Y386" i="2"/>
  <c r="X386" i="2"/>
  <c r="AC386" i="2"/>
  <c r="E386" i="2"/>
  <c r="W393" i="2"/>
  <c r="O393" i="2"/>
  <c r="G393" i="2"/>
  <c r="V393" i="2"/>
  <c r="N393" i="2"/>
  <c r="F393" i="2"/>
  <c r="U393" i="2"/>
  <c r="M393" i="2"/>
  <c r="T393" i="2"/>
  <c r="L393" i="2"/>
  <c r="S393" i="2"/>
  <c r="K393" i="2"/>
  <c r="Q393" i="2"/>
  <c r="I393" i="2"/>
  <c r="R393" i="2"/>
  <c r="P393" i="2"/>
  <c r="J393" i="2"/>
  <c r="AH393" i="2" s="1"/>
  <c r="H393" i="2"/>
  <c r="AK382" i="1"/>
  <c r="Z403" i="2"/>
  <c r="Y403" i="2"/>
  <c r="X403" i="2"/>
  <c r="AB403" i="2"/>
  <c r="AA403" i="2"/>
  <c r="AC403" i="2"/>
  <c r="E403" i="2"/>
  <c r="U410" i="2"/>
  <c r="M410" i="2"/>
  <c r="T410" i="2"/>
  <c r="L410" i="2"/>
  <c r="S410" i="2"/>
  <c r="K410" i="2"/>
  <c r="R410" i="2"/>
  <c r="J410" i="2"/>
  <c r="AH410" i="2" s="1"/>
  <c r="Q410" i="2"/>
  <c r="I410" i="2"/>
  <c r="W410" i="2"/>
  <c r="O410" i="2"/>
  <c r="G410" i="2"/>
  <c r="V410" i="2"/>
  <c r="N410" i="2"/>
  <c r="F410" i="2"/>
  <c r="P410" i="2"/>
  <c r="H410" i="2"/>
  <c r="AC418" i="2"/>
  <c r="E418" i="2"/>
  <c r="AB418" i="2"/>
  <c r="AA418" i="2"/>
  <c r="Z418" i="2"/>
  <c r="Y418" i="2"/>
  <c r="X418" i="2"/>
  <c r="Q430" i="2"/>
  <c r="I430" i="2"/>
  <c r="P430" i="2"/>
  <c r="H430" i="2"/>
  <c r="W430" i="2"/>
  <c r="O430" i="2"/>
  <c r="G430" i="2"/>
  <c r="V430" i="2"/>
  <c r="N430" i="2"/>
  <c r="F430" i="2"/>
  <c r="U430" i="2"/>
  <c r="M430" i="2"/>
  <c r="S430" i="2"/>
  <c r="K430" i="2"/>
  <c r="R430" i="2"/>
  <c r="J430" i="2"/>
  <c r="AH430" i="2" s="1"/>
  <c r="T430" i="2"/>
  <c r="L430" i="2"/>
  <c r="AK419" i="1"/>
  <c r="S440" i="2"/>
  <c r="K440" i="2"/>
  <c r="R440" i="2"/>
  <c r="J440" i="2"/>
  <c r="AH440" i="2" s="1"/>
  <c r="Q440" i="2"/>
  <c r="I440" i="2"/>
  <c r="P440" i="2"/>
  <c r="H440" i="2"/>
  <c r="W440" i="2"/>
  <c r="O440" i="2"/>
  <c r="G440" i="2"/>
  <c r="V440" i="2"/>
  <c r="N440" i="2"/>
  <c r="F440" i="2"/>
  <c r="U440" i="2"/>
  <c r="M440" i="2"/>
  <c r="L440" i="2"/>
  <c r="T440" i="2"/>
  <c r="AK429" i="1"/>
  <c r="AC452" i="2"/>
  <c r="E452" i="2"/>
  <c r="AB452" i="2"/>
  <c r="AA452" i="2"/>
  <c r="Z452" i="2"/>
  <c r="Y452" i="2"/>
  <c r="X452" i="2"/>
  <c r="Q462" i="2"/>
  <c r="I462" i="2"/>
  <c r="P462" i="2"/>
  <c r="H462" i="2"/>
  <c r="W462" i="2"/>
  <c r="O462" i="2"/>
  <c r="G462" i="2"/>
  <c r="V462" i="2"/>
  <c r="N462" i="2"/>
  <c r="F462" i="2"/>
  <c r="U462" i="2"/>
  <c r="M462" i="2"/>
  <c r="T462" i="2"/>
  <c r="L462" i="2"/>
  <c r="S462" i="2"/>
  <c r="K462" i="2"/>
  <c r="R462" i="2"/>
  <c r="J462" i="2"/>
  <c r="AH462" i="2" s="1"/>
  <c r="AK451" i="1"/>
  <c r="Y470" i="2"/>
  <c r="X470" i="2"/>
  <c r="AC470" i="2"/>
  <c r="E470" i="2"/>
  <c r="AB470" i="2"/>
  <c r="AA470" i="2"/>
  <c r="Z470" i="2"/>
  <c r="Z484" i="2"/>
  <c r="Y484" i="2"/>
  <c r="X484" i="2"/>
  <c r="AB484" i="2"/>
  <c r="AA484" i="2"/>
  <c r="AC484" i="2"/>
  <c r="E484" i="2"/>
  <c r="S489" i="2"/>
  <c r="K489" i="2"/>
  <c r="R489" i="2"/>
  <c r="J489" i="2"/>
  <c r="AH489" i="2" s="1"/>
  <c r="Q489" i="2"/>
  <c r="I489" i="2"/>
  <c r="P489" i="2"/>
  <c r="H489" i="2"/>
  <c r="W489" i="2"/>
  <c r="O489" i="2"/>
  <c r="G489" i="2"/>
  <c r="U489" i="2"/>
  <c r="M489" i="2"/>
  <c r="T489" i="2"/>
  <c r="L489" i="2"/>
  <c r="V489" i="2"/>
  <c r="N489" i="2"/>
  <c r="F489" i="2"/>
  <c r="AK478" i="1"/>
  <c r="S509" i="2"/>
  <c r="K509" i="2"/>
  <c r="W509" i="2"/>
  <c r="V509" i="2"/>
  <c r="P509" i="2"/>
  <c r="G509" i="2"/>
  <c r="O509" i="2"/>
  <c r="F509" i="2"/>
  <c r="N509" i="2"/>
  <c r="M509" i="2"/>
  <c r="U509" i="2"/>
  <c r="L509" i="2"/>
  <c r="R509" i="2"/>
  <c r="I509" i="2"/>
  <c r="Q509" i="2"/>
  <c r="H509" i="2"/>
  <c r="J509" i="2"/>
  <c r="AH509" i="2" s="1"/>
  <c r="T509" i="2"/>
  <c r="AK498" i="1"/>
  <c r="V538" i="2"/>
  <c r="N538" i="2"/>
  <c r="F538" i="2"/>
  <c r="U538" i="2"/>
  <c r="M538" i="2"/>
  <c r="T538" i="2"/>
  <c r="L538" i="2"/>
  <c r="S538" i="2"/>
  <c r="K538" i="2"/>
  <c r="R538" i="2"/>
  <c r="J538" i="2"/>
  <c r="AH538" i="2" s="1"/>
  <c r="P538" i="2"/>
  <c r="H538" i="2"/>
  <c r="W538" i="2"/>
  <c r="O538" i="2"/>
  <c r="G538" i="2"/>
  <c r="Q538" i="2"/>
  <c r="I538" i="2"/>
  <c r="AA579" i="2"/>
  <c r="Z579" i="2"/>
  <c r="Y579" i="2"/>
  <c r="X579" i="2"/>
  <c r="AC579" i="2"/>
  <c r="E579" i="2"/>
  <c r="AB579" i="2"/>
  <c r="Z611" i="2"/>
  <c r="Y611" i="2"/>
  <c r="X611" i="2"/>
  <c r="AB611" i="2"/>
  <c r="AC611" i="2"/>
  <c r="AA611" i="2"/>
  <c r="E611" i="2"/>
  <c r="Y627" i="2"/>
  <c r="X627" i="2"/>
  <c r="AB627" i="2"/>
  <c r="AA627" i="2"/>
  <c r="Z627" i="2"/>
  <c r="E627" i="2"/>
  <c r="AC627" i="2"/>
  <c r="X643" i="2"/>
  <c r="AB643" i="2"/>
  <c r="AA643" i="2"/>
  <c r="AC643" i="2"/>
  <c r="Z643" i="2"/>
  <c r="Y643" i="2"/>
  <c r="E643" i="2"/>
  <c r="Y675" i="2"/>
  <c r="X675" i="2"/>
  <c r="E675" i="2"/>
  <c r="AC675" i="2"/>
  <c r="AB675" i="2"/>
  <c r="AA675" i="2"/>
  <c r="Z675" i="2"/>
  <c r="AC21" i="2"/>
  <c r="E21" i="2"/>
  <c r="AB21" i="2"/>
  <c r="AA21" i="2"/>
  <c r="Y21" i="2"/>
  <c r="X21" i="2"/>
  <c r="V16" i="2"/>
  <c r="N16" i="2"/>
  <c r="F16" i="2"/>
  <c r="T16" i="2"/>
  <c r="L16" i="2"/>
  <c r="S16" i="2"/>
  <c r="K16" i="2"/>
  <c r="R16" i="2"/>
  <c r="J16" i="2"/>
  <c r="AH16" i="2" s="1"/>
  <c r="P16" i="2"/>
  <c r="H16" i="2"/>
  <c r="O16" i="2"/>
  <c r="G16" i="2"/>
  <c r="AA17" i="2"/>
  <c r="Y17" i="2"/>
  <c r="X17" i="2"/>
  <c r="AC17" i="2"/>
  <c r="E17" i="2"/>
  <c r="AB17" i="2"/>
  <c r="V24" i="2"/>
  <c r="N24" i="2"/>
  <c r="F24" i="2"/>
  <c r="T24" i="2"/>
  <c r="L24" i="2"/>
  <c r="S24" i="2"/>
  <c r="K24" i="2"/>
  <c r="R24" i="2"/>
  <c r="J24" i="2"/>
  <c r="AH24" i="2" s="1"/>
  <c r="P24" i="2"/>
  <c r="H24" i="2"/>
  <c r="W24" i="2"/>
  <c r="O24" i="2"/>
  <c r="G24" i="2"/>
  <c r="AA25" i="2"/>
  <c r="Y25" i="2"/>
  <c r="X25" i="2"/>
  <c r="AC25" i="2"/>
  <c r="E25" i="2"/>
  <c r="AB25" i="2"/>
  <c r="R32" i="2"/>
  <c r="J32" i="2"/>
  <c r="AH32" i="2" s="1"/>
  <c r="V32" i="2"/>
  <c r="N32" i="2"/>
  <c r="F32" i="2"/>
  <c r="P32" i="2"/>
  <c r="M32" i="2"/>
  <c r="W32" i="2"/>
  <c r="L32" i="2"/>
  <c r="U32" i="2"/>
  <c r="K32" i="2"/>
  <c r="S32" i="2"/>
  <c r="H32" i="2"/>
  <c r="Q32" i="2"/>
  <c r="G32" i="2"/>
  <c r="Y33" i="2"/>
  <c r="AA33" i="2"/>
  <c r="AC33" i="2"/>
  <c r="Z33" i="2"/>
  <c r="X33" i="2"/>
  <c r="T40" i="2"/>
  <c r="L40" i="2"/>
  <c r="S40" i="2"/>
  <c r="K40" i="2"/>
  <c r="R40" i="2"/>
  <c r="J40" i="2"/>
  <c r="AH40" i="2" s="1"/>
  <c r="Q40" i="2"/>
  <c r="I40" i="2"/>
  <c r="W40" i="2"/>
  <c r="O40" i="2"/>
  <c r="G40" i="2"/>
  <c r="V40" i="2"/>
  <c r="N40" i="2"/>
  <c r="F40" i="2"/>
  <c r="U40" i="2"/>
  <c r="M40" i="2"/>
  <c r="H40" i="2"/>
  <c r="Y41" i="2"/>
  <c r="X41" i="2"/>
  <c r="AC41" i="2"/>
  <c r="AB41" i="2"/>
  <c r="AA41" i="2"/>
  <c r="Z41" i="2"/>
  <c r="E41" i="2"/>
  <c r="T48" i="2"/>
  <c r="L48" i="2"/>
  <c r="S48" i="2"/>
  <c r="K48" i="2"/>
  <c r="R48" i="2"/>
  <c r="J48" i="2"/>
  <c r="AH48" i="2" s="1"/>
  <c r="Q48" i="2"/>
  <c r="I48" i="2"/>
  <c r="P48" i="2"/>
  <c r="H48" i="2"/>
  <c r="W48" i="2"/>
  <c r="O48" i="2"/>
  <c r="G48" i="2"/>
  <c r="V48" i="2"/>
  <c r="N48" i="2"/>
  <c r="F48" i="2"/>
  <c r="U48" i="2"/>
  <c r="Y49" i="2"/>
  <c r="X49" i="2"/>
  <c r="AC49" i="2"/>
  <c r="E49" i="2"/>
  <c r="AB49" i="2"/>
  <c r="AA49" i="2"/>
  <c r="Z49" i="2"/>
  <c r="R56" i="2"/>
  <c r="P56" i="2"/>
  <c r="V56" i="2"/>
  <c r="L56" i="2"/>
  <c r="U56" i="2"/>
  <c r="K56" i="2"/>
  <c r="T56" i="2"/>
  <c r="J56" i="2"/>
  <c r="AH56" i="2" s="1"/>
  <c r="S56" i="2"/>
  <c r="I56" i="2"/>
  <c r="Q56" i="2"/>
  <c r="H56" i="2"/>
  <c r="O56" i="2"/>
  <c r="G56" i="2"/>
  <c r="N56" i="2"/>
  <c r="F56" i="2"/>
  <c r="M56" i="2"/>
  <c r="W56" i="2"/>
  <c r="AC57" i="2"/>
  <c r="E57" i="2"/>
  <c r="AB57" i="2"/>
  <c r="Y57" i="2"/>
  <c r="X57" i="2"/>
  <c r="AA57" i="2"/>
  <c r="Z57" i="2"/>
  <c r="R64" i="2"/>
  <c r="J64" i="2"/>
  <c r="AH64" i="2" s="1"/>
  <c r="Q64" i="2"/>
  <c r="I64" i="2"/>
  <c r="P64" i="2"/>
  <c r="H64" i="2"/>
  <c r="W64" i="2"/>
  <c r="O64" i="2"/>
  <c r="G64" i="2"/>
  <c r="T64" i="2"/>
  <c r="L64" i="2"/>
  <c r="K64" i="2"/>
  <c r="F64" i="2"/>
  <c r="V64" i="2"/>
  <c r="U64" i="2"/>
  <c r="S64" i="2"/>
  <c r="N64" i="2"/>
  <c r="M64" i="2"/>
  <c r="AC65" i="2"/>
  <c r="E65" i="2"/>
  <c r="AB65" i="2"/>
  <c r="Y65" i="2"/>
  <c r="AA65" i="2"/>
  <c r="Z65" i="2"/>
  <c r="X65" i="2"/>
  <c r="R72" i="2"/>
  <c r="J72" i="2"/>
  <c r="AH72" i="2" s="1"/>
  <c r="Q72" i="2"/>
  <c r="I72" i="2"/>
  <c r="P72" i="2"/>
  <c r="H72" i="2"/>
  <c r="W72" i="2"/>
  <c r="O72" i="2"/>
  <c r="G72" i="2"/>
  <c r="T72" i="2"/>
  <c r="L72" i="2"/>
  <c r="V72" i="2"/>
  <c r="U72" i="2"/>
  <c r="S72" i="2"/>
  <c r="N72" i="2"/>
  <c r="M72" i="2"/>
  <c r="K72" i="2"/>
  <c r="F72" i="2"/>
  <c r="AC73" i="2"/>
  <c r="E73" i="2"/>
  <c r="AB73" i="2"/>
  <c r="Y73" i="2"/>
  <c r="Z73" i="2"/>
  <c r="X73" i="2"/>
  <c r="AA73" i="2"/>
  <c r="R80" i="2"/>
  <c r="J80" i="2"/>
  <c r="AH80" i="2" s="1"/>
  <c r="Q80" i="2"/>
  <c r="I80" i="2"/>
  <c r="P80" i="2"/>
  <c r="H80" i="2"/>
  <c r="W80" i="2"/>
  <c r="O80" i="2"/>
  <c r="G80" i="2"/>
  <c r="V80" i="2"/>
  <c r="N80" i="2"/>
  <c r="F80" i="2"/>
  <c r="T80" i="2"/>
  <c r="L80" i="2"/>
  <c r="U80" i="2"/>
  <c r="S80" i="2"/>
  <c r="M80" i="2"/>
  <c r="K80" i="2"/>
  <c r="AC81" i="2"/>
  <c r="E81" i="2"/>
  <c r="AB81" i="2"/>
  <c r="AA81" i="2"/>
  <c r="Y81" i="2"/>
  <c r="Z81" i="2"/>
  <c r="R88" i="2"/>
  <c r="J88" i="2"/>
  <c r="AH88" i="2" s="1"/>
  <c r="Q88" i="2"/>
  <c r="I88" i="2"/>
  <c r="P88" i="2"/>
  <c r="H88" i="2"/>
  <c r="W88" i="2"/>
  <c r="O88" i="2"/>
  <c r="G88" i="2"/>
  <c r="V88" i="2"/>
  <c r="N88" i="2"/>
  <c r="F88" i="2"/>
  <c r="T88" i="2"/>
  <c r="L88" i="2"/>
  <c r="M88" i="2"/>
  <c r="K88" i="2"/>
  <c r="U88" i="2"/>
  <c r="AC89" i="2"/>
  <c r="E89" i="2"/>
  <c r="AB89" i="2"/>
  <c r="AA89" i="2"/>
  <c r="Y89" i="2"/>
  <c r="Z89" i="2"/>
  <c r="X89" i="2"/>
  <c r="R96" i="2"/>
  <c r="J96" i="2"/>
  <c r="AH96" i="2" s="1"/>
  <c r="Q96" i="2"/>
  <c r="I96" i="2"/>
  <c r="P96" i="2"/>
  <c r="H96" i="2"/>
  <c r="W96" i="2"/>
  <c r="O96" i="2"/>
  <c r="G96" i="2"/>
  <c r="V96" i="2"/>
  <c r="N96" i="2"/>
  <c r="F96" i="2"/>
  <c r="T96" i="2"/>
  <c r="L96" i="2"/>
  <c r="U96" i="2"/>
  <c r="S96" i="2"/>
  <c r="M96" i="2"/>
  <c r="K96" i="2"/>
  <c r="AC97" i="2"/>
  <c r="E97" i="2"/>
  <c r="AB97" i="2"/>
  <c r="AA97" i="2"/>
  <c r="Y97" i="2"/>
  <c r="Z97" i="2"/>
  <c r="X97" i="2"/>
  <c r="R104" i="2"/>
  <c r="J104" i="2"/>
  <c r="AH104" i="2" s="1"/>
  <c r="Q104" i="2"/>
  <c r="I104" i="2"/>
  <c r="P104" i="2"/>
  <c r="H104" i="2"/>
  <c r="W104" i="2"/>
  <c r="O104" i="2"/>
  <c r="G104" i="2"/>
  <c r="V104" i="2"/>
  <c r="N104" i="2"/>
  <c r="F104" i="2"/>
  <c r="T104" i="2"/>
  <c r="L104" i="2"/>
  <c r="U104" i="2"/>
  <c r="S104" i="2"/>
  <c r="M104" i="2"/>
  <c r="AC105" i="2"/>
  <c r="E105" i="2"/>
  <c r="AB105" i="2"/>
  <c r="AA105" i="2"/>
  <c r="Y105" i="2"/>
  <c r="Z105" i="2"/>
  <c r="X105" i="2"/>
  <c r="V112" i="2"/>
  <c r="N112" i="2"/>
  <c r="F112" i="2"/>
  <c r="Q112" i="2"/>
  <c r="I112" i="2"/>
  <c r="O112" i="2"/>
  <c r="M112" i="2"/>
  <c r="W112" i="2"/>
  <c r="L112" i="2"/>
  <c r="U112" i="2"/>
  <c r="K112" i="2"/>
  <c r="T112" i="2"/>
  <c r="J112" i="2"/>
  <c r="AH112" i="2" s="1"/>
  <c r="R112" i="2"/>
  <c r="G112" i="2"/>
  <c r="S112" i="2"/>
  <c r="P112" i="2"/>
  <c r="H112" i="2"/>
  <c r="AA113" i="2"/>
  <c r="AC113" i="2"/>
  <c r="AB113" i="2"/>
  <c r="Z113" i="2"/>
  <c r="E113" i="2"/>
  <c r="X113" i="2"/>
  <c r="Y113" i="2"/>
  <c r="V120" i="2"/>
  <c r="N120" i="2"/>
  <c r="F120" i="2"/>
  <c r="Q120" i="2"/>
  <c r="I120" i="2"/>
  <c r="T120" i="2"/>
  <c r="J120" i="2"/>
  <c r="AH120" i="2" s="1"/>
  <c r="S120" i="2"/>
  <c r="H120" i="2"/>
  <c r="R120" i="2"/>
  <c r="G120" i="2"/>
  <c r="P120" i="2"/>
  <c r="O120" i="2"/>
  <c r="W120" i="2"/>
  <c r="L120" i="2"/>
  <c r="M120" i="2"/>
  <c r="K120" i="2"/>
  <c r="U120" i="2"/>
  <c r="AA121" i="2"/>
  <c r="Z121" i="2"/>
  <c r="E121" i="2"/>
  <c r="Y121" i="2"/>
  <c r="X121" i="2"/>
  <c r="AC121" i="2"/>
  <c r="AB121" i="2"/>
  <c r="V128" i="2"/>
  <c r="N128" i="2"/>
  <c r="F128" i="2"/>
  <c r="Q128" i="2"/>
  <c r="I128" i="2"/>
  <c r="O128" i="2"/>
  <c r="M128" i="2"/>
  <c r="W128" i="2"/>
  <c r="L128" i="2"/>
  <c r="U128" i="2"/>
  <c r="K128" i="2"/>
  <c r="T128" i="2"/>
  <c r="J128" i="2"/>
  <c r="AH128" i="2" s="1"/>
  <c r="R128" i="2"/>
  <c r="G128" i="2"/>
  <c r="H128" i="2"/>
  <c r="S128" i="2"/>
  <c r="P128" i="2"/>
  <c r="AA129" i="2"/>
  <c r="AC129" i="2"/>
  <c r="AB129" i="2"/>
  <c r="Z129" i="2"/>
  <c r="E129" i="2"/>
  <c r="X129" i="2"/>
  <c r="Y129" i="2"/>
  <c r="V136" i="2"/>
  <c r="N136" i="2"/>
  <c r="F136" i="2"/>
  <c r="R136" i="2"/>
  <c r="J136" i="2"/>
  <c r="AH136" i="2" s="1"/>
  <c r="Q136" i="2"/>
  <c r="I136" i="2"/>
  <c r="T136" i="2"/>
  <c r="G136" i="2"/>
  <c r="S136" i="2"/>
  <c r="P136" i="2"/>
  <c r="O136" i="2"/>
  <c r="M136" i="2"/>
  <c r="W136" i="2"/>
  <c r="K136" i="2"/>
  <c r="U136" i="2"/>
  <c r="L136" i="2"/>
  <c r="H136" i="2"/>
  <c r="AA137" i="2"/>
  <c r="Z137" i="2"/>
  <c r="AB137" i="2"/>
  <c r="Y137" i="2"/>
  <c r="X137" i="2"/>
  <c r="E137" i="2"/>
  <c r="AC137" i="2"/>
  <c r="P144" i="2"/>
  <c r="H144" i="2"/>
  <c r="W144" i="2"/>
  <c r="O144" i="2"/>
  <c r="G144" i="2"/>
  <c r="V144" i="2"/>
  <c r="N144" i="2"/>
  <c r="F144" i="2"/>
  <c r="U144" i="2"/>
  <c r="M144" i="2"/>
  <c r="R144" i="2"/>
  <c r="J144" i="2"/>
  <c r="AH144" i="2" s="1"/>
  <c r="Q144" i="2"/>
  <c r="I144" i="2"/>
  <c r="K144" i="2"/>
  <c r="S144" i="2"/>
  <c r="L144" i="2"/>
  <c r="AC145" i="2"/>
  <c r="E145" i="2"/>
  <c r="AB145" i="2"/>
  <c r="AA145" i="2"/>
  <c r="Z145" i="2"/>
  <c r="X145" i="2"/>
  <c r="Y145" i="2"/>
  <c r="S151" i="2"/>
  <c r="K151" i="2"/>
  <c r="R151" i="2"/>
  <c r="J151" i="2"/>
  <c r="AH151" i="2" s="1"/>
  <c r="Q151" i="2"/>
  <c r="I151" i="2"/>
  <c r="P151" i="2"/>
  <c r="H151" i="2"/>
  <c r="U151" i="2"/>
  <c r="M151" i="2"/>
  <c r="T151" i="2"/>
  <c r="L151" i="2"/>
  <c r="W151" i="2"/>
  <c r="V151" i="2"/>
  <c r="O151" i="2"/>
  <c r="G151" i="2"/>
  <c r="N151" i="2"/>
  <c r="F151" i="2"/>
  <c r="X152" i="2"/>
  <c r="AC152" i="2"/>
  <c r="E152" i="2"/>
  <c r="Z152" i="2"/>
  <c r="Y152" i="2"/>
  <c r="AB152" i="2"/>
  <c r="AA152" i="2"/>
  <c r="Y157" i="2"/>
  <c r="X157" i="2"/>
  <c r="AA157" i="2"/>
  <c r="Z157" i="2"/>
  <c r="E157" i="2"/>
  <c r="AC157" i="2"/>
  <c r="AB157" i="2"/>
  <c r="R197" i="2"/>
  <c r="J197" i="2"/>
  <c r="AH197" i="2" s="1"/>
  <c r="Q197" i="2"/>
  <c r="I197" i="2"/>
  <c r="P197" i="2"/>
  <c r="H197" i="2"/>
  <c r="W197" i="2"/>
  <c r="O197" i="2"/>
  <c r="G197" i="2"/>
  <c r="V197" i="2"/>
  <c r="N197" i="2"/>
  <c r="F197" i="2"/>
  <c r="T197" i="2"/>
  <c r="L197" i="2"/>
  <c r="M197" i="2"/>
  <c r="K197" i="2"/>
  <c r="U197" i="2"/>
  <c r="S197" i="2"/>
  <c r="AK186" i="1"/>
  <c r="Q200" i="2"/>
  <c r="I200" i="2"/>
  <c r="P200" i="2"/>
  <c r="H200" i="2"/>
  <c r="W200" i="2"/>
  <c r="O200" i="2"/>
  <c r="G200" i="2"/>
  <c r="V200" i="2"/>
  <c r="N200" i="2"/>
  <c r="F200" i="2"/>
  <c r="U200" i="2"/>
  <c r="M200" i="2"/>
  <c r="S200" i="2"/>
  <c r="K200" i="2"/>
  <c r="T200" i="2"/>
  <c r="R200" i="2"/>
  <c r="L200" i="2"/>
  <c r="J200" i="2"/>
  <c r="AH200" i="2" s="1"/>
  <c r="AK189" i="1"/>
  <c r="P203" i="2"/>
  <c r="H203" i="2"/>
  <c r="W203" i="2"/>
  <c r="O203" i="2"/>
  <c r="G203" i="2"/>
  <c r="V203" i="2"/>
  <c r="N203" i="2"/>
  <c r="F203" i="2"/>
  <c r="U203" i="2"/>
  <c r="M203" i="2"/>
  <c r="T203" i="2"/>
  <c r="L203" i="2"/>
  <c r="R203" i="2"/>
  <c r="J203" i="2"/>
  <c r="AH203" i="2" s="1"/>
  <c r="K203" i="2"/>
  <c r="I203" i="2"/>
  <c r="S203" i="2"/>
  <c r="Q203" i="2"/>
  <c r="W206" i="2"/>
  <c r="O206" i="2"/>
  <c r="G206" i="2"/>
  <c r="V206" i="2"/>
  <c r="N206" i="2"/>
  <c r="F206" i="2"/>
  <c r="U206" i="2"/>
  <c r="M206" i="2"/>
  <c r="T206" i="2"/>
  <c r="L206" i="2"/>
  <c r="S206" i="2"/>
  <c r="K206" i="2"/>
  <c r="Q206" i="2"/>
  <c r="I206" i="2"/>
  <c r="H206" i="2"/>
  <c r="P206" i="2"/>
  <c r="J206" i="2"/>
  <c r="AH206" i="2" s="1"/>
  <c r="R206" i="2"/>
  <c r="AA210" i="2"/>
  <c r="Z210" i="2"/>
  <c r="Y210" i="2"/>
  <c r="X210" i="2"/>
  <c r="AC210" i="2"/>
  <c r="E210" i="2"/>
  <c r="AB210" i="2"/>
  <c r="AC212" i="2"/>
  <c r="E212" i="2"/>
  <c r="AB212" i="2"/>
  <c r="AA212" i="2"/>
  <c r="Z212" i="2"/>
  <c r="Y212" i="2"/>
  <c r="X212" i="2"/>
  <c r="AB215" i="2"/>
  <c r="AA215" i="2"/>
  <c r="Z215" i="2"/>
  <c r="Y215" i="2"/>
  <c r="X215" i="2"/>
  <c r="AC215" i="2"/>
  <c r="E215" i="2"/>
  <c r="AA218" i="2"/>
  <c r="Z218" i="2"/>
  <c r="Y218" i="2"/>
  <c r="X218" i="2"/>
  <c r="AC218" i="2"/>
  <c r="E218" i="2"/>
  <c r="AB218" i="2"/>
  <c r="AC220" i="2"/>
  <c r="E220" i="2"/>
  <c r="AB220" i="2"/>
  <c r="AA220" i="2"/>
  <c r="Z220" i="2"/>
  <c r="Y220" i="2"/>
  <c r="X220" i="2"/>
  <c r="AB223" i="2"/>
  <c r="AA223" i="2"/>
  <c r="Z223" i="2"/>
  <c r="Y223" i="2"/>
  <c r="X223" i="2"/>
  <c r="E223" i="2"/>
  <c r="AC223" i="2"/>
  <c r="AA226" i="2"/>
  <c r="Z226" i="2"/>
  <c r="Y226" i="2"/>
  <c r="X226" i="2"/>
  <c r="AC226" i="2"/>
  <c r="E226" i="2"/>
  <c r="AB226" i="2"/>
  <c r="AC228" i="2"/>
  <c r="E228" i="2"/>
  <c r="AB228" i="2"/>
  <c r="AA228" i="2"/>
  <c r="Z228" i="2"/>
  <c r="Y228" i="2"/>
  <c r="X228" i="2"/>
  <c r="AB231" i="2"/>
  <c r="AA231" i="2"/>
  <c r="Z231" i="2"/>
  <c r="Y231" i="2"/>
  <c r="X231" i="2"/>
  <c r="AC231" i="2"/>
  <c r="E231" i="2"/>
  <c r="AC241" i="2"/>
  <c r="E241" i="2"/>
  <c r="AB241" i="2"/>
  <c r="AA241" i="2"/>
  <c r="Z241" i="2"/>
  <c r="X241" i="2"/>
  <c r="Y241" i="2"/>
  <c r="T243" i="2"/>
  <c r="L243" i="2"/>
  <c r="P243" i="2"/>
  <c r="H243" i="2"/>
  <c r="U243" i="2"/>
  <c r="J243" i="2"/>
  <c r="AH243" i="2" s="1"/>
  <c r="S243" i="2"/>
  <c r="I243" i="2"/>
  <c r="R243" i="2"/>
  <c r="G243" i="2"/>
  <c r="Q243" i="2"/>
  <c r="F243" i="2"/>
  <c r="O243" i="2"/>
  <c r="W243" i="2"/>
  <c r="M243" i="2"/>
  <c r="V243" i="2"/>
  <c r="N243" i="2"/>
  <c r="K243" i="2"/>
  <c r="AC248" i="2"/>
  <c r="E248" i="2"/>
  <c r="AB248" i="2"/>
  <c r="AA248" i="2"/>
  <c r="Z248" i="2"/>
  <c r="Y248" i="2"/>
  <c r="X248" i="2"/>
  <c r="X263" i="2"/>
  <c r="AC263" i="2"/>
  <c r="E263" i="2"/>
  <c r="AB263" i="2"/>
  <c r="Z263" i="2"/>
  <c r="AA263" i="2"/>
  <c r="Y263" i="2"/>
  <c r="AE266" i="2"/>
  <c r="Z273" i="2"/>
  <c r="Y273" i="2"/>
  <c r="X273" i="2"/>
  <c r="AB273" i="2"/>
  <c r="E273" i="2"/>
  <c r="AC273" i="2"/>
  <c r="AA273" i="2"/>
  <c r="T275" i="2"/>
  <c r="L275" i="2"/>
  <c r="S275" i="2"/>
  <c r="K275" i="2"/>
  <c r="R275" i="2"/>
  <c r="J275" i="2"/>
  <c r="AH275" i="2" s="1"/>
  <c r="Q275" i="2"/>
  <c r="I275" i="2"/>
  <c r="P275" i="2"/>
  <c r="H275" i="2"/>
  <c r="V275" i="2"/>
  <c r="N275" i="2"/>
  <c r="F275" i="2"/>
  <c r="M275" i="2"/>
  <c r="G275" i="2"/>
  <c r="W275" i="2"/>
  <c r="U275" i="2"/>
  <c r="O275" i="2"/>
  <c r="AC280" i="2"/>
  <c r="E280" i="2"/>
  <c r="AB280" i="2"/>
  <c r="AA280" i="2"/>
  <c r="Z280" i="2"/>
  <c r="Y280" i="2"/>
  <c r="X280" i="2"/>
  <c r="AE283" i="2"/>
  <c r="X295" i="2"/>
  <c r="AC295" i="2"/>
  <c r="E295" i="2"/>
  <c r="AB295" i="2"/>
  <c r="Z295" i="2"/>
  <c r="AA295" i="2"/>
  <c r="Y295" i="2"/>
  <c r="AE298" i="2"/>
  <c r="Z305" i="2"/>
  <c r="Y305" i="2"/>
  <c r="X305" i="2"/>
  <c r="AB305" i="2"/>
  <c r="AC305" i="2"/>
  <c r="AA305" i="2"/>
  <c r="E305" i="2"/>
  <c r="T307" i="2"/>
  <c r="L307" i="2"/>
  <c r="S307" i="2"/>
  <c r="K307" i="2"/>
  <c r="R307" i="2"/>
  <c r="J307" i="2"/>
  <c r="AH307" i="2" s="1"/>
  <c r="Q307" i="2"/>
  <c r="I307" i="2"/>
  <c r="P307" i="2"/>
  <c r="H307" i="2"/>
  <c r="V307" i="2"/>
  <c r="N307" i="2"/>
  <c r="F307" i="2"/>
  <c r="W307" i="2"/>
  <c r="U307" i="2"/>
  <c r="O307" i="2"/>
  <c r="M307" i="2"/>
  <c r="G307" i="2"/>
  <c r="AC312" i="2"/>
  <c r="E312" i="2"/>
  <c r="AB312" i="2"/>
  <c r="AA312" i="2"/>
  <c r="Z312" i="2"/>
  <c r="Y312" i="2"/>
  <c r="X312" i="2"/>
  <c r="AC327" i="2"/>
  <c r="E327" i="2"/>
  <c r="AB327" i="2"/>
  <c r="AA327" i="2"/>
  <c r="Z327" i="2"/>
  <c r="Y327" i="2"/>
  <c r="X327" i="2"/>
  <c r="AE330" i="2"/>
  <c r="AC337" i="2"/>
  <c r="E337" i="2"/>
  <c r="AB337" i="2"/>
  <c r="AA337" i="2"/>
  <c r="Y337" i="2"/>
  <c r="X337" i="2"/>
  <c r="Z337" i="2"/>
  <c r="Q339" i="2"/>
  <c r="I339" i="2"/>
  <c r="P339" i="2"/>
  <c r="H339" i="2"/>
  <c r="W339" i="2"/>
  <c r="O339" i="2"/>
  <c r="G339" i="2"/>
  <c r="V339" i="2"/>
  <c r="N339" i="2"/>
  <c r="F339" i="2"/>
  <c r="U339" i="2"/>
  <c r="M339" i="2"/>
  <c r="S339" i="2"/>
  <c r="K339" i="2"/>
  <c r="R339" i="2"/>
  <c r="J339" i="2"/>
  <c r="AH339" i="2" s="1"/>
  <c r="T339" i="2"/>
  <c r="L339" i="2"/>
  <c r="Z344" i="2"/>
  <c r="Y344" i="2"/>
  <c r="X344" i="2"/>
  <c r="AB344" i="2"/>
  <c r="AA344" i="2"/>
  <c r="AC344" i="2"/>
  <c r="E344" i="2"/>
  <c r="AE347" i="2"/>
  <c r="AA359" i="2"/>
  <c r="AB359" i="2"/>
  <c r="Z359" i="2"/>
  <c r="Y359" i="2"/>
  <c r="X359" i="2"/>
  <c r="E359" i="2"/>
  <c r="AC359" i="2"/>
  <c r="AC369" i="2"/>
  <c r="E369" i="2"/>
  <c r="AB369" i="2"/>
  <c r="AA369" i="2"/>
  <c r="Z369" i="2"/>
  <c r="Y369" i="2"/>
  <c r="X369" i="2"/>
  <c r="Q371" i="2"/>
  <c r="I371" i="2"/>
  <c r="P371" i="2"/>
  <c r="H371" i="2"/>
  <c r="W371" i="2"/>
  <c r="O371" i="2"/>
  <c r="G371" i="2"/>
  <c r="V371" i="2"/>
  <c r="N371" i="2"/>
  <c r="F371" i="2"/>
  <c r="U371" i="2"/>
  <c r="M371" i="2"/>
  <c r="T371" i="2"/>
  <c r="S371" i="2"/>
  <c r="R371" i="2"/>
  <c r="K371" i="2"/>
  <c r="J371" i="2"/>
  <c r="AH371" i="2" s="1"/>
  <c r="L371" i="2"/>
  <c r="Z376" i="2"/>
  <c r="Y376" i="2"/>
  <c r="X376" i="2"/>
  <c r="AB376" i="2"/>
  <c r="AC376" i="2"/>
  <c r="AA376" i="2"/>
  <c r="E376" i="2"/>
  <c r="AC391" i="2"/>
  <c r="E391" i="2"/>
  <c r="AB391" i="2"/>
  <c r="AA391" i="2"/>
  <c r="Z391" i="2"/>
  <c r="Y391" i="2"/>
  <c r="X391" i="2"/>
  <c r="AE394" i="2"/>
  <c r="X401" i="2"/>
  <c r="AC401" i="2"/>
  <c r="E401" i="2"/>
  <c r="AB401" i="2"/>
  <c r="Z401" i="2"/>
  <c r="Y401" i="2"/>
  <c r="AA401" i="2"/>
  <c r="R403" i="2"/>
  <c r="J403" i="2"/>
  <c r="AH403" i="2" s="1"/>
  <c r="Q403" i="2"/>
  <c r="I403" i="2"/>
  <c r="P403" i="2"/>
  <c r="H403" i="2"/>
  <c r="W403" i="2"/>
  <c r="O403" i="2"/>
  <c r="G403" i="2"/>
  <c r="V403" i="2"/>
  <c r="N403" i="2"/>
  <c r="F403" i="2"/>
  <c r="T403" i="2"/>
  <c r="L403" i="2"/>
  <c r="S403" i="2"/>
  <c r="K403" i="2"/>
  <c r="U403" i="2"/>
  <c r="M403" i="2"/>
  <c r="AA408" i="2"/>
  <c r="Z408" i="2"/>
  <c r="Y408" i="2"/>
  <c r="X408" i="2"/>
  <c r="AC408" i="2"/>
  <c r="E408" i="2"/>
  <c r="AB408" i="2"/>
  <c r="AC423" i="2"/>
  <c r="E423" i="2"/>
  <c r="AB423" i="2"/>
  <c r="AA423" i="2"/>
  <c r="Z423" i="2"/>
  <c r="X423" i="2"/>
  <c r="Y423" i="2"/>
  <c r="X433" i="2"/>
  <c r="AC433" i="2"/>
  <c r="E433" i="2"/>
  <c r="AB433" i="2"/>
  <c r="Z433" i="2"/>
  <c r="Y433" i="2"/>
  <c r="AA433" i="2"/>
  <c r="R435" i="2"/>
  <c r="J435" i="2"/>
  <c r="AH435" i="2" s="1"/>
  <c r="Q435" i="2"/>
  <c r="I435" i="2"/>
  <c r="W435" i="2"/>
  <c r="O435" i="2"/>
  <c r="G435" i="2"/>
  <c r="U435" i="2"/>
  <c r="M435" i="2"/>
  <c r="T435" i="2"/>
  <c r="L435" i="2"/>
  <c r="K435" i="2"/>
  <c r="H435" i="2"/>
  <c r="F435" i="2"/>
  <c r="V435" i="2"/>
  <c r="P435" i="2"/>
  <c r="N435" i="2"/>
  <c r="S435" i="2"/>
  <c r="AA440" i="2"/>
  <c r="Z440" i="2"/>
  <c r="Y440" i="2"/>
  <c r="X440" i="2"/>
  <c r="AC440" i="2"/>
  <c r="E440" i="2"/>
  <c r="AB440" i="2"/>
  <c r="AE443" i="2"/>
  <c r="AC455" i="2"/>
  <c r="E455" i="2"/>
  <c r="AB455" i="2"/>
  <c r="AA455" i="2"/>
  <c r="Z455" i="2"/>
  <c r="Y455" i="2"/>
  <c r="X455" i="2"/>
  <c r="X465" i="2"/>
  <c r="AC465" i="2"/>
  <c r="E465" i="2"/>
  <c r="AB465" i="2"/>
  <c r="AA465" i="2"/>
  <c r="Z465" i="2"/>
  <c r="Y465" i="2"/>
  <c r="R467" i="2"/>
  <c r="J467" i="2"/>
  <c r="AH467" i="2" s="1"/>
  <c r="Q467" i="2"/>
  <c r="I467" i="2"/>
  <c r="P467" i="2"/>
  <c r="H467" i="2"/>
  <c r="W467" i="2"/>
  <c r="O467" i="2"/>
  <c r="G467" i="2"/>
  <c r="V467" i="2"/>
  <c r="N467" i="2"/>
  <c r="F467" i="2"/>
  <c r="U467" i="2"/>
  <c r="M467" i="2"/>
  <c r="T467" i="2"/>
  <c r="L467" i="2"/>
  <c r="S467" i="2"/>
  <c r="K467" i="2"/>
  <c r="AC472" i="2"/>
  <c r="AB472" i="2"/>
  <c r="Z472" i="2"/>
  <c r="Y472" i="2"/>
  <c r="X472" i="2"/>
  <c r="E472" i="2"/>
  <c r="AA472" i="2"/>
  <c r="Y487" i="2"/>
  <c r="X487" i="2"/>
  <c r="AC487" i="2"/>
  <c r="E487" i="2"/>
  <c r="AA487" i="2"/>
  <c r="Z487" i="2"/>
  <c r="AB487" i="2"/>
  <c r="AE490" i="2"/>
  <c r="AA497" i="2"/>
  <c r="Z497" i="2"/>
  <c r="Y497" i="2"/>
  <c r="X497" i="2"/>
  <c r="AC497" i="2"/>
  <c r="E497" i="2"/>
  <c r="AB497" i="2"/>
  <c r="U499" i="2"/>
  <c r="M499" i="2"/>
  <c r="T499" i="2"/>
  <c r="L499" i="2"/>
  <c r="S499" i="2"/>
  <c r="K499" i="2"/>
  <c r="R499" i="2"/>
  <c r="J499" i="2"/>
  <c r="AH499" i="2" s="1"/>
  <c r="Q499" i="2"/>
  <c r="I499" i="2"/>
  <c r="W499" i="2"/>
  <c r="O499" i="2"/>
  <c r="G499" i="2"/>
  <c r="V499" i="2"/>
  <c r="N499" i="2"/>
  <c r="F499" i="2"/>
  <c r="P499" i="2"/>
  <c r="H499" i="2"/>
  <c r="AC504" i="2"/>
  <c r="E504" i="2"/>
  <c r="AB504" i="2"/>
  <c r="AA504" i="2"/>
  <c r="Z504" i="2"/>
  <c r="X504" i="2"/>
  <c r="Y504" i="2"/>
  <c r="AC519" i="2"/>
  <c r="E519" i="2"/>
  <c r="AB519" i="2"/>
  <c r="AA519" i="2"/>
  <c r="Y519" i="2"/>
  <c r="X519" i="2"/>
  <c r="Z519" i="2"/>
  <c r="AE522" i="2"/>
  <c r="Y529" i="2"/>
  <c r="X529" i="2"/>
  <c r="AC529" i="2"/>
  <c r="E529" i="2"/>
  <c r="AA529" i="2"/>
  <c r="Z529" i="2"/>
  <c r="AB529" i="2"/>
  <c r="S531" i="2"/>
  <c r="K531" i="2"/>
  <c r="R531" i="2"/>
  <c r="J531" i="2"/>
  <c r="AH531" i="2" s="1"/>
  <c r="Q531" i="2"/>
  <c r="I531" i="2"/>
  <c r="P531" i="2"/>
  <c r="H531" i="2"/>
  <c r="W531" i="2"/>
  <c r="O531" i="2"/>
  <c r="G531" i="2"/>
  <c r="U531" i="2"/>
  <c r="M531" i="2"/>
  <c r="T531" i="2"/>
  <c r="L531" i="2"/>
  <c r="N531" i="2"/>
  <c r="F531" i="2"/>
  <c r="V531" i="2"/>
  <c r="AB536" i="2"/>
  <c r="AA536" i="2"/>
  <c r="Z536" i="2"/>
  <c r="Y536" i="2"/>
  <c r="X536" i="2"/>
  <c r="AC536" i="2"/>
  <c r="E536" i="2"/>
  <c r="AC551" i="2"/>
  <c r="E551" i="2"/>
  <c r="AB551" i="2"/>
  <c r="Y551" i="2"/>
  <c r="X551" i="2"/>
  <c r="AA551" i="2"/>
  <c r="Z551" i="2"/>
  <c r="Y561" i="2"/>
  <c r="X561" i="2"/>
  <c r="AC561" i="2"/>
  <c r="E561" i="2"/>
  <c r="AA561" i="2"/>
  <c r="Z561" i="2"/>
  <c r="AB561" i="2"/>
  <c r="S563" i="2"/>
  <c r="K563" i="2"/>
  <c r="R563" i="2"/>
  <c r="J563" i="2"/>
  <c r="AH563" i="2" s="1"/>
  <c r="Q563" i="2"/>
  <c r="I563" i="2"/>
  <c r="P563" i="2"/>
  <c r="H563" i="2"/>
  <c r="W563" i="2"/>
  <c r="O563" i="2"/>
  <c r="G563" i="2"/>
  <c r="U563" i="2"/>
  <c r="M563" i="2"/>
  <c r="T563" i="2"/>
  <c r="L563" i="2"/>
  <c r="V563" i="2"/>
  <c r="N563" i="2"/>
  <c r="F563" i="2"/>
  <c r="Z566" i="2"/>
  <c r="Y566" i="2"/>
  <c r="X566" i="2"/>
  <c r="AB566" i="2"/>
  <c r="AA566" i="2"/>
  <c r="E566" i="2"/>
  <c r="AC566" i="2"/>
  <c r="V570" i="2"/>
  <c r="N570" i="2"/>
  <c r="F570" i="2"/>
  <c r="U570" i="2"/>
  <c r="M570" i="2"/>
  <c r="T570" i="2"/>
  <c r="L570" i="2"/>
  <c r="S570" i="2"/>
  <c r="K570" i="2"/>
  <c r="R570" i="2"/>
  <c r="J570" i="2"/>
  <c r="AH570" i="2" s="1"/>
  <c r="P570" i="2"/>
  <c r="H570" i="2"/>
  <c r="W570" i="2"/>
  <c r="O570" i="2"/>
  <c r="G570" i="2"/>
  <c r="I570" i="2"/>
  <c r="Q570" i="2"/>
  <c r="AK559" i="1"/>
  <c r="AE575" i="2"/>
  <c r="Q577" i="2"/>
  <c r="I577" i="2"/>
  <c r="P577" i="2"/>
  <c r="H577" i="2"/>
  <c r="W577" i="2"/>
  <c r="O577" i="2"/>
  <c r="G577" i="2"/>
  <c r="V577" i="2"/>
  <c r="N577" i="2"/>
  <c r="F577" i="2"/>
  <c r="U577" i="2"/>
  <c r="M577" i="2"/>
  <c r="S577" i="2"/>
  <c r="K577" i="2"/>
  <c r="R577" i="2"/>
  <c r="J577" i="2"/>
  <c r="AH577" i="2" s="1"/>
  <c r="L577" i="2"/>
  <c r="T577" i="2"/>
  <c r="AK566" i="1"/>
  <c r="S579" i="2"/>
  <c r="K579" i="2"/>
  <c r="R579" i="2"/>
  <c r="J579" i="2"/>
  <c r="AH579" i="2" s="1"/>
  <c r="Q579" i="2"/>
  <c r="I579" i="2"/>
  <c r="P579" i="2"/>
  <c r="H579" i="2"/>
  <c r="W579" i="2"/>
  <c r="O579" i="2"/>
  <c r="G579" i="2"/>
  <c r="U579" i="2"/>
  <c r="M579" i="2"/>
  <c r="T579" i="2"/>
  <c r="L579" i="2"/>
  <c r="V579" i="2"/>
  <c r="N579" i="2"/>
  <c r="F579" i="2"/>
  <c r="Z582" i="2"/>
  <c r="X582" i="2"/>
  <c r="E582" i="2"/>
  <c r="AC582" i="2"/>
  <c r="AA582" i="2"/>
  <c r="Y582" i="2"/>
  <c r="AB582" i="2"/>
  <c r="W586" i="2"/>
  <c r="O586" i="2"/>
  <c r="G586" i="2"/>
  <c r="V586" i="2"/>
  <c r="N586" i="2"/>
  <c r="F586" i="2"/>
  <c r="Q586" i="2"/>
  <c r="P586" i="2"/>
  <c r="M586" i="2"/>
  <c r="L586" i="2"/>
  <c r="U586" i="2"/>
  <c r="K586" i="2"/>
  <c r="S586" i="2"/>
  <c r="I586" i="2"/>
  <c r="R586" i="2"/>
  <c r="H586" i="2"/>
  <c r="J586" i="2"/>
  <c r="AH586" i="2" s="1"/>
  <c r="T586" i="2"/>
  <c r="AK575" i="1"/>
  <c r="AE591" i="2"/>
  <c r="R593" i="2"/>
  <c r="J593" i="2"/>
  <c r="AH593" i="2" s="1"/>
  <c r="Q593" i="2"/>
  <c r="I593" i="2"/>
  <c r="P593" i="2"/>
  <c r="H593" i="2"/>
  <c r="W593" i="2"/>
  <c r="O593" i="2"/>
  <c r="G593" i="2"/>
  <c r="V593" i="2"/>
  <c r="N593" i="2"/>
  <c r="F593" i="2"/>
  <c r="T593" i="2"/>
  <c r="L593" i="2"/>
  <c r="S593" i="2"/>
  <c r="K593" i="2"/>
  <c r="U593" i="2"/>
  <c r="M593" i="2"/>
  <c r="AK582" i="1"/>
  <c r="T595" i="2"/>
  <c r="L595" i="2"/>
  <c r="S595" i="2"/>
  <c r="K595" i="2"/>
  <c r="R595" i="2"/>
  <c r="J595" i="2"/>
  <c r="AH595" i="2" s="1"/>
  <c r="Q595" i="2"/>
  <c r="I595" i="2"/>
  <c r="P595" i="2"/>
  <c r="H595" i="2"/>
  <c r="V595" i="2"/>
  <c r="N595" i="2"/>
  <c r="F595" i="2"/>
  <c r="U595" i="2"/>
  <c r="M595" i="2"/>
  <c r="W595" i="2"/>
  <c r="O595" i="2"/>
  <c r="G595" i="2"/>
  <c r="AA598" i="2"/>
  <c r="Z598" i="2"/>
  <c r="Y598" i="2"/>
  <c r="X598" i="2"/>
  <c r="AC598" i="2"/>
  <c r="E598" i="2"/>
  <c r="AB598" i="2"/>
  <c r="W602" i="2"/>
  <c r="O602" i="2"/>
  <c r="G602" i="2"/>
  <c r="V602" i="2"/>
  <c r="N602" i="2"/>
  <c r="F602" i="2"/>
  <c r="U602" i="2"/>
  <c r="M602" i="2"/>
  <c r="T602" i="2"/>
  <c r="L602" i="2"/>
  <c r="S602" i="2"/>
  <c r="K602" i="2"/>
  <c r="Q602" i="2"/>
  <c r="I602" i="2"/>
  <c r="P602" i="2"/>
  <c r="H602" i="2"/>
  <c r="R602" i="2"/>
  <c r="J602" i="2"/>
  <c r="AH602" i="2" s="1"/>
  <c r="AK591" i="1"/>
  <c r="AE607" i="2"/>
  <c r="P609" i="2"/>
  <c r="H609" i="2"/>
  <c r="W609" i="2"/>
  <c r="O609" i="2"/>
  <c r="G609" i="2"/>
  <c r="V609" i="2"/>
  <c r="N609" i="2"/>
  <c r="F609" i="2"/>
  <c r="U609" i="2"/>
  <c r="M609" i="2"/>
  <c r="R609" i="2"/>
  <c r="J609" i="2"/>
  <c r="AH609" i="2" s="1"/>
  <c r="T609" i="2"/>
  <c r="S609" i="2"/>
  <c r="Q609" i="2"/>
  <c r="L609" i="2"/>
  <c r="K609" i="2"/>
  <c r="I609" i="2"/>
  <c r="AK598" i="1"/>
  <c r="R611" i="2"/>
  <c r="J611" i="2"/>
  <c r="AH611" i="2" s="1"/>
  <c r="Q611" i="2"/>
  <c r="I611" i="2"/>
  <c r="P611" i="2"/>
  <c r="H611" i="2"/>
  <c r="W611" i="2"/>
  <c r="O611" i="2"/>
  <c r="G611" i="2"/>
  <c r="T611" i="2"/>
  <c r="L611" i="2"/>
  <c r="S611" i="2"/>
  <c r="N611" i="2"/>
  <c r="M611" i="2"/>
  <c r="K611" i="2"/>
  <c r="F611" i="2"/>
  <c r="V611" i="2"/>
  <c r="U611" i="2"/>
  <c r="Y614" i="2"/>
  <c r="X614" i="2"/>
  <c r="AC614" i="2"/>
  <c r="E614" i="2"/>
  <c r="AB614" i="2"/>
  <c r="AA614" i="2"/>
  <c r="Z614" i="2"/>
  <c r="U618" i="2"/>
  <c r="M618" i="2"/>
  <c r="T618" i="2"/>
  <c r="L618" i="2"/>
  <c r="S618" i="2"/>
  <c r="K618" i="2"/>
  <c r="R618" i="2"/>
  <c r="J618" i="2"/>
  <c r="AH618" i="2" s="1"/>
  <c r="Q618" i="2"/>
  <c r="I618" i="2"/>
  <c r="P618" i="2"/>
  <c r="H618" i="2"/>
  <c r="W618" i="2"/>
  <c r="O618" i="2"/>
  <c r="G618" i="2"/>
  <c r="V618" i="2"/>
  <c r="N618" i="2"/>
  <c r="F618" i="2"/>
  <c r="AK607" i="1"/>
  <c r="P625" i="2"/>
  <c r="H625" i="2"/>
  <c r="W625" i="2"/>
  <c r="O625" i="2"/>
  <c r="G625" i="2"/>
  <c r="V625" i="2"/>
  <c r="N625" i="2"/>
  <c r="F625" i="2"/>
  <c r="U625" i="2"/>
  <c r="M625" i="2"/>
  <c r="T625" i="2"/>
  <c r="L625" i="2"/>
  <c r="S625" i="2"/>
  <c r="K625" i="2"/>
  <c r="R625" i="2"/>
  <c r="J625" i="2"/>
  <c r="AH625" i="2" s="1"/>
  <c r="Q625" i="2"/>
  <c r="I625" i="2"/>
  <c r="AK614" i="1"/>
  <c r="R627" i="2"/>
  <c r="J627" i="2"/>
  <c r="AH627" i="2" s="1"/>
  <c r="Q627" i="2"/>
  <c r="I627" i="2"/>
  <c r="P627" i="2"/>
  <c r="H627" i="2"/>
  <c r="W627" i="2"/>
  <c r="O627" i="2"/>
  <c r="G627" i="2"/>
  <c r="V627" i="2"/>
  <c r="N627" i="2"/>
  <c r="F627" i="2"/>
  <c r="U627" i="2"/>
  <c r="M627" i="2"/>
  <c r="T627" i="2"/>
  <c r="L627" i="2"/>
  <c r="S627" i="2"/>
  <c r="K627" i="2"/>
  <c r="AA630" i="2"/>
  <c r="Z630" i="2"/>
  <c r="Y630" i="2"/>
  <c r="X630" i="2"/>
  <c r="E630" i="2"/>
  <c r="AC630" i="2"/>
  <c r="AB630" i="2"/>
  <c r="W634" i="2"/>
  <c r="O634" i="2"/>
  <c r="G634" i="2"/>
  <c r="V634" i="2"/>
  <c r="N634" i="2"/>
  <c r="F634" i="2"/>
  <c r="U634" i="2"/>
  <c r="M634" i="2"/>
  <c r="T634" i="2"/>
  <c r="L634" i="2"/>
  <c r="S634" i="2"/>
  <c r="K634" i="2"/>
  <c r="R634" i="2"/>
  <c r="J634" i="2"/>
  <c r="AH634" i="2" s="1"/>
  <c r="P634" i="2"/>
  <c r="I634" i="2"/>
  <c r="H634" i="2"/>
  <c r="Q634" i="2"/>
  <c r="AK623" i="1"/>
  <c r="V641" i="2"/>
  <c r="N641" i="2"/>
  <c r="F641" i="2"/>
  <c r="U641" i="2"/>
  <c r="M641" i="2"/>
  <c r="R641" i="2"/>
  <c r="Q641" i="2"/>
  <c r="I641" i="2"/>
  <c r="P641" i="2"/>
  <c r="O641" i="2"/>
  <c r="L641" i="2"/>
  <c r="K641" i="2"/>
  <c r="J641" i="2"/>
  <c r="AH641" i="2" s="1"/>
  <c r="W641" i="2"/>
  <c r="H641" i="2"/>
  <c r="T641" i="2"/>
  <c r="G641" i="2"/>
  <c r="S641" i="2"/>
  <c r="AK630" i="1"/>
  <c r="P643" i="2"/>
  <c r="H643" i="2"/>
  <c r="W643" i="2"/>
  <c r="O643" i="2"/>
  <c r="G643" i="2"/>
  <c r="T643" i="2"/>
  <c r="L643" i="2"/>
  <c r="S643" i="2"/>
  <c r="K643" i="2"/>
  <c r="R643" i="2"/>
  <c r="Q643" i="2"/>
  <c r="N643" i="2"/>
  <c r="M643" i="2"/>
  <c r="J643" i="2"/>
  <c r="AH643" i="2" s="1"/>
  <c r="I643" i="2"/>
  <c r="V643" i="2"/>
  <c r="F643" i="2"/>
  <c r="U643" i="2"/>
  <c r="AA646" i="2"/>
  <c r="Z646" i="2"/>
  <c r="Y646" i="2"/>
  <c r="X646" i="2"/>
  <c r="E646" i="2"/>
  <c r="AC646" i="2"/>
  <c r="AB646" i="2"/>
  <c r="S650" i="2"/>
  <c r="K650" i="2"/>
  <c r="R650" i="2"/>
  <c r="J650" i="2"/>
  <c r="AH650" i="2" s="1"/>
  <c r="Q650" i="2"/>
  <c r="I650" i="2"/>
  <c r="W650" i="2"/>
  <c r="O650" i="2"/>
  <c r="G650" i="2"/>
  <c r="V650" i="2"/>
  <c r="N650" i="2"/>
  <c r="F650" i="2"/>
  <c r="L650" i="2"/>
  <c r="H650" i="2"/>
  <c r="U650" i="2"/>
  <c r="T650" i="2"/>
  <c r="P650" i="2"/>
  <c r="M650" i="2"/>
  <c r="AK639" i="1"/>
  <c r="AE655" i="2"/>
  <c r="V657" i="2"/>
  <c r="N657" i="2"/>
  <c r="F657" i="2"/>
  <c r="Q657" i="2"/>
  <c r="H657" i="2"/>
  <c r="P657" i="2"/>
  <c r="G657" i="2"/>
  <c r="O657" i="2"/>
  <c r="U657" i="2"/>
  <c r="L657" i="2"/>
  <c r="T657" i="2"/>
  <c r="K657" i="2"/>
  <c r="I657" i="2"/>
  <c r="W657" i="2"/>
  <c r="S657" i="2"/>
  <c r="R657" i="2"/>
  <c r="M657" i="2"/>
  <c r="J657" i="2"/>
  <c r="AH657" i="2" s="1"/>
  <c r="AK646" i="1"/>
  <c r="R659" i="2"/>
  <c r="J659" i="2"/>
  <c r="AH659" i="2" s="1"/>
  <c r="P659" i="2"/>
  <c r="H659" i="2"/>
  <c r="V659" i="2"/>
  <c r="L659" i="2"/>
  <c r="U659" i="2"/>
  <c r="K659" i="2"/>
  <c r="T659" i="2"/>
  <c r="I659" i="2"/>
  <c r="Q659" i="2"/>
  <c r="F659" i="2"/>
  <c r="O659" i="2"/>
  <c r="S659" i="2"/>
  <c r="N659" i="2"/>
  <c r="M659" i="2"/>
  <c r="G659" i="2"/>
  <c r="W659" i="2"/>
  <c r="AA662" i="2"/>
  <c r="Y662" i="2"/>
  <c r="AC662" i="2"/>
  <c r="E662" i="2"/>
  <c r="AB662" i="2"/>
  <c r="Z662" i="2"/>
  <c r="X662" i="2"/>
  <c r="T666" i="2"/>
  <c r="L666" i="2"/>
  <c r="R666" i="2"/>
  <c r="J666" i="2"/>
  <c r="AH666" i="2" s="1"/>
  <c r="W666" i="2"/>
  <c r="M666" i="2"/>
  <c r="U666" i="2"/>
  <c r="I666" i="2"/>
  <c r="O666" i="2"/>
  <c r="N666" i="2"/>
  <c r="K666" i="2"/>
  <c r="H666" i="2"/>
  <c r="V666" i="2"/>
  <c r="G666" i="2"/>
  <c r="S666" i="2"/>
  <c r="F666" i="2"/>
  <c r="Q666" i="2"/>
  <c r="P666" i="2"/>
  <c r="AK655" i="1"/>
  <c r="W673" i="2"/>
  <c r="O673" i="2"/>
  <c r="G673" i="2"/>
  <c r="U673" i="2"/>
  <c r="M673" i="2"/>
  <c r="L673" i="2"/>
  <c r="T673" i="2"/>
  <c r="J673" i="2"/>
  <c r="AH673" i="2" s="1"/>
  <c r="Q673" i="2"/>
  <c r="P673" i="2"/>
  <c r="N673" i="2"/>
  <c r="K673" i="2"/>
  <c r="I673" i="2"/>
  <c r="V673" i="2"/>
  <c r="H673" i="2"/>
  <c r="S673" i="2"/>
  <c r="R673" i="2"/>
  <c r="F673" i="2"/>
  <c r="AK662" i="1"/>
  <c r="Q675" i="2"/>
  <c r="I675" i="2"/>
  <c r="W675" i="2"/>
  <c r="O675" i="2"/>
  <c r="G675" i="2"/>
  <c r="M675" i="2"/>
  <c r="U675" i="2"/>
  <c r="K675" i="2"/>
  <c r="V675" i="2"/>
  <c r="H675" i="2"/>
  <c r="T675" i="2"/>
  <c r="F675" i="2"/>
  <c r="S675" i="2"/>
  <c r="R675" i="2"/>
  <c r="P675" i="2"/>
  <c r="N675" i="2"/>
  <c r="J675" i="2"/>
  <c r="AH675" i="2" s="1"/>
  <c r="L675" i="2"/>
  <c r="X678" i="2"/>
  <c r="AC678" i="2"/>
  <c r="AB678" i="2"/>
  <c r="AA678" i="2"/>
  <c r="Z678" i="2"/>
  <c r="Y678" i="2"/>
  <c r="E678" i="2"/>
  <c r="Q16" i="2"/>
  <c r="Z17" i="2"/>
  <c r="U24" i="2"/>
  <c r="T32" i="2"/>
  <c r="E33" i="2"/>
  <c r="Q23" i="2"/>
  <c r="I23" i="2"/>
  <c r="W23" i="2"/>
  <c r="O23" i="2"/>
  <c r="G23" i="2"/>
  <c r="V23" i="2"/>
  <c r="N23" i="2"/>
  <c r="F23" i="2"/>
  <c r="U23" i="2"/>
  <c r="M23" i="2"/>
  <c r="S23" i="2"/>
  <c r="K23" i="2"/>
  <c r="R23" i="2"/>
  <c r="J23" i="2"/>
  <c r="AH23" i="2" s="1"/>
  <c r="W39" i="2"/>
  <c r="O39" i="2"/>
  <c r="G39" i="2"/>
  <c r="V39" i="2"/>
  <c r="N39" i="2"/>
  <c r="F39" i="2"/>
  <c r="U39" i="2"/>
  <c r="M39" i="2"/>
  <c r="T39" i="2"/>
  <c r="L39" i="2"/>
  <c r="R39" i="2"/>
  <c r="J39" i="2"/>
  <c r="AH39" i="2" s="1"/>
  <c r="Q39" i="2"/>
  <c r="I39" i="2"/>
  <c r="P39" i="2"/>
  <c r="K39" i="2"/>
  <c r="H39" i="2"/>
  <c r="Y112" i="2"/>
  <c r="Z112" i="2"/>
  <c r="X112" i="2"/>
  <c r="AB112" i="2"/>
  <c r="E112" i="2"/>
  <c r="AC112" i="2"/>
  <c r="AA112" i="2"/>
  <c r="Q135" i="2"/>
  <c r="I135" i="2"/>
  <c r="U135" i="2"/>
  <c r="M135" i="2"/>
  <c r="T135" i="2"/>
  <c r="L135" i="2"/>
  <c r="S135" i="2"/>
  <c r="G135" i="2"/>
  <c r="R135" i="2"/>
  <c r="F135" i="2"/>
  <c r="P135" i="2"/>
  <c r="O135" i="2"/>
  <c r="N135" i="2"/>
  <c r="W135" i="2"/>
  <c r="J135" i="2"/>
  <c r="AH135" i="2" s="1"/>
  <c r="V135" i="2"/>
  <c r="K135" i="2"/>
  <c r="H135" i="2"/>
  <c r="T156" i="2"/>
  <c r="L156" i="2"/>
  <c r="S156" i="2"/>
  <c r="K156" i="2"/>
  <c r="R156" i="2"/>
  <c r="J156" i="2"/>
  <c r="AH156" i="2" s="1"/>
  <c r="Q156" i="2"/>
  <c r="I156" i="2"/>
  <c r="V156" i="2"/>
  <c r="N156" i="2"/>
  <c r="F156" i="2"/>
  <c r="U156" i="2"/>
  <c r="M156" i="2"/>
  <c r="W156" i="2"/>
  <c r="P156" i="2"/>
  <c r="O156" i="2"/>
  <c r="H156" i="2"/>
  <c r="G156" i="2"/>
  <c r="AK145" i="1"/>
  <c r="Z170" i="2"/>
  <c r="Y170" i="2"/>
  <c r="X170" i="2"/>
  <c r="AB170" i="2"/>
  <c r="AA170" i="2"/>
  <c r="E170" i="2"/>
  <c r="AC170" i="2"/>
  <c r="AC190" i="2"/>
  <c r="E190" i="2"/>
  <c r="AB190" i="2"/>
  <c r="AA190" i="2"/>
  <c r="Y190" i="2"/>
  <c r="X190" i="2"/>
  <c r="Z190" i="2"/>
  <c r="U220" i="2"/>
  <c r="M220" i="2"/>
  <c r="T220" i="2"/>
  <c r="L220" i="2"/>
  <c r="S220" i="2"/>
  <c r="K220" i="2"/>
  <c r="R220" i="2"/>
  <c r="J220" i="2"/>
  <c r="AH220" i="2" s="1"/>
  <c r="Q220" i="2"/>
  <c r="I220" i="2"/>
  <c r="W220" i="2"/>
  <c r="O220" i="2"/>
  <c r="G220" i="2"/>
  <c r="F220" i="2"/>
  <c r="N220" i="2"/>
  <c r="H220" i="2"/>
  <c r="V220" i="2"/>
  <c r="P220" i="2"/>
  <c r="AK209" i="1"/>
  <c r="AA246" i="2"/>
  <c r="Y246" i="2"/>
  <c r="X246" i="2"/>
  <c r="AC246" i="2"/>
  <c r="E246" i="2"/>
  <c r="AB246" i="2"/>
  <c r="Z246" i="2"/>
  <c r="R265" i="2"/>
  <c r="J265" i="2"/>
  <c r="AH265" i="2" s="1"/>
  <c r="Q265" i="2"/>
  <c r="I265" i="2"/>
  <c r="P265" i="2"/>
  <c r="H265" i="2"/>
  <c r="W265" i="2"/>
  <c r="O265" i="2"/>
  <c r="G265" i="2"/>
  <c r="V265" i="2"/>
  <c r="N265" i="2"/>
  <c r="F265" i="2"/>
  <c r="T265" i="2"/>
  <c r="L265" i="2"/>
  <c r="U265" i="2"/>
  <c r="S265" i="2"/>
  <c r="M265" i="2"/>
  <c r="K265" i="2"/>
  <c r="AK254" i="1"/>
  <c r="W282" i="2"/>
  <c r="O282" i="2"/>
  <c r="G282" i="2"/>
  <c r="V282" i="2"/>
  <c r="N282" i="2"/>
  <c r="F282" i="2"/>
  <c r="U282" i="2"/>
  <c r="M282" i="2"/>
  <c r="T282" i="2"/>
  <c r="L282" i="2"/>
  <c r="S282" i="2"/>
  <c r="K282" i="2"/>
  <c r="Q282" i="2"/>
  <c r="I282" i="2"/>
  <c r="J282" i="2"/>
  <c r="AH282" i="2" s="1"/>
  <c r="H282" i="2"/>
  <c r="R282" i="2"/>
  <c r="P282" i="2"/>
  <c r="AB307" i="2"/>
  <c r="AA307" i="2"/>
  <c r="Z307" i="2"/>
  <c r="Y307" i="2"/>
  <c r="X307" i="2"/>
  <c r="E307" i="2"/>
  <c r="AC307" i="2"/>
  <c r="U312" i="2"/>
  <c r="M312" i="2"/>
  <c r="T312" i="2"/>
  <c r="L312" i="2"/>
  <c r="S312" i="2"/>
  <c r="K312" i="2"/>
  <c r="R312" i="2"/>
  <c r="J312" i="2"/>
  <c r="AH312" i="2" s="1"/>
  <c r="Q312" i="2"/>
  <c r="I312" i="2"/>
  <c r="W312" i="2"/>
  <c r="O312" i="2"/>
  <c r="G312" i="2"/>
  <c r="V312" i="2"/>
  <c r="P312" i="2"/>
  <c r="N312" i="2"/>
  <c r="H312" i="2"/>
  <c r="F312" i="2"/>
  <c r="AK301" i="1"/>
  <c r="V317" i="2"/>
  <c r="N317" i="2"/>
  <c r="F317" i="2"/>
  <c r="U317" i="2"/>
  <c r="M317" i="2"/>
  <c r="T317" i="2"/>
  <c r="L317" i="2"/>
  <c r="S317" i="2"/>
  <c r="K317" i="2"/>
  <c r="R317" i="2"/>
  <c r="J317" i="2"/>
  <c r="AH317" i="2" s="1"/>
  <c r="P317" i="2"/>
  <c r="H317" i="2"/>
  <c r="W317" i="2"/>
  <c r="Q317" i="2"/>
  <c r="O317" i="2"/>
  <c r="I317" i="2"/>
  <c r="G317" i="2"/>
  <c r="AK306" i="1"/>
  <c r="V415" i="2"/>
  <c r="N415" i="2"/>
  <c r="F415" i="2"/>
  <c r="U415" i="2"/>
  <c r="M415" i="2"/>
  <c r="T415" i="2"/>
  <c r="L415" i="2"/>
  <c r="S415" i="2"/>
  <c r="K415" i="2"/>
  <c r="R415" i="2"/>
  <c r="J415" i="2"/>
  <c r="AH415" i="2" s="1"/>
  <c r="P415" i="2"/>
  <c r="H415" i="2"/>
  <c r="W415" i="2"/>
  <c r="O415" i="2"/>
  <c r="G415" i="2"/>
  <c r="I415" i="2"/>
  <c r="Q415" i="2"/>
  <c r="V447" i="2"/>
  <c r="N447" i="2"/>
  <c r="F447" i="2"/>
  <c r="U447" i="2"/>
  <c r="M447" i="2"/>
  <c r="T447" i="2"/>
  <c r="L447" i="2"/>
  <c r="S447" i="2"/>
  <c r="K447" i="2"/>
  <c r="R447" i="2"/>
  <c r="J447" i="2"/>
  <c r="AH447" i="2" s="1"/>
  <c r="Q447" i="2"/>
  <c r="I447" i="2"/>
  <c r="P447" i="2"/>
  <c r="H447" i="2"/>
  <c r="W447" i="2"/>
  <c r="O447" i="2"/>
  <c r="G447" i="2"/>
  <c r="P457" i="2"/>
  <c r="H457" i="2"/>
  <c r="W457" i="2"/>
  <c r="O457" i="2"/>
  <c r="G457" i="2"/>
  <c r="V457" i="2"/>
  <c r="N457" i="2"/>
  <c r="F457" i="2"/>
  <c r="U457" i="2"/>
  <c r="M457" i="2"/>
  <c r="T457" i="2"/>
  <c r="L457" i="2"/>
  <c r="S457" i="2"/>
  <c r="K457" i="2"/>
  <c r="R457" i="2"/>
  <c r="J457" i="2"/>
  <c r="AH457" i="2" s="1"/>
  <c r="I457" i="2"/>
  <c r="Q457" i="2"/>
  <c r="AK446" i="1"/>
  <c r="V472" i="2"/>
  <c r="N472" i="2"/>
  <c r="F472" i="2"/>
  <c r="U472" i="2"/>
  <c r="M472" i="2"/>
  <c r="T472" i="2"/>
  <c r="O472" i="2"/>
  <c r="L472" i="2"/>
  <c r="K472" i="2"/>
  <c r="W472" i="2"/>
  <c r="J472" i="2"/>
  <c r="AH472" i="2" s="1"/>
  <c r="S472" i="2"/>
  <c r="I472" i="2"/>
  <c r="R472" i="2"/>
  <c r="H472" i="2"/>
  <c r="Q472" i="2"/>
  <c r="G472" i="2"/>
  <c r="P472" i="2"/>
  <c r="AK461" i="1"/>
  <c r="AB502" i="2"/>
  <c r="AA502" i="2"/>
  <c r="Z502" i="2"/>
  <c r="Y502" i="2"/>
  <c r="X502" i="2"/>
  <c r="AC502" i="2"/>
  <c r="E502" i="2"/>
  <c r="AB514" i="2"/>
  <c r="AA514" i="2"/>
  <c r="Z514" i="2"/>
  <c r="X514" i="2"/>
  <c r="AC514" i="2"/>
  <c r="Y514" i="2"/>
  <c r="E514" i="2"/>
  <c r="R526" i="2"/>
  <c r="J526" i="2"/>
  <c r="AH526" i="2" s="1"/>
  <c r="Q526" i="2"/>
  <c r="I526" i="2"/>
  <c r="P526" i="2"/>
  <c r="H526" i="2"/>
  <c r="W526" i="2"/>
  <c r="O526" i="2"/>
  <c r="G526" i="2"/>
  <c r="V526" i="2"/>
  <c r="N526" i="2"/>
  <c r="F526" i="2"/>
  <c r="T526" i="2"/>
  <c r="L526" i="2"/>
  <c r="S526" i="2"/>
  <c r="K526" i="2"/>
  <c r="U526" i="2"/>
  <c r="M526" i="2"/>
  <c r="AK515" i="1"/>
  <c r="T536" i="2"/>
  <c r="L536" i="2"/>
  <c r="S536" i="2"/>
  <c r="K536" i="2"/>
  <c r="R536" i="2"/>
  <c r="J536" i="2"/>
  <c r="AH536" i="2" s="1"/>
  <c r="Q536" i="2"/>
  <c r="I536" i="2"/>
  <c r="P536" i="2"/>
  <c r="H536" i="2"/>
  <c r="V536" i="2"/>
  <c r="N536" i="2"/>
  <c r="F536" i="2"/>
  <c r="U536" i="2"/>
  <c r="M536" i="2"/>
  <c r="W536" i="2"/>
  <c r="O536" i="2"/>
  <c r="G536" i="2"/>
  <c r="AK525" i="1"/>
  <c r="U541" i="2"/>
  <c r="M541" i="2"/>
  <c r="T541" i="2"/>
  <c r="L541" i="2"/>
  <c r="S541" i="2"/>
  <c r="K541" i="2"/>
  <c r="R541" i="2"/>
  <c r="J541" i="2"/>
  <c r="AH541" i="2" s="1"/>
  <c r="Q541" i="2"/>
  <c r="I541" i="2"/>
  <c r="W541" i="2"/>
  <c r="O541" i="2"/>
  <c r="G541" i="2"/>
  <c r="V541" i="2"/>
  <c r="N541" i="2"/>
  <c r="F541" i="2"/>
  <c r="P541" i="2"/>
  <c r="H541" i="2"/>
  <c r="AK530" i="1"/>
  <c r="AE551" i="2"/>
  <c r="AB595" i="2"/>
  <c r="AA595" i="2"/>
  <c r="Z595" i="2"/>
  <c r="Y595" i="2"/>
  <c r="X595" i="2"/>
  <c r="AC595" i="2"/>
  <c r="E595" i="2"/>
  <c r="Z659" i="2"/>
  <c r="X659" i="2"/>
  <c r="AB659" i="2"/>
  <c r="AA659" i="2"/>
  <c r="E659" i="2"/>
  <c r="AC659" i="2"/>
  <c r="Y659" i="2"/>
  <c r="H23" i="2"/>
  <c r="AK13" i="1"/>
  <c r="AK21" i="1"/>
  <c r="AK29" i="1"/>
  <c r="AK37" i="1"/>
  <c r="AK45" i="1"/>
  <c r="AK53" i="1"/>
  <c r="AK61" i="1"/>
  <c r="AK69" i="1"/>
  <c r="AK77" i="1"/>
  <c r="AK85" i="1"/>
  <c r="AK93" i="1"/>
  <c r="AK101" i="1"/>
  <c r="AK109" i="1"/>
  <c r="AK117" i="1"/>
  <c r="AK125" i="1"/>
  <c r="AK133" i="1"/>
  <c r="AK140" i="1"/>
  <c r="AC155" i="2"/>
  <c r="E155" i="2"/>
  <c r="AB155" i="2"/>
  <c r="Y155" i="2"/>
  <c r="X155" i="2"/>
  <c r="Z155" i="2"/>
  <c r="AA155" i="2"/>
  <c r="AK151" i="1"/>
  <c r="AK155" i="1"/>
  <c r="AK159" i="1"/>
  <c r="AK163" i="1"/>
  <c r="AK167" i="1"/>
  <c r="AK171" i="1"/>
  <c r="AK175" i="1"/>
  <c r="AK179" i="1"/>
  <c r="V193" i="2"/>
  <c r="N193" i="2"/>
  <c r="F193" i="2"/>
  <c r="U193" i="2"/>
  <c r="M193" i="2"/>
  <c r="T193" i="2"/>
  <c r="L193" i="2"/>
  <c r="S193" i="2"/>
  <c r="K193" i="2"/>
  <c r="R193" i="2"/>
  <c r="J193" i="2"/>
  <c r="AH193" i="2" s="1"/>
  <c r="P193" i="2"/>
  <c r="H193" i="2"/>
  <c r="W193" i="2"/>
  <c r="Q193" i="2"/>
  <c r="O193" i="2"/>
  <c r="I193" i="2"/>
  <c r="G193" i="2"/>
  <c r="AK183" i="1"/>
  <c r="AC196" i="2"/>
  <c r="E196" i="2"/>
  <c r="AB196" i="2"/>
  <c r="AA196" i="2"/>
  <c r="Z196" i="2"/>
  <c r="Y196" i="2"/>
  <c r="X196" i="2"/>
  <c r="AB199" i="2"/>
  <c r="AA199" i="2"/>
  <c r="Z199" i="2"/>
  <c r="Y199" i="2"/>
  <c r="X199" i="2"/>
  <c r="E199" i="2"/>
  <c r="AC199" i="2"/>
  <c r="AK192" i="1"/>
  <c r="V209" i="2"/>
  <c r="N209" i="2"/>
  <c r="F209" i="2"/>
  <c r="U209" i="2"/>
  <c r="M209" i="2"/>
  <c r="T209" i="2"/>
  <c r="L209" i="2"/>
  <c r="S209" i="2"/>
  <c r="K209" i="2"/>
  <c r="R209" i="2"/>
  <c r="J209" i="2"/>
  <c r="AH209" i="2" s="1"/>
  <c r="P209" i="2"/>
  <c r="H209" i="2"/>
  <c r="Q209" i="2"/>
  <c r="O209" i="2"/>
  <c r="I209" i="2"/>
  <c r="G209" i="2"/>
  <c r="W209" i="2"/>
  <c r="AK198" i="1"/>
  <c r="W214" i="2"/>
  <c r="O214" i="2"/>
  <c r="G214" i="2"/>
  <c r="V214" i="2"/>
  <c r="N214" i="2"/>
  <c r="F214" i="2"/>
  <c r="U214" i="2"/>
  <c r="M214" i="2"/>
  <c r="T214" i="2"/>
  <c r="L214" i="2"/>
  <c r="S214" i="2"/>
  <c r="K214" i="2"/>
  <c r="Q214" i="2"/>
  <c r="I214" i="2"/>
  <c r="R214" i="2"/>
  <c r="P214" i="2"/>
  <c r="J214" i="2"/>
  <c r="AH214" i="2" s="1"/>
  <c r="H214" i="2"/>
  <c r="V217" i="2"/>
  <c r="N217" i="2"/>
  <c r="F217" i="2"/>
  <c r="U217" i="2"/>
  <c r="M217" i="2"/>
  <c r="T217" i="2"/>
  <c r="L217" i="2"/>
  <c r="S217" i="2"/>
  <c r="K217" i="2"/>
  <c r="R217" i="2"/>
  <c r="J217" i="2"/>
  <c r="AH217" i="2" s="1"/>
  <c r="P217" i="2"/>
  <c r="H217" i="2"/>
  <c r="W217" i="2"/>
  <c r="Q217" i="2"/>
  <c r="G217" i="2"/>
  <c r="O217" i="2"/>
  <c r="I217" i="2"/>
  <c r="AK206" i="1"/>
  <c r="W222" i="2"/>
  <c r="O222" i="2"/>
  <c r="G222" i="2"/>
  <c r="V222" i="2"/>
  <c r="N222" i="2"/>
  <c r="F222" i="2"/>
  <c r="U222" i="2"/>
  <c r="M222" i="2"/>
  <c r="T222" i="2"/>
  <c r="L222" i="2"/>
  <c r="S222" i="2"/>
  <c r="K222" i="2"/>
  <c r="Q222" i="2"/>
  <c r="I222" i="2"/>
  <c r="R222" i="2"/>
  <c r="H222" i="2"/>
  <c r="P222" i="2"/>
  <c r="J222" i="2"/>
  <c r="V225" i="2"/>
  <c r="N225" i="2"/>
  <c r="F225" i="2"/>
  <c r="U225" i="2"/>
  <c r="M225" i="2"/>
  <c r="T225" i="2"/>
  <c r="L225" i="2"/>
  <c r="S225" i="2"/>
  <c r="K225" i="2"/>
  <c r="R225" i="2"/>
  <c r="J225" i="2"/>
  <c r="AH225" i="2" s="1"/>
  <c r="P225" i="2"/>
  <c r="H225" i="2"/>
  <c r="I225" i="2"/>
  <c r="G225" i="2"/>
  <c r="Q225" i="2"/>
  <c r="O225" i="2"/>
  <c r="W225" i="2"/>
  <c r="AK214" i="1"/>
  <c r="W230" i="2"/>
  <c r="O230" i="2"/>
  <c r="G230" i="2"/>
  <c r="V230" i="2"/>
  <c r="N230" i="2"/>
  <c r="F230" i="2"/>
  <c r="U230" i="2"/>
  <c r="M230" i="2"/>
  <c r="T230" i="2"/>
  <c r="L230" i="2"/>
  <c r="S230" i="2"/>
  <c r="K230" i="2"/>
  <c r="Q230" i="2"/>
  <c r="I230" i="2"/>
  <c r="H230" i="2"/>
  <c r="P230" i="2"/>
  <c r="J230" i="2"/>
  <c r="AH230" i="2" s="1"/>
  <c r="R230" i="2"/>
  <c r="AC233" i="2"/>
  <c r="E233" i="2"/>
  <c r="AB233" i="2"/>
  <c r="AA233" i="2"/>
  <c r="Z233" i="2"/>
  <c r="X233" i="2"/>
  <c r="Y233" i="2"/>
  <c r="P235" i="2"/>
  <c r="H235" i="2"/>
  <c r="W235" i="2"/>
  <c r="O235" i="2"/>
  <c r="G235" i="2"/>
  <c r="V235" i="2"/>
  <c r="N235" i="2"/>
  <c r="F235" i="2"/>
  <c r="U235" i="2"/>
  <c r="M235" i="2"/>
  <c r="T235" i="2"/>
  <c r="L235" i="2"/>
  <c r="R235" i="2"/>
  <c r="J235" i="2"/>
  <c r="AH235" i="2" s="1"/>
  <c r="Q235" i="2"/>
  <c r="K235" i="2"/>
  <c r="I235" i="2"/>
  <c r="S235" i="2"/>
  <c r="Y240" i="2"/>
  <c r="X240" i="2"/>
  <c r="AC240" i="2"/>
  <c r="E240" i="2"/>
  <c r="AA240" i="2"/>
  <c r="Z240" i="2"/>
  <c r="AB240" i="2"/>
  <c r="AK232" i="1"/>
  <c r="X255" i="2"/>
  <c r="AC255" i="2"/>
  <c r="E255" i="2"/>
  <c r="AB255" i="2"/>
  <c r="Z255" i="2"/>
  <c r="AA255" i="2"/>
  <c r="Y255" i="2"/>
  <c r="AK247" i="1"/>
  <c r="Z265" i="2"/>
  <c r="Y265" i="2"/>
  <c r="X265" i="2"/>
  <c r="AB265" i="2"/>
  <c r="E265" i="2"/>
  <c r="AC265" i="2"/>
  <c r="AA265" i="2"/>
  <c r="T267" i="2"/>
  <c r="L267" i="2"/>
  <c r="S267" i="2"/>
  <c r="K267" i="2"/>
  <c r="R267" i="2"/>
  <c r="J267" i="2"/>
  <c r="AH267" i="2" s="1"/>
  <c r="Q267" i="2"/>
  <c r="I267" i="2"/>
  <c r="P267" i="2"/>
  <c r="H267" i="2"/>
  <c r="V267" i="2"/>
  <c r="N267" i="2"/>
  <c r="F267" i="2"/>
  <c r="W267" i="2"/>
  <c r="U267" i="2"/>
  <c r="O267" i="2"/>
  <c r="M267" i="2"/>
  <c r="G267" i="2"/>
  <c r="AC272" i="2"/>
  <c r="E272" i="2"/>
  <c r="AB272" i="2"/>
  <c r="AA272" i="2"/>
  <c r="Z272" i="2"/>
  <c r="Y272" i="2"/>
  <c r="X272" i="2"/>
  <c r="AK264" i="1"/>
  <c r="X287" i="2"/>
  <c r="AC287" i="2"/>
  <c r="E287" i="2"/>
  <c r="AB287" i="2"/>
  <c r="Z287" i="2"/>
  <c r="AA287" i="2"/>
  <c r="Y287" i="2"/>
  <c r="AK279" i="1"/>
  <c r="Z297" i="2"/>
  <c r="Y297" i="2"/>
  <c r="X297" i="2"/>
  <c r="AB297" i="2"/>
  <c r="E297" i="2"/>
  <c r="AC297" i="2"/>
  <c r="AA297" i="2"/>
  <c r="T299" i="2"/>
  <c r="L299" i="2"/>
  <c r="S299" i="2"/>
  <c r="K299" i="2"/>
  <c r="R299" i="2"/>
  <c r="J299" i="2"/>
  <c r="AH299" i="2" s="1"/>
  <c r="Q299" i="2"/>
  <c r="I299" i="2"/>
  <c r="P299" i="2"/>
  <c r="H299" i="2"/>
  <c r="V299" i="2"/>
  <c r="N299" i="2"/>
  <c r="F299" i="2"/>
  <c r="O299" i="2"/>
  <c r="M299" i="2"/>
  <c r="G299" i="2"/>
  <c r="W299" i="2"/>
  <c r="U299" i="2"/>
  <c r="AC304" i="2"/>
  <c r="E304" i="2"/>
  <c r="AB304" i="2"/>
  <c r="AA304" i="2"/>
  <c r="Z304" i="2"/>
  <c r="Y304" i="2"/>
  <c r="X304" i="2"/>
  <c r="AK296" i="1"/>
  <c r="X319" i="2"/>
  <c r="AC319" i="2"/>
  <c r="E319" i="2"/>
  <c r="AB319" i="2"/>
  <c r="Z319" i="2"/>
  <c r="AA319" i="2"/>
  <c r="Y319" i="2"/>
  <c r="AK311" i="1"/>
  <c r="AC329" i="2"/>
  <c r="E329" i="2"/>
  <c r="AB329" i="2"/>
  <c r="AA329" i="2"/>
  <c r="X329" i="2"/>
  <c r="Z329" i="2"/>
  <c r="Y329" i="2"/>
  <c r="Q331" i="2"/>
  <c r="I331" i="2"/>
  <c r="P331" i="2"/>
  <c r="H331" i="2"/>
  <c r="W331" i="2"/>
  <c r="O331" i="2"/>
  <c r="G331" i="2"/>
  <c r="V331" i="2"/>
  <c r="N331" i="2"/>
  <c r="F331" i="2"/>
  <c r="U331" i="2"/>
  <c r="M331" i="2"/>
  <c r="R331" i="2"/>
  <c r="J331" i="2"/>
  <c r="AH331" i="2" s="1"/>
  <c r="T331" i="2"/>
  <c r="S331" i="2"/>
  <c r="L331" i="2"/>
  <c r="K331" i="2"/>
  <c r="Z336" i="2"/>
  <c r="Y336" i="2"/>
  <c r="X336" i="2"/>
  <c r="AB336" i="2"/>
  <c r="AA336" i="2"/>
  <c r="AC336" i="2"/>
  <c r="E336" i="2"/>
  <c r="AK328" i="1"/>
  <c r="AC351" i="2"/>
  <c r="E351" i="2"/>
  <c r="AB351" i="2"/>
  <c r="AA351" i="2"/>
  <c r="Z351" i="2"/>
  <c r="Y351" i="2"/>
  <c r="X351" i="2"/>
  <c r="AK343" i="1"/>
  <c r="AC361" i="2"/>
  <c r="E361" i="2"/>
  <c r="AB361" i="2"/>
  <c r="AA361" i="2"/>
  <c r="Y361" i="2"/>
  <c r="X361" i="2"/>
  <c r="Z361" i="2"/>
  <c r="Q363" i="2"/>
  <c r="I363" i="2"/>
  <c r="W363" i="2"/>
  <c r="O363" i="2"/>
  <c r="G363" i="2"/>
  <c r="V363" i="2"/>
  <c r="N363" i="2"/>
  <c r="F363" i="2"/>
  <c r="U363" i="2"/>
  <c r="M363" i="2"/>
  <c r="S363" i="2"/>
  <c r="R363" i="2"/>
  <c r="P363" i="2"/>
  <c r="L363" i="2"/>
  <c r="K363" i="2"/>
  <c r="H363" i="2"/>
  <c r="T363" i="2"/>
  <c r="J363" i="2"/>
  <c r="AH363" i="2" s="1"/>
  <c r="Z368" i="2"/>
  <c r="Y368" i="2"/>
  <c r="X368" i="2"/>
  <c r="AC368" i="2"/>
  <c r="AB368" i="2"/>
  <c r="E368" i="2"/>
  <c r="AA368" i="2"/>
  <c r="AK360" i="1"/>
  <c r="AC383" i="2"/>
  <c r="E383" i="2"/>
  <c r="AB383" i="2"/>
  <c r="AA383" i="2"/>
  <c r="Z383" i="2"/>
  <c r="Y383" i="2"/>
  <c r="X383" i="2"/>
  <c r="AK375" i="1"/>
  <c r="AC393" i="2"/>
  <c r="E393" i="2"/>
  <c r="AB393" i="2"/>
  <c r="AA393" i="2"/>
  <c r="Y393" i="2"/>
  <c r="Z393" i="2"/>
  <c r="X393" i="2"/>
  <c r="Q395" i="2"/>
  <c r="I395" i="2"/>
  <c r="P395" i="2"/>
  <c r="H395" i="2"/>
  <c r="W395" i="2"/>
  <c r="O395" i="2"/>
  <c r="G395" i="2"/>
  <c r="V395" i="2"/>
  <c r="N395" i="2"/>
  <c r="F395" i="2"/>
  <c r="U395" i="2"/>
  <c r="M395" i="2"/>
  <c r="S395" i="2"/>
  <c r="K395" i="2"/>
  <c r="T395" i="2"/>
  <c r="R395" i="2"/>
  <c r="L395" i="2"/>
  <c r="J395" i="2"/>
  <c r="AH395" i="2" s="1"/>
  <c r="AA400" i="2"/>
  <c r="Z400" i="2"/>
  <c r="Y400" i="2"/>
  <c r="X400" i="2"/>
  <c r="AC400" i="2"/>
  <c r="E400" i="2"/>
  <c r="AB400" i="2"/>
  <c r="AK392" i="1"/>
  <c r="AC415" i="2"/>
  <c r="E415" i="2"/>
  <c r="AB415" i="2"/>
  <c r="AA415" i="2"/>
  <c r="Z415" i="2"/>
  <c r="X415" i="2"/>
  <c r="Y415" i="2"/>
  <c r="AK407" i="1"/>
  <c r="X425" i="2"/>
  <c r="AC425" i="2"/>
  <c r="E425" i="2"/>
  <c r="AB425" i="2"/>
  <c r="Z425" i="2"/>
  <c r="Y425" i="2"/>
  <c r="AA425" i="2"/>
  <c r="R427" i="2"/>
  <c r="J427" i="2"/>
  <c r="AH427" i="2" s="1"/>
  <c r="Q427" i="2"/>
  <c r="I427" i="2"/>
  <c r="P427" i="2"/>
  <c r="H427" i="2"/>
  <c r="W427" i="2"/>
  <c r="O427" i="2"/>
  <c r="G427" i="2"/>
  <c r="V427" i="2"/>
  <c r="N427" i="2"/>
  <c r="F427" i="2"/>
  <c r="T427" i="2"/>
  <c r="L427" i="2"/>
  <c r="S427" i="2"/>
  <c r="K427" i="2"/>
  <c r="U427" i="2"/>
  <c r="M427" i="2"/>
  <c r="AA432" i="2"/>
  <c r="Z432" i="2"/>
  <c r="Y432" i="2"/>
  <c r="X432" i="2"/>
  <c r="AC432" i="2"/>
  <c r="E432" i="2"/>
  <c r="AB432" i="2"/>
  <c r="AK424" i="1"/>
  <c r="AC447" i="2"/>
  <c r="E447" i="2"/>
  <c r="AB447" i="2"/>
  <c r="AA447" i="2"/>
  <c r="Z447" i="2"/>
  <c r="Y447" i="2"/>
  <c r="X447" i="2"/>
  <c r="AK439" i="1"/>
  <c r="X457" i="2"/>
  <c r="AC457" i="2"/>
  <c r="E457" i="2"/>
  <c r="AB457" i="2"/>
  <c r="AA457" i="2"/>
  <c r="Z457" i="2"/>
  <c r="Y457" i="2"/>
  <c r="R459" i="2"/>
  <c r="J459" i="2"/>
  <c r="AH459" i="2" s="1"/>
  <c r="Q459" i="2"/>
  <c r="I459" i="2"/>
  <c r="P459" i="2"/>
  <c r="H459" i="2"/>
  <c r="W459" i="2"/>
  <c r="O459" i="2"/>
  <c r="G459" i="2"/>
  <c r="V459" i="2"/>
  <c r="N459" i="2"/>
  <c r="F459" i="2"/>
  <c r="U459" i="2"/>
  <c r="M459" i="2"/>
  <c r="T459" i="2"/>
  <c r="L459" i="2"/>
  <c r="S459" i="2"/>
  <c r="K459" i="2"/>
  <c r="AA464" i="2"/>
  <c r="Z464" i="2"/>
  <c r="Y464" i="2"/>
  <c r="X464" i="2"/>
  <c r="AC464" i="2"/>
  <c r="E464" i="2"/>
  <c r="AB464" i="2"/>
  <c r="AK456" i="1"/>
  <c r="Y479" i="2"/>
  <c r="X479" i="2"/>
  <c r="AC479" i="2"/>
  <c r="E479" i="2"/>
  <c r="AA479" i="2"/>
  <c r="Z479" i="2"/>
  <c r="AB479" i="2"/>
  <c r="AK471" i="1"/>
  <c r="AA489" i="2"/>
  <c r="Z489" i="2"/>
  <c r="Y489" i="2"/>
  <c r="X489" i="2"/>
  <c r="AC489" i="2"/>
  <c r="E489" i="2"/>
  <c r="AB489" i="2"/>
  <c r="U491" i="2"/>
  <c r="M491" i="2"/>
  <c r="T491" i="2"/>
  <c r="L491" i="2"/>
  <c r="S491" i="2"/>
  <c r="K491" i="2"/>
  <c r="R491" i="2"/>
  <c r="J491" i="2"/>
  <c r="AH491" i="2" s="1"/>
  <c r="Q491" i="2"/>
  <c r="I491" i="2"/>
  <c r="W491" i="2"/>
  <c r="O491" i="2"/>
  <c r="G491" i="2"/>
  <c r="V491" i="2"/>
  <c r="N491" i="2"/>
  <c r="F491" i="2"/>
  <c r="H491" i="2"/>
  <c r="P491" i="2"/>
  <c r="AC496" i="2"/>
  <c r="E496" i="2"/>
  <c r="AB496" i="2"/>
  <c r="AA496" i="2"/>
  <c r="Z496" i="2"/>
  <c r="X496" i="2"/>
  <c r="Y496" i="2"/>
  <c r="AK488" i="1"/>
  <c r="AC511" i="2"/>
  <c r="E511" i="2"/>
  <c r="AB511" i="2"/>
  <c r="AA511" i="2"/>
  <c r="Y511" i="2"/>
  <c r="X511" i="2"/>
  <c r="Z511" i="2"/>
  <c r="AK503" i="1"/>
  <c r="Y521" i="2"/>
  <c r="X521" i="2"/>
  <c r="AC521" i="2"/>
  <c r="E521" i="2"/>
  <c r="AA521" i="2"/>
  <c r="Z521" i="2"/>
  <c r="AB521" i="2"/>
  <c r="S523" i="2"/>
  <c r="K523" i="2"/>
  <c r="R523" i="2"/>
  <c r="J523" i="2"/>
  <c r="AH523" i="2" s="1"/>
  <c r="Q523" i="2"/>
  <c r="I523" i="2"/>
  <c r="P523" i="2"/>
  <c r="H523" i="2"/>
  <c r="W523" i="2"/>
  <c r="O523" i="2"/>
  <c r="G523" i="2"/>
  <c r="U523" i="2"/>
  <c r="M523" i="2"/>
  <c r="T523" i="2"/>
  <c r="L523" i="2"/>
  <c r="F523" i="2"/>
  <c r="V523" i="2"/>
  <c r="N523" i="2"/>
  <c r="AB528" i="2"/>
  <c r="AA528" i="2"/>
  <c r="Z528" i="2"/>
  <c r="Y528" i="2"/>
  <c r="X528" i="2"/>
  <c r="AC528" i="2"/>
  <c r="E528" i="2"/>
  <c r="AK520" i="1"/>
  <c r="AC543" i="2"/>
  <c r="E543" i="2"/>
  <c r="AB543" i="2"/>
  <c r="AA543" i="2"/>
  <c r="Y543" i="2"/>
  <c r="X543" i="2"/>
  <c r="Z543" i="2"/>
  <c r="AK535" i="1"/>
  <c r="Y553" i="2"/>
  <c r="X553" i="2"/>
  <c r="AA553" i="2"/>
  <c r="Z553" i="2"/>
  <c r="E553" i="2"/>
  <c r="AB553" i="2"/>
  <c r="AC553" i="2"/>
  <c r="S555" i="2"/>
  <c r="K555" i="2"/>
  <c r="R555" i="2"/>
  <c r="J555" i="2"/>
  <c r="AH555" i="2" s="1"/>
  <c r="Q555" i="2"/>
  <c r="I555" i="2"/>
  <c r="P555" i="2"/>
  <c r="H555" i="2"/>
  <c r="W555" i="2"/>
  <c r="O555" i="2"/>
  <c r="G555" i="2"/>
  <c r="U555" i="2"/>
  <c r="M555" i="2"/>
  <c r="T555" i="2"/>
  <c r="L555" i="2"/>
  <c r="V555" i="2"/>
  <c r="N555" i="2"/>
  <c r="F555" i="2"/>
  <c r="AB560" i="2"/>
  <c r="AA560" i="2"/>
  <c r="Z560" i="2"/>
  <c r="Y560" i="2"/>
  <c r="X560" i="2"/>
  <c r="AC560" i="2"/>
  <c r="E560" i="2"/>
  <c r="AK552" i="1"/>
  <c r="U565" i="2"/>
  <c r="M565" i="2"/>
  <c r="T565" i="2"/>
  <c r="L565" i="2"/>
  <c r="S565" i="2"/>
  <c r="K565" i="2"/>
  <c r="R565" i="2"/>
  <c r="J565" i="2"/>
  <c r="AH565" i="2" s="1"/>
  <c r="Q565" i="2"/>
  <c r="I565" i="2"/>
  <c r="W565" i="2"/>
  <c r="O565" i="2"/>
  <c r="G565" i="2"/>
  <c r="V565" i="2"/>
  <c r="N565" i="2"/>
  <c r="F565" i="2"/>
  <c r="P565" i="2"/>
  <c r="H565" i="2"/>
  <c r="AK554" i="1"/>
  <c r="W567" i="2"/>
  <c r="O567" i="2"/>
  <c r="G567" i="2"/>
  <c r="V567" i="2"/>
  <c r="N567" i="2"/>
  <c r="F567" i="2"/>
  <c r="U567" i="2"/>
  <c r="M567" i="2"/>
  <c r="T567" i="2"/>
  <c r="L567" i="2"/>
  <c r="S567" i="2"/>
  <c r="K567" i="2"/>
  <c r="Q567" i="2"/>
  <c r="I567" i="2"/>
  <c r="P567" i="2"/>
  <c r="H567" i="2"/>
  <c r="R567" i="2"/>
  <c r="J567" i="2"/>
  <c r="AH567" i="2" s="1"/>
  <c r="AC570" i="2"/>
  <c r="E570" i="2"/>
  <c r="AB570" i="2"/>
  <c r="AA570" i="2"/>
  <c r="Z570" i="2"/>
  <c r="X570" i="2"/>
  <c r="Y570" i="2"/>
  <c r="R574" i="2"/>
  <c r="J574" i="2"/>
  <c r="AH574" i="2" s="1"/>
  <c r="Q574" i="2"/>
  <c r="I574" i="2"/>
  <c r="P574" i="2"/>
  <c r="H574" i="2"/>
  <c r="W574" i="2"/>
  <c r="O574" i="2"/>
  <c r="G574" i="2"/>
  <c r="V574" i="2"/>
  <c r="N574" i="2"/>
  <c r="F574" i="2"/>
  <c r="T574" i="2"/>
  <c r="L574" i="2"/>
  <c r="S574" i="2"/>
  <c r="K574" i="2"/>
  <c r="M574" i="2"/>
  <c r="U574" i="2"/>
  <c r="AK563" i="1"/>
  <c r="AK568" i="1"/>
  <c r="U581" i="2"/>
  <c r="M581" i="2"/>
  <c r="O581" i="2"/>
  <c r="F581" i="2"/>
  <c r="W581" i="2"/>
  <c r="N581" i="2"/>
  <c r="V581" i="2"/>
  <c r="L581" i="2"/>
  <c r="T581" i="2"/>
  <c r="K581" i="2"/>
  <c r="S581" i="2"/>
  <c r="J581" i="2"/>
  <c r="AH581" i="2" s="1"/>
  <c r="Q581" i="2"/>
  <c r="H581" i="2"/>
  <c r="P581" i="2"/>
  <c r="G581" i="2"/>
  <c r="R581" i="2"/>
  <c r="I581" i="2"/>
  <c r="AK570" i="1"/>
  <c r="P583" i="2"/>
  <c r="H583" i="2"/>
  <c r="W583" i="2"/>
  <c r="O583" i="2"/>
  <c r="G583" i="2"/>
  <c r="T583" i="2"/>
  <c r="J583" i="2"/>
  <c r="AH583" i="2" s="1"/>
  <c r="S583" i="2"/>
  <c r="I583" i="2"/>
  <c r="R583" i="2"/>
  <c r="F583" i="2"/>
  <c r="Q583" i="2"/>
  <c r="N583" i="2"/>
  <c r="V583" i="2"/>
  <c r="L583" i="2"/>
  <c r="U583" i="2"/>
  <c r="K583" i="2"/>
  <c r="M583" i="2"/>
  <c r="AA586" i="2"/>
  <c r="E586" i="2"/>
  <c r="Z586" i="2"/>
  <c r="Y586" i="2"/>
  <c r="X586" i="2"/>
  <c r="AC586" i="2"/>
  <c r="AB586" i="2"/>
  <c r="AE588" i="2"/>
  <c r="S590" i="2"/>
  <c r="K590" i="2"/>
  <c r="R590" i="2"/>
  <c r="J590" i="2"/>
  <c r="AH590" i="2" s="1"/>
  <c r="Q590" i="2"/>
  <c r="I590" i="2"/>
  <c r="P590" i="2"/>
  <c r="H590" i="2"/>
  <c r="W590" i="2"/>
  <c r="O590" i="2"/>
  <c r="G590" i="2"/>
  <c r="U590" i="2"/>
  <c r="M590" i="2"/>
  <c r="T590" i="2"/>
  <c r="L590" i="2"/>
  <c r="V590" i="2"/>
  <c r="F590" i="2"/>
  <c r="N590" i="2"/>
  <c r="AK579" i="1"/>
  <c r="AK584" i="1"/>
  <c r="V597" i="2"/>
  <c r="N597" i="2"/>
  <c r="F597" i="2"/>
  <c r="U597" i="2"/>
  <c r="M597" i="2"/>
  <c r="T597" i="2"/>
  <c r="L597" i="2"/>
  <c r="S597" i="2"/>
  <c r="K597" i="2"/>
  <c r="R597" i="2"/>
  <c r="J597" i="2"/>
  <c r="AH597" i="2" s="1"/>
  <c r="P597" i="2"/>
  <c r="H597" i="2"/>
  <c r="W597" i="2"/>
  <c r="O597" i="2"/>
  <c r="G597" i="2"/>
  <c r="Q597" i="2"/>
  <c r="I597" i="2"/>
  <c r="AK586" i="1"/>
  <c r="P599" i="2"/>
  <c r="H599" i="2"/>
  <c r="W599" i="2"/>
  <c r="O599" i="2"/>
  <c r="G599" i="2"/>
  <c r="V599" i="2"/>
  <c r="N599" i="2"/>
  <c r="F599" i="2"/>
  <c r="U599" i="2"/>
  <c r="M599" i="2"/>
  <c r="T599" i="2"/>
  <c r="L599" i="2"/>
  <c r="R599" i="2"/>
  <c r="J599" i="2"/>
  <c r="AH599" i="2" s="1"/>
  <c r="Q599" i="2"/>
  <c r="I599" i="2"/>
  <c r="S599" i="2"/>
  <c r="K599" i="2"/>
  <c r="AC602" i="2"/>
  <c r="E602" i="2"/>
  <c r="AB602" i="2"/>
  <c r="AA602" i="2"/>
  <c r="Y602" i="2"/>
  <c r="X602" i="2"/>
  <c r="Z602" i="2"/>
  <c r="AE604" i="2"/>
  <c r="S606" i="2"/>
  <c r="K606" i="2"/>
  <c r="R606" i="2"/>
  <c r="J606" i="2"/>
  <c r="AH606" i="2" s="1"/>
  <c r="Q606" i="2"/>
  <c r="I606" i="2"/>
  <c r="P606" i="2"/>
  <c r="H606" i="2"/>
  <c r="W606" i="2"/>
  <c r="O606" i="2"/>
  <c r="G606" i="2"/>
  <c r="U606" i="2"/>
  <c r="M606" i="2"/>
  <c r="T606" i="2"/>
  <c r="L606" i="2"/>
  <c r="V606" i="2"/>
  <c r="N606" i="2"/>
  <c r="F606" i="2"/>
  <c r="AK595" i="1"/>
  <c r="AK600" i="1"/>
  <c r="T613" i="2"/>
  <c r="L613" i="2"/>
  <c r="S613" i="2"/>
  <c r="K613" i="2"/>
  <c r="R613" i="2"/>
  <c r="J613" i="2"/>
  <c r="AH613" i="2" s="1"/>
  <c r="Q613" i="2"/>
  <c r="I613" i="2"/>
  <c r="P613" i="2"/>
  <c r="H613" i="2"/>
  <c r="W613" i="2"/>
  <c r="O613" i="2"/>
  <c r="G613" i="2"/>
  <c r="V613" i="2"/>
  <c r="N613" i="2"/>
  <c r="F613" i="2"/>
  <c r="U613" i="2"/>
  <c r="M613" i="2"/>
  <c r="AK602" i="1"/>
  <c r="V615" i="2"/>
  <c r="N615" i="2"/>
  <c r="F615" i="2"/>
  <c r="U615" i="2"/>
  <c r="M615" i="2"/>
  <c r="T615" i="2"/>
  <c r="L615" i="2"/>
  <c r="S615" i="2"/>
  <c r="K615" i="2"/>
  <c r="R615" i="2"/>
  <c r="J615" i="2"/>
  <c r="AH615" i="2" s="1"/>
  <c r="Q615" i="2"/>
  <c r="I615" i="2"/>
  <c r="P615" i="2"/>
  <c r="H615" i="2"/>
  <c r="W615" i="2"/>
  <c r="G615" i="2"/>
  <c r="O615" i="2"/>
  <c r="AC618" i="2"/>
  <c r="E618" i="2"/>
  <c r="AB618" i="2"/>
  <c r="AA618" i="2"/>
  <c r="Z618" i="2"/>
  <c r="Y618" i="2"/>
  <c r="X618" i="2"/>
  <c r="AE620" i="2"/>
  <c r="Q622" i="2"/>
  <c r="I622" i="2"/>
  <c r="P622" i="2"/>
  <c r="H622" i="2"/>
  <c r="W622" i="2"/>
  <c r="O622" i="2"/>
  <c r="G622" i="2"/>
  <c r="V622" i="2"/>
  <c r="N622" i="2"/>
  <c r="F622" i="2"/>
  <c r="U622" i="2"/>
  <c r="M622" i="2"/>
  <c r="T622" i="2"/>
  <c r="L622" i="2"/>
  <c r="S622" i="2"/>
  <c r="K622" i="2"/>
  <c r="J622" i="2"/>
  <c r="R622" i="2"/>
  <c r="AK611" i="1"/>
  <c r="AK616" i="1"/>
  <c r="V629" i="2"/>
  <c r="N629" i="2"/>
  <c r="F629" i="2"/>
  <c r="S629" i="2"/>
  <c r="K629" i="2"/>
  <c r="R629" i="2"/>
  <c r="J629" i="2"/>
  <c r="AH629" i="2" s="1"/>
  <c r="U629" i="2"/>
  <c r="H629" i="2"/>
  <c r="T629" i="2"/>
  <c r="G629" i="2"/>
  <c r="Q629" i="2"/>
  <c r="P629" i="2"/>
  <c r="O629" i="2"/>
  <c r="M629" i="2"/>
  <c r="L629" i="2"/>
  <c r="W629" i="2"/>
  <c r="I629" i="2"/>
  <c r="AK618" i="1"/>
  <c r="P631" i="2"/>
  <c r="H631" i="2"/>
  <c r="W631" i="2"/>
  <c r="O631" i="2"/>
  <c r="G631" i="2"/>
  <c r="V631" i="2"/>
  <c r="N631" i="2"/>
  <c r="F631" i="2"/>
  <c r="U631" i="2"/>
  <c r="M631" i="2"/>
  <c r="T631" i="2"/>
  <c r="L631" i="2"/>
  <c r="S631" i="2"/>
  <c r="K631" i="2"/>
  <c r="I631" i="2"/>
  <c r="R631" i="2"/>
  <c r="Q631" i="2"/>
  <c r="J631" i="2"/>
  <c r="AH631" i="2" s="1"/>
  <c r="AC634" i="2"/>
  <c r="E634" i="2"/>
  <c r="AB634" i="2"/>
  <c r="AA634" i="2"/>
  <c r="Z634" i="2"/>
  <c r="Y634" i="2"/>
  <c r="X634" i="2"/>
  <c r="AE636" i="2"/>
  <c r="T638" i="2"/>
  <c r="L638" i="2"/>
  <c r="S638" i="2"/>
  <c r="K638" i="2"/>
  <c r="R638" i="2"/>
  <c r="J638" i="2"/>
  <c r="AH638" i="2" s="1"/>
  <c r="Q638" i="2"/>
  <c r="I638" i="2"/>
  <c r="P638" i="2"/>
  <c r="H638" i="2"/>
  <c r="W638" i="2"/>
  <c r="O638" i="2"/>
  <c r="G638" i="2"/>
  <c r="V638" i="2"/>
  <c r="N638" i="2"/>
  <c r="F638" i="2"/>
  <c r="U638" i="2"/>
  <c r="M638" i="2"/>
  <c r="AK627" i="1"/>
  <c r="AK632" i="1"/>
  <c r="R645" i="2"/>
  <c r="J645" i="2"/>
  <c r="AH645" i="2" s="1"/>
  <c r="Q645" i="2"/>
  <c r="I645" i="2"/>
  <c r="V645" i="2"/>
  <c r="N645" i="2"/>
  <c r="F645" i="2"/>
  <c r="U645" i="2"/>
  <c r="M645" i="2"/>
  <c r="P645" i="2"/>
  <c r="O645" i="2"/>
  <c r="L645" i="2"/>
  <c r="K645" i="2"/>
  <c r="H645" i="2"/>
  <c r="W645" i="2"/>
  <c r="G645" i="2"/>
  <c r="T645" i="2"/>
  <c r="S645" i="2"/>
  <c r="AK634" i="1"/>
  <c r="T647" i="2"/>
  <c r="L647" i="2"/>
  <c r="S647" i="2"/>
  <c r="K647" i="2"/>
  <c r="P647" i="2"/>
  <c r="H647" i="2"/>
  <c r="W647" i="2"/>
  <c r="O647" i="2"/>
  <c r="G647" i="2"/>
  <c r="R647" i="2"/>
  <c r="Q647" i="2"/>
  <c r="N647" i="2"/>
  <c r="M647" i="2"/>
  <c r="J647" i="2"/>
  <c r="AH647" i="2" s="1"/>
  <c r="I647" i="2"/>
  <c r="V647" i="2"/>
  <c r="F647" i="2"/>
  <c r="U647" i="2"/>
  <c r="AA650" i="2"/>
  <c r="Z650" i="2"/>
  <c r="Y650" i="2"/>
  <c r="AC650" i="2"/>
  <c r="AB650" i="2"/>
  <c r="E650" i="2"/>
  <c r="X650" i="2"/>
  <c r="W654" i="2"/>
  <c r="O654" i="2"/>
  <c r="G654" i="2"/>
  <c r="V654" i="2"/>
  <c r="N654" i="2"/>
  <c r="F654" i="2"/>
  <c r="U654" i="2"/>
  <c r="M654" i="2"/>
  <c r="S654" i="2"/>
  <c r="K654" i="2"/>
  <c r="R654" i="2"/>
  <c r="J654" i="2"/>
  <c r="AH654" i="2" s="1"/>
  <c r="I654" i="2"/>
  <c r="H654" i="2"/>
  <c r="T654" i="2"/>
  <c r="Q654" i="2"/>
  <c r="P654" i="2"/>
  <c r="L654" i="2"/>
  <c r="AK643" i="1"/>
  <c r="AK648" i="1"/>
  <c r="T661" i="2"/>
  <c r="L661" i="2"/>
  <c r="R661" i="2"/>
  <c r="J661" i="2"/>
  <c r="AH661" i="2" s="1"/>
  <c r="W661" i="2"/>
  <c r="M661" i="2"/>
  <c r="V661" i="2"/>
  <c r="K661" i="2"/>
  <c r="U661" i="2"/>
  <c r="I661" i="2"/>
  <c r="S661" i="2"/>
  <c r="H661" i="2"/>
  <c r="Q661" i="2"/>
  <c r="G661" i="2"/>
  <c r="P661" i="2"/>
  <c r="F661" i="2"/>
  <c r="O661" i="2"/>
  <c r="N661" i="2"/>
  <c r="AK650" i="1"/>
  <c r="S663" i="2"/>
  <c r="K663" i="2"/>
  <c r="R663" i="2"/>
  <c r="I663" i="2"/>
  <c r="P663" i="2"/>
  <c r="G663" i="2"/>
  <c r="T663" i="2"/>
  <c r="F663" i="2"/>
  <c r="Q663" i="2"/>
  <c r="O663" i="2"/>
  <c r="N663" i="2"/>
  <c r="M663" i="2"/>
  <c r="W663" i="2"/>
  <c r="L663" i="2"/>
  <c r="V663" i="2"/>
  <c r="U663" i="2"/>
  <c r="J663" i="2"/>
  <c r="AH663" i="2" s="1"/>
  <c r="H663" i="2"/>
  <c r="AB666" i="2"/>
  <c r="Z666" i="2"/>
  <c r="AC666" i="2"/>
  <c r="AA666" i="2"/>
  <c r="Y666" i="2"/>
  <c r="X666" i="2"/>
  <c r="E666" i="2"/>
  <c r="P670" i="2"/>
  <c r="H670" i="2"/>
  <c r="V670" i="2"/>
  <c r="N670" i="2"/>
  <c r="F670" i="2"/>
  <c r="Q670" i="2"/>
  <c r="M670" i="2"/>
  <c r="T670" i="2"/>
  <c r="G670" i="2"/>
  <c r="S670" i="2"/>
  <c r="R670" i="2"/>
  <c r="O670" i="2"/>
  <c r="L670" i="2"/>
  <c r="K670" i="2"/>
  <c r="I670" i="2"/>
  <c r="W670" i="2"/>
  <c r="U670" i="2"/>
  <c r="J670" i="2"/>
  <c r="AH670" i="2" s="1"/>
  <c r="AK659" i="1"/>
  <c r="AK664" i="1"/>
  <c r="S677" i="2"/>
  <c r="K677" i="2"/>
  <c r="Q677" i="2"/>
  <c r="I677" i="2"/>
  <c r="N677" i="2"/>
  <c r="V677" i="2"/>
  <c r="L677" i="2"/>
  <c r="O677" i="2"/>
  <c r="M677" i="2"/>
  <c r="J677" i="2"/>
  <c r="AH677" i="2" s="1"/>
  <c r="W677" i="2"/>
  <c r="H677" i="2"/>
  <c r="U677" i="2"/>
  <c r="G677" i="2"/>
  <c r="T677" i="2"/>
  <c r="F677" i="2"/>
  <c r="R677" i="2"/>
  <c r="P677" i="2"/>
  <c r="AK666" i="1"/>
  <c r="S679" i="2"/>
  <c r="K679" i="2"/>
  <c r="W679" i="2"/>
  <c r="N679" i="2"/>
  <c r="U679" i="2"/>
  <c r="L679" i="2"/>
  <c r="Q679" i="2"/>
  <c r="F679" i="2"/>
  <c r="O679" i="2"/>
  <c r="V679" i="2"/>
  <c r="G679" i="2"/>
  <c r="T679" i="2"/>
  <c r="R679" i="2"/>
  <c r="P679" i="2"/>
  <c r="M679" i="2"/>
  <c r="J679" i="2"/>
  <c r="AH679" i="2" s="1"/>
  <c r="H679" i="2"/>
  <c r="I679" i="2"/>
  <c r="I20" i="2"/>
  <c r="L23" i="2"/>
  <c r="AC24" i="2"/>
  <c r="F25" i="2"/>
  <c r="M28" i="2"/>
  <c r="P33" i="2"/>
  <c r="J68" i="2"/>
  <c r="AH68" i="2" s="1"/>
  <c r="AB16" i="2"/>
  <c r="AA16" i="2"/>
  <c r="Z16" i="2"/>
  <c r="I671" i="1"/>
  <c r="X16" i="2"/>
  <c r="U71" i="2"/>
  <c r="M71" i="2"/>
  <c r="T71" i="2"/>
  <c r="L71" i="2"/>
  <c r="S71" i="2"/>
  <c r="K71" i="2"/>
  <c r="R71" i="2"/>
  <c r="J71" i="2"/>
  <c r="AH71" i="2" s="1"/>
  <c r="W71" i="2"/>
  <c r="O71" i="2"/>
  <c r="G71" i="2"/>
  <c r="F71" i="2"/>
  <c r="V71" i="2"/>
  <c r="Q71" i="2"/>
  <c r="P71" i="2"/>
  <c r="N71" i="2"/>
  <c r="I71" i="2"/>
  <c r="U79" i="2"/>
  <c r="M79" i="2"/>
  <c r="T79" i="2"/>
  <c r="L79" i="2"/>
  <c r="S79" i="2"/>
  <c r="K79" i="2"/>
  <c r="R79" i="2"/>
  <c r="J79" i="2"/>
  <c r="AH79" i="2" s="1"/>
  <c r="Q79" i="2"/>
  <c r="I79" i="2"/>
  <c r="W79" i="2"/>
  <c r="O79" i="2"/>
  <c r="G79" i="2"/>
  <c r="V79" i="2"/>
  <c r="P79" i="2"/>
  <c r="N79" i="2"/>
  <c r="H79" i="2"/>
  <c r="F79" i="2"/>
  <c r="Z96" i="2"/>
  <c r="Y96" i="2"/>
  <c r="X96" i="2"/>
  <c r="AB96" i="2"/>
  <c r="AA96" i="2"/>
  <c r="E96" i="2"/>
  <c r="AC96" i="2"/>
  <c r="AC136" i="2"/>
  <c r="Z136" i="2"/>
  <c r="Y136" i="2"/>
  <c r="E136" i="2"/>
  <c r="AB136" i="2"/>
  <c r="AA136" i="2"/>
  <c r="X136" i="2"/>
  <c r="AC166" i="2"/>
  <c r="E166" i="2"/>
  <c r="AB166" i="2"/>
  <c r="AA166" i="2"/>
  <c r="X166" i="2"/>
  <c r="Z166" i="2"/>
  <c r="Y166" i="2"/>
  <c r="X203" i="2"/>
  <c r="AC203" i="2"/>
  <c r="E203" i="2"/>
  <c r="AB203" i="2"/>
  <c r="Z203" i="2"/>
  <c r="AA203" i="2"/>
  <c r="Y203" i="2"/>
  <c r="S270" i="2"/>
  <c r="K270" i="2"/>
  <c r="R270" i="2"/>
  <c r="J270" i="2"/>
  <c r="AH270" i="2" s="1"/>
  <c r="Q270" i="2"/>
  <c r="I270" i="2"/>
  <c r="P270" i="2"/>
  <c r="H270" i="2"/>
  <c r="W270" i="2"/>
  <c r="O270" i="2"/>
  <c r="G270" i="2"/>
  <c r="U270" i="2"/>
  <c r="M270" i="2"/>
  <c r="L270" i="2"/>
  <c r="F270" i="2"/>
  <c r="V270" i="2"/>
  <c r="T270" i="2"/>
  <c r="N270" i="2"/>
  <c r="AK259" i="1"/>
  <c r="P287" i="2"/>
  <c r="H287" i="2"/>
  <c r="W287" i="2"/>
  <c r="O287" i="2"/>
  <c r="G287" i="2"/>
  <c r="V287" i="2"/>
  <c r="N287" i="2"/>
  <c r="F287" i="2"/>
  <c r="U287" i="2"/>
  <c r="M287" i="2"/>
  <c r="T287" i="2"/>
  <c r="L287" i="2"/>
  <c r="R287" i="2"/>
  <c r="J287" i="2"/>
  <c r="AH287" i="2" s="1"/>
  <c r="S287" i="2"/>
  <c r="Q287" i="2"/>
  <c r="K287" i="2"/>
  <c r="I287" i="2"/>
  <c r="Y324" i="2"/>
  <c r="X324" i="2"/>
  <c r="AC324" i="2"/>
  <c r="E324" i="2"/>
  <c r="AA324" i="2"/>
  <c r="Z324" i="2"/>
  <c r="AB324" i="2"/>
  <c r="S381" i="2"/>
  <c r="K381" i="2"/>
  <c r="R381" i="2"/>
  <c r="J381" i="2"/>
  <c r="AH381" i="2" s="1"/>
  <c r="Q381" i="2"/>
  <c r="I381" i="2"/>
  <c r="P381" i="2"/>
  <c r="H381" i="2"/>
  <c r="W381" i="2"/>
  <c r="O381" i="2"/>
  <c r="G381" i="2"/>
  <c r="U381" i="2"/>
  <c r="M381" i="2"/>
  <c r="V381" i="2"/>
  <c r="T381" i="2"/>
  <c r="N381" i="2"/>
  <c r="F381" i="2"/>
  <c r="L381" i="2"/>
  <c r="AK370" i="1"/>
  <c r="P425" i="2"/>
  <c r="H425" i="2"/>
  <c r="W425" i="2"/>
  <c r="O425" i="2"/>
  <c r="G425" i="2"/>
  <c r="V425" i="2"/>
  <c r="N425" i="2"/>
  <c r="F425" i="2"/>
  <c r="U425" i="2"/>
  <c r="M425" i="2"/>
  <c r="T425" i="2"/>
  <c r="L425" i="2"/>
  <c r="R425" i="2"/>
  <c r="J425" i="2"/>
  <c r="AH425" i="2" s="1"/>
  <c r="Q425" i="2"/>
  <c r="I425" i="2"/>
  <c r="S425" i="2"/>
  <c r="K425" i="2"/>
  <c r="AK414" i="1"/>
  <c r="AC450" i="2"/>
  <c r="E450" i="2"/>
  <c r="AB450" i="2"/>
  <c r="AA450" i="2"/>
  <c r="Z450" i="2"/>
  <c r="Y450" i="2"/>
  <c r="X450" i="2"/>
  <c r="Q479" i="2"/>
  <c r="I479" i="2"/>
  <c r="P479" i="2"/>
  <c r="H479" i="2"/>
  <c r="W479" i="2"/>
  <c r="O479" i="2"/>
  <c r="G479" i="2"/>
  <c r="V479" i="2"/>
  <c r="N479" i="2"/>
  <c r="F479" i="2"/>
  <c r="U479" i="2"/>
  <c r="M479" i="2"/>
  <c r="S479" i="2"/>
  <c r="K479" i="2"/>
  <c r="R479" i="2"/>
  <c r="J479" i="2"/>
  <c r="AH479" i="2" s="1"/>
  <c r="T479" i="2"/>
  <c r="L479" i="2"/>
  <c r="P506" i="2"/>
  <c r="H506" i="2"/>
  <c r="W506" i="2"/>
  <c r="O506" i="2"/>
  <c r="G506" i="2"/>
  <c r="V506" i="2"/>
  <c r="N506" i="2"/>
  <c r="F506" i="2"/>
  <c r="U506" i="2"/>
  <c r="M506" i="2"/>
  <c r="T506" i="2"/>
  <c r="L506" i="2"/>
  <c r="R506" i="2"/>
  <c r="J506" i="2"/>
  <c r="AH506" i="2" s="1"/>
  <c r="Q506" i="2"/>
  <c r="I506" i="2"/>
  <c r="S506" i="2"/>
  <c r="K506" i="2"/>
  <c r="AE519" i="2"/>
  <c r="AA531" i="2"/>
  <c r="Z531" i="2"/>
  <c r="Y531" i="2"/>
  <c r="X531" i="2"/>
  <c r="AC531" i="2"/>
  <c r="E531" i="2"/>
  <c r="AB531" i="2"/>
  <c r="AC546" i="2"/>
  <c r="X546" i="2"/>
  <c r="E546" i="2"/>
  <c r="AB546" i="2"/>
  <c r="Z546" i="2"/>
  <c r="Y546" i="2"/>
  <c r="AA546" i="2"/>
  <c r="Q553" i="2"/>
  <c r="I553" i="2"/>
  <c r="P553" i="2"/>
  <c r="H553" i="2"/>
  <c r="W553" i="2"/>
  <c r="O553" i="2"/>
  <c r="G553" i="2"/>
  <c r="V553" i="2"/>
  <c r="N553" i="2"/>
  <c r="F553" i="2"/>
  <c r="S553" i="2"/>
  <c r="K553" i="2"/>
  <c r="R553" i="2"/>
  <c r="J553" i="2"/>
  <c r="AH553" i="2" s="1"/>
  <c r="T553" i="2"/>
  <c r="M553" i="2"/>
  <c r="L553" i="2"/>
  <c r="U553" i="2"/>
  <c r="AK542" i="1"/>
  <c r="AC620" i="2"/>
  <c r="E620" i="2"/>
  <c r="AB620" i="2"/>
  <c r="AA620" i="2"/>
  <c r="Z620" i="2"/>
  <c r="Y620" i="2"/>
  <c r="X620" i="2"/>
  <c r="Y24" i="2"/>
  <c r="P47" i="2"/>
  <c r="AF16" i="2"/>
  <c r="AL671" i="1"/>
  <c r="AK12" i="1"/>
  <c r="AK20" i="1"/>
  <c r="AK28" i="1"/>
  <c r="AK36" i="1"/>
  <c r="AK44" i="1"/>
  <c r="AK52" i="1"/>
  <c r="AK60" i="1"/>
  <c r="AK68" i="1"/>
  <c r="AK76" i="1"/>
  <c r="AK92" i="1"/>
  <c r="AK100" i="1"/>
  <c r="AK124" i="1"/>
  <c r="R154" i="2"/>
  <c r="J154" i="2"/>
  <c r="AH154" i="2" s="1"/>
  <c r="Q154" i="2"/>
  <c r="I154" i="2"/>
  <c r="P154" i="2"/>
  <c r="H154" i="2"/>
  <c r="W154" i="2"/>
  <c r="O154" i="2"/>
  <c r="G154" i="2"/>
  <c r="T154" i="2"/>
  <c r="L154" i="2"/>
  <c r="S154" i="2"/>
  <c r="K154" i="2"/>
  <c r="V154" i="2"/>
  <c r="U154" i="2"/>
  <c r="M154" i="2"/>
  <c r="N154" i="2"/>
  <c r="F154" i="2"/>
  <c r="P160" i="2"/>
  <c r="H160" i="2"/>
  <c r="W160" i="2"/>
  <c r="O160" i="2"/>
  <c r="G160" i="2"/>
  <c r="V160" i="2"/>
  <c r="N160" i="2"/>
  <c r="F160" i="2"/>
  <c r="U160" i="2"/>
  <c r="M160" i="2"/>
  <c r="R160" i="2"/>
  <c r="J160" i="2"/>
  <c r="AH160" i="2" s="1"/>
  <c r="Q160" i="2"/>
  <c r="I160" i="2"/>
  <c r="S160" i="2"/>
  <c r="L160" i="2"/>
  <c r="K160" i="2"/>
  <c r="T160" i="2"/>
  <c r="AC161" i="2"/>
  <c r="E161" i="2"/>
  <c r="AB161" i="2"/>
  <c r="AA161" i="2"/>
  <c r="Z161" i="2"/>
  <c r="Y161" i="2"/>
  <c r="X161" i="2"/>
  <c r="Y165" i="2"/>
  <c r="X165" i="2"/>
  <c r="AA165" i="2"/>
  <c r="Z165" i="2"/>
  <c r="E165" i="2"/>
  <c r="AC165" i="2"/>
  <c r="AC169" i="2"/>
  <c r="E169" i="2"/>
  <c r="AB169" i="2"/>
  <c r="AA169" i="2"/>
  <c r="Z169" i="2"/>
  <c r="Y169" i="2"/>
  <c r="X169" i="2"/>
  <c r="Y173" i="2"/>
  <c r="X173" i="2"/>
  <c r="AA173" i="2"/>
  <c r="Z173" i="2"/>
  <c r="E173" i="2"/>
  <c r="AB173" i="2"/>
  <c r="AC173" i="2"/>
  <c r="AB177" i="2"/>
  <c r="X177" i="2"/>
  <c r="AA177" i="2"/>
  <c r="Z177" i="2"/>
  <c r="E177" i="2"/>
  <c r="Y177" i="2"/>
  <c r="AC177" i="2"/>
  <c r="Z181" i="2"/>
  <c r="Y181" i="2"/>
  <c r="X181" i="2"/>
  <c r="AB181" i="2"/>
  <c r="AA181" i="2"/>
  <c r="AC181" i="2"/>
  <c r="E181" i="2"/>
  <c r="AC185" i="2"/>
  <c r="E185" i="2"/>
  <c r="AB185" i="2"/>
  <c r="AA185" i="2"/>
  <c r="Z185" i="2"/>
  <c r="X185" i="2"/>
  <c r="Y185" i="2"/>
  <c r="Z189" i="2"/>
  <c r="Y189" i="2"/>
  <c r="X189" i="2"/>
  <c r="AB189" i="2"/>
  <c r="AC189" i="2"/>
  <c r="AA189" i="2"/>
  <c r="E189" i="2"/>
  <c r="AC193" i="2"/>
  <c r="E193" i="2"/>
  <c r="AB193" i="2"/>
  <c r="AA193" i="2"/>
  <c r="Z193" i="2"/>
  <c r="X193" i="2"/>
  <c r="Y193" i="2"/>
  <c r="U196" i="2"/>
  <c r="M196" i="2"/>
  <c r="T196" i="2"/>
  <c r="L196" i="2"/>
  <c r="S196" i="2"/>
  <c r="K196" i="2"/>
  <c r="R196" i="2"/>
  <c r="J196" i="2"/>
  <c r="AH196" i="2" s="1"/>
  <c r="Q196" i="2"/>
  <c r="I196" i="2"/>
  <c r="W196" i="2"/>
  <c r="O196" i="2"/>
  <c r="G196" i="2"/>
  <c r="V196" i="2"/>
  <c r="H196" i="2"/>
  <c r="F196" i="2"/>
  <c r="P196" i="2"/>
  <c r="N196" i="2"/>
  <c r="AK185" i="1"/>
  <c r="S202" i="2"/>
  <c r="K202" i="2"/>
  <c r="R202" i="2"/>
  <c r="J202" i="2"/>
  <c r="AH202" i="2" s="1"/>
  <c r="Q202" i="2"/>
  <c r="I202" i="2"/>
  <c r="P202" i="2"/>
  <c r="H202" i="2"/>
  <c r="W202" i="2"/>
  <c r="O202" i="2"/>
  <c r="G202" i="2"/>
  <c r="U202" i="2"/>
  <c r="M202" i="2"/>
  <c r="T202" i="2"/>
  <c r="N202" i="2"/>
  <c r="L202" i="2"/>
  <c r="F202" i="2"/>
  <c r="V202" i="2"/>
  <c r="AK195" i="1"/>
  <c r="AC209" i="2"/>
  <c r="E209" i="2"/>
  <c r="AB209" i="2"/>
  <c r="AA209" i="2"/>
  <c r="Z209" i="2"/>
  <c r="X209" i="2"/>
  <c r="Y209" i="2"/>
  <c r="P211" i="2"/>
  <c r="H211" i="2"/>
  <c r="W211" i="2"/>
  <c r="O211" i="2"/>
  <c r="G211" i="2"/>
  <c r="V211" i="2"/>
  <c r="N211" i="2"/>
  <c r="F211" i="2"/>
  <c r="U211" i="2"/>
  <c r="M211" i="2"/>
  <c r="T211" i="2"/>
  <c r="L211" i="2"/>
  <c r="R211" i="2"/>
  <c r="J211" i="2"/>
  <c r="AH211" i="2" s="1"/>
  <c r="Q211" i="2"/>
  <c r="K211" i="2"/>
  <c r="I211" i="2"/>
  <c r="S211" i="2"/>
  <c r="AC217" i="2"/>
  <c r="E217" i="2"/>
  <c r="AB217" i="2"/>
  <c r="AA217" i="2"/>
  <c r="Z217" i="2"/>
  <c r="X217" i="2"/>
  <c r="Y217" i="2"/>
  <c r="P219" i="2"/>
  <c r="H219" i="2"/>
  <c r="W219" i="2"/>
  <c r="O219" i="2"/>
  <c r="G219" i="2"/>
  <c r="V219" i="2"/>
  <c r="N219" i="2"/>
  <c r="F219" i="2"/>
  <c r="U219" i="2"/>
  <c r="M219" i="2"/>
  <c r="T219" i="2"/>
  <c r="L219" i="2"/>
  <c r="R219" i="2"/>
  <c r="J219" i="2"/>
  <c r="AH219" i="2" s="1"/>
  <c r="S219" i="2"/>
  <c r="Q219" i="2"/>
  <c r="K219" i="2"/>
  <c r="I219" i="2"/>
  <c r="AC225" i="2"/>
  <c r="E225" i="2"/>
  <c r="AB225" i="2"/>
  <c r="AA225" i="2"/>
  <c r="Z225" i="2"/>
  <c r="X225" i="2"/>
  <c r="Y225" i="2"/>
  <c r="P227" i="2"/>
  <c r="H227" i="2"/>
  <c r="W227" i="2"/>
  <c r="O227" i="2"/>
  <c r="G227" i="2"/>
  <c r="V227" i="2"/>
  <c r="N227" i="2"/>
  <c r="F227" i="2"/>
  <c r="U227" i="2"/>
  <c r="M227" i="2"/>
  <c r="T227" i="2"/>
  <c r="L227" i="2"/>
  <c r="R227" i="2"/>
  <c r="J227" i="2"/>
  <c r="AH227" i="2" s="1"/>
  <c r="K227" i="2"/>
  <c r="I227" i="2"/>
  <c r="S227" i="2"/>
  <c r="Q227" i="2"/>
  <c r="X235" i="2"/>
  <c r="AC235" i="2"/>
  <c r="E235" i="2"/>
  <c r="AB235" i="2"/>
  <c r="Z235" i="2"/>
  <c r="Y235" i="2"/>
  <c r="AA235" i="2"/>
  <c r="AC238" i="2"/>
  <c r="E238" i="2"/>
  <c r="AB238" i="2"/>
  <c r="AA238" i="2"/>
  <c r="Y238" i="2"/>
  <c r="Z238" i="2"/>
  <c r="X238" i="2"/>
  <c r="Q240" i="2"/>
  <c r="I240" i="2"/>
  <c r="P240" i="2"/>
  <c r="H240" i="2"/>
  <c r="W240" i="2"/>
  <c r="O240" i="2"/>
  <c r="G240" i="2"/>
  <c r="V240" i="2"/>
  <c r="N240" i="2"/>
  <c r="F240" i="2"/>
  <c r="U240" i="2"/>
  <c r="M240" i="2"/>
  <c r="S240" i="2"/>
  <c r="K240" i="2"/>
  <c r="R240" i="2"/>
  <c r="L240" i="2"/>
  <c r="J240" i="2"/>
  <c r="AH240" i="2" s="1"/>
  <c r="T240" i="2"/>
  <c r="AK229" i="1"/>
  <c r="S242" i="2"/>
  <c r="K242" i="2"/>
  <c r="R242" i="2"/>
  <c r="J242" i="2"/>
  <c r="AH242" i="2" s="1"/>
  <c r="Q242" i="2"/>
  <c r="I242" i="2"/>
  <c r="P242" i="2"/>
  <c r="H242" i="2"/>
  <c r="W242" i="2"/>
  <c r="O242" i="2"/>
  <c r="G242" i="2"/>
  <c r="U242" i="2"/>
  <c r="M242" i="2"/>
  <c r="L242" i="2"/>
  <c r="F242" i="2"/>
  <c r="T242" i="2"/>
  <c r="N242" i="2"/>
  <c r="V242" i="2"/>
  <c r="V245" i="2"/>
  <c r="N245" i="2"/>
  <c r="F245" i="2"/>
  <c r="T245" i="2"/>
  <c r="L245" i="2"/>
  <c r="R245" i="2"/>
  <c r="J245" i="2"/>
  <c r="AH245" i="2" s="1"/>
  <c r="P245" i="2"/>
  <c r="H245" i="2"/>
  <c r="O245" i="2"/>
  <c r="M245" i="2"/>
  <c r="K245" i="2"/>
  <c r="I245" i="2"/>
  <c r="W245" i="2"/>
  <c r="G245" i="2"/>
  <c r="S245" i="2"/>
  <c r="Q245" i="2"/>
  <c r="U245" i="2"/>
  <c r="AK234" i="1"/>
  <c r="P247" i="2"/>
  <c r="H247" i="2"/>
  <c r="V247" i="2"/>
  <c r="N247" i="2"/>
  <c r="F247" i="2"/>
  <c r="U247" i="2"/>
  <c r="M247" i="2"/>
  <c r="T247" i="2"/>
  <c r="L247" i="2"/>
  <c r="R247" i="2"/>
  <c r="J247" i="2"/>
  <c r="AH247" i="2" s="1"/>
  <c r="I247" i="2"/>
  <c r="G247" i="2"/>
  <c r="W247" i="2"/>
  <c r="S247" i="2"/>
  <c r="O247" i="2"/>
  <c r="Q247" i="2"/>
  <c r="K247" i="2"/>
  <c r="AC250" i="2"/>
  <c r="E250" i="2"/>
  <c r="AB250" i="2"/>
  <c r="AA250" i="2"/>
  <c r="Y250" i="2"/>
  <c r="Z250" i="2"/>
  <c r="X250" i="2"/>
  <c r="Y252" i="2"/>
  <c r="X252" i="2"/>
  <c r="AC252" i="2"/>
  <c r="E252" i="2"/>
  <c r="AA252" i="2"/>
  <c r="Z252" i="2"/>
  <c r="AB252" i="2"/>
  <c r="AK244" i="1"/>
  <c r="R257" i="2"/>
  <c r="J257" i="2"/>
  <c r="AH257" i="2" s="1"/>
  <c r="Q257" i="2"/>
  <c r="I257" i="2"/>
  <c r="P257" i="2"/>
  <c r="H257" i="2"/>
  <c r="W257" i="2"/>
  <c r="O257" i="2"/>
  <c r="G257" i="2"/>
  <c r="V257" i="2"/>
  <c r="N257" i="2"/>
  <c r="F257" i="2"/>
  <c r="T257" i="2"/>
  <c r="L257" i="2"/>
  <c r="U257" i="2"/>
  <c r="S257" i="2"/>
  <c r="M257" i="2"/>
  <c r="K257" i="2"/>
  <c r="AK246" i="1"/>
  <c r="S262" i="2"/>
  <c r="K262" i="2"/>
  <c r="R262" i="2"/>
  <c r="J262" i="2"/>
  <c r="AH262" i="2" s="1"/>
  <c r="Q262" i="2"/>
  <c r="I262" i="2"/>
  <c r="P262" i="2"/>
  <c r="H262" i="2"/>
  <c r="W262" i="2"/>
  <c r="O262" i="2"/>
  <c r="G262" i="2"/>
  <c r="U262" i="2"/>
  <c r="M262" i="2"/>
  <c r="V262" i="2"/>
  <c r="T262" i="2"/>
  <c r="N262" i="2"/>
  <c r="L262" i="2"/>
  <c r="F262" i="2"/>
  <c r="AK251" i="1"/>
  <c r="AB267" i="2"/>
  <c r="AA267" i="2"/>
  <c r="Z267" i="2"/>
  <c r="Y267" i="2"/>
  <c r="X267" i="2"/>
  <c r="AC267" i="2"/>
  <c r="E267" i="2"/>
  <c r="AA270" i="2"/>
  <c r="Z270" i="2"/>
  <c r="Y270" i="2"/>
  <c r="X270" i="2"/>
  <c r="AC270" i="2"/>
  <c r="E270" i="2"/>
  <c r="AB270" i="2"/>
  <c r="U272" i="2"/>
  <c r="M272" i="2"/>
  <c r="T272" i="2"/>
  <c r="L272" i="2"/>
  <c r="S272" i="2"/>
  <c r="K272" i="2"/>
  <c r="R272" i="2"/>
  <c r="J272" i="2"/>
  <c r="AH272" i="2" s="1"/>
  <c r="Q272" i="2"/>
  <c r="I272" i="2"/>
  <c r="W272" i="2"/>
  <c r="O272" i="2"/>
  <c r="G272" i="2"/>
  <c r="F272" i="2"/>
  <c r="V272" i="2"/>
  <c r="P272" i="2"/>
  <c r="N272" i="2"/>
  <c r="AK261" i="1"/>
  <c r="W274" i="2"/>
  <c r="O274" i="2"/>
  <c r="G274" i="2"/>
  <c r="V274" i="2"/>
  <c r="N274" i="2"/>
  <c r="F274" i="2"/>
  <c r="U274" i="2"/>
  <c r="M274" i="2"/>
  <c r="T274" i="2"/>
  <c r="L274" i="2"/>
  <c r="S274" i="2"/>
  <c r="K274" i="2"/>
  <c r="Q274" i="2"/>
  <c r="I274" i="2"/>
  <c r="R274" i="2"/>
  <c r="P274" i="2"/>
  <c r="J274" i="2"/>
  <c r="AH274" i="2" s="1"/>
  <c r="H274" i="2"/>
  <c r="V277" i="2"/>
  <c r="N277" i="2"/>
  <c r="F277" i="2"/>
  <c r="U277" i="2"/>
  <c r="M277" i="2"/>
  <c r="T277" i="2"/>
  <c r="L277" i="2"/>
  <c r="S277" i="2"/>
  <c r="K277" i="2"/>
  <c r="R277" i="2"/>
  <c r="J277" i="2"/>
  <c r="AH277" i="2" s="1"/>
  <c r="P277" i="2"/>
  <c r="H277" i="2"/>
  <c r="I277" i="2"/>
  <c r="G277" i="2"/>
  <c r="W277" i="2"/>
  <c r="Q277" i="2"/>
  <c r="O277" i="2"/>
  <c r="AK266" i="1"/>
  <c r="P279" i="2"/>
  <c r="H279" i="2"/>
  <c r="W279" i="2"/>
  <c r="O279" i="2"/>
  <c r="G279" i="2"/>
  <c r="V279" i="2"/>
  <c r="N279" i="2"/>
  <c r="F279" i="2"/>
  <c r="U279" i="2"/>
  <c r="M279" i="2"/>
  <c r="T279" i="2"/>
  <c r="L279" i="2"/>
  <c r="R279" i="2"/>
  <c r="J279" i="2"/>
  <c r="AH279" i="2" s="1"/>
  <c r="I279" i="2"/>
  <c r="S279" i="2"/>
  <c r="Q279" i="2"/>
  <c r="K279" i="2"/>
  <c r="AC282" i="2"/>
  <c r="E282" i="2"/>
  <c r="AB282" i="2"/>
  <c r="AA282" i="2"/>
  <c r="Y282" i="2"/>
  <c r="Z282" i="2"/>
  <c r="X282" i="2"/>
  <c r="Y284" i="2"/>
  <c r="X284" i="2"/>
  <c r="AC284" i="2"/>
  <c r="E284" i="2"/>
  <c r="AA284" i="2"/>
  <c r="AB284" i="2"/>
  <c r="Z284" i="2"/>
  <c r="AK276" i="1"/>
  <c r="R289" i="2"/>
  <c r="J289" i="2"/>
  <c r="AH289" i="2" s="1"/>
  <c r="Q289" i="2"/>
  <c r="I289" i="2"/>
  <c r="P289" i="2"/>
  <c r="H289" i="2"/>
  <c r="W289" i="2"/>
  <c r="O289" i="2"/>
  <c r="G289" i="2"/>
  <c r="V289" i="2"/>
  <c r="N289" i="2"/>
  <c r="F289" i="2"/>
  <c r="T289" i="2"/>
  <c r="L289" i="2"/>
  <c r="K289" i="2"/>
  <c r="U289" i="2"/>
  <c r="S289" i="2"/>
  <c r="M289" i="2"/>
  <c r="AK278" i="1"/>
  <c r="S294" i="2"/>
  <c r="K294" i="2"/>
  <c r="R294" i="2"/>
  <c r="J294" i="2"/>
  <c r="AH294" i="2" s="1"/>
  <c r="Q294" i="2"/>
  <c r="I294" i="2"/>
  <c r="P294" i="2"/>
  <c r="H294" i="2"/>
  <c r="W294" i="2"/>
  <c r="O294" i="2"/>
  <c r="G294" i="2"/>
  <c r="U294" i="2"/>
  <c r="M294" i="2"/>
  <c r="N294" i="2"/>
  <c r="L294" i="2"/>
  <c r="F294" i="2"/>
  <c r="V294" i="2"/>
  <c r="T294" i="2"/>
  <c r="AK283" i="1"/>
  <c r="AB299" i="2"/>
  <c r="AA299" i="2"/>
  <c r="Z299" i="2"/>
  <c r="Y299" i="2"/>
  <c r="X299" i="2"/>
  <c r="E299" i="2"/>
  <c r="AC299" i="2"/>
  <c r="AA302" i="2"/>
  <c r="Z302" i="2"/>
  <c r="Y302" i="2"/>
  <c r="X302" i="2"/>
  <c r="AC302" i="2"/>
  <c r="E302" i="2"/>
  <c r="AB302" i="2"/>
  <c r="U304" i="2"/>
  <c r="M304" i="2"/>
  <c r="T304" i="2"/>
  <c r="L304" i="2"/>
  <c r="S304" i="2"/>
  <c r="K304" i="2"/>
  <c r="R304" i="2"/>
  <c r="J304" i="2"/>
  <c r="AH304" i="2" s="1"/>
  <c r="Q304" i="2"/>
  <c r="I304" i="2"/>
  <c r="W304" i="2"/>
  <c r="O304" i="2"/>
  <c r="G304" i="2"/>
  <c r="P304" i="2"/>
  <c r="N304" i="2"/>
  <c r="H304" i="2"/>
  <c r="F304" i="2"/>
  <c r="V304" i="2"/>
  <c r="AK293" i="1"/>
  <c r="W306" i="2"/>
  <c r="O306" i="2"/>
  <c r="G306" i="2"/>
  <c r="V306" i="2"/>
  <c r="N306" i="2"/>
  <c r="F306" i="2"/>
  <c r="U306" i="2"/>
  <c r="M306" i="2"/>
  <c r="T306" i="2"/>
  <c r="L306" i="2"/>
  <c r="S306" i="2"/>
  <c r="K306" i="2"/>
  <c r="Q306" i="2"/>
  <c r="I306" i="2"/>
  <c r="J306" i="2"/>
  <c r="AH306" i="2" s="1"/>
  <c r="H306" i="2"/>
  <c r="R306" i="2"/>
  <c r="P306" i="2"/>
  <c r="V309" i="2"/>
  <c r="N309" i="2"/>
  <c r="F309" i="2"/>
  <c r="U309" i="2"/>
  <c r="M309" i="2"/>
  <c r="T309" i="2"/>
  <c r="L309" i="2"/>
  <c r="S309" i="2"/>
  <c r="K309" i="2"/>
  <c r="R309" i="2"/>
  <c r="J309" i="2"/>
  <c r="AH309" i="2" s="1"/>
  <c r="P309" i="2"/>
  <c r="H309" i="2"/>
  <c r="W309" i="2"/>
  <c r="Q309" i="2"/>
  <c r="O309" i="2"/>
  <c r="I309" i="2"/>
  <c r="G309" i="2"/>
  <c r="AK298" i="1"/>
  <c r="P311" i="2"/>
  <c r="H311" i="2"/>
  <c r="W311" i="2"/>
  <c r="O311" i="2"/>
  <c r="G311" i="2"/>
  <c r="V311" i="2"/>
  <c r="N311" i="2"/>
  <c r="F311" i="2"/>
  <c r="U311" i="2"/>
  <c r="M311" i="2"/>
  <c r="T311" i="2"/>
  <c r="L311" i="2"/>
  <c r="R311" i="2"/>
  <c r="J311" i="2"/>
  <c r="AH311" i="2" s="1"/>
  <c r="Q311" i="2"/>
  <c r="K311" i="2"/>
  <c r="I311" i="2"/>
  <c r="S311" i="2"/>
  <c r="AC314" i="2"/>
  <c r="E314" i="2"/>
  <c r="AB314" i="2"/>
  <c r="AA314" i="2"/>
  <c r="Y314" i="2"/>
  <c r="Z314" i="2"/>
  <c r="X314" i="2"/>
  <c r="Y316" i="2"/>
  <c r="X316" i="2"/>
  <c r="AC316" i="2"/>
  <c r="E316" i="2"/>
  <c r="AA316" i="2"/>
  <c r="AB316" i="2"/>
  <c r="Z316" i="2"/>
  <c r="AK308" i="1"/>
  <c r="R321" i="2"/>
  <c r="J321" i="2"/>
  <c r="AH321" i="2" s="1"/>
  <c r="Q321" i="2"/>
  <c r="I321" i="2"/>
  <c r="P321" i="2"/>
  <c r="H321" i="2"/>
  <c r="W321" i="2"/>
  <c r="O321" i="2"/>
  <c r="G321" i="2"/>
  <c r="V321" i="2"/>
  <c r="N321" i="2"/>
  <c r="F321" i="2"/>
  <c r="T321" i="2"/>
  <c r="L321" i="2"/>
  <c r="S321" i="2"/>
  <c r="M321" i="2"/>
  <c r="K321" i="2"/>
  <c r="U321" i="2"/>
  <c r="AK310" i="1"/>
  <c r="V326" i="2"/>
  <c r="Q326" i="2"/>
  <c r="T326" i="2"/>
  <c r="K326" i="2"/>
  <c r="S326" i="2"/>
  <c r="J326" i="2"/>
  <c r="AH326" i="2" s="1"/>
  <c r="R326" i="2"/>
  <c r="I326" i="2"/>
  <c r="P326" i="2"/>
  <c r="H326" i="2"/>
  <c r="O326" i="2"/>
  <c r="G326" i="2"/>
  <c r="W326" i="2"/>
  <c r="M326" i="2"/>
  <c r="U326" i="2"/>
  <c r="N326" i="2"/>
  <c r="L326" i="2"/>
  <c r="F326" i="2"/>
  <c r="AK315" i="1"/>
  <c r="Y331" i="2"/>
  <c r="X331" i="2"/>
  <c r="AC331" i="2"/>
  <c r="E331" i="2"/>
  <c r="Z331" i="2"/>
  <c r="AB331" i="2"/>
  <c r="AA331" i="2"/>
  <c r="X334" i="2"/>
  <c r="AC334" i="2"/>
  <c r="E334" i="2"/>
  <c r="AB334" i="2"/>
  <c r="Z334" i="2"/>
  <c r="Y334" i="2"/>
  <c r="AA334" i="2"/>
  <c r="R336" i="2"/>
  <c r="J336" i="2"/>
  <c r="AH336" i="2" s="1"/>
  <c r="Q336" i="2"/>
  <c r="I336" i="2"/>
  <c r="P336" i="2"/>
  <c r="H336" i="2"/>
  <c r="W336" i="2"/>
  <c r="O336" i="2"/>
  <c r="G336" i="2"/>
  <c r="V336" i="2"/>
  <c r="N336" i="2"/>
  <c r="F336" i="2"/>
  <c r="T336" i="2"/>
  <c r="L336" i="2"/>
  <c r="S336" i="2"/>
  <c r="K336" i="2"/>
  <c r="U336" i="2"/>
  <c r="M336" i="2"/>
  <c r="AK325" i="1"/>
  <c r="T338" i="2"/>
  <c r="L338" i="2"/>
  <c r="S338" i="2"/>
  <c r="K338" i="2"/>
  <c r="R338" i="2"/>
  <c r="J338" i="2"/>
  <c r="AH338" i="2" s="1"/>
  <c r="Q338" i="2"/>
  <c r="I338" i="2"/>
  <c r="P338" i="2"/>
  <c r="H338" i="2"/>
  <c r="V338" i="2"/>
  <c r="N338" i="2"/>
  <c r="F338" i="2"/>
  <c r="U338" i="2"/>
  <c r="M338" i="2"/>
  <c r="W338" i="2"/>
  <c r="O338" i="2"/>
  <c r="G338" i="2"/>
  <c r="S341" i="2"/>
  <c r="K341" i="2"/>
  <c r="R341" i="2"/>
  <c r="J341" i="2"/>
  <c r="AH341" i="2" s="1"/>
  <c r="Q341" i="2"/>
  <c r="I341" i="2"/>
  <c r="P341" i="2"/>
  <c r="H341" i="2"/>
  <c r="W341" i="2"/>
  <c r="O341" i="2"/>
  <c r="G341" i="2"/>
  <c r="U341" i="2"/>
  <c r="M341" i="2"/>
  <c r="T341" i="2"/>
  <c r="L341" i="2"/>
  <c r="F341" i="2"/>
  <c r="V341" i="2"/>
  <c r="N341" i="2"/>
  <c r="AK330" i="1"/>
  <c r="U343" i="2"/>
  <c r="M343" i="2"/>
  <c r="T343" i="2"/>
  <c r="L343" i="2"/>
  <c r="S343" i="2"/>
  <c r="K343" i="2"/>
  <c r="R343" i="2"/>
  <c r="J343" i="2"/>
  <c r="AH343" i="2" s="1"/>
  <c r="Q343" i="2"/>
  <c r="I343" i="2"/>
  <c r="W343" i="2"/>
  <c r="O343" i="2"/>
  <c r="G343" i="2"/>
  <c r="V343" i="2"/>
  <c r="N343" i="2"/>
  <c r="F343" i="2"/>
  <c r="H343" i="2"/>
  <c r="P343" i="2"/>
  <c r="AB346" i="2"/>
  <c r="AA346" i="2"/>
  <c r="Z346" i="2"/>
  <c r="Y346" i="2"/>
  <c r="X346" i="2"/>
  <c r="AC346" i="2"/>
  <c r="E346" i="2"/>
  <c r="AC348" i="2"/>
  <c r="E348" i="2"/>
  <c r="AB348" i="2"/>
  <c r="AA348" i="2"/>
  <c r="Z348" i="2"/>
  <c r="X348" i="2"/>
  <c r="Y348" i="2"/>
  <c r="W353" i="2"/>
  <c r="O353" i="2"/>
  <c r="G353" i="2"/>
  <c r="V353" i="2"/>
  <c r="N353" i="2"/>
  <c r="F353" i="2"/>
  <c r="U353" i="2"/>
  <c r="M353" i="2"/>
  <c r="T353" i="2"/>
  <c r="L353" i="2"/>
  <c r="S353" i="2"/>
  <c r="K353" i="2"/>
  <c r="Q353" i="2"/>
  <c r="I353" i="2"/>
  <c r="P353" i="2"/>
  <c r="H353" i="2"/>
  <c r="R353" i="2"/>
  <c r="J353" i="2"/>
  <c r="AH353" i="2" s="1"/>
  <c r="AK342" i="1"/>
  <c r="V358" i="2"/>
  <c r="N358" i="2"/>
  <c r="F358" i="2"/>
  <c r="R358" i="2"/>
  <c r="I358" i="2"/>
  <c r="Q358" i="2"/>
  <c r="H358" i="2"/>
  <c r="P358" i="2"/>
  <c r="G358" i="2"/>
  <c r="O358" i="2"/>
  <c r="W358" i="2"/>
  <c r="M358" i="2"/>
  <c r="T358" i="2"/>
  <c r="K358" i="2"/>
  <c r="S358" i="2"/>
  <c r="J358" i="2"/>
  <c r="AH358" i="2" s="1"/>
  <c r="L358" i="2"/>
  <c r="U358" i="2"/>
  <c r="AK347" i="1"/>
  <c r="Y363" i="2"/>
  <c r="AC363" i="2"/>
  <c r="E363" i="2"/>
  <c r="AB363" i="2"/>
  <c r="AA363" i="2"/>
  <c r="X363" i="2"/>
  <c r="Z363" i="2"/>
  <c r="X366" i="2"/>
  <c r="AC366" i="2"/>
  <c r="E366" i="2"/>
  <c r="AB366" i="2"/>
  <c r="AA366" i="2"/>
  <c r="Z366" i="2"/>
  <c r="Y366" i="2"/>
  <c r="R368" i="2"/>
  <c r="J368" i="2"/>
  <c r="AH368" i="2" s="1"/>
  <c r="Q368" i="2"/>
  <c r="I368" i="2"/>
  <c r="P368" i="2"/>
  <c r="H368" i="2"/>
  <c r="W368" i="2"/>
  <c r="O368" i="2"/>
  <c r="G368" i="2"/>
  <c r="V368" i="2"/>
  <c r="N368" i="2"/>
  <c r="F368" i="2"/>
  <c r="K368" i="2"/>
  <c r="U368" i="2"/>
  <c r="T368" i="2"/>
  <c r="M368" i="2"/>
  <c r="L368" i="2"/>
  <c r="S368" i="2"/>
  <c r="AK357" i="1"/>
  <c r="T370" i="2"/>
  <c r="L370" i="2"/>
  <c r="S370" i="2"/>
  <c r="K370" i="2"/>
  <c r="R370" i="2"/>
  <c r="J370" i="2"/>
  <c r="AH370" i="2" s="1"/>
  <c r="Q370" i="2"/>
  <c r="I370" i="2"/>
  <c r="P370" i="2"/>
  <c r="H370" i="2"/>
  <c r="F370" i="2"/>
  <c r="W370" i="2"/>
  <c r="V370" i="2"/>
  <c r="U370" i="2"/>
  <c r="O370" i="2"/>
  <c r="M370" i="2"/>
  <c r="G370" i="2"/>
  <c r="N370" i="2"/>
  <c r="S373" i="2"/>
  <c r="K373" i="2"/>
  <c r="R373" i="2"/>
  <c r="J373" i="2"/>
  <c r="AH373" i="2" s="1"/>
  <c r="Q373" i="2"/>
  <c r="I373" i="2"/>
  <c r="P373" i="2"/>
  <c r="H373" i="2"/>
  <c r="W373" i="2"/>
  <c r="O373" i="2"/>
  <c r="G373" i="2"/>
  <c r="U373" i="2"/>
  <c r="T373" i="2"/>
  <c r="N373" i="2"/>
  <c r="M373" i="2"/>
  <c r="L373" i="2"/>
  <c r="V373" i="2"/>
  <c r="F373" i="2"/>
  <c r="AK362" i="1"/>
  <c r="U375" i="2"/>
  <c r="M375" i="2"/>
  <c r="T375" i="2"/>
  <c r="L375" i="2"/>
  <c r="S375" i="2"/>
  <c r="K375" i="2"/>
  <c r="R375" i="2"/>
  <c r="J375" i="2"/>
  <c r="AH375" i="2" s="1"/>
  <c r="Q375" i="2"/>
  <c r="I375" i="2"/>
  <c r="W375" i="2"/>
  <c r="P375" i="2"/>
  <c r="O375" i="2"/>
  <c r="N375" i="2"/>
  <c r="H375" i="2"/>
  <c r="G375" i="2"/>
  <c r="V375" i="2"/>
  <c r="F375" i="2"/>
  <c r="AB378" i="2"/>
  <c r="AA378" i="2"/>
  <c r="Z378" i="2"/>
  <c r="Y378" i="2"/>
  <c r="X378" i="2"/>
  <c r="AC378" i="2"/>
  <c r="E378" i="2"/>
  <c r="AC380" i="2"/>
  <c r="E380" i="2"/>
  <c r="AB380" i="2"/>
  <c r="AA380" i="2"/>
  <c r="Z380" i="2"/>
  <c r="X380" i="2"/>
  <c r="Y380" i="2"/>
  <c r="W385" i="2"/>
  <c r="O385" i="2"/>
  <c r="G385" i="2"/>
  <c r="V385" i="2"/>
  <c r="N385" i="2"/>
  <c r="F385" i="2"/>
  <c r="U385" i="2"/>
  <c r="M385" i="2"/>
  <c r="T385" i="2"/>
  <c r="L385" i="2"/>
  <c r="S385" i="2"/>
  <c r="K385" i="2"/>
  <c r="Q385" i="2"/>
  <c r="I385" i="2"/>
  <c r="R385" i="2"/>
  <c r="P385" i="2"/>
  <c r="J385" i="2"/>
  <c r="AH385" i="2" s="1"/>
  <c r="H385" i="2"/>
  <c r="AK374" i="1"/>
  <c r="P390" i="2"/>
  <c r="H390" i="2"/>
  <c r="W390" i="2"/>
  <c r="O390" i="2"/>
  <c r="G390" i="2"/>
  <c r="V390" i="2"/>
  <c r="N390" i="2"/>
  <c r="F390" i="2"/>
  <c r="U390" i="2"/>
  <c r="M390" i="2"/>
  <c r="T390" i="2"/>
  <c r="L390" i="2"/>
  <c r="R390" i="2"/>
  <c r="J390" i="2"/>
  <c r="AH390" i="2" s="1"/>
  <c r="S390" i="2"/>
  <c r="Q390" i="2"/>
  <c r="K390" i="2"/>
  <c r="I390" i="2"/>
  <c r="AK379" i="1"/>
  <c r="Y395" i="2"/>
  <c r="X395" i="2"/>
  <c r="AC395" i="2"/>
  <c r="E395" i="2"/>
  <c r="AA395" i="2"/>
  <c r="Z395" i="2"/>
  <c r="AB395" i="2"/>
  <c r="Y398" i="2"/>
  <c r="X398" i="2"/>
  <c r="AC398" i="2"/>
  <c r="E398" i="2"/>
  <c r="AA398" i="2"/>
  <c r="Z398" i="2"/>
  <c r="AB398" i="2"/>
  <c r="S400" i="2"/>
  <c r="K400" i="2"/>
  <c r="R400" i="2"/>
  <c r="J400" i="2"/>
  <c r="AH400" i="2" s="1"/>
  <c r="Q400" i="2"/>
  <c r="I400" i="2"/>
  <c r="P400" i="2"/>
  <c r="H400" i="2"/>
  <c r="W400" i="2"/>
  <c r="O400" i="2"/>
  <c r="G400" i="2"/>
  <c r="U400" i="2"/>
  <c r="M400" i="2"/>
  <c r="T400" i="2"/>
  <c r="L400" i="2"/>
  <c r="N400" i="2"/>
  <c r="V400" i="2"/>
  <c r="F400" i="2"/>
  <c r="AK389" i="1"/>
  <c r="U402" i="2"/>
  <c r="M402" i="2"/>
  <c r="T402" i="2"/>
  <c r="L402" i="2"/>
  <c r="S402" i="2"/>
  <c r="K402" i="2"/>
  <c r="R402" i="2"/>
  <c r="J402" i="2"/>
  <c r="AH402" i="2" s="1"/>
  <c r="Q402" i="2"/>
  <c r="I402" i="2"/>
  <c r="W402" i="2"/>
  <c r="O402" i="2"/>
  <c r="G402" i="2"/>
  <c r="V402" i="2"/>
  <c r="N402" i="2"/>
  <c r="F402" i="2"/>
  <c r="P402" i="2"/>
  <c r="H402" i="2"/>
  <c r="T405" i="2"/>
  <c r="L405" i="2"/>
  <c r="S405" i="2"/>
  <c r="K405" i="2"/>
  <c r="R405" i="2"/>
  <c r="J405" i="2"/>
  <c r="AH405" i="2" s="1"/>
  <c r="Q405" i="2"/>
  <c r="I405" i="2"/>
  <c r="P405" i="2"/>
  <c r="H405" i="2"/>
  <c r="V405" i="2"/>
  <c r="N405" i="2"/>
  <c r="F405" i="2"/>
  <c r="U405" i="2"/>
  <c r="M405" i="2"/>
  <c r="W405" i="2"/>
  <c r="O405" i="2"/>
  <c r="G405" i="2"/>
  <c r="AK394" i="1"/>
  <c r="V407" i="2"/>
  <c r="N407" i="2"/>
  <c r="F407" i="2"/>
  <c r="U407" i="2"/>
  <c r="M407" i="2"/>
  <c r="T407" i="2"/>
  <c r="L407" i="2"/>
  <c r="S407" i="2"/>
  <c r="K407" i="2"/>
  <c r="R407" i="2"/>
  <c r="J407" i="2"/>
  <c r="AH407" i="2" s="1"/>
  <c r="P407" i="2"/>
  <c r="H407" i="2"/>
  <c r="W407" i="2"/>
  <c r="O407" i="2"/>
  <c r="G407" i="2"/>
  <c r="Q407" i="2"/>
  <c r="I407" i="2"/>
  <c r="AC410" i="2"/>
  <c r="E410" i="2"/>
  <c r="AB410" i="2"/>
  <c r="AA410" i="2"/>
  <c r="Z410" i="2"/>
  <c r="Y410" i="2"/>
  <c r="X410" i="2"/>
  <c r="AC412" i="2"/>
  <c r="E412" i="2"/>
  <c r="AB412" i="2"/>
  <c r="AA412" i="2"/>
  <c r="Y412" i="2"/>
  <c r="X412" i="2"/>
  <c r="Z412" i="2"/>
  <c r="AK404" i="1"/>
  <c r="P417" i="2"/>
  <c r="H417" i="2"/>
  <c r="W417" i="2"/>
  <c r="O417" i="2"/>
  <c r="G417" i="2"/>
  <c r="V417" i="2"/>
  <c r="N417" i="2"/>
  <c r="F417" i="2"/>
  <c r="U417" i="2"/>
  <c r="M417" i="2"/>
  <c r="T417" i="2"/>
  <c r="L417" i="2"/>
  <c r="R417" i="2"/>
  <c r="J417" i="2"/>
  <c r="AH417" i="2" s="1"/>
  <c r="Q417" i="2"/>
  <c r="I417" i="2"/>
  <c r="S417" i="2"/>
  <c r="K417" i="2"/>
  <c r="AK406" i="1"/>
  <c r="Q422" i="2"/>
  <c r="I422" i="2"/>
  <c r="P422" i="2"/>
  <c r="H422" i="2"/>
  <c r="W422" i="2"/>
  <c r="O422" i="2"/>
  <c r="G422" i="2"/>
  <c r="V422" i="2"/>
  <c r="N422" i="2"/>
  <c r="F422" i="2"/>
  <c r="U422" i="2"/>
  <c r="M422" i="2"/>
  <c r="S422" i="2"/>
  <c r="K422" i="2"/>
  <c r="R422" i="2"/>
  <c r="J422" i="2"/>
  <c r="AH422" i="2" s="1"/>
  <c r="T422" i="2"/>
  <c r="L422" i="2"/>
  <c r="AK411" i="1"/>
  <c r="Z427" i="2"/>
  <c r="Y427" i="2"/>
  <c r="X427" i="2"/>
  <c r="AB427" i="2"/>
  <c r="AA427" i="2"/>
  <c r="AC427" i="2"/>
  <c r="E427" i="2"/>
  <c r="Y430" i="2"/>
  <c r="X430" i="2"/>
  <c r="AC430" i="2"/>
  <c r="E430" i="2"/>
  <c r="AA430" i="2"/>
  <c r="Z430" i="2"/>
  <c r="AB430" i="2"/>
  <c r="S432" i="2"/>
  <c r="K432" i="2"/>
  <c r="R432" i="2"/>
  <c r="J432" i="2"/>
  <c r="AH432" i="2" s="1"/>
  <c r="Q432" i="2"/>
  <c r="I432" i="2"/>
  <c r="P432" i="2"/>
  <c r="H432" i="2"/>
  <c r="W432" i="2"/>
  <c r="O432" i="2"/>
  <c r="G432" i="2"/>
  <c r="U432" i="2"/>
  <c r="M432" i="2"/>
  <c r="T432" i="2"/>
  <c r="L432" i="2"/>
  <c r="V432" i="2"/>
  <c r="N432" i="2"/>
  <c r="F432" i="2"/>
  <c r="AK421" i="1"/>
  <c r="T434" i="2"/>
  <c r="V434" i="2"/>
  <c r="M434" i="2"/>
  <c r="U434" i="2"/>
  <c r="L434" i="2"/>
  <c r="S434" i="2"/>
  <c r="K434" i="2"/>
  <c r="R434" i="2"/>
  <c r="J434" i="2"/>
  <c r="AH434" i="2" s="1"/>
  <c r="Q434" i="2"/>
  <c r="I434" i="2"/>
  <c r="O434" i="2"/>
  <c r="G434" i="2"/>
  <c r="W434" i="2"/>
  <c r="N434" i="2"/>
  <c r="F434" i="2"/>
  <c r="P434" i="2"/>
  <c r="H434" i="2"/>
  <c r="T437" i="2"/>
  <c r="L437" i="2"/>
  <c r="S437" i="2"/>
  <c r="K437" i="2"/>
  <c r="R437" i="2"/>
  <c r="Q437" i="2"/>
  <c r="I437" i="2"/>
  <c r="W437" i="2"/>
  <c r="O437" i="2"/>
  <c r="G437" i="2"/>
  <c r="V437" i="2"/>
  <c r="N437" i="2"/>
  <c r="F437" i="2"/>
  <c r="J437" i="2"/>
  <c r="AH437" i="2" s="1"/>
  <c r="H437" i="2"/>
  <c r="P437" i="2"/>
  <c r="M437" i="2"/>
  <c r="U437" i="2"/>
  <c r="AK426" i="1"/>
  <c r="V439" i="2"/>
  <c r="N439" i="2"/>
  <c r="F439" i="2"/>
  <c r="U439" i="2"/>
  <c r="M439" i="2"/>
  <c r="T439" i="2"/>
  <c r="L439" i="2"/>
  <c r="S439" i="2"/>
  <c r="K439" i="2"/>
  <c r="R439" i="2"/>
  <c r="J439" i="2"/>
  <c r="AH439" i="2" s="1"/>
  <c r="Q439" i="2"/>
  <c r="I439" i="2"/>
  <c r="P439" i="2"/>
  <c r="H439" i="2"/>
  <c r="W439" i="2"/>
  <c r="O439" i="2"/>
  <c r="G439" i="2"/>
  <c r="AC442" i="2"/>
  <c r="E442" i="2"/>
  <c r="AB442" i="2"/>
  <c r="AA442" i="2"/>
  <c r="Z442" i="2"/>
  <c r="Y442" i="2"/>
  <c r="X442" i="2"/>
  <c r="AC444" i="2"/>
  <c r="E444" i="2"/>
  <c r="AB444" i="2"/>
  <c r="AA444" i="2"/>
  <c r="Z444" i="2"/>
  <c r="Y444" i="2"/>
  <c r="X444" i="2"/>
  <c r="AK436" i="1"/>
  <c r="P449" i="2"/>
  <c r="H449" i="2"/>
  <c r="W449" i="2"/>
  <c r="O449" i="2"/>
  <c r="G449" i="2"/>
  <c r="V449" i="2"/>
  <c r="N449" i="2"/>
  <c r="F449" i="2"/>
  <c r="U449" i="2"/>
  <c r="M449" i="2"/>
  <c r="T449" i="2"/>
  <c r="L449" i="2"/>
  <c r="S449" i="2"/>
  <c r="K449" i="2"/>
  <c r="R449" i="2"/>
  <c r="J449" i="2"/>
  <c r="AH449" i="2" s="1"/>
  <c r="I449" i="2"/>
  <c r="Q449" i="2"/>
  <c r="AK438" i="1"/>
  <c r="Q454" i="2"/>
  <c r="I454" i="2"/>
  <c r="P454" i="2"/>
  <c r="H454" i="2"/>
  <c r="W454" i="2"/>
  <c r="O454" i="2"/>
  <c r="G454" i="2"/>
  <c r="V454" i="2"/>
  <c r="N454" i="2"/>
  <c r="F454" i="2"/>
  <c r="U454" i="2"/>
  <c r="M454" i="2"/>
  <c r="T454" i="2"/>
  <c r="L454" i="2"/>
  <c r="S454" i="2"/>
  <c r="K454" i="2"/>
  <c r="R454" i="2"/>
  <c r="J454" i="2"/>
  <c r="AH454" i="2" s="1"/>
  <c r="AK443" i="1"/>
  <c r="Z459" i="2"/>
  <c r="Y459" i="2"/>
  <c r="X459" i="2"/>
  <c r="AC459" i="2"/>
  <c r="E459" i="2"/>
  <c r="AB459" i="2"/>
  <c r="AA459" i="2"/>
  <c r="Y462" i="2"/>
  <c r="X462" i="2"/>
  <c r="AC462" i="2"/>
  <c r="E462" i="2"/>
  <c r="AB462" i="2"/>
  <c r="AA462" i="2"/>
  <c r="Z462" i="2"/>
  <c r="S464" i="2"/>
  <c r="K464" i="2"/>
  <c r="R464" i="2"/>
  <c r="J464" i="2"/>
  <c r="AH464" i="2" s="1"/>
  <c r="Q464" i="2"/>
  <c r="I464" i="2"/>
  <c r="P464" i="2"/>
  <c r="H464" i="2"/>
  <c r="W464" i="2"/>
  <c r="O464" i="2"/>
  <c r="G464" i="2"/>
  <c r="V464" i="2"/>
  <c r="N464" i="2"/>
  <c r="F464" i="2"/>
  <c r="U464" i="2"/>
  <c r="M464" i="2"/>
  <c r="T464" i="2"/>
  <c r="L464" i="2"/>
  <c r="AK453" i="1"/>
  <c r="U466" i="2"/>
  <c r="M466" i="2"/>
  <c r="T466" i="2"/>
  <c r="L466" i="2"/>
  <c r="S466" i="2"/>
  <c r="K466" i="2"/>
  <c r="R466" i="2"/>
  <c r="J466" i="2"/>
  <c r="AH466" i="2" s="1"/>
  <c r="Q466" i="2"/>
  <c r="I466" i="2"/>
  <c r="P466" i="2"/>
  <c r="H466" i="2"/>
  <c r="W466" i="2"/>
  <c r="O466" i="2"/>
  <c r="G466" i="2"/>
  <c r="V466" i="2"/>
  <c r="F466" i="2"/>
  <c r="N466" i="2"/>
  <c r="T469" i="2"/>
  <c r="L469" i="2"/>
  <c r="S469" i="2"/>
  <c r="K469" i="2"/>
  <c r="R469" i="2"/>
  <c r="J469" i="2"/>
  <c r="AH469" i="2" s="1"/>
  <c r="Q469" i="2"/>
  <c r="I469" i="2"/>
  <c r="P469" i="2"/>
  <c r="H469" i="2"/>
  <c r="W469" i="2"/>
  <c r="O469" i="2"/>
  <c r="G469" i="2"/>
  <c r="V469" i="2"/>
  <c r="N469" i="2"/>
  <c r="F469" i="2"/>
  <c r="U469" i="2"/>
  <c r="M469" i="2"/>
  <c r="AK458" i="1"/>
  <c r="V471" i="2"/>
  <c r="N471" i="2"/>
  <c r="F471" i="2"/>
  <c r="U471" i="2"/>
  <c r="M471" i="2"/>
  <c r="T471" i="2"/>
  <c r="L471" i="2"/>
  <c r="S471" i="2"/>
  <c r="K471" i="2"/>
  <c r="R471" i="2"/>
  <c r="J471" i="2"/>
  <c r="AH471" i="2" s="1"/>
  <c r="Q471" i="2"/>
  <c r="I471" i="2"/>
  <c r="P471" i="2"/>
  <c r="H471" i="2"/>
  <c r="G471" i="2"/>
  <c r="W471" i="2"/>
  <c r="O471" i="2"/>
  <c r="X474" i="2"/>
  <c r="AB474" i="2"/>
  <c r="Z474" i="2"/>
  <c r="Y474" i="2"/>
  <c r="AA474" i="2"/>
  <c r="E474" i="2"/>
  <c r="AC474" i="2"/>
  <c r="Z476" i="2"/>
  <c r="Y476" i="2"/>
  <c r="X476" i="2"/>
  <c r="AB476" i="2"/>
  <c r="AA476" i="2"/>
  <c r="AC476" i="2"/>
  <c r="E476" i="2"/>
  <c r="AK468" i="1"/>
  <c r="S481" i="2"/>
  <c r="K481" i="2"/>
  <c r="R481" i="2"/>
  <c r="J481" i="2"/>
  <c r="AH481" i="2" s="1"/>
  <c r="Q481" i="2"/>
  <c r="I481" i="2"/>
  <c r="P481" i="2"/>
  <c r="H481" i="2"/>
  <c r="W481" i="2"/>
  <c r="O481" i="2"/>
  <c r="G481" i="2"/>
  <c r="U481" i="2"/>
  <c r="M481" i="2"/>
  <c r="T481" i="2"/>
  <c r="L481" i="2"/>
  <c r="N481" i="2"/>
  <c r="F481" i="2"/>
  <c r="V481" i="2"/>
  <c r="AK470" i="1"/>
  <c r="T486" i="2"/>
  <c r="L486" i="2"/>
  <c r="S486" i="2"/>
  <c r="K486" i="2"/>
  <c r="R486" i="2"/>
  <c r="J486" i="2"/>
  <c r="AH486" i="2" s="1"/>
  <c r="Q486" i="2"/>
  <c r="I486" i="2"/>
  <c r="P486" i="2"/>
  <c r="H486" i="2"/>
  <c r="V486" i="2"/>
  <c r="N486" i="2"/>
  <c r="F486" i="2"/>
  <c r="U486" i="2"/>
  <c r="M486" i="2"/>
  <c r="W486" i="2"/>
  <c r="O486" i="2"/>
  <c r="G486" i="2"/>
  <c r="AK475" i="1"/>
  <c r="AC491" i="2"/>
  <c r="E491" i="2"/>
  <c r="AB491" i="2"/>
  <c r="AA491" i="2"/>
  <c r="Z491" i="2"/>
  <c r="Y491" i="2"/>
  <c r="X491" i="2"/>
  <c r="AB494" i="2"/>
  <c r="AA494" i="2"/>
  <c r="Z494" i="2"/>
  <c r="Y494" i="2"/>
  <c r="X494" i="2"/>
  <c r="AC494" i="2"/>
  <c r="E494" i="2"/>
  <c r="V496" i="2"/>
  <c r="N496" i="2"/>
  <c r="F496" i="2"/>
  <c r="U496" i="2"/>
  <c r="M496" i="2"/>
  <c r="T496" i="2"/>
  <c r="L496" i="2"/>
  <c r="S496" i="2"/>
  <c r="K496" i="2"/>
  <c r="R496" i="2"/>
  <c r="J496" i="2"/>
  <c r="AH496" i="2" s="1"/>
  <c r="P496" i="2"/>
  <c r="H496" i="2"/>
  <c r="W496" i="2"/>
  <c r="O496" i="2"/>
  <c r="G496" i="2"/>
  <c r="Q496" i="2"/>
  <c r="I496" i="2"/>
  <c r="AK485" i="1"/>
  <c r="P498" i="2"/>
  <c r="H498" i="2"/>
  <c r="W498" i="2"/>
  <c r="O498" i="2"/>
  <c r="G498" i="2"/>
  <c r="V498" i="2"/>
  <c r="N498" i="2"/>
  <c r="F498" i="2"/>
  <c r="U498" i="2"/>
  <c r="M498" i="2"/>
  <c r="T498" i="2"/>
  <c r="L498" i="2"/>
  <c r="R498" i="2"/>
  <c r="J498" i="2"/>
  <c r="AH498" i="2" s="1"/>
  <c r="Q498" i="2"/>
  <c r="I498" i="2"/>
  <c r="S498" i="2"/>
  <c r="K498" i="2"/>
  <c r="W501" i="2"/>
  <c r="O501" i="2"/>
  <c r="G501" i="2"/>
  <c r="V501" i="2"/>
  <c r="N501" i="2"/>
  <c r="F501" i="2"/>
  <c r="U501" i="2"/>
  <c r="M501" i="2"/>
  <c r="T501" i="2"/>
  <c r="L501" i="2"/>
  <c r="S501" i="2"/>
  <c r="K501" i="2"/>
  <c r="Q501" i="2"/>
  <c r="I501" i="2"/>
  <c r="P501" i="2"/>
  <c r="H501" i="2"/>
  <c r="J501" i="2"/>
  <c r="AH501" i="2" s="1"/>
  <c r="R501" i="2"/>
  <c r="AK490" i="1"/>
  <c r="Q503" i="2"/>
  <c r="I503" i="2"/>
  <c r="P503" i="2"/>
  <c r="H503" i="2"/>
  <c r="W503" i="2"/>
  <c r="O503" i="2"/>
  <c r="G503" i="2"/>
  <c r="V503" i="2"/>
  <c r="N503" i="2"/>
  <c r="F503" i="2"/>
  <c r="U503" i="2"/>
  <c r="M503" i="2"/>
  <c r="S503" i="2"/>
  <c r="K503" i="2"/>
  <c r="R503" i="2"/>
  <c r="J503" i="2"/>
  <c r="AH503" i="2" s="1"/>
  <c r="T503" i="2"/>
  <c r="L503" i="2"/>
  <c r="X506" i="2"/>
  <c r="AC506" i="2"/>
  <c r="E506" i="2"/>
  <c r="AB506" i="2"/>
  <c r="Z506" i="2"/>
  <c r="Y506" i="2"/>
  <c r="AA506" i="2"/>
  <c r="Z508" i="2"/>
  <c r="Y508" i="2"/>
  <c r="X508" i="2"/>
  <c r="AB508" i="2"/>
  <c r="AA508" i="2"/>
  <c r="E508" i="2"/>
  <c r="AC508" i="2"/>
  <c r="Q513" i="2"/>
  <c r="I513" i="2"/>
  <c r="W513" i="2"/>
  <c r="O513" i="2"/>
  <c r="G513" i="2"/>
  <c r="V513" i="2"/>
  <c r="N513" i="2"/>
  <c r="F513" i="2"/>
  <c r="U513" i="2"/>
  <c r="M513" i="2"/>
  <c r="S513" i="2"/>
  <c r="K513" i="2"/>
  <c r="R513" i="2"/>
  <c r="J513" i="2"/>
  <c r="AH513" i="2" s="1"/>
  <c r="P513" i="2"/>
  <c r="L513" i="2"/>
  <c r="H513" i="2"/>
  <c r="T513" i="2"/>
  <c r="AK502" i="1"/>
  <c r="R518" i="2"/>
  <c r="J518" i="2"/>
  <c r="AH518" i="2" s="1"/>
  <c r="Q518" i="2"/>
  <c r="I518" i="2"/>
  <c r="P518" i="2"/>
  <c r="H518" i="2"/>
  <c r="W518" i="2"/>
  <c r="O518" i="2"/>
  <c r="G518" i="2"/>
  <c r="V518" i="2"/>
  <c r="N518" i="2"/>
  <c r="F518" i="2"/>
  <c r="T518" i="2"/>
  <c r="L518" i="2"/>
  <c r="S518" i="2"/>
  <c r="K518" i="2"/>
  <c r="U518" i="2"/>
  <c r="M518" i="2"/>
  <c r="AK507" i="1"/>
  <c r="AA523" i="2"/>
  <c r="Z523" i="2"/>
  <c r="Y523" i="2"/>
  <c r="X523" i="2"/>
  <c r="AC523" i="2"/>
  <c r="E523" i="2"/>
  <c r="AB523" i="2"/>
  <c r="Z526" i="2"/>
  <c r="Y526" i="2"/>
  <c r="X526" i="2"/>
  <c r="AB526" i="2"/>
  <c r="AA526" i="2"/>
  <c r="AC526" i="2"/>
  <c r="E526" i="2"/>
  <c r="T528" i="2"/>
  <c r="L528" i="2"/>
  <c r="S528" i="2"/>
  <c r="K528" i="2"/>
  <c r="R528" i="2"/>
  <c r="J528" i="2"/>
  <c r="AH528" i="2" s="1"/>
  <c r="Q528" i="2"/>
  <c r="I528" i="2"/>
  <c r="P528" i="2"/>
  <c r="H528" i="2"/>
  <c r="V528" i="2"/>
  <c r="N528" i="2"/>
  <c r="F528" i="2"/>
  <c r="U528" i="2"/>
  <c r="M528" i="2"/>
  <c r="O528" i="2"/>
  <c r="G528" i="2"/>
  <c r="W528" i="2"/>
  <c r="AK517" i="1"/>
  <c r="V530" i="2"/>
  <c r="N530" i="2"/>
  <c r="F530" i="2"/>
  <c r="U530" i="2"/>
  <c r="M530" i="2"/>
  <c r="T530" i="2"/>
  <c r="L530" i="2"/>
  <c r="S530" i="2"/>
  <c r="K530" i="2"/>
  <c r="R530" i="2"/>
  <c r="J530" i="2"/>
  <c r="AH530" i="2" s="1"/>
  <c r="P530" i="2"/>
  <c r="H530" i="2"/>
  <c r="W530" i="2"/>
  <c r="O530" i="2"/>
  <c r="G530" i="2"/>
  <c r="I530" i="2"/>
  <c r="Q530" i="2"/>
  <c r="U533" i="2"/>
  <c r="M533" i="2"/>
  <c r="T533" i="2"/>
  <c r="L533" i="2"/>
  <c r="S533" i="2"/>
  <c r="K533" i="2"/>
  <c r="R533" i="2"/>
  <c r="J533" i="2"/>
  <c r="AH533" i="2" s="1"/>
  <c r="Q533" i="2"/>
  <c r="I533" i="2"/>
  <c r="W533" i="2"/>
  <c r="O533" i="2"/>
  <c r="G533" i="2"/>
  <c r="V533" i="2"/>
  <c r="N533" i="2"/>
  <c r="F533" i="2"/>
  <c r="P533" i="2"/>
  <c r="H533" i="2"/>
  <c r="AK522" i="1"/>
  <c r="W535" i="2"/>
  <c r="O535" i="2"/>
  <c r="G535" i="2"/>
  <c r="V535" i="2"/>
  <c r="N535" i="2"/>
  <c r="F535" i="2"/>
  <c r="U535" i="2"/>
  <c r="M535" i="2"/>
  <c r="T535" i="2"/>
  <c r="L535" i="2"/>
  <c r="S535" i="2"/>
  <c r="K535" i="2"/>
  <c r="Q535" i="2"/>
  <c r="I535" i="2"/>
  <c r="P535" i="2"/>
  <c r="H535" i="2"/>
  <c r="R535" i="2"/>
  <c r="J535" i="2"/>
  <c r="AH535" i="2" s="1"/>
  <c r="AC538" i="2"/>
  <c r="E538" i="2"/>
  <c r="AB538" i="2"/>
  <c r="AA538" i="2"/>
  <c r="Z538" i="2"/>
  <c r="X538" i="2"/>
  <c r="Y538" i="2"/>
  <c r="X540" i="2"/>
  <c r="AC540" i="2"/>
  <c r="E540" i="2"/>
  <c r="AB540" i="2"/>
  <c r="Z540" i="2"/>
  <c r="Y540" i="2"/>
  <c r="AA540" i="2"/>
  <c r="AK532" i="1"/>
  <c r="Q545" i="2"/>
  <c r="I545" i="2"/>
  <c r="P545" i="2"/>
  <c r="H545" i="2"/>
  <c r="W545" i="2"/>
  <c r="O545" i="2"/>
  <c r="G545" i="2"/>
  <c r="V545" i="2"/>
  <c r="N545" i="2"/>
  <c r="F545" i="2"/>
  <c r="U545" i="2"/>
  <c r="M545" i="2"/>
  <c r="S545" i="2"/>
  <c r="K545" i="2"/>
  <c r="R545" i="2"/>
  <c r="J545" i="2"/>
  <c r="AH545" i="2" s="1"/>
  <c r="L545" i="2"/>
  <c r="T545" i="2"/>
  <c r="AK534" i="1"/>
  <c r="R550" i="2"/>
  <c r="J550" i="2"/>
  <c r="AH550" i="2" s="1"/>
  <c r="Q550" i="2"/>
  <c r="I550" i="2"/>
  <c r="P550" i="2"/>
  <c r="H550" i="2"/>
  <c r="W550" i="2"/>
  <c r="O550" i="2"/>
  <c r="G550" i="2"/>
  <c r="S550" i="2"/>
  <c r="K550" i="2"/>
  <c r="T550" i="2"/>
  <c r="N550" i="2"/>
  <c r="M550" i="2"/>
  <c r="L550" i="2"/>
  <c r="F550" i="2"/>
  <c r="V550" i="2"/>
  <c r="U550" i="2"/>
  <c r="AK539" i="1"/>
  <c r="AA555" i="2"/>
  <c r="Z555" i="2"/>
  <c r="Y555" i="2"/>
  <c r="X555" i="2"/>
  <c r="AC555" i="2"/>
  <c r="E555" i="2"/>
  <c r="AB555" i="2"/>
  <c r="Z558" i="2"/>
  <c r="Y558" i="2"/>
  <c r="X558" i="2"/>
  <c r="AB558" i="2"/>
  <c r="AA558" i="2"/>
  <c r="AC558" i="2"/>
  <c r="E558" i="2"/>
  <c r="T560" i="2"/>
  <c r="L560" i="2"/>
  <c r="S560" i="2"/>
  <c r="K560" i="2"/>
  <c r="R560" i="2"/>
  <c r="J560" i="2"/>
  <c r="AH560" i="2" s="1"/>
  <c r="Q560" i="2"/>
  <c r="I560" i="2"/>
  <c r="P560" i="2"/>
  <c r="H560" i="2"/>
  <c r="V560" i="2"/>
  <c r="N560" i="2"/>
  <c r="F560" i="2"/>
  <c r="U560" i="2"/>
  <c r="M560" i="2"/>
  <c r="O560" i="2"/>
  <c r="G560" i="2"/>
  <c r="W560" i="2"/>
  <c r="AK549" i="1"/>
  <c r="V562" i="2"/>
  <c r="N562" i="2"/>
  <c r="F562" i="2"/>
  <c r="U562" i="2"/>
  <c r="M562" i="2"/>
  <c r="T562" i="2"/>
  <c r="L562" i="2"/>
  <c r="S562" i="2"/>
  <c r="K562" i="2"/>
  <c r="R562" i="2"/>
  <c r="J562" i="2"/>
  <c r="AH562" i="2" s="1"/>
  <c r="P562" i="2"/>
  <c r="H562" i="2"/>
  <c r="W562" i="2"/>
  <c r="O562" i="2"/>
  <c r="G562" i="2"/>
  <c r="Q562" i="2"/>
  <c r="I562" i="2"/>
  <c r="AC567" i="2"/>
  <c r="E567" i="2"/>
  <c r="AB567" i="2"/>
  <c r="AA567" i="2"/>
  <c r="Y567" i="2"/>
  <c r="X567" i="2"/>
  <c r="Z567" i="2"/>
  <c r="AB576" i="2"/>
  <c r="AA576" i="2"/>
  <c r="Z576" i="2"/>
  <c r="Y576" i="2"/>
  <c r="X576" i="2"/>
  <c r="AC576" i="2"/>
  <c r="E576" i="2"/>
  <c r="X583" i="2"/>
  <c r="AC583" i="2"/>
  <c r="AB583" i="2"/>
  <c r="AA583" i="2"/>
  <c r="E583" i="2"/>
  <c r="Z583" i="2"/>
  <c r="Y583" i="2"/>
  <c r="AC592" i="2"/>
  <c r="E592" i="2"/>
  <c r="AB592" i="2"/>
  <c r="AA592" i="2"/>
  <c r="Z592" i="2"/>
  <c r="Y592" i="2"/>
  <c r="X592" i="2"/>
  <c r="X599" i="2"/>
  <c r="AC599" i="2"/>
  <c r="E599" i="2"/>
  <c r="AB599" i="2"/>
  <c r="Z599" i="2"/>
  <c r="Y599" i="2"/>
  <c r="AA599" i="2"/>
  <c r="AA608" i="2"/>
  <c r="Y608" i="2"/>
  <c r="X608" i="2"/>
  <c r="AC608" i="2"/>
  <c r="E608" i="2"/>
  <c r="Z608" i="2"/>
  <c r="AB608" i="2"/>
  <c r="AC615" i="2"/>
  <c r="E615" i="2"/>
  <c r="AB615" i="2"/>
  <c r="AA615" i="2"/>
  <c r="Z615" i="2"/>
  <c r="Y615" i="2"/>
  <c r="X615" i="2"/>
  <c r="AA624" i="2"/>
  <c r="Z624" i="2"/>
  <c r="Y624" i="2"/>
  <c r="X624" i="2"/>
  <c r="AC624" i="2"/>
  <c r="E624" i="2"/>
  <c r="AB624" i="2"/>
  <c r="X631" i="2"/>
  <c r="AC631" i="2"/>
  <c r="E631" i="2"/>
  <c r="AB631" i="2"/>
  <c r="AA631" i="2"/>
  <c r="Z631" i="2"/>
  <c r="Y631" i="2"/>
  <c r="X640" i="2"/>
  <c r="AB640" i="2"/>
  <c r="AC640" i="2"/>
  <c r="AA640" i="2"/>
  <c r="Z640" i="2"/>
  <c r="E640" i="2"/>
  <c r="Y640" i="2"/>
  <c r="AB647" i="2"/>
  <c r="AA647" i="2"/>
  <c r="X647" i="2"/>
  <c r="AC647" i="2"/>
  <c r="Z647" i="2"/>
  <c r="Y647" i="2"/>
  <c r="E647" i="2"/>
  <c r="Y656" i="2"/>
  <c r="X656" i="2"/>
  <c r="AC656" i="2"/>
  <c r="E656" i="2"/>
  <c r="AB656" i="2"/>
  <c r="AA656" i="2"/>
  <c r="Z656" i="2"/>
  <c r="AA663" i="2"/>
  <c r="AB663" i="2"/>
  <c r="Y663" i="2"/>
  <c r="E663" i="2"/>
  <c r="AC663" i="2"/>
  <c r="Z663" i="2"/>
  <c r="X663" i="2"/>
  <c r="Z672" i="2"/>
  <c r="X672" i="2"/>
  <c r="AB672" i="2"/>
  <c r="Y672" i="2"/>
  <c r="AA672" i="2"/>
  <c r="E672" i="2"/>
  <c r="AC672" i="2"/>
  <c r="AA679" i="2"/>
  <c r="E679" i="2"/>
  <c r="AC679" i="2"/>
  <c r="Z679" i="2"/>
  <c r="AB679" i="2"/>
  <c r="Y679" i="2"/>
  <c r="X679" i="2"/>
  <c r="AC16" i="2"/>
  <c r="F17" i="2"/>
  <c r="P23" i="2"/>
  <c r="J25" i="2"/>
  <c r="AH25" i="2" s="1"/>
  <c r="Q28" i="2"/>
  <c r="H31" i="2"/>
  <c r="U33" i="2"/>
  <c r="P40" i="2"/>
  <c r="AB40" i="2"/>
  <c r="AA40" i="2"/>
  <c r="Z40" i="2"/>
  <c r="Y40" i="2"/>
  <c r="E40" i="2"/>
  <c r="AC40" i="2"/>
  <c r="X40" i="2"/>
  <c r="AB48" i="2"/>
  <c r="AA48" i="2"/>
  <c r="Z48" i="2"/>
  <c r="Y48" i="2"/>
  <c r="X48" i="2"/>
  <c r="E48" i="2"/>
  <c r="AC48" i="2"/>
  <c r="Z80" i="2"/>
  <c r="Y80" i="2"/>
  <c r="X80" i="2"/>
  <c r="AB80" i="2"/>
  <c r="E80" i="2"/>
  <c r="AC80" i="2"/>
  <c r="AA80" i="2"/>
  <c r="Z104" i="2"/>
  <c r="Y104" i="2"/>
  <c r="X104" i="2"/>
  <c r="AB104" i="2"/>
  <c r="E104" i="2"/>
  <c r="AC104" i="2"/>
  <c r="AA104" i="2"/>
  <c r="Q119" i="2"/>
  <c r="I119" i="2"/>
  <c r="T119" i="2"/>
  <c r="L119" i="2"/>
  <c r="N119" i="2"/>
  <c r="W119" i="2"/>
  <c r="M119" i="2"/>
  <c r="V119" i="2"/>
  <c r="K119" i="2"/>
  <c r="U119" i="2"/>
  <c r="J119" i="2"/>
  <c r="AH119" i="2" s="1"/>
  <c r="S119" i="2"/>
  <c r="H119" i="2"/>
  <c r="P119" i="2"/>
  <c r="F119" i="2"/>
  <c r="R119" i="2"/>
  <c r="O119" i="2"/>
  <c r="G119" i="2"/>
  <c r="Y128" i="2"/>
  <c r="Z128" i="2"/>
  <c r="X128" i="2"/>
  <c r="AB128" i="2"/>
  <c r="E128" i="2"/>
  <c r="AC128" i="2"/>
  <c r="AA128" i="2"/>
  <c r="AC258" i="2"/>
  <c r="E258" i="2"/>
  <c r="AB258" i="2"/>
  <c r="AA258" i="2"/>
  <c r="Y258" i="2"/>
  <c r="Z258" i="2"/>
  <c r="X258" i="2"/>
  <c r="Y438" i="2"/>
  <c r="X438" i="2"/>
  <c r="AC438" i="2"/>
  <c r="AB438" i="2"/>
  <c r="AA438" i="2"/>
  <c r="Z438" i="2"/>
  <c r="E438" i="2"/>
  <c r="P474" i="2"/>
  <c r="H474" i="2"/>
  <c r="W474" i="2"/>
  <c r="O474" i="2"/>
  <c r="G474" i="2"/>
  <c r="V474" i="2"/>
  <c r="N474" i="2"/>
  <c r="F474" i="2"/>
  <c r="T474" i="2"/>
  <c r="L474" i="2"/>
  <c r="R474" i="2"/>
  <c r="J474" i="2"/>
  <c r="AH474" i="2" s="1"/>
  <c r="Q474" i="2"/>
  <c r="I474" i="2"/>
  <c r="U474" i="2"/>
  <c r="S474" i="2"/>
  <c r="M474" i="2"/>
  <c r="K474" i="2"/>
  <c r="R558" i="2"/>
  <c r="J558" i="2"/>
  <c r="AH558" i="2" s="1"/>
  <c r="Q558" i="2"/>
  <c r="I558" i="2"/>
  <c r="P558" i="2"/>
  <c r="H558" i="2"/>
  <c r="W558" i="2"/>
  <c r="O558" i="2"/>
  <c r="G558" i="2"/>
  <c r="V558" i="2"/>
  <c r="N558" i="2"/>
  <c r="F558" i="2"/>
  <c r="T558" i="2"/>
  <c r="L558" i="2"/>
  <c r="S558" i="2"/>
  <c r="K558" i="2"/>
  <c r="U558" i="2"/>
  <c r="M558" i="2"/>
  <c r="AK547" i="1"/>
  <c r="R20" i="2"/>
  <c r="J20" i="2"/>
  <c r="AH20" i="2" s="1"/>
  <c r="P20" i="2"/>
  <c r="H20" i="2"/>
  <c r="W20" i="2"/>
  <c r="O20" i="2"/>
  <c r="G20" i="2"/>
  <c r="V20" i="2"/>
  <c r="N20" i="2"/>
  <c r="F20" i="2"/>
  <c r="T20" i="2"/>
  <c r="L20" i="2"/>
  <c r="S20" i="2"/>
  <c r="K20" i="2"/>
  <c r="AA29" i="2"/>
  <c r="AB29" i="2"/>
  <c r="Z29" i="2"/>
  <c r="E29" i="2"/>
  <c r="Y29" i="2"/>
  <c r="P36" i="2"/>
  <c r="H36" i="2"/>
  <c r="W36" i="2"/>
  <c r="O36" i="2"/>
  <c r="V36" i="2"/>
  <c r="N36" i="2"/>
  <c r="F36" i="2"/>
  <c r="U36" i="2"/>
  <c r="M36" i="2"/>
  <c r="S36" i="2"/>
  <c r="K36" i="2"/>
  <c r="R36" i="2"/>
  <c r="J36" i="2"/>
  <c r="AH36" i="2" s="1"/>
  <c r="T36" i="2"/>
  <c r="L36" i="2"/>
  <c r="I36" i="2"/>
  <c r="G36" i="2"/>
  <c r="P44" i="2"/>
  <c r="H44" i="2"/>
  <c r="W44" i="2"/>
  <c r="O44" i="2"/>
  <c r="G44" i="2"/>
  <c r="V44" i="2"/>
  <c r="N44" i="2"/>
  <c r="F44" i="2"/>
  <c r="U44" i="2"/>
  <c r="M44" i="2"/>
  <c r="T44" i="2"/>
  <c r="L44" i="2"/>
  <c r="S44" i="2"/>
  <c r="K44" i="2"/>
  <c r="R44" i="2"/>
  <c r="J44" i="2"/>
  <c r="AH44" i="2" s="1"/>
  <c r="I44" i="2"/>
  <c r="AA69" i="2"/>
  <c r="Z69" i="2"/>
  <c r="Y69" i="2"/>
  <c r="X69" i="2"/>
  <c r="AC69" i="2"/>
  <c r="E69" i="2"/>
  <c r="AB69" i="2"/>
  <c r="AA85" i="2"/>
  <c r="Z85" i="2"/>
  <c r="Y85" i="2"/>
  <c r="X85" i="2"/>
  <c r="AC85" i="2"/>
  <c r="E85" i="2"/>
  <c r="AB85" i="2"/>
  <c r="Z109" i="2"/>
  <c r="AC109" i="2"/>
  <c r="AB109" i="2"/>
  <c r="AA109" i="2"/>
  <c r="E109" i="2"/>
  <c r="Y109" i="2"/>
  <c r="X109" i="2"/>
  <c r="Z125" i="2"/>
  <c r="AC125" i="2"/>
  <c r="AB125" i="2"/>
  <c r="AA125" i="2"/>
  <c r="E125" i="2"/>
  <c r="Y125" i="2"/>
  <c r="X125" i="2"/>
  <c r="Y141" i="2"/>
  <c r="X141" i="2"/>
  <c r="AA141" i="2"/>
  <c r="Z141" i="2"/>
  <c r="AC141" i="2"/>
  <c r="AB141" i="2"/>
  <c r="E141" i="2"/>
  <c r="Y149" i="2"/>
  <c r="X149" i="2"/>
  <c r="AA149" i="2"/>
  <c r="Z149" i="2"/>
  <c r="E149" i="2"/>
  <c r="AC149" i="2"/>
  <c r="AB149" i="2"/>
  <c r="P168" i="2"/>
  <c r="H168" i="2"/>
  <c r="W168" i="2"/>
  <c r="O168" i="2"/>
  <c r="G168" i="2"/>
  <c r="V168" i="2"/>
  <c r="N168" i="2"/>
  <c r="F168" i="2"/>
  <c r="U168" i="2"/>
  <c r="M168" i="2"/>
  <c r="R168" i="2"/>
  <c r="J168" i="2"/>
  <c r="AH168" i="2" s="1"/>
  <c r="Q168" i="2"/>
  <c r="I168" i="2"/>
  <c r="T168" i="2"/>
  <c r="S168" i="2"/>
  <c r="L168" i="2"/>
  <c r="K168" i="2"/>
  <c r="AK157" i="1"/>
  <c r="U180" i="2"/>
  <c r="M180" i="2"/>
  <c r="T180" i="2"/>
  <c r="S180" i="2"/>
  <c r="K180" i="2"/>
  <c r="R180" i="2"/>
  <c r="J180" i="2"/>
  <c r="AH180" i="2" s="1"/>
  <c r="W180" i="2"/>
  <c r="O180" i="2"/>
  <c r="G180" i="2"/>
  <c r="V180" i="2"/>
  <c r="Q180" i="2"/>
  <c r="P180" i="2"/>
  <c r="N180" i="2"/>
  <c r="H180" i="2"/>
  <c r="F180" i="2"/>
  <c r="L180" i="2"/>
  <c r="I180" i="2"/>
  <c r="AK169" i="1"/>
  <c r="U188" i="2"/>
  <c r="M188" i="2"/>
  <c r="T188" i="2"/>
  <c r="L188" i="2"/>
  <c r="S188" i="2"/>
  <c r="K188" i="2"/>
  <c r="R188" i="2"/>
  <c r="J188" i="2"/>
  <c r="AH188" i="2" s="1"/>
  <c r="Q188" i="2"/>
  <c r="I188" i="2"/>
  <c r="W188" i="2"/>
  <c r="O188" i="2"/>
  <c r="G188" i="2"/>
  <c r="V188" i="2"/>
  <c r="P188" i="2"/>
  <c r="N188" i="2"/>
  <c r="H188" i="2"/>
  <c r="F188" i="2"/>
  <c r="AK177" i="1"/>
  <c r="Q208" i="2"/>
  <c r="I208" i="2"/>
  <c r="P208" i="2"/>
  <c r="H208" i="2"/>
  <c r="W208" i="2"/>
  <c r="O208" i="2"/>
  <c r="G208" i="2"/>
  <c r="V208" i="2"/>
  <c r="N208" i="2"/>
  <c r="F208" i="2"/>
  <c r="U208" i="2"/>
  <c r="M208" i="2"/>
  <c r="S208" i="2"/>
  <c r="K208" i="2"/>
  <c r="L208" i="2"/>
  <c r="J208" i="2"/>
  <c r="AH208" i="2" s="1"/>
  <c r="T208" i="2"/>
  <c r="R208" i="2"/>
  <c r="AK197" i="1"/>
  <c r="Y216" i="2"/>
  <c r="X216" i="2"/>
  <c r="AC216" i="2"/>
  <c r="E216" i="2"/>
  <c r="AA216" i="2"/>
  <c r="Z216" i="2"/>
  <c r="AB216" i="2"/>
  <c r="Y224" i="2"/>
  <c r="X224" i="2"/>
  <c r="AC224" i="2"/>
  <c r="E224" i="2"/>
  <c r="AA224" i="2"/>
  <c r="AB224" i="2"/>
  <c r="Z224" i="2"/>
  <c r="Y232" i="2"/>
  <c r="X232" i="2"/>
  <c r="AC232" i="2"/>
  <c r="E232" i="2"/>
  <c r="AA232" i="2"/>
  <c r="AB232" i="2"/>
  <c r="Z232" i="2"/>
  <c r="X247" i="2"/>
  <c r="AC247" i="2"/>
  <c r="E247" i="2"/>
  <c r="AB247" i="2"/>
  <c r="Z247" i="2"/>
  <c r="AA247" i="2"/>
  <c r="Y247" i="2"/>
  <c r="Z257" i="2"/>
  <c r="Y257" i="2"/>
  <c r="X257" i="2"/>
  <c r="AB257" i="2"/>
  <c r="AA257" i="2"/>
  <c r="E257" i="2"/>
  <c r="AC257" i="2"/>
  <c r="X279" i="2"/>
  <c r="AC279" i="2"/>
  <c r="E279" i="2"/>
  <c r="AB279" i="2"/>
  <c r="Z279" i="2"/>
  <c r="AA279" i="2"/>
  <c r="Y279" i="2"/>
  <c r="AK271" i="1"/>
  <c r="Z289" i="2"/>
  <c r="Y289" i="2"/>
  <c r="X289" i="2"/>
  <c r="AB289" i="2"/>
  <c r="E289" i="2"/>
  <c r="AC289" i="2"/>
  <c r="AA289" i="2"/>
  <c r="AC296" i="2"/>
  <c r="E296" i="2"/>
  <c r="AB296" i="2"/>
  <c r="AA296" i="2"/>
  <c r="Z296" i="2"/>
  <c r="Y296" i="2"/>
  <c r="X296" i="2"/>
  <c r="X311" i="2"/>
  <c r="AC311" i="2"/>
  <c r="E311" i="2"/>
  <c r="AB311" i="2"/>
  <c r="Z311" i="2"/>
  <c r="AA311" i="2"/>
  <c r="Y311" i="2"/>
  <c r="AK303" i="1"/>
  <c r="T323" i="2"/>
  <c r="L323" i="2"/>
  <c r="S323" i="2"/>
  <c r="K323" i="2"/>
  <c r="R323" i="2"/>
  <c r="J323" i="2"/>
  <c r="AH323" i="2" s="1"/>
  <c r="Q323" i="2"/>
  <c r="I323" i="2"/>
  <c r="P323" i="2"/>
  <c r="H323" i="2"/>
  <c r="V323" i="2"/>
  <c r="N323" i="2"/>
  <c r="F323" i="2"/>
  <c r="M323" i="2"/>
  <c r="G323" i="2"/>
  <c r="W323" i="2"/>
  <c r="U323" i="2"/>
  <c r="O323" i="2"/>
  <c r="AC353" i="2"/>
  <c r="E353" i="2"/>
  <c r="AB353" i="2"/>
  <c r="AA353" i="2"/>
  <c r="Y353" i="2"/>
  <c r="X353" i="2"/>
  <c r="Z353" i="2"/>
  <c r="X360" i="2"/>
  <c r="AC360" i="2"/>
  <c r="AB360" i="2"/>
  <c r="AA360" i="2"/>
  <c r="Z360" i="2"/>
  <c r="Y360" i="2"/>
  <c r="E360" i="2"/>
  <c r="AC385" i="2"/>
  <c r="E385" i="2"/>
  <c r="AB385" i="2"/>
  <c r="AA385" i="2"/>
  <c r="Y385" i="2"/>
  <c r="Z385" i="2"/>
  <c r="X385" i="2"/>
  <c r="R419" i="2"/>
  <c r="J419" i="2"/>
  <c r="AH419" i="2" s="1"/>
  <c r="Q419" i="2"/>
  <c r="I419" i="2"/>
  <c r="P419" i="2"/>
  <c r="H419" i="2"/>
  <c r="W419" i="2"/>
  <c r="O419" i="2"/>
  <c r="G419" i="2"/>
  <c r="V419" i="2"/>
  <c r="N419" i="2"/>
  <c r="F419" i="2"/>
  <c r="T419" i="2"/>
  <c r="L419" i="2"/>
  <c r="S419" i="2"/>
  <c r="K419" i="2"/>
  <c r="U419" i="2"/>
  <c r="M419" i="2"/>
  <c r="R451" i="2"/>
  <c r="J451" i="2"/>
  <c r="AH451" i="2" s="1"/>
  <c r="Q451" i="2"/>
  <c r="I451" i="2"/>
  <c r="P451" i="2"/>
  <c r="H451" i="2"/>
  <c r="W451" i="2"/>
  <c r="O451" i="2"/>
  <c r="G451" i="2"/>
  <c r="V451" i="2"/>
  <c r="N451" i="2"/>
  <c r="F451" i="2"/>
  <c r="U451" i="2"/>
  <c r="M451" i="2"/>
  <c r="T451" i="2"/>
  <c r="L451" i="2"/>
  <c r="S451" i="2"/>
  <c r="K451" i="2"/>
  <c r="U483" i="2"/>
  <c r="M483" i="2"/>
  <c r="T483" i="2"/>
  <c r="L483" i="2"/>
  <c r="S483" i="2"/>
  <c r="K483" i="2"/>
  <c r="R483" i="2"/>
  <c r="J483" i="2"/>
  <c r="AH483" i="2" s="1"/>
  <c r="Q483" i="2"/>
  <c r="I483" i="2"/>
  <c r="W483" i="2"/>
  <c r="O483" i="2"/>
  <c r="G483" i="2"/>
  <c r="V483" i="2"/>
  <c r="N483" i="2"/>
  <c r="F483" i="2"/>
  <c r="P483" i="2"/>
  <c r="H483" i="2"/>
  <c r="AC488" i="2"/>
  <c r="E488" i="2"/>
  <c r="AB488" i="2"/>
  <c r="AA488" i="2"/>
  <c r="Z488" i="2"/>
  <c r="X488" i="2"/>
  <c r="Y488" i="2"/>
  <c r="AE491" i="2"/>
  <c r="Y503" i="2"/>
  <c r="X503" i="2"/>
  <c r="AC503" i="2"/>
  <c r="E503" i="2"/>
  <c r="AA503" i="2"/>
  <c r="Z503" i="2"/>
  <c r="AB503" i="2"/>
  <c r="AK495" i="1"/>
  <c r="Y513" i="2"/>
  <c r="AC513" i="2"/>
  <c r="E513" i="2"/>
  <c r="AA513" i="2"/>
  <c r="Z513" i="2"/>
  <c r="X513" i="2"/>
  <c r="AB513" i="2"/>
  <c r="S515" i="2"/>
  <c r="K515" i="2"/>
  <c r="R515" i="2"/>
  <c r="Q515" i="2"/>
  <c r="I515" i="2"/>
  <c r="P515" i="2"/>
  <c r="H515" i="2"/>
  <c r="W515" i="2"/>
  <c r="O515" i="2"/>
  <c r="G515" i="2"/>
  <c r="U515" i="2"/>
  <c r="M515" i="2"/>
  <c r="T515" i="2"/>
  <c r="L515" i="2"/>
  <c r="J515" i="2"/>
  <c r="AH515" i="2" s="1"/>
  <c r="F515" i="2"/>
  <c r="V515" i="2"/>
  <c r="N515" i="2"/>
  <c r="AB520" i="2"/>
  <c r="AA520" i="2"/>
  <c r="Z520" i="2"/>
  <c r="Y520" i="2"/>
  <c r="X520" i="2"/>
  <c r="AC520" i="2"/>
  <c r="E520" i="2"/>
  <c r="AE523" i="2"/>
  <c r="AC535" i="2"/>
  <c r="E535" i="2"/>
  <c r="AB535" i="2"/>
  <c r="AA535" i="2"/>
  <c r="Y535" i="2"/>
  <c r="X535" i="2"/>
  <c r="Z535" i="2"/>
  <c r="AK527" i="1"/>
  <c r="Y545" i="2"/>
  <c r="X545" i="2"/>
  <c r="AC545" i="2"/>
  <c r="E545" i="2"/>
  <c r="AA545" i="2"/>
  <c r="Z545" i="2"/>
  <c r="AB545" i="2"/>
  <c r="S547" i="2"/>
  <c r="K547" i="2"/>
  <c r="R547" i="2"/>
  <c r="J547" i="2"/>
  <c r="AH547" i="2" s="1"/>
  <c r="Q547" i="2"/>
  <c r="G547" i="2"/>
  <c r="P547" i="2"/>
  <c r="F547" i="2"/>
  <c r="O547" i="2"/>
  <c r="N547" i="2"/>
  <c r="W547" i="2"/>
  <c r="M547" i="2"/>
  <c r="U547" i="2"/>
  <c r="I547" i="2"/>
  <c r="T547" i="2"/>
  <c r="H547" i="2"/>
  <c r="L547" i="2"/>
  <c r="V547" i="2"/>
  <c r="AB552" i="2"/>
  <c r="AA552" i="2"/>
  <c r="Z552" i="2"/>
  <c r="Y552" i="2"/>
  <c r="AC552" i="2"/>
  <c r="E552" i="2"/>
  <c r="X552" i="2"/>
  <c r="AE555" i="2"/>
  <c r="Q569" i="2"/>
  <c r="I569" i="2"/>
  <c r="P569" i="2"/>
  <c r="H569" i="2"/>
  <c r="W569" i="2"/>
  <c r="O569" i="2"/>
  <c r="G569" i="2"/>
  <c r="V569" i="2"/>
  <c r="N569" i="2"/>
  <c r="F569" i="2"/>
  <c r="U569" i="2"/>
  <c r="M569" i="2"/>
  <c r="S569" i="2"/>
  <c r="K569" i="2"/>
  <c r="R569" i="2"/>
  <c r="J569" i="2"/>
  <c r="AH569" i="2" s="1"/>
  <c r="L569" i="2"/>
  <c r="T569" i="2"/>
  <c r="AK558" i="1"/>
  <c r="S571" i="2"/>
  <c r="K571" i="2"/>
  <c r="R571" i="2"/>
  <c r="J571" i="2"/>
  <c r="AH571" i="2" s="1"/>
  <c r="Q571" i="2"/>
  <c r="I571" i="2"/>
  <c r="P571" i="2"/>
  <c r="H571" i="2"/>
  <c r="W571" i="2"/>
  <c r="O571" i="2"/>
  <c r="G571" i="2"/>
  <c r="U571" i="2"/>
  <c r="M571" i="2"/>
  <c r="T571" i="2"/>
  <c r="L571" i="2"/>
  <c r="V571" i="2"/>
  <c r="N571" i="2"/>
  <c r="F571" i="2"/>
  <c r="Z574" i="2"/>
  <c r="Y574" i="2"/>
  <c r="X574" i="2"/>
  <c r="AB574" i="2"/>
  <c r="AA574" i="2"/>
  <c r="E574" i="2"/>
  <c r="AC574" i="2"/>
  <c r="V578" i="2"/>
  <c r="N578" i="2"/>
  <c r="F578" i="2"/>
  <c r="U578" i="2"/>
  <c r="M578" i="2"/>
  <c r="T578" i="2"/>
  <c r="L578" i="2"/>
  <c r="S578" i="2"/>
  <c r="K578" i="2"/>
  <c r="R578" i="2"/>
  <c r="J578" i="2"/>
  <c r="AH578" i="2" s="1"/>
  <c r="P578" i="2"/>
  <c r="H578" i="2"/>
  <c r="W578" i="2"/>
  <c r="O578" i="2"/>
  <c r="G578" i="2"/>
  <c r="I578" i="2"/>
  <c r="Q578" i="2"/>
  <c r="AK567" i="1"/>
  <c r="AE583" i="2"/>
  <c r="R585" i="2"/>
  <c r="J585" i="2"/>
  <c r="AH585" i="2" s="1"/>
  <c r="Q585" i="2"/>
  <c r="I585" i="2"/>
  <c r="T585" i="2"/>
  <c r="H585" i="2"/>
  <c r="S585" i="2"/>
  <c r="G585" i="2"/>
  <c r="P585" i="2"/>
  <c r="F585" i="2"/>
  <c r="O585" i="2"/>
  <c r="N585" i="2"/>
  <c r="V585" i="2"/>
  <c r="L585" i="2"/>
  <c r="U585" i="2"/>
  <c r="K585" i="2"/>
  <c r="M585" i="2"/>
  <c r="W585" i="2"/>
  <c r="AK574" i="1"/>
  <c r="T587" i="2"/>
  <c r="L587" i="2"/>
  <c r="S587" i="2"/>
  <c r="K587" i="2"/>
  <c r="Q587" i="2"/>
  <c r="I587" i="2"/>
  <c r="V587" i="2"/>
  <c r="N587" i="2"/>
  <c r="M587" i="2"/>
  <c r="J587" i="2"/>
  <c r="AH587" i="2" s="1"/>
  <c r="H587" i="2"/>
  <c r="W587" i="2"/>
  <c r="G587" i="2"/>
  <c r="U587" i="2"/>
  <c r="F587" i="2"/>
  <c r="P587" i="2"/>
  <c r="O587" i="2"/>
  <c r="R587" i="2"/>
  <c r="AA590" i="2"/>
  <c r="Z590" i="2"/>
  <c r="Y590" i="2"/>
  <c r="X590" i="2"/>
  <c r="AC590" i="2"/>
  <c r="E590" i="2"/>
  <c r="AB590" i="2"/>
  <c r="W594" i="2"/>
  <c r="O594" i="2"/>
  <c r="G594" i="2"/>
  <c r="V594" i="2"/>
  <c r="N594" i="2"/>
  <c r="F594" i="2"/>
  <c r="U594" i="2"/>
  <c r="M594" i="2"/>
  <c r="T594" i="2"/>
  <c r="L594" i="2"/>
  <c r="S594" i="2"/>
  <c r="K594" i="2"/>
  <c r="Q594" i="2"/>
  <c r="I594" i="2"/>
  <c r="P594" i="2"/>
  <c r="H594" i="2"/>
  <c r="R594" i="2"/>
  <c r="J594" i="2"/>
  <c r="AH594" i="2" s="1"/>
  <c r="AK583" i="1"/>
  <c r="R601" i="2"/>
  <c r="J601" i="2"/>
  <c r="AH601" i="2" s="1"/>
  <c r="Q601" i="2"/>
  <c r="I601" i="2"/>
  <c r="P601" i="2"/>
  <c r="H601" i="2"/>
  <c r="W601" i="2"/>
  <c r="O601" i="2"/>
  <c r="G601" i="2"/>
  <c r="V601" i="2"/>
  <c r="N601" i="2"/>
  <c r="F601" i="2"/>
  <c r="T601" i="2"/>
  <c r="L601" i="2"/>
  <c r="S601" i="2"/>
  <c r="K601" i="2"/>
  <c r="U601" i="2"/>
  <c r="M601" i="2"/>
  <c r="AK590" i="1"/>
  <c r="T603" i="2"/>
  <c r="L603" i="2"/>
  <c r="S603" i="2"/>
  <c r="K603" i="2"/>
  <c r="R603" i="2"/>
  <c r="J603" i="2"/>
  <c r="AH603" i="2" s="1"/>
  <c r="Q603" i="2"/>
  <c r="I603" i="2"/>
  <c r="P603" i="2"/>
  <c r="H603" i="2"/>
  <c r="V603" i="2"/>
  <c r="N603" i="2"/>
  <c r="F603" i="2"/>
  <c r="U603" i="2"/>
  <c r="M603" i="2"/>
  <c r="G603" i="2"/>
  <c r="W603" i="2"/>
  <c r="O603" i="2"/>
  <c r="AA606" i="2"/>
  <c r="Z606" i="2"/>
  <c r="Y606" i="2"/>
  <c r="X606" i="2"/>
  <c r="AC606" i="2"/>
  <c r="E606" i="2"/>
  <c r="AB606" i="2"/>
  <c r="U610" i="2"/>
  <c r="M610" i="2"/>
  <c r="T610" i="2"/>
  <c r="L610" i="2"/>
  <c r="S610" i="2"/>
  <c r="K610" i="2"/>
  <c r="R610" i="2"/>
  <c r="J610" i="2"/>
  <c r="AH610" i="2" s="1"/>
  <c r="W610" i="2"/>
  <c r="O610" i="2"/>
  <c r="G610" i="2"/>
  <c r="Q610" i="2"/>
  <c r="P610" i="2"/>
  <c r="N610" i="2"/>
  <c r="I610" i="2"/>
  <c r="H610" i="2"/>
  <c r="V610" i="2"/>
  <c r="F610" i="2"/>
  <c r="AK599" i="1"/>
  <c r="P617" i="2"/>
  <c r="H617" i="2"/>
  <c r="W617" i="2"/>
  <c r="O617" i="2"/>
  <c r="G617" i="2"/>
  <c r="V617" i="2"/>
  <c r="N617" i="2"/>
  <c r="F617" i="2"/>
  <c r="U617" i="2"/>
  <c r="M617" i="2"/>
  <c r="T617" i="2"/>
  <c r="L617" i="2"/>
  <c r="S617" i="2"/>
  <c r="K617" i="2"/>
  <c r="R617" i="2"/>
  <c r="J617" i="2"/>
  <c r="AH617" i="2" s="1"/>
  <c r="Q617" i="2"/>
  <c r="I617" i="2"/>
  <c r="AK606" i="1"/>
  <c r="R619" i="2"/>
  <c r="J619" i="2"/>
  <c r="AH619" i="2" s="1"/>
  <c r="Q619" i="2"/>
  <c r="I619" i="2"/>
  <c r="P619" i="2"/>
  <c r="H619" i="2"/>
  <c r="W619" i="2"/>
  <c r="O619" i="2"/>
  <c r="G619" i="2"/>
  <c r="V619" i="2"/>
  <c r="N619" i="2"/>
  <c r="F619" i="2"/>
  <c r="U619" i="2"/>
  <c r="M619" i="2"/>
  <c r="T619" i="2"/>
  <c r="L619" i="2"/>
  <c r="S619" i="2"/>
  <c r="K619" i="2"/>
  <c r="Y622" i="2"/>
  <c r="X622" i="2"/>
  <c r="AC622" i="2"/>
  <c r="E622" i="2"/>
  <c r="AB622" i="2"/>
  <c r="AA622" i="2"/>
  <c r="Z622" i="2"/>
  <c r="U626" i="2"/>
  <c r="M626" i="2"/>
  <c r="T626" i="2"/>
  <c r="L626" i="2"/>
  <c r="S626" i="2"/>
  <c r="K626" i="2"/>
  <c r="R626" i="2"/>
  <c r="J626" i="2"/>
  <c r="AH626" i="2" s="1"/>
  <c r="Q626" i="2"/>
  <c r="I626" i="2"/>
  <c r="P626" i="2"/>
  <c r="H626" i="2"/>
  <c r="W626" i="2"/>
  <c r="O626" i="2"/>
  <c r="G626" i="2"/>
  <c r="V626" i="2"/>
  <c r="N626" i="2"/>
  <c r="F626" i="2"/>
  <c r="AK615" i="1"/>
  <c r="R633" i="2"/>
  <c r="J633" i="2"/>
  <c r="AH633" i="2" s="1"/>
  <c r="Q633" i="2"/>
  <c r="I633" i="2"/>
  <c r="P633" i="2"/>
  <c r="H633" i="2"/>
  <c r="W633" i="2"/>
  <c r="O633" i="2"/>
  <c r="G633" i="2"/>
  <c r="V633" i="2"/>
  <c r="N633" i="2"/>
  <c r="F633" i="2"/>
  <c r="U633" i="2"/>
  <c r="M633" i="2"/>
  <c r="T633" i="2"/>
  <c r="S633" i="2"/>
  <c r="L633" i="2"/>
  <c r="K633" i="2"/>
  <c r="AK622" i="1"/>
  <c r="T635" i="2"/>
  <c r="L635" i="2"/>
  <c r="S635" i="2"/>
  <c r="K635" i="2"/>
  <c r="R635" i="2"/>
  <c r="J635" i="2"/>
  <c r="AH635" i="2" s="1"/>
  <c r="Q635" i="2"/>
  <c r="I635" i="2"/>
  <c r="P635" i="2"/>
  <c r="H635" i="2"/>
  <c r="W635" i="2"/>
  <c r="O635" i="2"/>
  <c r="G635" i="2"/>
  <c r="V635" i="2"/>
  <c r="U635" i="2"/>
  <c r="N635" i="2"/>
  <c r="M635" i="2"/>
  <c r="F635" i="2"/>
  <c r="AB638" i="2"/>
  <c r="AA638" i="2"/>
  <c r="Z638" i="2"/>
  <c r="Y638" i="2"/>
  <c r="X638" i="2"/>
  <c r="AC638" i="2"/>
  <c r="E638" i="2"/>
  <c r="S642" i="2"/>
  <c r="K642" i="2"/>
  <c r="R642" i="2"/>
  <c r="J642" i="2"/>
  <c r="AH642" i="2" s="1"/>
  <c r="W642" i="2"/>
  <c r="O642" i="2"/>
  <c r="G642" i="2"/>
  <c r="V642" i="2"/>
  <c r="N642" i="2"/>
  <c r="F642" i="2"/>
  <c r="I642" i="2"/>
  <c r="H642" i="2"/>
  <c r="U642" i="2"/>
  <c r="T642" i="2"/>
  <c r="Q642" i="2"/>
  <c r="P642" i="2"/>
  <c r="M642" i="2"/>
  <c r="L642" i="2"/>
  <c r="AK631" i="1"/>
  <c r="AE647" i="2"/>
  <c r="V649" i="2"/>
  <c r="N649" i="2"/>
  <c r="F649" i="2"/>
  <c r="U649" i="2"/>
  <c r="M649" i="2"/>
  <c r="R649" i="2"/>
  <c r="J649" i="2"/>
  <c r="AH649" i="2" s="1"/>
  <c r="Q649" i="2"/>
  <c r="I649" i="2"/>
  <c r="P649" i="2"/>
  <c r="O649" i="2"/>
  <c r="L649" i="2"/>
  <c r="K649" i="2"/>
  <c r="H649" i="2"/>
  <c r="W649" i="2"/>
  <c r="G649" i="2"/>
  <c r="T649" i="2"/>
  <c r="S649" i="2"/>
  <c r="AK638" i="1"/>
  <c r="P651" i="2"/>
  <c r="H651" i="2"/>
  <c r="W651" i="2"/>
  <c r="O651" i="2"/>
  <c r="G651" i="2"/>
  <c r="V651" i="2"/>
  <c r="N651" i="2"/>
  <c r="F651" i="2"/>
  <c r="T651" i="2"/>
  <c r="L651" i="2"/>
  <c r="S651" i="2"/>
  <c r="K651" i="2"/>
  <c r="M651" i="2"/>
  <c r="J651" i="2"/>
  <c r="AH651" i="2" s="1"/>
  <c r="I651" i="2"/>
  <c r="U651" i="2"/>
  <c r="R651" i="2"/>
  <c r="Q651" i="2"/>
  <c r="AC654" i="2"/>
  <c r="E654" i="2"/>
  <c r="AA654" i="2"/>
  <c r="Z654" i="2"/>
  <c r="AB654" i="2"/>
  <c r="Y654" i="2"/>
  <c r="X654" i="2"/>
  <c r="S658" i="2"/>
  <c r="K658" i="2"/>
  <c r="Q658" i="2"/>
  <c r="H658" i="2"/>
  <c r="P658" i="2"/>
  <c r="G658" i="2"/>
  <c r="O658" i="2"/>
  <c r="F658" i="2"/>
  <c r="V658" i="2"/>
  <c r="M658" i="2"/>
  <c r="U658" i="2"/>
  <c r="L658" i="2"/>
  <c r="N658" i="2"/>
  <c r="J658" i="2"/>
  <c r="AH658" i="2" s="1"/>
  <c r="I658" i="2"/>
  <c r="W658" i="2"/>
  <c r="T658" i="2"/>
  <c r="R658" i="2"/>
  <c r="AK647" i="1"/>
  <c r="AE663" i="2"/>
  <c r="U665" i="2"/>
  <c r="M665" i="2"/>
  <c r="T665" i="2"/>
  <c r="K665" i="2"/>
  <c r="R665" i="2"/>
  <c r="I665" i="2"/>
  <c r="P665" i="2"/>
  <c r="O665" i="2"/>
  <c r="N665" i="2"/>
  <c r="L665" i="2"/>
  <c r="W665" i="2"/>
  <c r="J665" i="2"/>
  <c r="AH665" i="2" s="1"/>
  <c r="V665" i="2"/>
  <c r="H665" i="2"/>
  <c r="F665" i="2"/>
  <c r="S665" i="2"/>
  <c r="Q665" i="2"/>
  <c r="G665" i="2"/>
  <c r="AK654" i="1"/>
  <c r="Q667" i="2"/>
  <c r="I667" i="2"/>
  <c r="W667" i="2"/>
  <c r="O667" i="2"/>
  <c r="G667" i="2"/>
  <c r="S667" i="2"/>
  <c r="H667" i="2"/>
  <c r="P667" i="2"/>
  <c r="U667" i="2"/>
  <c r="F667" i="2"/>
  <c r="T667" i="2"/>
  <c r="R667" i="2"/>
  <c r="N667" i="2"/>
  <c r="M667" i="2"/>
  <c r="L667" i="2"/>
  <c r="V667" i="2"/>
  <c r="K667" i="2"/>
  <c r="J667" i="2"/>
  <c r="AH667" i="2" s="1"/>
  <c r="X670" i="2"/>
  <c r="AA670" i="2"/>
  <c r="E670" i="2"/>
  <c r="Y670" i="2"/>
  <c r="AC670" i="2"/>
  <c r="AB670" i="2"/>
  <c r="Z670" i="2"/>
  <c r="T674" i="2"/>
  <c r="L674" i="2"/>
  <c r="R674" i="2"/>
  <c r="J674" i="2"/>
  <c r="AH674" i="2" s="1"/>
  <c r="Q674" i="2"/>
  <c r="G674" i="2"/>
  <c r="O674" i="2"/>
  <c r="U674" i="2"/>
  <c r="F674" i="2"/>
  <c r="S674" i="2"/>
  <c r="P674" i="2"/>
  <c r="N674" i="2"/>
  <c r="M674" i="2"/>
  <c r="K674" i="2"/>
  <c r="V674" i="2"/>
  <c r="I674" i="2"/>
  <c r="H674" i="2"/>
  <c r="W674" i="2"/>
  <c r="AK663" i="1"/>
  <c r="AE679" i="2"/>
  <c r="U681" i="2"/>
  <c r="M681" i="2"/>
  <c r="P681" i="2"/>
  <c r="G681" i="2"/>
  <c r="W681" i="2"/>
  <c r="N681" i="2"/>
  <c r="O681" i="2"/>
  <c r="K681" i="2"/>
  <c r="S681" i="2"/>
  <c r="R681" i="2"/>
  <c r="Q681" i="2"/>
  <c r="L681" i="2"/>
  <c r="J681" i="2"/>
  <c r="AH681" i="2" s="1"/>
  <c r="I681" i="2"/>
  <c r="V681" i="2"/>
  <c r="T681" i="2"/>
  <c r="H681" i="2"/>
  <c r="F681" i="2"/>
  <c r="AK670" i="1"/>
  <c r="J17" i="2"/>
  <c r="AH17" i="2" s="1"/>
  <c r="Q20" i="2"/>
  <c r="Z21" i="2"/>
  <c r="T23" i="2"/>
  <c r="E24" i="2"/>
  <c r="N25" i="2"/>
  <c r="AA26" i="2"/>
  <c r="N31" i="2"/>
  <c r="AB33" i="2"/>
  <c r="S39" i="2"/>
  <c r="E56" i="2"/>
  <c r="H71" i="2"/>
  <c r="AB165" i="2"/>
  <c r="Z32" i="2"/>
  <c r="AA32" i="2"/>
  <c r="E32" i="2"/>
  <c r="X32" i="2"/>
  <c r="AC32" i="2"/>
  <c r="AB32" i="2"/>
  <c r="Z64" i="2"/>
  <c r="Y64" i="2"/>
  <c r="X64" i="2"/>
  <c r="AB64" i="2"/>
  <c r="AC64" i="2"/>
  <c r="AA64" i="2"/>
  <c r="E64" i="2"/>
  <c r="U95" i="2"/>
  <c r="M95" i="2"/>
  <c r="T95" i="2"/>
  <c r="L95" i="2"/>
  <c r="S95" i="2"/>
  <c r="K95" i="2"/>
  <c r="R95" i="2"/>
  <c r="J95" i="2"/>
  <c r="AH95" i="2" s="1"/>
  <c r="Q95" i="2"/>
  <c r="I95" i="2"/>
  <c r="W95" i="2"/>
  <c r="O95" i="2"/>
  <c r="G95" i="2"/>
  <c r="H95" i="2"/>
  <c r="F95" i="2"/>
  <c r="V95" i="2"/>
  <c r="P95" i="2"/>
  <c r="Y120" i="2"/>
  <c r="AC120" i="2"/>
  <c r="AB120" i="2"/>
  <c r="AA120" i="2"/>
  <c r="E120" i="2"/>
  <c r="Z120" i="2"/>
  <c r="X120" i="2"/>
  <c r="Q127" i="2"/>
  <c r="I127" i="2"/>
  <c r="T127" i="2"/>
  <c r="L127" i="2"/>
  <c r="S127" i="2"/>
  <c r="H127" i="2"/>
  <c r="R127" i="2"/>
  <c r="G127" i="2"/>
  <c r="P127" i="2"/>
  <c r="F127" i="2"/>
  <c r="O127" i="2"/>
  <c r="N127" i="2"/>
  <c r="V127" i="2"/>
  <c r="K127" i="2"/>
  <c r="W127" i="2"/>
  <c r="U127" i="2"/>
  <c r="M127" i="2"/>
  <c r="J127" i="2"/>
  <c r="AH127" i="2" s="1"/>
  <c r="S143" i="2"/>
  <c r="K143" i="2"/>
  <c r="R143" i="2"/>
  <c r="J143" i="2"/>
  <c r="AH143" i="2" s="1"/>
  <c r="Q143" i="2"/>
  <c r="I143" i="2"/>
  <c r="P143" i="2"/>
  <c r="H143" i="2"/>
  <c r="U143" i="2"/>
  <c r="M143" i="2"/>
  <c r="T143" i="2"/>
  <c r="L143" i="2"/>
  <c r="W143" i="2"/>
  <c r="V143" i="2"/>
  <c r="O143" i="2"/>
  <c r="N143" i="2"/>
  <c r="F143" i="2"/>
  <c r="G143" i="2"/>
  <c r="V253" i="2"/>
  <c r="N253" i="2"/>
  <c r="F253" i="2"/>
  <c r="U253" i="2"/>
  <c r="M253" i="2"/>
  <c r="T253" i="2"/>
  <c r="L253" i="2"/>
  <c r="S253" i="2"/>
  <c r="K253" i="2"/>
  <c r="R253" i="2"/>
  <c r="J253" i="2"/>
  <c r="AH253" i="2" s="1"/>
  <c r="P253" i="2"/>
  <c r="H253" i="2"/>
  <c r="G253" i="2"/>
  <c r="W253" i="2"/>
  <c r="O253" i="2"/>
  <c r="I253" i="2"/>
  <c r="Q253" i="2"/>
  <c r="AK242" i="1"/>
  <c r="AE263" i="2"/>
  <c r="AB275" i="2"/>
  <c r="AA275" i="2"/>
  <c r="Z275" i="2"/>
  <c r="Y275" i="2"/>
  <c r="X275" i="2"/>
  <c r="E275" i="2"/>
  <c r="AC275" i="2"/>
  <c r="V285" i="2"/>
  <c r="N285" i="2"/>
  <c r="F285" i="2"/>
  <c r="U285" i="2"/>
  <c r="M285" i="2"/>
  <c r="T285" i="2"/>
  <c r="L285" i="2"/>
  <c r="S285" i="2"/>
  <c r="K285" i="2"/>
  <c r="R285" i="2"/>
  <c r="J285" i="2"/>
  <c r="AH285" i="2" s="1"/>
  <c r="P285" i="2"/>
  <c r="H285" i="2"/>
  <c r="W285" i="2"/>
  <c r="Q285" i="2"/>
  <c r="O285" i="2"/>
  <c r="I285" i="2"/>
  <c r="G285" i="2"/>
  <c r="AK274" i="1"/>
  <c r="R297" i="2"/>
  <c r="J297" i="2"/>
  <c r="AH297" i="2" s="1"/>
  <c r="Q297" i="2"/>
  <c r="I297" i="2"/>
  <c r="P297" i="2"/>
  <c r="H297" i="2"/>
  <c r="W297" i="2"/>
  <c r="O297" i="2"/>
  <c r="G297" i="2"/>
  <c r="V297" i="2"/>
  <c r="N297" i="2"/>
  <c r="F297" i="2"/>
  <c r="T297" i="2"/>
  <c r="L297" i="2"/>
  <c r="U297" i="2"/>
  <c r="S297" i="2"/>
  <c r="M297" i="2"/>
  <c r="K297" i="2"/>
  <c r="AK286" i="1"/>
  <c r="U351" i="2"/>
  <c r="M351" i="2"/>
  <c r="T351" i="2"/>
  <c r="L351" i="2"/>
  <c r="S351" i="2"/>
  <c r="K351" i="2"/>
  <c r="R351" i="2"/>
  <c r="J351" i="2"/>
  <c r="AH351" i="2" s="1"/>
  <c r="Q351" i="2"/>
  <c r="I351" i="2"/>
  <c r="W351" i="2"/>
  <c r="O351" i="2"/>
  <c r="G351" i="2"/>
  <c r="V351" i="2"/>
  <c r="N351" i="2"/>
  <c r="F351" i="2"/>
  <c r="H351" i="2"/>
  <c r="P351" i="2"/>
  <c r="V504" i="2"/>
  <c r="N504" i="2"/>
  <c r="F504" i="2"/>
  <c r="U504" i="2"/>
  <c r="M504" i="2"/>
  <c r="T504" i="2"/>
  <c r="L504" i="2"/>
  <c r="S504" i="2"/>
  <c r="K504" i="2"/>
  <c r="R504" i="2"/>
  <c r="J504" i="2"/>
  <c r="AH504" i="2" s="1"/>
  <c r="P504" i="2"/>
  <c r="H504" i="2"/>
  <c r="W504" i="2"/>
  <c r="O504" i="2"/>
  <c r="G504" i="2"/>
  <c r="Q504" i="2"/>
  <c r="I504" i="2"/>
  <c r="AK493" i="1"/>
  <c r="Y32" i="2"/>
  <c r="AC37" i="2"/>
  <c r="E37" i="2"/>
  <c r="AB37" i="2"/>
  <c r="AA37" i="2"/>
  <c r="Z37" i="2"/>
  <c r="X37" i="2"/>
  <c r="Y37" i="2"/>
  <c r="AC45" i="2"/>
  <c r="E45" i="2"/>
  <c r="AB45" i="2"/>
  <c r="AA45" i="2"/>
  <c r="Z45" i="2"/>
  <c r="Y45" i="2"/>
  <c r="X45" i="2"/>
  <c r="AC53" i="2"/>
  <c r="E53" i="2"/>
  <c r="AB53" i="2"/>
  <c r="AA53" i="2"/>
  <c r="Z53" i="2"/>
  <c r="Y53" i="2"/>
  <c r="X53" i="2"/>
  <c r="V60" i="2"/>
  <c r="N60" i="2"/>
  <c r="F60" i="2"/>
  <c r="U60" i="2"/>
  <c r="M60" i="2"/>
  <c r="T60" i="2"/>
  <c r="L60" i="2"/>
  <c r="S60" i="2"/>
  <c r="K60" i="2"/>
  <c r="P60" i="2"/>
  <c r="H60" i="2"/>
  <c r="Q60" i="2"/>
  <c r="O60" i="2"/>
  <c r="J60" i="2"/>
  <c r="AH60" i="2" s="1"/>
  <c r="I60" i="2"/>
  <c r="G60" i="2"/>
  <c r="W60" i="2"/>
  <c r="R60" i="2"/>
  <c r="AA77" i="2"/>
  <c r="Z77" i="2"/>
  <c r="Y77" i="2"/>
  <c r="X77" i="2"/>
  <c r="AC77" i="2"/>
  <c r="E77" i="2"/>
  <c r="AB77" i="2"/>
  <c r="V84" i="2"/>
  <c r="N84" i="2"/>
  <c r="F84" i="2"/>
  <c r="U84" i="2"/>
  <c r="M84" i="2"/>
  <c r="T84" i="2"/>
  <c r="L84" i="2"/>
  <c r="S84" i="2"/>
  <c r="K84" i="2"/>
  <c r="R84" i="2"/>
  <c r="J84" i="2"/>
  <c r="AH84" i="2" s="1"/>
  <c r="P84" i="2"/>
  <c r="H84" i="2"/>
  <c r="W84" i="2"/>
  <c r="Q84" i="2"/>
  <c r="O84" i="2"/>
  <c r="I84" i="2"/>
  <c r="G84" i="2"/>
  <c r="AA93" i="2"/>
  <c r="Z93" i="2"/>
  <c r="Y93" i="2"/>
  <c r="X93" i="2"/>
  <c r="AC93" i="2"/>
  <c r="E93" i="2"/>
  <c r="AB93" i="2"/>
  <c r="V100" i="2"/>
  <c r="N100" i="2"/>
  <c r="F100" i="2"/>
  <c r="U100" i="2"/>
  <c r="M100" i="2"/>
  <c r="T100" i="2"/>
  <c r="L100" i="2"/>
  <c r="S100" i="2"/>
  <c r="K100" i="2"/>
  <c r="R100" i="2"/>
  <c r="J100" i="2"/>
  <c r="AH100" i="2" s="1"/>
  <c r="P100" i="2"/>
  <c r="H100" i="2"/>
  <c r="Q100" i="2"/>
  <c r="O100" i="2"/>
  <c r="I100" i="2"/>
  <c r="G100" i="2"/>
  <c r="R108" i="2"/>
  <c r="W108" i="2"/>
  <c r="N108" i="2"/>
  <c r="F108" i="2"/>
  <c r="V108" i="2"/>
  <c r="M108" i="2"/>
  <c r="U108" i="2"/>
  <c r="L108" i="2"/>
  <c r="T108" i="2"/>
  <c r="K108" i="2"/>
  <c r="S108" i="2"/>
  <c r="J108" i="2"/>
  <c r="AH108" i="2" s="1"/>
  <c r="P108" i="2"/>
  <c r="H108" i="2"/>
  <c r="Q108" i="2"/>
  <c r="O108" i="2"/>
  <c r="I108" i="2"/>
  <c r="G108" i="2"/>
  <c r="Z117" i="2"/>
  <c r="X117" i="2"/>
  <c r="AC117" i="2"/>
  <c r="AA117" i="2"/>
  <c r="E117" i="2"/>
  <c r="AB117" i="2"/>
  <c r="Y117" i="2"/>
  <c r="R132" i="2"/>
  <c r="J132" i="2"/>
  <c r="AH132" i="2" s="1"/>
  <c r="U132" i="2"/>
  <c r="M132" i="2"/>
  <c r="Q132" i="2"/>
  <c r="G132" i="2"/>
  <c r="P132" i="2"/>
  <c r="F132" i="2"/>
  <c r="O132" i="2"/>
  <c r="N132" i="2"/>
  <c r="W132" i="2"/>
  <c r="L132" i="2"/>
  <c r="T132" i="2"/>
  <c r="I132" i="2"/>
  <c r="V132" i="2"/>
  <c r="S132" i="2"/>
  <c r="K132" i="2"/>
  <c r="H132" i="2"/>
  <c r="S140" i="2"/>
  <c r="K140" i="2"/>
  <c r="R140" i="2"/>
  <c r="J140" i="2"/>
  <c r="AH140" i="2" s="1"/>
  <c r="Q140" i="2"/>
  <c r="I140" i="2"/>
  <c r="V140" i="2"/>
  <c r="N140" i="2"/>
  <c r="F140" i="2"/>
  <c r="U140" i="2"/>
  <c r="M140" i="2"/>
  <c r="T140" i="2"/>
  <c r="P140" i="2"/>
  <c r="O140" i="2"/>
  <c r="L140" i="2"/>
  <c r="H140" i="2"/>
  <c r="W140" i="2"/>
  <c r="G140" i="2"/>
  <c r="X160" i="2"/>
  <c r="AC160" i="2"/>
  <c r="E160" i="2"/>
  <c r="Z160" i="2"/>
  <c r="Y160" i="2"/>
  <c r="AA160" i="2"/>
  <c r="AB160" i="2"/>
  <c r="T172" i="2"/>
  <c r="L172" i="2"/>
  <c r="S172" i="2"/>
  <c r="K172" i="2"/>
  <c r="R172" i="2"/>
  <c r="J172" i="2"/>
  <c r="AH172" i="2" s="1"/>
  <c r="Q172" i="2"/>
  <c r="I172" i="2"/>
  <c r="V172" i="2"/>
  <c r="N172" i="2"/>
  <c r="F172" i="2"/>
  <c r="U172" i="2"/>
  <c r="M172" i="2"/>
  <c r="W172" i="2"/>
  <c r="P172" i="2"/>
  <c r="H172" i="2"/>
  <c r="O172" i="2"/>
  <c r="G172" i="2"/>
  <c r="AK161" i="1"/>
  <c r="Q184" i="2"/>
  <c r="I184" i="2"/>
  <c r="P184" i="2"/>
  <c r="H184" i="2"/>
  <c r="W184" i="2"/>
  <c r="O184" i="2"/>
  <c r="G184" i="2"/>
  <c r="V184" i="2"/>
  <c r="N184" i="2"/>
  <c r="F184" i="2"/>
  <c r="U184" i="2"/>
  <c r="M184" i="2"/>
  <c r="S184" i="2"/>
  <c r="K184" i="2"/>
  <c r="L184" i="2"/>
  <c r="J184" i="2"/>
  <c r="AH184" i="2" s="1"/>
  <c r="T184" i="2"/>
  <c r="R184" i="2"/>
  <c r="AK173" i="1"/>
  <c r="AC214" i="2"/>
  <c r="E214" i="2"/>
  <c r="AB214" i="2"/>
  <c r="AA214" i="2"/>
  <c r="Y214" i="2"/>
  <c r="Z214" i="2"/>
  <c r="X214" i="2"/>
  <c r="AC222" i="2"/>
  <c r="E222" i="2"/>
  <c r="AB222" i="2"/>
  <c r="AA222" i="2"/>
  <c r="Y222" i="2"/>
  <c r="Z222" i="2"/>
  <c r="X222" i="2"/>
  <c r="AC230" i="2"/>
  <c r="E230" i="2"/>
  <c r="AB230" i="2"/>
  <c r="AA230" i="2"/>
  <c r="Y230" i="2"/>
  <c r="Z230" i="2"/>
  <c r="X230" i="2"/>
  <c r="AK239" i="1"/>
  <c r="T259" i="2"/>
  <c r="L259" i="2"/>
  <c r="S259" i="2"/>
  <c r="K259" i="2"/>
  <c r="R259" i="2"/>
  <c r="J259" i="2"/>
  <c r="AH259" i="2" s="1"/>
  <c r="Q259" i="2"/>
  <c r="I259" i="2"/>
  <c r="P259" i="2"/>
  <c r="H259" i="2"/>
  <c r="V259" i="2"/>
  <c r="N259" i="2"/>
  <c r="F259" i="2"/>
  <c r="U259" i="2"/>
  <c r="O259" i="2"/>
  <c r="M259" i="2"/>
  <c r="G259" i="2"/>
  <c r="W259" i="2"/>
  <c r="T291" i="2"/>
  <c r="L291" i="2"/>
  <c r="S291" i="2"/>
  <c r="K291" i="2"/>
  <c r="R291" i="2"/>
  <c r="J291" i="2"/>
  <c r="AH291" i="2" s="1"/>
  <c r="Q291" i="2"/>
  <c r="I291" i="2"/>
  <c r="P291" i="2"/>
  <c r="H291" i="2"/>
  <c r="V291" i="2"/>
  <c r="N291" i="2"/>
  <c r="F291" i="2"/>
  <c r="W291" i="2"/>
  <c r="U291" i="2"/>
  <c r="O291" i="2"/>
  <c r="M291" i="2"/>
  <c r="G291" i="2"/>
  <c r="AE299" i="2"/>
  <c r="Z328" i="2"/>
  <c r="Y328" i="2"/>
  <c r="X328" i="2"/>
  <c r="AA328" i="2"/>
  <c r="E328" i="2"/>
  <c r="AB328" i="2"/>
  <c r="AC328" i="2"/>
  <c r="AC343" i="2"/>
  <c r="E343" i="2"/>
  <c r="AB343" i="2"/>
  <c r="AA343" i="2"/>
  <c r="Z343" i="2"/>
  <c r="Y343" i="2"/>
  <c r="X343" i="2"/>
  <c r="AK335" i="1"/>
  <c r="AE363" i="2"/>
  <c r="AC375" i="2"/>
  <c r="E375" i="2"/>
  <c r="AB375" i="2"/>
  <c r="AA375" i="2"/>
  <c r="Z375" i="2"/>
  <c r="Y375" i="2"/>
  <c r="X375" i="2"/>
  <c r="Q387" i="2"/>
  <c r="I387" i="2"/>
  <c r="P387" i="2"/>
  <c r="H387" i="2"/>
  <c r="W387" i="2"/>
  <c r="O387" i="2"/>
  <c r="G387" i="2"/>
  <c r="V387" i="2"/>
  <c r="N387" i="2"/>
  <c r="F387" i="2"/>
  <c r="U387" i="2"/>
  <c r="M387" i="2"/>
  <c r="S387" i="2"/>
  <c r="K387" i="2"/>
  <c r="R387" i="2"/>
  <c r="L387" i="2"/>
  <c r="J387" i="2"/>
  <c r="AH387" i="2" s="1"/>
  <c r="T387" i="2"/>
  <c r="AE395" i="2"/>
  <c r="AC407" i="2"/>
  <c r="E407" i="2"/>
  <c r="AB407" i="2"/>
  <c r="AA407" i="2"/>
  <c r="Z407" i="2"/>
  <c r="X407" i="2"/>
  <c r="Y407" i="2"/>
  <c r="AK149" i="1"/>
  <c r="AC163" i="2"/>
  <c r="E163" i="2"/>
  <c r="AB163" i="2"/>
  <c r="Y163" i="2"/>
  <c r="X163" i="2"/>
  <c r="AA163" i="2"/>
  <c r="Z163" i="2"/>
  <c r="AA167" i="2"/>
  <c r="Z167" i="2"/>
  <c r="Y167" i="2"/>
  <c r="X167" i="2"/>
  <c r="AC167" i="2"/>
  <c r="E167" i="2"/>
  <c r="AB167" i="2"/>
  <c r="AC171" i="2"/>
  <c r="E171" i="2"/>
  <c r="AB171" i="2"/>
  <c r="Y171" i="2"/>
  <c r="X171" i="2"/>
  <c r="Z171" i="2"/>
  <c r="AA171" i="2"/>
  <c r="AA175" i="2"/>
  <c r="Z175" i="2"/>
  <c r="Y175" i="2"/>
  <c r="X175" i="2"/>
  <c r="AC175" i="2"/>
  <c r="E175" i="2"/>
  <c r="AB175" i="2"/>
  <c r="AC179" i="2"/>
  <c r="Z179" i="2"/>
  <c r="AB179" i="2"/>
  <c r="E179" i="2"/>
  <c r="AA179" i="2"/>
  <c r="Y179" i="2"/>
  <c r="X179" i="2"/>
  <c r="AB183" i="2"/>
  <c r="AA183" i="2"/>
  <c r="Z183" i="2"/>
  <c r="Y183" i="2"/>
  <c r="X183" i="2"/>
  <c r="AC183" i="2"/>
  <c r="E183" i="2"/>
  <c r="X187" i="2"/>
  <c r="AC187" i="2"/>
  <c r="E187" i="2"/>
  <c r="AB187" i="2"/>
  <c r="Z187" i="2"/>
  <c r="AA187" i="2"/>
  <c r="Y187" i="2"/>
  <c r="AB191" i="2"/>
  <c r="AA191" i="2"/>
  <c r="Z191" i="2"/>
  <c r="Y191" i="2"/>
  <c r="X191" i="2"/>
  <c r="AC191" i="2"/>
  <c r="E191" i="2"/>
  <c r="X195" i="2"/>
  <c r="AC195" i="2"/>
  <c r="E195" i="2"/>
  <c r="AB195" i="2"/>
  <c r="Z195" i="2"/>
  <c r="Y195" i="2"/>
  <c r="AA195" i="2"/>
  <c r="AA202" i="2"/>
  <c r="Z202" i="2"/>
  <c r="Y202" i="2"/>
  <c r="X202" i="2"/>
  <c r="AC202" i="2"/>
  <c r="E202" i="2"/>
  <c r="AB202" i="2"/>
  <c r="Z205" i="2"/>
  <c r="Y205" i="2"/>
  <c r="X205" i="2"/>
  <c r="AB205" i="2"/>
  <c r="AA205" i="2"/>
  <c r="AC205" i="2"/>
  <c r="E205" i="2"/>
  <c r="AK200" i="1"/>
  <c r="Q216" i="2"/>
  <c r="I216" i="2"/>
  <c r="P216" i="2"/>
  <c r="H216" i="2"/>
  <c r="W216" i="2"/>
  <c r="O216" i="2"/>
  <c r="G216" i="2"/>
  <c r="V216" i="2"/>
  <c r="N216" i="2"/>
  <c r="F216" i="2"/>
  <c r="U216" i="2"/>
  <c r="M216" i="2"/>
  <c r="S216" i="2"/>
  <c r="K216" i="2"/>
  <c r="R216" i="2"/>
  <c r="L216" i="2"/>
  <c r="J216" i="2"/>
  <c r="AH216" i="2" s="1"/>
  <c r="T216" i="2"/>
  <c r="AK205" i="1"/>
  <c r="AK208" i="1"/>
  <c r="Q224" i="2"/>
  <c r="I224" i="2"/>
  <c r="P224" i="2"/>
  <c r="H224" i="2"/>
  <c r="W224" i="2"/>
  <c r="O224" i="2"/>
  <c r="G224" i="2"/>
  <c r="V224" i="2"/>
  <c r="N224" i="2"/>
  <c r="F224" i="2"/>
  <c r="U224" i="2"/>
  <c r="M224" i="2"/>
  <c r="S224" i="2"/>
  <c r="K224" i="2"/>
  <c r="T224" i="2"/>
  <c r="R224" i="2"/>
  <c r="L224" i="2"/>
  <c r="J224" i="2"/>
  <c r="AH224" i="2" s="1"/>
  <c r="AK213" i="1"/>
  <c r="AK216" i="1"/>
  <c r="Q232" i="2"/>
  <c r="I232" i="2"/>
  <c r="P232" i="2"/>
  <c r="H232" i="2"/>
  <c r="W232" i="2"/>
  <c r="O232" i="2"/>
  <c r="G232" i="2"/>
  <c r="V232" i="2"/>
  <c r="N232" i="2"/>
  <c r="F232" i="2"/>
  <c r="U232" i="2"/>
  <c r="M232" i="2"/>
  <c r="S232" i="2"/>
  <c r="K232" i="2"/>
  <c r="L232" i="2"/>
  <c r="J232" i="2"/>
  <c r="AH232" i="2" s="1"/>
  <c r="R232" i="2"/>
  <c r="T232" i="2"/>
  <c r="AK221" i="1"/>
  <c r="S234" i="2"/>
  <c r="K234" i="2"/>
  <c r="R234" i="2"/>
  <c r="J234" i="2"/>
  <c r="AH234" i="2" s="1"/>
  <c r="Q234" i="2"/>
  <c r="I234" i="2"/>
  <c r="P234" i="2"/>
  <c r="H234" i="2"/>
  <c r="W234" i="2"/>
  <c r="O234" i="2"/>
  <c r="G234" i="2"/>
  <c r="U234" i="2"/>
  <c r="M234" i="2"/>
  <c r="V234" i="2"/>
  <c r="T234" i="2"/>
  <c r="F234" i="2"/>
  <c r="L234" i="2"/>
  <c r="N234" i="2"/>
  <c r="R237" i="2"/>
  <c r="J237" i="2"/>
  <c r="AH237" i="2" s="1"/>
  <c r="Q237" i="2"/>
  <c r="I237" i="2"/>
  <c r="P237" i="2"/>
  <c r="H237" i="2"/>
  <c r="W237" i="2"/>
  <c r="O237" i="2"/>
  <c r="G237" i="2"/>
  <c r="V237" i="2"/>
  <c r="N237" i="2"/>
  <c r="F237" i="2"/>
  <c r="T237" i="2"/>
  <c r="L237" i="2"/>
  <c r="M237" i="2"/>
  <c r="K237" i="2"/>
  <c r="U237" i="2"/>
  <c r="S237" i="2"/>
  <c r="AK226" i="1"/>
  <c r="T239" i="2"/>
  <c r="L239" i="2"/>
  <c r="S239" i="2"/>
  <c r="K239" i="2"/>
  <c r="R239" i="2"/>
  <c r="J239" i="2"/>
  <c r="AH239" i="2" s="1"/>
  <c r="Q239" i="2"/>
  <c r="I239" i="2"/>
  <c r="P239" i="2"/>
  <c r="H239" i="2"/>
  <c r="V239" i="2"/>
  <c r="N239" i="2"/>
  <c r="F239" i="2"/>
  <c r="W239" i="2"/>
  <c r="U239" i="2"/>
  <c r="G239" i="2"/>
  <c r="M239" i="2"/>
  <c r="O239" i="2"/>
  <c r="AA242" i="2"/>
  <c r="Z242" i="2"/>
  <c r="Y242" i="2"/>
  <c r="X242" i="2"/>
  <c r="AC242" i="2"/>
  <c r="E242" i="2"/>
  <c r="AB242" i="2"/>
  <c r="Y244" i="2"/>
  <c r="AC244" i="2"/>
  <c r="E244" i="2"/>
  <c r="AA244" i="2"/>
  <c r="Z244" i="2"/>
  <c r="AB244" i="2"/>
  <c r="X244" i="2"/>
  <c r="AK236" i="1"/>
  <c r="R249" i="2"/>
  <c r="J249" i="2"/>
  <c r="AH249" i="2" s="1"/>
  <c r="Q249" i="2"/>
  <c r="I249" i="2"/>
  <c r="P249" i="2"/>
  <c r="H249" i="2"/>
  <c r="W249" i="2"/>
  <c r="O249" i="2"/>
  <c r="G249" i="2"/>
  <c r="V249" i="2"/>
  <c r="N249" i="2"/>
  <c r="F249" i="2"/>
  <c r="T249" i="2"/>
  <c r="L249" i="2"/>
  <c r="M249" i="2"/>
  <c r="K249" i="2"/>
  <c r="U249" i="2"/>
  <c r="S249" i="2"/>
  <c r="AK238" i="1"/>
  <c r="S254" i="2"/>
  <c r="K254" i="2"/>
  <c r="R254" i="2"/>
  <c r="J254" i="2"/>
  <c r="AH254" i="2" s="1"/>
  <c r="Q254" i="2"/>
  <c r="I254" i="2"/>
  <c r="P254" i="2"/>
  <c r="H254" i="2"/>
  <c r="W254" i="2"/>
  <c r="O254" i="2"/>
  <c r="G254" i="2"/>
  <c r="U254" i="2"/>
  <c r="M254" i="2"/>
  <c r="T254" i="2"/>
  <c r="N254" i="2"/>
  <c r="L254" i="2"/>
  <c r="F254" i="2"/>
  <c r="V254" i="2"/>
  <c r="AK243" i="1"/>
  <c r="AB259" i="2"/>
  <c r="AA259" i="2"/>
  <c r="Z259" i="2"/>
  <c r="Y259" i="2"/>
  <c r="X259" i="2"/>
  <c r="E259" i="2"/>
  <c r="AC259" i="2"/>
  <c r="AA262" i="2"/>
  <c r="Z262" i="2"/>
  <c r="Y262" i="2"/>
  <c r="X262" i="2"/>
  <c r="AC262" i="2"/>
  <c r="E262" i="2"/>
  <c r="AB262" i="2"/>
  <c r="U264" i="2"/>
  <c r="M264" i="2"/>
  <c r="T264" i="2"/>
  <c r="L264" i="2"/>
  <c r="S264" i="2"/>
  <c r="K264" i="2"/>
  <c r="R264" i="2"/>
  <c r="J264" i="2"/>
  <c r="AH264" i="2" s="1"/>
  <c r="Q264" i="2"/>
  <c r="I264" i="2"/>
  <c r="W264" i="2"/>
  <c r="O264" i="2"/>
  <c r="G264" i="2"/>
  <c r="V264" i="2"/>
  <c r="P264" i="2"/>
  <c r="N264" i="2"/>
  <c r="H264" i="2"/>
  <c r="F264" i="2"/>
  <c r="AK253" i="1"/>
  <c r="W266" i="2"/>
  <c r="O266" i="2"/>
  <c r="G266" i="2"/>
  <c r="V266" i="2"/>
  <c r="N266" i="2"/>
  <c r="F266" i="2"/>
  <c r="U266" i="2"/>
  <c r="M266" i="2"/>
  <c r="T266" i="2"/>
  <c r="L266" i="2"/>
  <c r="S266" i="2"/>
  <c r="K266" i="2"/>
  <c r="Q266" i="2"/>
  <c r="I266" i="2"/>
  <c r="R266" i="2"/>
  <c r="P266" i="2"/>
  <c r="J266" i="2"/>
  <c r="AH266" i="2" s="1"/>
  <c r="H266" i="2"/>
  <c r="V269" i="2"/>
  <c r="N269" i="2"/>
  <c r="F269" i="2"/>
  <c r="U269" i="2"/>
  <c r="M269" i="2"/>
  <c r="T269" i="2"/>
  <c r="L269" i="2"/>
  <c r="S269" i="2"/>
  <c r="K269" i="2"/>
  <c r="R269" i="2"/>
  <c r="J269" i="2"/>
  <c r="AH269" i="2" s="1"/>
  <c r="P269" i="2"/>
  <c r="H269" i="2"/>
  <c r="W269" i="2"/>
  <c r="Q269" i="2"/>
  <c r="O269" i="2"/>
  <c r="I269" i="2"/>
  <c r="G269" i="2"/>
  <c r="AK258" i="1"/>
  <c r="P271" i="2"/>
  <c r="H271" i="2"/>
  <c r="W271" i="2"/>
  <c r="O271" i="2"/>
  <c r="G271" i="2"/>
  <c r="V271" i="2"/>
  <c r="N271" i="2"/>
  <c r="F271" i="2"/>
  <c r="U271" i="2"/>
  <c r="M271" i="2"/>
  <c r="T271" i="2"/>
  <c r="L271" i="2"/>
  <c r="R271" i="2"/>
  <c r="J271" i="2"/>
  <c r="AH271" i="2" s="1"/>
  <c r="S271" i="2"/>
  <c r="Q271" i="2"/>
  <c r="K271" i="2"/>
  <c r="I271" i="2"/>
  <c r="AC274" i="2"/>
  <c r="E274" i="2"/>
  <c r="AB274" i="2"/>
  <c r="AA274" i="2"/>
  <c r="Y274" i="2"/>
  <c r="Z274" i="2"/>
  <c r="X274" i="2"/>
  <c r="Y276" i="2"/>
  <c r="X276" i="2"/>
  <c r="AC276" i="2"/>
  <c r="E276" i="2"/>
  <c r="AA276" i="2"/>
  <c r="AB276" i="2"/>
  <c r="Z276" i="2"/>
  <c r="AK268" i="1"/>
  <c r="R281" i="2"/>
  <c r="J281" i="2"/>
  <c r="AH281" i="2" s="1"/>
  <c r="Q281" i="2"/>
  <c r="I281" i="2"/>
  <c r="P281" i="2"/>
  <c r="H281" i="2"/>
  <c r="W281" i="2"/>
  <c r="O281" i="2"/>
  <c r="G281" i="2"/>
  <c r="V281" i="2"/>
  <c r="N281" i="2"/>
  <c r="F281" i="2"/>
  <c r="T281" i="2"/>
  <c r="L281" i="2"/>
  <c r="U281" i="2"/>
  <c r="S281" i="2"/>
  <c r="M281" i="2"/>
  <c r="K281" i="2"/>
  <c r="AK270" i="1"/>
  <c r="S286" i="2"/>
  <c r="K286" i="2"/>
  <c r="R286" i="2"/>
  <c r="J286" i="2"/>
  <c r="AH286" i="2" s="1"/>
  <c r="Q286" i="2"/>
  <c r="I286" i="2"/>
  <c r="P286" i="2"/>
  <c r="H286" i="2"/>
  <c r="W286" i="2"/>
  <c r="O286" i="2"/>
  <c r="G286" i="2"/>
  <c r="U286" i="2"/>
  <c r="M286" i="2"/>
  <c r="V286" i="2"/>
  <c r="T286" i="2"/>
  <c r="N286" i="2"/>
  <c r="L286" i="2"/>
  <c r="F286" i="2"/>
  <c r="AK275" i="1"/>
  <c r="AB291" i="2"/>
  <c r="AA291" i="2"/>
  <c r="Z291" i="2"/>
  <c r="Y291" i="2"/>
  <c r="X291" i="2"/>
  <c r="E291" i="2"/>
  <c r="AC291" i="2"/>
  <c r="AA294" i="2"/>
  <c r="Z294" i="2"/>
  <c r="Y294" i="2"/>
  <c r="X294" i="2"/>
  <c r="AC294" i="2"/>
  <c r="E294" i="2"/>
  <c r="AB294" i="2"/>
  <c r="U296" i="2"/>
  <c r="M296" i="2"/>
  <c r="T296" i="2"/>
  <c r="L296" i="2"/>
  <c r="S296" i="2"/>
  <c r="K296" i="2"/>
  <c r="R296" i="2"/>
  <c r="J296" i="2"/>
  <c r="AH296" i="2" s="1"/>
  <c r="Q296" i="2"/>
  <c r="I296" i="2"/>
  <c r="W296" i="2"/>
  <c r="O296" i="2"/>
  <c r="G296" i="2"/>
  <c r="H296" i="2"/>
  <c r="F296" i="2"/>
  <c r="V296" i="2"/>
  <c r="P296" i="2"/>
  <c r="N296" i="2"/>
  <c r="AK285" i="1"/>
  <c r="W298" i="2"/>
  <c r="O298" i="2"/>
  <c r="G298" i="2"/>
  <c r="V298" i="2"/>
  <c r="N298" i="2"/>
  <c r="F298" i="2"/>
  <c r="U298" i="2"/>
  <c r="M298" i="2"/>
  <c r="T298" i="2"/>
  <c r="L298" i="2"/>
  <c r="S298" i="2"/>
  <c r="K298" i="2"/>
  <c r="Q298" i="2"/>
  <c r="I298" i="2"/>
  <c r="R298" i="2"/>
  <c r="P298" i="2"/>
  <c r="J298" i="2"/>
  <c r="AH298" i="2" s="1"/>
  <c r="H298" i="2"/>
  <c r="V301" i="2"/>
  <c r="N301" i="2"/>
  <c r="F301" i="2"/>
  <c r="U301" i="2"/>
  <c r="M301" i="2"/>
  <c r="T301" i="2"/>
  <c r="L301" i="2"/>
  <c r="S301" i="2"/>
  <c r="K301" i="2"/>
  <c r="R301" i="2"/>
  <c r="J301" i="2"/>
  <c r="AH301" i="2" s="1"/>
  <c r="P301" i="2"/>
  <c r="H301" i="2"/>
  <c r="O301" i="2"/>
  <c r="I301" i="2"/>
  <c r="G301" i="2"/>
  <c r="W301" i="2"/>
  <c r="Q301" i="2"/>
  <c r="AK290" i="1"/>
  <c r="P303" i="2"/>
  <c r="H303" i="2"/>
  <c r="W303" i="2"/>
  <c r="O303" i="2"/>
  <c r="G303" i="2"/>
  <c r="V303" i="2"/>
  <c r="N303" i="2"/>
  <c r="F303" i="2"/>
  <c r="U303" i="2"/>
  <c r="M303" i="2"/>
  <c r="T303" i="2"/>
  <c r="L303" i="2"/>
  <c r="R303" i="2"/>
  <c r="J303" i="2"/>
  <c r="AH303" i="2" s="1"/>
  <c r="I303" i="2"/>
  <c r="S303" i="2"/>
  <c r="Q303" i="2"/>
  <c r="K303" i="2"/>
  <c r="AC306" i="2"/>
  <c r="E306" i="2"/>
  <c r="AB306" i="2"/>
  <c r="AA306" i="2"/>
  <c r="Y306" i="2"/>
  <c r="Z306" i="2"/>
  <c r="X306" i="2"/>
  <c r="Y308" i="2"/>
  <c r="X308" i="2"/>
  <c r="AC308" i="2"/>
  <c r="E308" i="2"/>
  <c r="AA308" i="2"/>
  <c r="AB308" i="2"/>
  <c r="Z308" i="2"/>
  <c r="AK300" i="1"/>
  <c r="R313" i="2"/>
  <c r="J313" i="2"/>
  <c r="AH313" i="2" s="1"/>
  <c r="Q313" i="2"/>
  <c r="I313" i="2"/>
  <c r="P313" i="2"/>
  <c r="H313" i="2"/>
  <c r="W313" i="2"/>
  <c r="O313" i="2"/>
  <c r="G313" i="2"/>
  <c r="V313" i="2"/>
  <c r="N313" i="2"/>
  <c r="F313" i="2"/>
  <c r="T313" i="2"/>
  <c r="L313" i="2"/>
  <c r="U313" i="2"/>
  <c r="S313" i="2"/>
  <c r="M313" i="2"/>
  <c r="K313" i="2"/>
  <c r="AK302" i="1"/>
  <c r="S318" i="2"/>
  <c r="K318" i="2"/>
  <c r="R318" i="2"/>
  <c r="J318" i="2"/>
  <c r="AH318" i="2" s="1"/>
  <c r="Q318" i="2"/>
  <c r="I318" i="2"/>
  <c r="P318" i="2"/>
  <c r="H318" i="2"/>
  <c r="W318" i="2"/>
  <c r="O318" i="2"/>
  <c r="G318" i="2"/>
  <c r="U318" i="2"/>
  <c r="M318" i="2"/>
  <c r="L318" i="2"/>
  <c r="F318" i="2"/>
  <c r="V318" i="2"/>
  <c r="T318" i="2"/>
  <c r="N318" i="2"/>
  <c r="AK307" i="1"/>
  <c r="AB323" i="2"/>
  <c r="AA323" i="2"/>
  <c r="Z323" i="2"/>
  <c r="Y323" i="2"/>
  <c r="X323" i="2"/>
  <c r="E323" i="2"/>
  <c r="AC323" i="2"/>
  <c r="Y326" i="2"/>
  <c r="AC326" i="2"/>
  <c r="AB326" i="2"/>
  <c r="AA326" i="2"/>
  <c r="Z326" i="2"/>
  <c r="E326" i="2"/>
  <c r="X326" i="2"/>
  <c r="R328" i="2"/>
  <c r="J328" i="2"/>
  <c r="AH328" i="2" s="1"/>
  <c r="Q328" i="2"/>
  <c r="I328" i="2"/>
  <c r="P328" i="2"/>
  <c r="H328" i="2"/>
  <c r="W328" i="2"/>
  <c r="O328" i="2"/>
  <c r="G328" i="2"/>
  <c r="V328" i="2"/>
  <c r="N328" i="2"/>
  <c r="F328" i="2"/>
  <c r="S328" i="2"/>
  <c r="K328" i="2"/>
  <c r="T328" i="2"/>
  <c r="M328" i="2"/>
  <c r="L328" i="2"/>
  <c r="U328" i="2"/>
  <c r="AK317" i="1"/>
  <c r="T330" i="2"/>
  <c r="L330" i="2"/>
  <c r="S330" i="2"/>
  <c r="K330" i="2"/>
  <c r="R330" i="2"/>
  <c r="J330" i="2"/>
  <c r="AH330" i="2" s="1"/>
  <c r="Q330" i="2"/>
  <c r="I330" i="2"/>
  <c r="P330" i="2"/>
  <c r="H330" i="2"/>
  <c r="U330" i="2"/>
  <c r="M330" i="2"/>
  <c r="N330" i="2"/>
  <c r="G330" i="2"/>
  <c r="F330" i="2"/>
  <c r="V330" i="2"/>
  <c r="W330" i="2"/>
  <c r="O330" i="2"/>
  <c r="S333" i="2"/>
  <c r="K333" i="2"/>
  <c r="R333" i="2"/>
  <c r="J333" i="2"/>
  <c r="AH333" i="2" s="1"/>
  <c r="Q333" i="2"/>
  <c r="I333" i="2"/>
  <c r="P333" i="2"/>
  <c r="H333" i="2"/>
  <c r="W333" i="2"/>
  <c r="O333" i="2"/>
  <c r="G333" i="2"/>
  <c r="U333" i="2"/>
  <c r="M333" i="2"/>
  <c r="T333" i="2"/>
  <c r="L333" i="2"/>
  <c r="N333" i="2"/>
  <c r="F333" i="2"/>
  <c r="V333" i="2"/>
  <c r="AK322" i="1"/>
  <c r="U335" i="2"/>
  <c r="M335" i="2"/>
  <c r="T335" i="2"/>
  <c r="L335" i="2"/>
  <c r="S335" i="2"/>
  <c r="K335" i="2"/>
  <c r="R335" i="2"/>
  <c r="J335" i="2"/>
  <c r="AH335" i="2" s="1"/>
  <c r="Q335" i="2"/>
  <c r="I335" i="2"/>
  <c r="W335" i="2"/>
  <c r="O335" i="2"/>
  <c r="G335" i="2"/>
  <c r="V335" i="2"/>
  <c r="N335" i="2"/>
  <c r="F335" i="2"/>
  <c r="P335" i="2"/>
  <c r="H335" i="2"/>
  <c r="AB338" i="2"/>
  <c r="AA338" i="2"/>
  <c r="Z338" i="2"/>
  <c r="Y338" i="2"/>
  <c r="X338" i="2"/>
  <c r="AC338" i="2"/>
  <c r="E338" i="2"/>
  <c r="AC340" i="2"/>
  <c r="E340" i="2"/>
  <c r="AB340" i="2"/>
  <c r="AA340" i="2"/>
  <c r="Z340" i="2"/>
  <c r="X340" i="2"/>
  <c r="Y340" i="2"/>
  <c r="AK332" i="1"/>
  <c r="W345" i="2"/>
  <c r="O345" i="2"/>
  <c r="G345" i="2"/>
  <c r="V345" i="2"/>
  <c r="N345" i="2"/>
  <c r="F345" i="2"/>
  <c r="U345" i="2"/>
  <c r="M345" i="2"/>
  <c r="T345" i="2"/>
  <c r="L345" i="2"/>
  <c r="S345" i="2"/>
  <c r="K345" i="2"/>
  <c r="Q345" i="2"/>
  <c r="I345" i="2"/>
  <c r="P345" i="2"/>
  <c r="H345" i="2"/>
  <c r="R345" i="2"/>
  <c r="J345" i="2"/>
  <c r="AH345" i="2" s="1"/>
  <c r="AK334" i="1"/>
  <c r="P350" i="2"/>
  <c r="H350" i="2"/>
  <c r="W350" i="2"/>
  <c r="O350" i="2"/>
  <c r="G350" i="2"/>
  <c r="V350" i="2"/>
  <c r="N350" i="2"/>
  <c r="F350" i="2"/>
  <c r="U350" i="2"/>
  <c r="M350" i="2"/>
  <c r="T350" i="2"/>
  <c r="L350" i="2"/>
  <c r="R350" i="2"/>
  <c r="J350" i="2"/>
  <c r="AH350" i="2" s="1"/>
  <c r="Q350" i="2"/>
  <c r="I350" i="2"/>
  <c r="S350" i="2"/>
  <c r="K350" i="2"/>
  <c r="AK339" i="1"/>
  <c r="Y355" i="2"/>
  <c r="X355" i="2"/>
  <c r="AC355" i="2"/>
  <c r="E355" i="2"/>
  <c r="AA355" i="2"/>
  <c r="Z355" i="2"/>
  <c r="AB355" i="2"/>
  <c r="AA358" i="2"/>
  <c r="Z358" i="2"/>
  <c r="Y358" i="2"/>
  <c r="X358" i="2"/>
  <c r="E358" i="2"/>
  <c r="AC358" i="2"/>
  <c r="AB358" i="2"/>
  <c r="P360" i="2"/>
  <c r="H360" i="2"/>
  <c r="T360" i="2"/>
  <c r="K360" i="2"/>
  <c r="S360" i="2"/>
  <c r="J360" i="2"/>
  <c r="AH360" i="2" s="1"/>
  <c r="R360" i="2"/>
  <c r="I360" i="2"/>
  <c r="Q360" i="2"/>
  <c r="G360" i="2"/>
  <c r="O360" i="2"/>
  <c r="F360" i="2"/>
  <c r="V360" i="2"/>
  <c r="M360" i="2"/>
  <c r="U360" i="2"/>
  <c r="L360" i="2"/>
  <c r="N360" i="2"/>
  <c r="W360" i="2"/>
  <c r="AK349" i="1"/>
  <c r="T362" i="2"/>
  <c r="L362" i="2"/>
  <c r="R362" i="2"/>
  <c r="J362" i="2"/>
  <c r="AH362" i="2" s="1"/>
  <c r="Q362" i="2"/>
  <c r="I362" i="2"/>
  <c r="P362" i="2"/>
  <c r="H362" i="2"/>
  <c r="K362" i="2"/>
  <c r="W362" i="2"/>
  <c r="G362" i="2"/>
  <c r="V362" i="2"/>
  <c r="F362" i="2"/>
  <c r="U362" i="2"/>
  <c r="S362" i="2"/>
  <c r="N362" i="2"/>
  <c r="M362" i="2"/>
  <c r="O362" i="2"/>
  <c r="S365" i="2"/>
  <c r="K365" i="2"/>
  <c r="Q365" i="2"/>
  <c r="I365" i="2"/>
  <c r="P365" i="2"/>
  <c r="H365" i="2"/>
  <c r="W365" i="2"/>
  <c r="O365" i="2"/>
  <c r="G365" i="2"/>
  <c r="T365" i="2"/>
  <c r="R365" i="2"/>
  <c r="N365" i="2"/>
  <c r="M365" i="2"/>
  <c r="L365" i="2"/>
  <c r="V365" i="2"/>
  <c r="F365" i="2"/>
  <c r="U365" i="2"/>
  <c r="J365" i="2"/>
  <c r="AH365" i="2" s="1"/>
  <c r="AK354" i="1"/>
  <c r="U367" i="2"/>
  <c r="M367" i="2"/>
  <c r="T367" i="2"/>
  <c r="L367" i="2"/>
  <c r="S367" i="2"/>
  <c r="K367" i="2"/>
  <c r="R367" i="2"/>
  <c r="J367" i="2"/>
  <c r="AH367" i="2" s="1"/>
  <c r="Q367" i="2"/>
  <c r="I367" i="2"/>
  <c r="H367" i="2"/>
  <c r="G367" i="2"/>
  <c r="F367" i="2"/>
  <c r="W367" i="2"/>
  <c r="V367" i="2"/>
  <c r="O367" i="2"/>
  <c r="N367" i="2"/>
  <c r="P367" i="2"/>
  <c r="AB370" i="2"/>
  <c r="AA370" i="2"/>
  <c r="Z370" i="2"/>
  <c r="Y370" i="2"/>
  <c r="X370" i="2"/>
  <c r="AC370" i="2"/>
  <c r="E370" i="2"/>
  <c r="AC372" i="2"/>
  <c r="E372" i="2"/>
  <c r="AB372" i="2"/>
  <c r="AA372" i="2"/>
  <c r="Z372" i="2"/>
  <c r="X372" i="2"/>
  <c r="Y372" i="2"/>
  <c r="AK364" i="1"/>
  <c r="W377" i="2"/>
  <c r="O377" i="2"/>
  <c r="G377" i="2"/>
  <c r="V377" i="2"/>
  <c r="N377" i="2"/>
  <c r="F377" i="2"/>
  <c r="U377" i="2"/>
  <c r="M377" i="2"/>
  <c r="T377" i="2"/>
  <c r="L377" i="2"/>
  <c r="S377" i="2"/>
  <c r="K377" i="2"/>
  <c r="Q377" i="2"/>
  <c r="I377" i="2"/>
  <c r="J377" i="2"/>
  <c r="AH377" i="2" s="1"/>
  <c r="H377" i="2"/>
  <c r="R377" i="2"/>
  <c r="P377" i="2"/>
  <c r="AK366" i="1"/>
  <c r="P382" i="2"/>
  <c r="H382" i="2"/>
  <c r="W382" i="2"/>
  <c r="O382" i="2"/>
  <c r="G382" i="2"/>
  <c r="V382" i="2"/>
  <c r="N382" i="2"/>
  <c r="F382" i="2"/>
  <c r="U382" i="2"/>
  <c r="M382" i="2"/>
  <c r="T382" i="2"/>
  <c r="L382" i="2"/>
  <c r="R382" i="2"/>
  <c r="J382" i="2"/>
  <c r="AH382" i="2" s="1"/>
  <c r="Q382" i="2"/>
  <c r="K382" i="2"/>
  <c r="I382" i="2"/>
  <c r="S382" i="2"/>
  <c r="AK371" i="1"/>
  <c r="Y387" i="2"/>
  <c r="X387" i="2"/>
  <c r="AC387" i="2"/>
  <c r="E387" i="2"/>
  <c r="AA387" i="2"/>
  <c r="Z387" i="2"/>
  <c r="AB387" i="2"/>
  <c r="X390" i="2"/>
  <c r="AC390" i="2"/>
  <c r="E390" i="2"/>
  <c r="AB390" i="2"/>
  <c r="Z390" i="2"/>
  <c r="Y390" i="2"/>
  <c r="AA390" i="2"/>
  <c r="R392" i="2"/>
  <c r="J392" i="2"/>
  <c r="AH392" i="2" s="1"/>
  <c r="Q392" i="2"/>
  <c r="I392" i="2"/>
  <c r="P392" i="2"/>
  <c r="H392" i="2"/>
  <c r="W392" i="2"/>
  <c r="O392" i="2"/>
  <c r="G392" i="2"/>
  <c r="V392" i="2"/>
  <c r="N392" i="2"/>
  <c r="F392" i="2"/>
  <c r="T392" i="2"/>
  <c r="L392" i="2"/>
  <c r="M392" i="2"/>
  <c r="K392" i="2"/>
  <c r="U392" i="2"/>
  <c r="S392" i="2"/>
  <c r="AK381" i="1"/>
  <c r="T394" i="2"/>
  <c r="L394" i="2"/>
  <c r="S394" i="2"/>
  <c r="K394" i="2"/>
  <c r="R394" i="2"/>
  <c r="J394" i="2"/>
  <c r="AH394" i="2" s="1"/>
  <c r="Q394" i="2"/>
  <c r="I394" i="2"/>
  <c r="P394" i="2"/>
  <c r="H394" i="2"/>
  <c r="V394" i="2"/>
  <c r="N394" i="2"/>
  <c r="F394" i="2"/>
  <c r="G394" i="2"/>
  <c r="W394" i="2"/>
  <c r="O394" i="2"/>
  <c r="M394" i="2"/>
  <c r="U394" i="2"/>
  <c r="T397" i="2"/>
  <c r="L397" i="2"/>
  <c r="S397" i="2"/>
  <c r="K397" i="2"/>
  <c r="R397" i="2"/>
  <c r="J397" i="2"/>
  <c r="AH397" i="2" s="1"/>
  <c r="Q397" i="2"/>
  <c r="I397" i="2"/>
  <c r="P397" i="2"/>
  <c r="H397" i="2"/>
  <c r="V397" i="2"/>
  <c r="N397" i="2"/>
  <c r="F397" i="2"/>
  <c r="U397" i="2"/>
  <c r="M397" i="2"/>
  <c r="W397" i="2"/>
  <c r="O397" i="2"/>
  <c r="G397" i="2"/>
  <c r="AK386" i="1"/>
  <c r="V399" i="2"/>
  <c r="N399" i="2"/>
  <c r="F399" i="2"/>
  <c r="U399" i="2"/>
  <c r="M399" i="2"/>
  <c r="T399" i="2"/>
  <c r="L399" i="2"/>
  <c r="S399" i="2"/>
  <c r="K399" i="2"/>
  <c r="R399" i="2"/>
  <c r="J399" i="2"/>
  <c r="AH399" i="2" s="1"/>
  <c r="P399" i="2"/>
  <c r="H399" i="2"/>
  <c r="W399" i="2"/>
  <c r="O399" i="2"/>
  <c r="G399" i="2"/>
  <c r="I399" i="2"/>
  <c r="Q399" i="2"/>
  <c r="AC402" i="2"/>
  <c r="E402" i="2"/>
  <c r="AB402" i="2"/>
  <c r="AA402" i="2"/>
  <c r="Z402" i="2"/>
  <c r="Y402" i="2"/>
  <c r="X402" i="2"/>
  <c r="AC404" i="2"/>
  <c r="E404" i="2"/>
  <c r="AB404" i="2"/>
  <c r="AA404" i="2"/>
  <c r="Y404" i="2"/>
  <c r="X404" i="2"/>
  <c r="Z404" i="2"/>
  <c r="AK396" i="1"/>
  <c r="P409" i="2"/>
  <c r="H409" i="2"/>
  <c r="W409" i="2"/>
  <c r="O409" i="2"/>
  <c r="G409" i="2"/>
  <c r="V409" i="2"/>
  <c r="N409" i="2"/>
  <c r="F409" i="2"/>
  <c r="U409" i="2"/>
  <c r="M409" i="2"/>
  <c r="T409" i="2"/>
  <c r="L409" i="2"/>
  <c r="R409" i="2"/>
  <c r="J409" i="2"/>
  <c r="AH409" i="2" s="1"/>
  <c r="Q409" i="2"/>
  <c r="I409" i="2"/>
  <c r="K409" i="2"/>
  <c r="S409" i="2"/>
  <c r="AK398" i="1"/>
  <c r="Q414" i="2"/>
  <c r="I414" i="2"/>
  <c r="P414" i="2"/>
  <c r="H414" i="2"/>
  <c r="W414" i="2"/>
  <c r="O414" i="2"/>
  <c r="G414" i="2"/>
  <c r="V414" i="2"/>
  <c r="N414" i="2"/>
  <c r="F414" i="2"/>
  <c r="U414" i="2"/>
  <c r="M414" i="2"/>
  <c r="S414" i="2"/>
  <c r="K414" i="2"/>
  <c r="R414" i="2"/>
  <c r="J414" i="2"/>
  <c r="AH414" i="2" s="1"/>
  <c r="T414" i="2"/>
  <c r="L414" i="2"/>
  <c r="AK403" i="1"/>
  <c r="Z419" i="2"/>
  <c r="Y419" i="2"/>
  <c r="X419" i="2"/>
  <c r="AB419" i="2"/>
  <c r="AA419" i="2"/>
  <c r="AC419" i="2"/>
  <c r="E419" i="2"/>
  <c r="Y422" i="2"/>
  <c r="X422" i="2"/>
  <c r="AC422" i="2"/>
  <c r="E422" i="2"/>
  <c r="AA422" i="2"/>
  <c r="Z422" i="2"/>
  <c r="AB422" i="2"/>
  <c r="S424" i="2"/>
  <c r="K424" i="2"/>
  <c r="R424" i="2"/>
  <c r="J424" i="2"/>
  <c r="AH424" i="2" s="1"/>
  <c r="Q424" i="2"/>
  <c r="I424" i="2"/>
  <c r="P424" i="2"/>
  <c r="H424" i="2"/>
  <c r="W424" i="2"/>
  <c r="O424" i="2"/>
  <c r="G424" i="2"/>
  <c r="U424" i="2"/>
  <c r="M424" i="2"/>
  <c r="T424" i="2"/>
  <c r="L424" i="2"/>
  <c r="V424" i="2"/>
  <c r="N424" i="2"/>
  <c r="F424" i="2"/>
  <c r="AK413" i="1"/>
  <c r="U426" i="2"/>
  <c r="M426" i="2"/>
  <c r="T426" i="2"/>
  <c r="L426" i="2"/>
  <c r="S426" i="2"/>
  <c r="K426" i="2"/>
  <c r="R426" i="2"/>
  <c r="J426" i="2"/>
  <c r="AH426" i="2" s="1"/>
  <c r="Q426" i="2"/>
  <c r="I426" i="2"/>
  <c r="W426" i="2"/>
  <c r="O426" i="2"/>
  <c r="G426" i="2"/>
  <c r="V426" i="2"/>
  <c r="N426" i="2"/>
  <c r="F426" i="2"/>
  <c r="P426" i="2"/>
  <c r="H426" i="2"/>
  <c r="T429" i="2"/>
  <c r="L429" i="2"/>
  <c r="S429" i="2"/>
  <c r="K429" i="2"/>
  <c r="R429" i="2"/>
  <c r="J429" i="2"/>
  <c r="AH429" i="2" s="1"/>
  <c r="Q429" i="2"/>
  <c r="I429" i="2"/>
  <c r="P429" i="2"/>
  <c r="H429" i="2"/>
  <c r="V429" i="2"/>
  <c r="N429" i="2"/>
  <c r="F429" i="2"/>
  <c r="U429" i="2"/>
  <c r="M429" i="2"/>
  <c r="O429" i="2"/>
  <c r="G429" i="2"/>
  <c r="W429" i="2"/>
  <c r="AK418" i="1"/>
  <c r="V431" i="2"/>
  <c r="N431" i="2"/>
  <c r="F431" i="2"/>
  <c r="U431" i="2"/>
  <c r="M431" i="2"/>
  <c r="T431" i="2"/>
  <c r="L431" i="2"/>
  <c r="S431" i="2"/>
  <c r="K431" i="2"/>
  <c r="R431" i="2"/>
  <c r="J431" i="2"/>
  <c r="AH431" i="2" s="1"/>
  <c r="P431" i="2"/>
  <c r="H431" i="2"/>
  <c r="W431" i="2"/>
  <c r="O431" i="2"/>
  <c r="G431" i="2"/>
  <c r="Q431" i="2"/>
  <c r="I431" i="2"/>
  <c r="AC434" i="2"/>
  <c r="AB434" i="2"/>
  <c r="E434" i="2"/>
  <c r="AA434" i="2"/>
  <c r="Z434" i="2"/>
  <c r="X434" i="2"/>
  <c r="Y434" i="2"/>
  <c r="AB436" i="2"/>
  <c r="Z436" i="2"/>
  <c r="Y436" i="2"/>
  <c r="AC436" i="2"/>
  <c r="AA436" i="2"/>
  <c r="E436" i="2"/>
  <c r="X436" i="2"/>
  <c r="AK428" i="1"/>
  <c r="P441" i="2"/>
  <c r="H441" i="2"/>
  <c r="W441" i="2"/>
  <c r="O441" i="2"/>
  <c r="G441" i="2"/>
  <c r="V441" i="2"/>
  <c r="N441" i="2"/>
  <c r="F441" i="2"/>
  <c r="U441" i="2"/>
  <c r="M441" i="2"/>
  <c r="T441" i="2"/>
  <c r="L441" i="2"/>
  <c r="S441" i="2"/>
  <c r="K441" i="2"/>
  <c r="R441" i="2"/>
  <c r="J441" i="2"/>
  <c r="AH441" i="2" s="1"/>
  <c r="I441" i="2"/>
  <c r="Q441" i="2"/>
  <c r="AK430" i="1"/>
  <c r="Q446" i="2"/>
  <c r="I446" i="2"/>
  <c r="P446" i="2"/>
  <c r="H446" i="2"/>
  <c r="W446" i="2"/>
  <c r="O446" i="2"/>
  <c r="G446" i="2"/>
  <c r="V446" i="2"/>
  <c r="N446" i="2"/>
  <c r="F446" i="2"/>
  <c r="U446" i="2"/>
  <c r="M446" i="2"/>
  <c r="T446" i="2"/>
  <c r="L446" i="2"/>
  <c r="S446" i="2"/>
  <c r="K446" i="2"/>
  <c r="R446" i="2"/>
  <c r="J446" i="2"/>
  <c r="AH446" i="2" s="1"/>
  <c r="AK435" i="1"/>
  <c r="Z451" i="2"/>
  <c r="Y451" i="2"/>
  <c r="X451" i="2"/>
  <c r="AC451" i="2"/>
  <c r="E451" i="2"/>
  <c r="AB451" i="2"/>
  <c r="AA451" i="2"/>
  <c r="Y454" i="2"/>
  <c r="X454" i="2"/>
  <c r="AC454" i="2"/>
  <c r="E454" i="2"/>
  <c r="AB454" i="2"/>
  <c r="AA454" i="2"/>
  <c r="Z454" i="2"/>
  <c r="S456" i="2"/>
  <c r="K456" i="2"/>
  <c r="R456" i="2"/>
  <c r="J456" i="2"/>
  <c r="AH456" i="2" s="1"/>
  <c r="Q456" i="2"/>
  <c r="I456" i="2"/>
  <c r="P456" i="2"/>
  <c r="H456" i="2"/>
  <c r="W456" i="2"/>
  <c r="O456" i="2"/>
  <c r="G456" i="2"/>
  <c r="V456" i="2"/>
  <c r="N456" i="2"/>
  <c r="F456" i="2"/>
  <c r="U456" i="2"/>
  <c r="M456" i="2"/>
  <c r="L456" i="2"/>
  <c r="T456" i="2"/>
  <c r="AK445" i="1"/>
  <c r="U458" i="2"/>
  <c r="M458" i="2"/>
  <c r="T458" i="2"/>
  <c r="L458" i="2"/>
  <c r="S458" i="2"/>
  <c r="K458" i="2"/>
  <c r="R458" i="2"/>
  <c r="J458" i="2"/>
  <c r="AH458" i="2" s="1"/>
  <c r="Q458" i="2"/>
  <c r="I458" i="2"/>
  <c r="P458" i="2"/>
  <c r="H458" i="2"/>
  <c r="W458" i="2"/>
  <c r="O458" i="2"/>
  <c r="G458" i="2"/>
  <c r="N458" i="2"/>
  <c r="F458" i="2"/>
  <c r="V458" i="2"/>
  <c r="T461" i="2"/>
  <c r="L461" i="2"/>
  <c r="S461" i="2"/>
  <c r="K461" i="2"/>
  <c r="R461" i="2"/>
  <c r="J461" i="2"/>
  <c r="AH461" i="2" s="1"/>
  <c r="Q461" i="2"/>
  <c r="I461" i="2"/>
  <c r="P461" i="2"/>
  <c r="H461" i="2"/>
  <c r="W461" i="2"/>
  <c r="O461" i="2"/>
  <c r="G461" i="2"/>
  <c r="V461" i="2"/>
  <c r="N461" i="2"/>
  <c r="F461" i="2"/>
  <c r="U461" i="2"/>
  <c r="M461" i="2"/>
  <c r="AK450" i="1"/>
  <c r="V463" i="2"/>
  <c r="N463" i="2"/>
  <c r="F463" i="2"/>
  <c r="U463" i="2"/>
  <c r="M463" i="2"/>
  <c r="T463" i="2"/>
  <c r="L463" i="2"/>
  <c r="S463" i="2"/>
  <c r="K463" i="2"/>
  <c r="R463" i="2"/>
  <c r="J463" i="2"/>
  <c r="AH463" i="2" s="1"/>
  <c r="Q463" i="2"/>
  <c r="I463" i="2"/>
  <c r="P463" i="2"/>
  <c r="H463" i="2"/>
  <c r="O463" i="2"/>
  <c r="G463" i="2"/>
  <c r="W463" i="2"/>
  <c r="AC466" i="2"/>
  <c r="E466" i="2"/>
  <c r="AB466" i="2"/>
  <c r="AA466" i="2"/>
  <c r="Z466" i="2"/>
  <c r="Y466" i="2"/>
  <c r="X466" i="2"/>
  <c r="AC468" i="2"/>
  <c r="E468" i="2"/>
  <c r="AB468" i="2"/>
  <c r="AA468" i="2"/>
  <c r="Z468" i="2"/>
  <c r="Y468" i="2"/>
  <c r="X468" i="2"/>
  <c r="AK460" i="1"/>
  <c r="S473" i="2"/>
  <c r="K473" i="2"/>
  <c r="R473" i="2"/>
  <c r="J473" i="2"/>
  <c r="AH473" i="2" s="1"/>
  <c r="Q473" i="2"/>
  <c r="I473" i="2"/>
  <c r="W473" i="2"/>
  <c r="O473" i="2"/>
  <c r="G473" i="2"/>
  <c r="T473" i="2"/>
  <c r="P473" i="2"/>
  <c r="N473" i="2"/>
  <c r="M473" i="2"/>
  <c r="L473" i="2"/>
  <c r="H473" i="2"/>
  <c r="F473" i="2"/>
  <c r="V473" i="2"/>
  <c r="U473" i="2"/>
  <c r="AK462" i="1"/>
  <c r="T478" i="2"/>
  <c r="L478" i="2"/>
  <c r="S478" i="2"/>
  <c r="K478" i="2"/>
  <c r="R478" i="2"/>
  <c r="J478" i="2"/>
  <c r="AH478" i="2" s="1"/>
  <c r="Q478" i="2"/>
  <c r="I478" i="2"/>
  <c r="P478" i="2"/>
  <c r="H478" i="2"/>
  <c r="V478" i="2"/>
  <c r="N478" i="2"/>
  <c r="F478" i="2"/>
  <c r="U478" i="2"/>
  <c r="M478" i="2"/>
  <c r="W478" i="2"/>
  <c r="O478" i="2"/>
  <c r="G478" i="2"/>
  <c r="AK467" i="1"/>
  <c r="AC483" i="2"/>
  <c r="E483" i="2"/>
  <c r="AB483" i="2"/>
  <c r="AA483" i="2"/>
  <c r="Z483" i="2"/>
  <c r="Y483" i="2"/>
  <c r="X483" i="2"/>
  <c r="AB486" i="2"/>
  <c r="AA486" i="2"/>
  <c r="Z486" i="2"/>
  <c r="Y486" i="2"/>
  <c r="X486" i="2"/>
  <c r="AC486" i="2"/>
  <c r="E486" i="2"/>
  <c r="V488" i="2"/>
  <c r="N488" i="2"/>
  <c r="F488" i="2"/>
  <c r="U488" i="2"/>
  <c r="M488" i="2"/>
  <c r="T488" i="2"/>
  <c r="L488" i="2"/>
  <c r="S488" i="2"/>
  <c r="K488" i="2"/>
  <c r="R488" i="2"/>
  <c r="J488" i="2"/>
  <c r="AH488" i="2" s="1"/>
  <c r="P488" i="2"/>
  <c r="H488" i="2"/>
  <c r="W488" i="2"/>
  <c r="O488" i="2"/>
  <c r="G488" i="2"/>
  <c r="Q488" i="2"/>
  <c r="I488" i="2"/>
  <c r="AK477" i="1"/>
  <c r="P490" i="2"/>
  <c r="H490" i="2"/>
  <c r="W490" i="2"/>
  <c r="O490" i="2"/>
  <c r="G490" i="2"/>
  <c r="V490" i="2"/>
  <c r="N490" i="2"/>
  <c r="F490" i="2"/>
  <c r="U490" i="2"/>
  <c r="M490" i="2"/>
  <c r="T490" i="2"/>
  <c r="L490" i="2"/>
  <c r="R490" i="2"/>
  <c r="J490" i="2"/>
  <c r="AH490" i="2" s="1"/>
  <c r="Q490" i="2"/>
  <c r="I490" i="2"/>
  <c r="S490" i="2"/>
  <c r="K490" i="2"/>
  <c r="W493" i="2"/>
  <c r="O493" i="2"/>
  <c r="G493" i="2"/>
  <c r="V493" i="2"/>
  <c r="N493" i="2"/>
  <c r="F493" i="2"/>
  <c r="U493" i="2"/>
  <c r="M493" i="2"/>
  <c r="T493" i="2"/>
  <c r="L493" i="2"/>
  <c r="S493" i="2"/>
  <c r="K493" i="2"/>
  <c r="Q493" i="2"/>
  <c r="I493" i="2"/>
  <c r="P493" i="2"/>
  <c r="H493" i="2"/>
  <c r="R493" i="2"/>
  <c r="J493" i="2"/>
  <c r="AH493" i="2" s="1"/>
  <c r="AK482" i="1"/>
  <c r="Q495" i="2"/>
  <c r="I495" i="2"/>
  <c r="P495" i="2"/>
  <c r="H495" i="2"/>
  <c r="W495" i="2"/>
  <c r="O495" i="2"/>
  <c r="G495" i="2"/>
  <c r="V495" i="2"/>
  <c r="N495" i="2"/>
  <c r="F495" i="2"/>
  <c r="U495" i="2"/>
  <c r="M495" i="2"/>
  <c r="S495" i="2"/>
  <c r="K495" i="2"/>
  <c r="R495" i="2"/>
  <c r="J495" i="2"/>
  <c r="AH495" i="2" s="1"/>
  <c r="T495" i="2"/>
  <c r="L495" i="2"/>
  <c r="X498" i="2"/>
  <c r="AC498" i="2"/>
  <c r="E498" i="2"/>
  <c r="AB498" i="2"/>
  <c r="Z498" i="2"/>
  <c r="Y498" i="2"/>
  <c r="AA498" i="2"/>
  <c r="Z500" i="2"/>
  <c r="Y500" i="2"/>
  <c r="X500" i="2"/>
  <c r="AB500" i="2"/>
  <c r="AA500" i="2"/>
  <c r="E500" i="2"/>
  <c r="AC500" i="2"/>
  <c r="AK492" i="1"/>
  <c r="S505" i="2"/>
  <c r="K505" i="2"/>
  <c r="R505" i="2"/>
  <c r="J505" i="2"/>
  <c r="AH505" i="2" s="1"/>
  <c r="Q505" i="2"/>
  <c r="I505" i="2"/>
  <c r="P505" i="2"/>
  <c r="H505" i="2"/>
  <c r="W505" i="2"/>
  <c r="O505" i="2"/>
  <c r="G505" i="2"/>
  <c r="U505" i="2"/>
  <c r="M505" i="2"/>
  <c r="T505" i="2"/>
  <c r="L505" i="2"/>
  <c r="V505" i="2"/>
  <c r="N505" i="2"/>
  <c r="F505" i="2"/>
  <c r="AK494" i="1"/>
  <c r="R510" i="2"/>
  <c r="J510" i="2"/>
  <c r="AH510" i="2" s="1"/>
  <c r="P510" i="2"/>
  <c r="H510" i="2"/>
  <c r="W510" i="2"/>
  <c r="O510" i="2"/>
  <c r="G510" i="2"/>
  <c r="V510" i="2"/>
  <c r="N510" i="2"/>
  <c r="F510" i="2"/>
  <c r="T510" i="2"/>
  <c r="L510" i="2"/>
  <c r="S510" i="2"/>
  <c r="K510" i="2"/>
  <c r="I510" i="2"/>
  <c r="Q510" i="2"/>
  <c r="M510" i="2"/>
  <c r="U510" i="2"/>
  <c r="AK499" i="1"/>
  <c r="AA515" i="2"/>
  <c r="Z515" i="2"/>
  <c r="Y515" i="2"/>
  <c r="X515" i="2"/>
  <c r="AC515" i="2"/>
  <c r="E515" i="2"/>
  <c r="AB515" i="2"/>
  <c r="Z518" i="2"/>
  <c r="Y518" i="2"/>
  <c r="X518" i="2"/>
  <c r="AB518" i="2"/>
  <c r="AA518" i="2"/>
  <c r="AC518" i="2"/>
  <c r="E518" i="2"/>
  <c r="T520" i="2"/>
  <c r="L520" i="2"/>
  <c r="S520" i="2"/>
  <c r="K520" i="2"/>
  <c r="R520" i="2"/>
  <c r="J520" i="2"/>
  <c r="AH520" i="2" s="1"/>
  <c r="Q520" i="2"/>
  <c r="I520" i="2"/>
  <c r="P520" i="2"/>
  <c r="H520" i="2"/>
  <c r="V520" i="2"/>
  <c r="N520" i="2"/>
  <c r="F520" i="2"/>
  <c r="U520" i="2"/>
  <c r="M520" i="2"/>
  <c r="W520" i="2"/>
  <c r="O520" i="2"/>
  <c r="G520" i="2"/>
  <c r="AK509" i="1"/>
  <c r="V522" i="2"/>
  <c r="N522" i="2"/>
  <c r="F522" i="2"/>
  <c r="U522" i="2"/>
  <c r="M522" i="2"/>
  <c r="T522" i="2"/>
  <c r="L522" i="2"/>
  <c r="S522" i="2"/>
  <c r="K522" i="2"/>
  <c r="R522" i="2"/>
  <c r="J522" i="2"/>
  <c r="AH522" i="2" s="1"/>
  <c r="P522" i="2"/>
  <c r="H522" i="2"/>
  <c r="W522" i="2"/>
  <c r="O522" i="2"/>
  <c r="G522" i="2"/>
  <c r="Q522" i="2"/>
  <c r="I522" i="2"/>
  <c r="U525" i="2"/>
  <c r="M525" i="2"/>
  <c r="T525" i="2"/>
  <c r="L525" i="2"/>
  <c r="S525" i="2"/>
  <c r="K525" i="2"/>
  <c r="R525" i="2"/>
  <c r="J525" i="2"/>
  <c r="AH525" i="2" s="1"/>
  <c r="Q525" i="2"/>
  <c r="I525" i="2"/>
  <c r="W525" i="2"/>
  <c r="O525" i="2"/>
  <c r="G525" i="2"/>
  <c r="V525" i="2"/>
  <c r="N525" i="2"/>
  <c r="F525" i="2"/>
  <c r="P525" i="2"/>
  <c r="H525" i="2"/>
  <c r="AK514" i="1"/>
  <c r="W527" i="2"/>
  <c r="O527" i="2"/>
  <c r="G527" i="2"/>
  <c r="V527" i="2"/>
  <c r="N527" i="2"/>
  <c r="F527" i="2"/>
  <c r="U527" i="2"/>
  <c r="M527" i="2"/>
  <c r="T527" i="2"/>
  <c r="L527" i="2"/>
  <c r="S527" i="2"/>
  <c r="K527" i="2"/>
  <c r="Q527" i="2"/>
  <c r="I527" i="2"/>
  <c r="P527" i="2"/>
  <c r="H527" i="2"/>
  <c r="R527" i="2"/>
  <c r="J527" i="2"/>
  <c r="AH527" i="2" s="1"/>
  <c r="AC530" i="2"/>
  <c r="E530" i="2"/>
  <c r="AB530" i="2"/>
  <c r="AA530" i="2"/>
  <c r="Z530" i="2"/>
  <c r="X530" i="2"/>
  <c r="Y530" i="2"/>
  <c r="X532" i="2"/>
  <c r="AC532" i="2"/>
  <c r="E532" i="2"/>
  <c r="AB532" i="2"/>
  <c r="Z532" i="2"/>
  <c r="Y532" i="2"/>
  <c r="AA532" i="2"/>
  <c r="AK524" i="1"/>
  <c r="Q537" i="2"/>
  <c r="I537" i="2"/>
  <c r="P537" i="2"/>
  <c r="H537" i="2"/>
  <c r="W537" i="2"/>
  <c r="O537" i="2"/>
  <c r="G537" i="2"/>
  <c r="V537" i="2"/>
  <c r="N537" i="2"/>
  <c r="F537" i="2"/>
  <c r="U537" i="2"/>
  <c r="M537" i="2"/>
  <c r="S537" i="2"/>
  <c r="K537" i="2"/>
  <c r="R537" i="2"/>
  <c r="J537" i="2"/>
  <c r="AH537" i="2" s="1"/>
  <c r="T537" i="2"/>
  <c r="L537" i="2"/>
  <c r="AK526" i="1"/>
  <c r="R542" i="2"/>
  <c r="J542" i="2"/>
  <c r="AH542" i="2" s="1"/>
  <c r="Q542" i="2"/>
  <c r="I542" i="2"/>
  <c r="P542" i="2"/>
  <c r="H542" i="2"/>
  <c r="W542" i="2"/>
  <c r="O542" i="2"/>
  <c r="G542" i="2"/>
  <c r="V542" i="2"/>
  <c r="N542" i="2"/>
  <c r="F542" i="2"/>
  <c r="T542" i="2"/>
  <c r="L542" i="2"/>
  <c r="S542" i="2"/>
  <c r="K542" i="2"/>
  <c r="U542" i="2"/>
  <c r="M542" i="2"/>
  <c r="AK531" i="1"/>
  <c r="AA547" i="2"/>
  <c r="Z547" i="2"/>
  <c r="AC547" i="2"/>
  <c r="AB547" i="2"/>
  <c r="Y547" i="2"/>
  <c r="E547" i="2"/>
  <c r="X547" i="2"/>
  <c r="Z550" i="2"/>
  <c r="Y550" i="2"/>
  <c r="X550" i="2"/>
  <c r="AA550" i="2"/>
  <c r="AC550" i="2"/>
  <c r="AB550" i="2"/>
  <c r="E550" i="2"/>
  <c r="T552" i="2"/>
  <c r="L552" i="2"/>
  <c r="S552" i="2"/>
  <c r="K552" i="2"/>
  <c r="R552" i="2"/>
  <c r="J552" i="2"/>
  <c r="AH552" i="2" s="1"/>
  <c r="Q552" i="2"/>
  <c r="I552" i="2"/>
  <c r="V552" i="2"/>
  <c r="N552" i="2"/>
  <c r="F552" i="2"/>
  <c r="U552" i="2"/>
  <c r="M552" i="2"/>
  <c r="G552" i="2"/>
  <c r="W552" i="2"/>
  <c r="O552" i="2"/>
  <c r="H552" i="2"/>
  <c r="P552" i="2"/>
  <c r="AK541" i="1"/>
  <c r="V554" i="2"/>
  <c r="N554" i="2"/>
  <c r="F554" i="2"/>
  <c r="U554" i="2"/>
  <c r="M554" i="2"/>
  <c r="T554" i="2"/>
  <c r="L554" i="2"/>
  <c r="S554" i="2"/>
  <c r="K554" i="2"/>
  <c r="R554" i="2"/>
  <c r="J554" i="2"/>
  <c r="AH554" i="2" s="1"/>
  <c r="P554" i="2"/>
  <c r="H554" i="2"/>
  <c r="W554" i="2"/>
  <c r="O554" i="2"/>
  <c r="G554" i="2"/>
  <c r="Q554" i="2"/>
  <c r="I554" i="2"/>
  <c r="U557" i="2"/>
  <c r="M557" i="2"/>
  <c r="T557" i="2"/>
  <c r="L557" i="2"/>
  <c r="S557" i="2"/>
  <c r="K557" i="2"/>
  <c r="R557" i="2"/>
  <c r="J557" i="2"/>
  <c r="AH557" i="2" s="1"/>
  <c r="Q557" i="2"/>
  <c r="I557" i="2"/>
  <c r="W557" i="2"/>
  <c r="O557" i="2"/>
  <c r="G557" i="2"/>
  <c r="V557" i="2"/>
  <c r="N557" i="2"/>
  <c r="F557" i="2"/>
  <c r="P557" i="2"/>
  <c r="H557" i="2"/>
  <c r="AK546" i="1"/>
  <c r="W559" i="2"/>
  <c r="O559" i="2"/>
  <c r="G559" i="2"/>
  <c r="V559" i="2"/>
  <c r="N559" i="2"/>
  <c r="F559" i="2"/>
  <c r="U559" i="2"/>
  <c r="M559" i="2"/>
  <c r="T559" i="2"/>
  <c r="L559" i="2"/>
  <c r="S559" i="2"/>
  <c r="K559" i="2"/>
  <c r="Q559" i="2"/>
  <c r="I559" i="2"/>
  <c r="P559" i="2"/>
  <c r="H559" i="2"/>
  <c r="R559" i="2"/>
  <c r="J559" i="2"/>
  <c r="AH559" i="2" s="1"/>
  <c r="AC562" i="2"/>
  <c r="E562" i="2"/>
  <c r="AB562" i="2"/>
  <c r="AA562" i="2"/>
  <c r="Z562" i="2"/>
  <c r="X562" i="2"/>
  <c r="Y562" i="2"/>
  <c r="X564" i="2"/>
  <c r="AC564" i="2"/>
  <c r="E564" i="2"/>
  <c r="AB564" i="2"/>
  <c r="Z564" i="2"/>
  <c r="Y564" i="2"/>
  <c r="AA564" i="2"/>
  <c r="AA571" i="2"/>
  <c r="Z571" i="2"/>
  <c r="Y571" i="2"/>
  <c r="X571" i="2"/>
  <c r="AC571" i="2"/>
  <c r="E571" i="2"/>
  <c r="AB571" i="2"/>
  <c r="X580" i="2"/>
  <c r="AC580" i="2"/>
  <c r="E580" i="2"/>
  <c r="AB580" i="2"/>
  <c r="Z580" i="2"/>
  <c r="Y580" i="2"/>
  <c r="AA580" i="2"/>
  <c r="AB587" i="2"/>
  <c r="AA587" i="2"/>
  <c r="Y587" i="2"/>
  <c r="AC587" i="2"/>
  <c r="Z587" i="2"/>
  <c r="X587" i="2"/>
  <c r="E587" i="2"/>
  <c r="Y596" i="2"/>
  <c r="X596" i="2"/>
  <c r="AC596" i="2"/>
  <c r="E596" i="2"/>
  <c r="AA596" i="2"/>
  <c r="Z596" i="2"/>
  <c r="AB596" i="2"/>
  <c r="AB603" i="2"/>
  <c r="AA603" i="2"/>
  <c r="Z603" i="2"/>
  <c r="Y603" i="2"/>
  <c r="X603" i="2"/>
  <c r="AC603" i="2"/>
  <c r="E603" i="2"/>
  <c r="AC612" i="2"/>
  <c r="E612" i="2"/>
  <c r="AB612" i="2"/>
  <c r="Z612" i="2"/>
  <c r="Y612" i="2"/>
  <c r="AA612" i="2"/>
  <c r="X612" i="2"/>
  <c r="Z619" i="2"/>
  <c r="Y619" i="2"/>
  <c r="X619" i="2"/>
  <c r="AC619" i="2"/>
  <c r="E619" i="2"/>
  <c r="AB619" i="2"/>
  <c r="AA619" i="2"/>
  <c r="AC628" i="2"/>
  <c r="E628" i="2"/>
  <c r="X628" i="2"/>
  <c r="AB628" i="2"/>
  <c r="AA628" i="2"/>
  <c r="Z628" i="2"/>
  <c r="Y628" i="2"/>
  <c r="AB635" i="2"/>
  <c r="AA635" i="2"/>
  <c r="Z635" i="2"/>
  <c r="Y635" i="2"/>
  <c r="X635" i="2"/>
  <c r="E635" i="2"/>
  <c r="AC635" i="2"/>
  <c r="AC644" i="2"/>
  <c r="E644" i="2"/>
  <c r="AB644" i="2"/>
  <c r="Y644" i="2"/>
  <c r="X644" i="2"/>
  <c r="Z644" i="2"/>
  <c r="AA644" i="2"/>
  <c r="X651" i="2"/>
  <c r="AB651" i="2"/>
  <c r="AA651" i="2"/>
  <c r="AC651" i="2"/>
  <c r="Z651" i="2"/>
  <c r="E651" i="2"/>
  <c r="Y651" i="2"/>
  <c r="AC660" i="2"/>
  <c r="E660" i="2"/>
  <c r="AB660" i="2"/>
  <c r="AA660" i="2"/>
  <c r="Z660" i="2"/>
  <c r="Y660" i="2"/>
  <c r="X660" i="2"/>
  <c r="Y667" i="2"/>
  <c r="AC667" i="2"/>
  <c r="AA667" i="2"/>
  <c r="E667" i="2"/>
  <c r="AB667" i="2"/>
  <c r="Z667" i="2"/>
  <c r="X667" i="2"/>
  <c r="AB676" i="2"/>
  <c r="AA676" i="2"/>
  <c r="Z676" i="2"/>
  <c r="Y676" i="2"/>
  <c r="X676" i="2"/>
  <c r="E676" i="2"/>
  <c r="AC676" i="2"/>
  <c r="E16" i="2"/>
  <c r="N17" i="2"/>
  <c r="AA18" i="2"/>
  <c r="U20" i="2"/>
  <c r="I24" i="2"/>
  <c r="R25" i="2"/>
  <c r="Z34" i="2"/>
  <c r="J49" i="2"/>
  <c r="AH49" i="2" s="1"/>
  <c r="U31" i="2"/>
  <c r="M31" i="2"/>
  <c r="Q31" i="2"/>
  <c r="I31" i="2"/>
  <c r="T31" i="2"/>
  <c r="J31" i="2"/>
  <c r="AH31" i="2" s="1"/>
  <c r="R31" i="2"/>
  <c r="G31" i="2"/>
  <c r="P31" i="2"/>
  <c r="F31" i="2"/>
  <c r="O31" i="2"/>
  <c r="W31" i="2"/>
  <c r="L31" i="2"/>
  <c r="V31" i="2"/>
  <c r="K31" i="2"/>
  <c r="Z72" i="2"/>
  <c r="Y72" i="2"/>
  <c r="X72" i="2"/>
  <c r="AB72" i="2"/>
  <c r="AA72" i="2"/>
  <c r="E72" i="2"/>
  <c r="X144" i="2"/>
  <c r="AC144" i="2"/>
  <c r="E144" i="2"/>
  <c r="Z144" i="2"/>
  <c r="Y144" i="2"/>
  <c r="AB144" i="2"/>
  <c r="AA144" i="2"/>
  <c r="Y178" i="2"/>
  <c r="AC178" i="2"/>
  <c r="E178" i="2"/>
  <c r="AB178" i="2"/>
  <c r="X178" i="2"/>
  <c r="AA178" i="2"/>
  <c r="Z178" i="2"/>
  <c r="U212" i="2"/>
  <c r="M212" i="2"/>
  <c r="T212" i="2"/>
  <c r="L212" i="2"/>
  <c r="S212" i="2"/>
  <c r="K212" i="2"/>
  <c r="R212" i="2"/>
  <c r="J212" i="2"/>
  <c r="AH212" i="2" s="1"/>
  <c r="Q212" i="2"/>
  <c r="I212" i="2"/>
  <c r="W212" i="2"/>
  <c r="O212" i="2"/>
  <c r="G212" i="2"/>
  <c r="V212" i="2"/>
  <c r="P212" i="2"/>
  <c r="N212" i="2"/>
  <c r="F212" i="2"/>
  <c r="H212" i="2"/>
  <c r="AK201" i="1"/>
  <c r="V233" i="2"/>
  <c r="N233" i="2"/>
  <c r="F233" i="2"/>
  <c r="U233" i="2"/>
  <c r="M233" i="2"/>
  <c r="T233" i="2"/>
  <c r="L233" i="2"/>
  <c r="S233" i="2"/>
  <c r="K233" i="2"/>
  <c r="R233" i="2"/>
  <c r="J233" i="2"/>
  <c r="AH233" i="2" s="1"/>
  <c r="P233" i="2"/>
  <c r="H233" i="2"/>
  <c r="Q233" i="2"/>
  <c r="O233" i="2"/>
  <c r="I233" i="2"/>
  <c r="G233" i="2"/>
  <c r="W233" i="2"/>
  <c r="AK222" i="1"/>
  <c r="U248" i="2"/>
  <c r="M248" i="2"/>
  <c r="T248" i="2"/>
  <c r="S248" i="2"/>
  <c r="K248" i="2"/>
  <c r="R248" i="2"/>
  <c r="J248" i="2"/>
  <c r="AH248" i="2" s="1"/>
  <c r="Q248" i="2"/>
  <c r="I248" i="2"/>
  <c r="W248" i="2"/>
  <c r="O248" i="2"/>
  <c r="G248" i="2"/>
  <c r="F248" i="2"/>
  <c r="V248" i="2"/>
  <c r="P248" i="2"/>
  <c r="L248" i="2"/>
  <c r="N248" i="2"/>
  <c r="H248" i="2"/>
  <c r="AK237" i="1"/>
  <c r="U280" i="2"/>
  <c r="M280" i="2"/>
  <c r="T280" i="2"/>
  <c r="L280" i="2"/>
  <c r="S280" i="2"/>
  <c r="K280" i="2"/>
  <c r="R280" i="2"/>
  <c r="J280" i="2"/>
  <c r="AH280" i="2" s="1"/>
  <c r="Q280" i="2"/>
  <c r="I280" i="2"/>
  <c r="W280" i="2"/>
  <c r="O280" i="2"/>
  <c r="G280" i="2"/>
  <c r="P280" i="2"/>
  <c r="N280" i="2"/>
  <c r="H280" i="2"/>
  <c r="F280" i="2"/>
  <c r="V280" i="2"/>
  <c r="AK269" i="1"/>
  <c r="Y292" i="2"/>
  <c r="X292" i="2"/>
  <c r="AC292" i="2"/>
  <c r="E292" i="2"/>
  <c r="AA292" i="2"/>
  <c r="AB292" i="2"/>
  <c r="Z292" i="2"/>
  <c r="X342" i="2"/>
  <c r="AC342" i="2"/>
  <c r="E342" i="2"/>
  <c r="AB342" i="2"/>
  <c r="Z342" i="2"/>
  <c r="Y342" i="2"/>
  <c r="AA342" i="2"/>
  <c r="S349" i="2"/>
  <c r="K349" i="2"/>
  <c r="R349" i="2"/>
  <c r="J349" i="2"/>
  <c r="AH349" i="2" s="1"/>
  <c r="Q349" i="2"/>
  <c r="I349" i="2"/>
  <c r="P349" i="2"/>
  <c r="H349" i="2"/>
  <c r="W349" i="2"/>
  <c r="O349" i="2"/>
  <c r="G349" i="2"/>
  <c r="U349" i="2"/>
  <c r="M349" i="2"/>
  <c r="T349" i="2"/>
  <c r="L349" i="2"/>
  <c r="F349" i="2"/>
  <c r="V349" i="2"/>
  <c r="N349" i="2"/>
  <c r="AK338" i="1"/>
  <c r="W361" i="2"/>
  <c r="U361" i="2"/>
  <c r="M361" i="2"/>
  <c r="T361" i="2"/>
  <c r="V361" i="2"/>
  <c r="K361" i="2"/>
  <c r="S361" i="2"/>
  <c r="J361" i="2"/>
  <c r="AH361" i="2" s="1"/>
  <c r="R361" i="2"/>
  <c r="I361" i="2"/>
  <c r="Q361" i="2"/>
  <c r="H361" i="2"/>
  <c r="P361" i="2"/>
  <c r="G361" i="2"/>
  <c r="N361" i="2"/>
  <c r="L361" i="2"/>
  <c r="O361" i="2"/>
  <c r="F361" i="2"/>
  <c r="AK350" i="1"/>
  <c r="X374" i="2"/>
  <c r="AC374" i="2"/>
  <c r="E374" i="2"/>
  <c r="AB374" i="2"/>
  <c r="Y374" i="2"/>
  <c r="AA374" i="2"/>
  <c r="Z374" i="2"/>
  <c r="U383" i="2"/>
  <c r="M383" i="2"/>
  <c r="T383" i="2"/>
  <c r="L383" i="2"/>
  <c r="S383" i="2"/>
  <c r="K383" i="2"/>
  <c r="R383" i="2"/>
  <c r="J383" i="2"/>
  <c r="AH383" i="2" s="1"/>
  <c r="Q383" i="2"/>
  <c r="I383" i="2"/>
  <c r="W383" i="2"/>
  <c r="O383" i="2"/>
  <c r="G383" i="2"/>
  <c r="V383" i="2"/>
  <c r="P383" i="2"/>
  <c r="N383" i="2"/>
  <c r="H383" i="2"/>
  <c r="F383" i="2"/>
  <c r="Y406" i="2"/>
  <c r="X406" i="2"/>
  <c r="AC406" i="2"/>
  <c r="E406" i="2"/>
  <c r="AA406" i="2"/>
  <c r="Z406" i="2"/>
  <c r="AB406" i="2"/>
  <c r="T413" i="2"/>
  <c r="L413" i="2"/>
  <c r="S413" i="2"/>
  <c r="K413" i="2"/>
  <c r="R413" i="2"/>
  <c r="J413" i="2"/>
  <c r="AH413" i="2" s="1"/>
  <c r="Q413" i="2"/>
  <c r="I413" i="2"/>
  <c r="P413" i="2"/>
  <c r="H413" i="2"/>
  <c r="V413" i="2"/>
  <c r="N413" i="2"/>
  <c r="F413" i="2"/>
  <c r="U413" i="2"/>
  <c r="M413" i="2"/>
  <c r="W413" i="2"/>
  <c r="O413" i="2"/>
  <c r="G413" i="2"/>
  <c r="AK402" i="1"/>
  <c r="U442" i="2"/>
  <c r="M442" i="2"/>
  <c r="T442" i="2"/>
  <c r="L442" i="2"/>
  <c r="S442" i="2"/>
  <c r="K442" i="2"/>
  <c r="R442" i="2"/>
  <c r="J442" i="2"/>
  <c r="AH442" i="2" s="1"/>
  <c r="Q442" i="2"/>
  <c r="I442" i="2"/>
  <c r="P442" i="2"/>
  <c r="H442" i="2"/>
  <c r="W442" i="2"/>
  <c r="O442" i="2"/>
  <c r="G442" i="2"/>
  <c r="N442" i="2"/>
  <c r="F442" i="2"/>
  <c r="V442" i="2"/>
  <c r="X482" i="2"/>
  <c r="AC482" i="2"/>
  <c r="E482" i="2"/>
  <c r="AB482" i="2"/>
  <c r="Z482" i="2"/>
  <c r="Y482" i="2"/>
  <c r="AA482" i="2"/>
  <c r="AC499" i="2"/>
  <c r="E499" i="2"/>
  <c r="AB499" i="2"/>
  <c r="AA499" i="2"/>
  <c r="Z499" i="2"/>
  <c r="Y499" i="2"/>
  <c r="X499" i="2"/>
  <c r="W511" i="2"/>
  <c r="O511" i="2"/>
  <c r="G511" i="2"/>
  <c r="U511" i="2"/>
  <c r="M511" i="2"/>
  <c r="T511" i="2"/>
  <c r="L511" i="2"/>
  <c r="S511" i="2"/>
  <c r="K511" i="2"/>
  <c r="Q511" i="2"/>
  <c r="I511" i="2"/>
  <c r="P511" i="2"/>
  <c r="H511" i="2"/>
  <c r="V511" i="2"/>
  <c r="R511" i="2"/>
  <c r="N511" i="2"/>
  <c r="J511" i="2"/>
  <c r="AH511" i="2" s="1"/>
  <c r="F511" i="2"/>
  <c r="Q521" i="2"/>
  <c r="I521" i="2"/>
  <c r="P521" i="2"/>
  <c r="H521" i="2"/>
  <c r="W521" i="2"/>
  <c r="O521" i="2"/>
  <c r="G521" i="2"/>
  <c r="V521" i="2"/>
  <c r="N521" i="2"/>
  <c r="F521" i="2"/>
  <c r="U521" i="2"/>
  <c r="M521" i="2"/>
  <c r="S521" i="2"/>
  <c r="K521" i="2"/>
  <c r="R521" i="2"/>
  <c r="J521" i="2"/>
  <c r="AH521" i="2" s="1"/>
  <c r="T521" i="2"/>
  <c r="L521" i="2"/>
  <c r="AK510" i="1"/>
  <c r="Y588" i="2"/>
  <c r="X588" i="2"/>
  <c r="AA588" i="2"/>
  <c r="AB588" i="2"/>
  <c r="E588" i="2"/>
  <c r="Z588" i="2"/>
  <c r="AC588" i="2"/>
  <c r="Y604" i="2"/>
  <c r="X604" i="2"/>
  <c r="AC604" i="2"/>
  <c r="E604" i="2"/>
  <c r="AA604" i="2"/>
  <c r="Z604" i="2"/>
  <c r="AB604" i="2"/>
  <c r="Z636" i="2"/>
  <c r="Y636" i="2"/>
  <c r="X636" i="2"/>
  <c r="AC636" i="2"/>
  <c r="E636" i="2"/>
  <c r="AB636" i="2"/>
  <c r="AA636" i="2"/>
  <c r="AB668" i="2"/>
  <c r="Y668" i="2"/>
  <c r="X668" i="2"/>
  <c r="E668" i="2"/>
  <c r="AC668" i="2"/>
  <c r="AA668" i="2"/>
  <c r="Z668" i="2"/>
  <c r="R28" i="2"/>
  <c r="J28" i="2"/>
  <c r="AH28" i="2" s="1"/>
  <c r="P28" i="2"/>
  <c r="H28" i="2"/>
  <c r="W28" i="2"/>
  <c r="O28" i="2"/>
  <c r="G28" i="2"/>
  <c r="V28" i="2"/>
  <c r="N28" i="2"/>
  <c r="F28" i="2"/>
  <c r="T28" i="2"/>
  <c r="L28" i="2"/>
  <c r="S28" i="2"/>
  <c r="K28" i="2"/>
  <c r="P52" i="2"/>
  <c r="H52" i="2"/>
  <c r="W52" i="2"/>
  <c r="O52" i="2"/>
  <c r="G52" i="2"/>
  <c r="V52" i="2"/>
  <c r="N52" i="2"/>
  <c r="F52" i="2"/>
  <c r="U52" i="2"/>
  <c r="M52" i="2"/>
  <c r="T52" i="2"/>
  <c r="L52" i="2"/>
  <c r="S52" i="2"/>
  <c r="K52" i="2"/>
  <c r="R52" i="2"/>
  <c r="J52" i="2"/>
  <c r="AH52" i="2" s="1"/>
  <c r="Q52" i="2"/>
  <c r="AA61" i="2"/>
  <c r="Z61" i="2"/>
  <c r="Y61" i="2"/>
  <c r="X61" i="2"/>
  <c r="AC61" i="2"/>
  <c r="E61" i="2"/>
  <c r="AB61" i="2"/>
  <c r="T164" i="2"/>
  <c r="L164" i="2"/>
  <c r="S164" i="2"/>
  <c r="K164" i="2"/>
  <c r="R164" i="2"/>
  <c r="J164" i="2"/>
  <c r="AH164" i="2" s="1"/>
  <c r="Q164" i="2"/>
  <c r="I164" i="2"/>
  <c r="V164" i="2"/>
  <c r="N164" i="2"/>
  <c r="F164" i="2"/>
  <c r="U164" i="2"/>
  <c r="M164" i="2"/>
  <c r="W164" i="2"/>
  <c r="P164" i="2"/>
  <c r="O164" i="2"/>
  <c r="G164" i="2"/>
  <c r="H164" i="2"/>
  <c r="AK153" i="1"/>
  <c r="P195" i="2"/>
  <c r="H195" i="2"/>
  <c r="W195" i="2"/>
  <c r="O195" i="2"/>
  <c r="G195" i="2"/>
  <c r="V195" i="2"/>
  <c r="N195" i="2"/>
  <c r="F195" i="2"/>
  <c r="U195" i="2"/>
  <c r="M195" i="2"/>
  <c r="T195" i="2"/>
  <c r="L195" i="2"/>
  <c r="R195" i="2"/>
  <c r="J195" i="2"/>
  <c r="AH195" i="2" s="1"/>
  <c r="S195" i="2"/>
  <c r="Q195" i="2"/>
  <c r="K195" i="2"/>
  <c r="I195" i="2"/>
  <c r="R205" i="2"/>
  <c r="J205" i="2"/>
  <c r="AH205" i="2" s="1"/>
  <c r="Q205" i="2"/>
  <c r="I205" i="2"/>
  <c r="P205" i="2"/>
  <c r="H205" i="2"/>
  <c r="W205" i="2"/>
  <c r="O205" i="2"/>
  <c r="G205" i="2"/>
  <c r="V205" i="2"/>
  <c r="N205" i="2"/>
  <c r="F205" i="2"/>
  <c r="T205" i="2"/>
  <c r="L205" i="2"/>
  <c r="U205" i="2"/>
  <c r="S205" i="2"/>
  <c r="M205" i="2"/>
  <c r="K205" i="2"/>
  <c r="AK194" i="1"/>
  <c r="X211" i="2"/>
  <c r="AC211" i="2"/>
  <c r="E211" i="2"/>
  <c r="AB211" i="2"/>
  <c r="Z211" i="2"/>
  <c r="Y211" i="2"/>
  <c r="AA211" i="2"/>
  <c r="X219" i="2"/>
  <c r="AC219" i="2"/>
  <c r="E219" i="2"/>
  <c r="AB219" i="2"/>
  <c r="Z219" i="2"/>
  <c r="AA219" i="2"/>
  <c r="Y219" i="2"/>
  <c r="X227" i="2"/>
  <c r="AC227" i="2"/>
  <c r="E227" i="2"/>
  <c r="AB227" i="2"/>
  <c r="Z227" i="2"/>
  <c r="AA227" i="2"/>
  <c r="Y227" i="2"/>
  <c r="AC264" i="2"/>
  <c r="E264" i="2"/>
  <c r="AB264" i="2"/>
  <c r="AA264" i="2"/>
  <c r="Z264" i="2"/>
  <c r="Y264" i="2"/>
  <c r="X264" i="2"/>
  <c r="Z321" i="2"/>
  <c r="Y321" i="2"/>
  <c r="X321" i="2"/>
  <c r="AB321" i="2"/>
  <c r="E321" i="2"/>
  <c r="AC321" i="2"/>
  <c r="AA321" i="2"/>
  <c r="Q355" i="2"/>
  <c r="I355" i="2"/>
  <c r="P355" i="2"/>
  <c r="H355" i="2"/>
  <c r="W355" i="2"/>
  <c r="O355" i="2"/>
  <c r="G355" i="2"/>
  <c r="V355" i="2"/>
  <c r="N355" i="2"/>
  <c r="F355" i="2"/>
  <c r="U355" i="2"/>
  <c r="M355" i="2"/>
  <c r="S355" i="2"/>
  <c r="K355" i="2"/>
  <c r="R355" i="2"/>
  <c r="J355" i="2"/>
  <c r="AH355" i="2" s="1"/>
  <c r="T355" i="2"/>
  <c r="L355" i="2"/>
  <c r="AK367" i="1"/>
  <c r="Z392" i="2"/>
  <c r="Y392" i="2"/>
  <c r="X392" i="2"/>
  <c r="AB392" i="2"/>
  <c r="E392" i="2"/>
  <c r="AC392" i="2"/>
  <c r="AA392" i="2"/>
  <c r="AK399" i="1"/>
  <c r="X417" i="2"/>
  <c r="AC417" i="2"/>
  <c r="E417" i="2"/>
  <c r="AB417" i="2"/>
  <c r="Z417" i="2"/>
  <c r="Y417" i="2"/>
  <c r="AA417" i="2"/>
  <c r="AA424" i="2"/>
  <c r="Z424" i="2"/>
  <c r="Y424" i="2"/>
  <c r="X424" i="2"/>
  <c r="AC424" i="2"/>
  <c r="E424" i="2"/>
  <c r="AB424" i="2"/>
  <c r="AE427" i="2"/>
  <c r="AC439" i="2"/>
  <c r="E439" i="2"/>
  <c r="AB439" i="2"/>
  <c r="AA439" i="2"/>
  <c r="Z439" i="2"/>
  <c r="Y439" i="2"/>
  <c r="X439" i="2"/>
  <c r="AK431" i="1"/>
  <c r="X449" i="2"/>
  <c r="AC449" i="2"/>
  <c r="E449" i="2"/>
  <c r="AB449" i="2"/>
  <c r="AA449" i="2"/>
  <c r="Z449" i="2"/>
  <c r="Y449" i="2"/>
  <c r="AA456" i="2"/>
  <c r="Z456" i="2"/>
  <c r="Y456" i="2"/>
  <c r="X456" i="2"/>
  <c r="AC456" i="2"/>
  <c r="E456" i="2"/>
  <c r="AB456" i="2"/>
  <c r="AE459" i="2"/>
  <c r="AC471" i="2"/>
  <c r="E471" i="2"/>
  <c r="AB471" i="2"/>
  <c r="AA471" i="2"/>
  <c r="Z471" i="2"/>
  <c r="Y471" i="2"/>
  <c r="X471" i="2"/>
  <c r="AK463" i="1"/>
  <c r="AA481" i="2"/>
  <c r="Z481" i="2"/>
  <c r="Y481" i="2"/>
  <c r="X481" i="2"/>
  <c r="AC481" i="2"/>
  <c r="E481" i="2"/>
  <c r="AB481" i="2"/>
  <c r="F671" i="1"/>
  <c r="AK9" i="1"/>
  <c r="AK17" i="1"/>
  <c r="AK25" i="1"/>
  <c r="AK33" i="1"/>
  <c r="AK41" i="1"/>
  <c r="AK49" i="1"/>
  <c r="AK57" i="1"/>
  <c r="AK65" i="1"/>
  <c r="AK73" i="1"/>
  <c r="AK81" i="1"/>
  <c r="AK89" i="1"/>
  <c r="AK97" i="1"/>
  <c r="AK105" i="1"/>
  <c r="AK113" i="1"/>
  <c r="AK121" i="1"/>
  <c r="AK129" i="1"/>
  <c r="AK137" i="1"/>
  <c r="AK143" i="1"/>
  <c r="AK148" i="1"/>
  <c r="AK184" i="1"/>
  <c r="V201" i="2"/>
  <c r="N201" i="2"/>
  <c r="F201" i="2"/>
  <c r="U201" i="2"/>
  <c r="M201" i="2"/>
  <c r="T201" i="2"/>
  <c r="L201" i="2"/>
  <c r="S201" i="2"/>
  <c r="K201" i="2"/>
  <c r="R201" i="2"/>
  <c r="J201" i="2"/>
  <c r="AH201" i="2" s="1"/>
  <c r="P201" i="2"/>
  <c r="H201" i="2"/>
  <c r="G201" i="2"/>
  <c r="O201" i="2"/>
  <c r="I201" i="2"/>
  <c r="Q201" i="2"/>
  <c r="W201" i="2"/>
  <c r="AK191" i="1"/>
  <c r="AC204" i="2"/>
  <c r="E204" i="2"/>
  <c r="AB204" i="2"/>
  <c r="AA204" i="2"/>
  <c r="Z204" i="2"/>
  <c r="Y204" i="2"/>
  <c r="X204" i="2"/>
  <c r="AB207" i="2"/>
  <c r="AA207" i="2"/>
  <c r="Z207" i="2"/>
  <c r="Y207" i="2"/>
  <c r="X207" i="2"/>
  <c r="AC207" i="2"/>
  <c r="E207" i="2"/>
  <c r="S210" i="2"/>
  <c r="K210" i="2"/>
  <c r="R210" i="2"/>
  <c r="J210" i="2"/>
  <c r="AH210" i="2" s="1"/>
  <c r="Q210" i="2"/>
  <c r="I210" i="2"/>
  <c r="P210" i="2"/>
  <c r="H210" i="2"/>
  <c r="W210" i="2"/>
  <c r="O210" i="2"/>
  <c r="G210" i="2"/>
  <c r="U210" i="2"/>
  <c r="M210" i="2"/>
  <c r="V210" i="2"/>
  <c r="T210" i="2"/>
  <c r="F210" i="2"/>
  <c r="N210" i="2"/>
  <c r="L210" i="2"/>
  <c r="R213" i="2"/>
  <c r="J213" i="2"/>
  <c r="AH213" i="2" s="1"/>
  <c r="Q213" i="2"/>
  <c r="I213" i="2"/>
  <c r="P213" i="2"/>
  <c r="H213" i="2"/>
  <c r="W213" i="2"/>
  <c r="O213" i="2"/>
  <c r="G213" i="2"/>
  <c r="V213" i="2"/>
  <c r="N213" i="2"/>
  <c r="F213" i="2"/>
  <c r="T213" i="2"/>
  <c r="L213" i="2"/>
  <c r="M213" i="2"/>
  <c r="K213" i="2"/>
  <c r="S213" i="2"/>
  <c r="AK202" i="1"/>
  <c r="S218" i="2"/>
  <c r="K218" i="2"/>
  <c r="R218" i="2"/>
  <c r="J218" i="2"/>
  <c r="AH218" i="2" s="1"/>
  <c r="Q218" i="2"/>
  <c r="I218" i="2"/>
  <c r="P218" i="2"/>
  <c r="H218" i="2"/>
  <c r="W218" i="2"/>
  <c r="O218" i="2"/>
  <c r="G218" i="2"/>
  <c r="U218" i="2"/>
  <c r="M218" i="2"/>
  <c r="L218" i="2"/>
  <c r="F218" i="2"/>
  <c r="T218" i="2"/>
  <c r="N218" i="2"/>
  <c r="V218" i="2"/>
  <c r="R221" i="2"/>
  <c r="J221" i="2"/>
  <c r="AH221" i="2" s="1"/>
  <c r="Q221" i="2"/>
  <c r="I221" i="2"/>
  <c r="P221" i="2"/>
  <c r="H221" i="2"/>
  <c r="W221" i="2"/>
  <c r="O221" i="2"/>
  <c r="G221" i="2"/>
  <c r="V221" i="2"/>
  <c r="N221" i="2"/>
  <c r="F221" i="2"/>
  <c r="T221" i="2"/>
  <c r="L221" i="2"/>
  <c r="S221" i="2"/>
  <c r="M221" i="2"/>
  <c r="K221" i="2"/>
  <c r="U221" i="2"/>
  <c r="AK210" i="1"/>
  <c r="S226" i="2"/>
  <c r="K226" i="2"/>
  <c r="R226" i="2"/>
  <c r="J226" i="2"/>
  <c r="AH226" i="2" s="1"/>
  <c r="Q226" i="2"/>
  <c r="I226" i="2"/>
  <c r="P226" i="2"/>
  <c r="H226" i="2"/>
  <c r="W226" i="2"/>
  <c r="O226" i="2"/>
  <c r="G226" i="2"/>
  <c r="U226" i="2"/>
  <c r="M226" i="2"/>
  <c r="T226" i="2"/>
  <c r="N226" i="2"/>
  <c r="L226" i="2"/>
  <c r="F226" i="2"/>
  <c r="V226" i="2"/>
  <c r="R229" i="2"/>
  <c r="J229" i="2"/>
  <c r="AH229" i="2" s="1"/>
  <c r="Q229" i="2"/>
  <c r="I229" i="2"/>
  <c r="P229" i="2"/>
  <c r="H229" i="2"/>
  <c r="W229" i="2"/>
  <c r="O229" i="2"/>
  <c r="G229" i="2"/>
  <c r="V229" i="2"/>
  <c r="N229" i="2"/>
  <c r="F229" i="2"/>
  <c r="T229" i="2"/>
  <c r="L229" i="2"/>
  <c r="U229" i="2"/>
  <c r="S229" i="2"/>
  <c r="M229" i="2"/>
  <c r="K229" i="2"/>
  <c r="AK218" i="1"/>
  <c r="AB239" i="2"/>
  <c r="AA239" i="2"/>
  <c r="Z239" i="2"/>
  <c r="Y239" i="2"/>
  <c r="X239" i="2"/>
  <c r="AC239" i="2"/>
  <c r="E239" i="2"/>
  <c r="AK231" i="1"/>
  <c r="Z249" i="2"/>
  <c r="Y249" i="2"/>
  <c r="X249" i="2"/>
  <c r="AB249" i="2"/>
  <c r="E249" i="2"/>
  <c r="AC249" i="2"/>
  <c r="AA249" i="2"/>
  <c r="T251" i="2"/>
  <c r="L251" i="2"/>
  <c r="S251" i="2"/>
  <c r="K251" i="2"/>
  <c r="R251" i="2"/>
  <c r="J251" i="2"/>
  <c r="AH251" i="2" s="1"/>
  <c r="Q251" i="2"/>
  <c r="I251" i="2"/>
  <c r="P251" i="2"/>
  <c r="H251" i="2"/>
  <c r="V251" i="2"/>
  <c r="N251" i="2"/>
  <c r="F251" i="2"/>
  <c r="G251" i="2"/>
  <c r="W251" i="2"/>
  <c r="O251" i="2"/>
  <c r="U251" i="2"/>
  <c r="M251" i="2"/>
  <c r="AC256" i="2"/>
  <c r="E256" i="2"/>
  <c r="AB256" i="2"/>
  <c r="AA256" i="2"/>
  <c r="Z256" i="2"/>
  <c r="Y256" i="2"/>
  <c r="X256" i="2"/>
  <c r="AK248" i="1"/>
  <c r="X271" i="2"/>
  <c r="AC271" i="2"/>
  <c r="E271" i="2"/>
  <c r="AB271" i="2"/>
  <c r="Z271" i="2"/>
  <c r="AA271" i="2"/>
  <c r="Y271" i="2"/>
  <c r="AK263" i="1"/>
  <c r="Z281" i="2"/>
  <c r="Y281" i="2"/>
  <c r="X281" i="2"/>
  <c r="AB281" i="2"/>
  <c r="AC281" i="2"/>
  <c r="AA281" i="2"/>
  <c r="E281" i="2"/>
  <c r="T283" i="2"/>
  <c r="L283" i="2"/>
  <c r="S283" i="2"/>
  <c r="K283" i="2"/>
  <c r="R283" i="2"/>
  <c r="J283" i="2"/>
  <c r="AH283" i="2" s="1"/>
  <c r="Q283" i="2"/>
  <c r="I283" i="2"/>
  <c r="P283" i="2"/>
  <c r="H283" i="2"/>
  <c r="V283" i="2"/>
  <c r="N283" i="2"/>
  <c r="F283" i="2"/>
  <c r="W283" i="2"/>
  <c r="U283" i="2"/>
  <c r="O283" i="2"/>
  <c r="M283" i="2"/>
  <c r="G283" i="2"/>
  <c r="AC288" i="2"/>
  <c r="E288" i="2"/>
  <c r="AB288" i="2"/>
  <c r="AA288" i="2"/>
  <c r="Z288" i="2"/>
  <c r="Y288" i="2"/>
  <c r="X288" i="2"/>
  <c r="AK280" i="1"/>
  <c r="X303" i="2"/>
  <c r="AC303" i="2"/>
  <c r="E303" i="2"/>
  <c r="AB303" i="2"/>
  <c r="Z303" i="2"/>
  <c r="AA303" i="2"/>
  <c r="Y303" i="2"/>
  <c r="AK295" i="1"/>
  <c r="Z313" i="2"/>
  <c r="Y313" i="2"/>
  <c r="X313" i="2"/>
  <c r="AB313" i="2"/>
  <c r="E313" i="2"/>
  <c r="AC313" i="2"/>
  <c r="AA313" i="2"/>
  <c r="T315" i="2"/>
  <c r="L315" i="2"/>
  <c r="S315" i="2"/>
  <c r="K315" i="2"/>
  <c r="R315" i="2"/>
  <c r="J315" i="2"/>
  <c r="AH315" i="2" s="1"/>
  <c r="Q315" i="2"/>
  <c r="I315" i="2"/>
  <c r="P315" i="2"/>
  <c r="H315" i="2"/>
  <c r="V315" i="2"/>
  <c r="N315" i="2"/>
  <c r="F315" i="2"/>
  <c r="W315" i="2"/>
  <c r="U315" i="2"/>
  <c r="O315" i="2"/>
  <c r="M315" i="2"/>
  <c r="G315" i="2"/>
  <c r="AC320" i="2"/>
  <c r="E320" i="2"/>
  <c r="AB320" i="2"/>
  <c r="AA320" i="2"/>
  <c r="Z320" i="2"/>
  <c r="Y320" i="2"/>
  <c r="X320" i="2"/>
  <c r="AK312" i="1"/>
  <c r="AC335" i="2"/>
  <c r="E335" i="2"/>
  <c r="AB335" i="2"/>
  <c r="AA335" i="2"/>
  <c r="Z335" i="2"/>
  <c r="Y335" i="2"/>
  <c r="X335" i="2"/>
  <c r="AK327" i="1"/>
  <c r="AC345" i="2"/>
  <c r="E345" i="2"/>
  <c r="AB345" i="2"/>
  <c r="AA345" i="2"/>
  <c r="Y345" i="2"/>
  <c r="X345" i="2"/>
  <c r="Z345" i="2"/>
  <c r="Q347" i="2"/>
  <c r="I347" i="2"/>
  <c r="P347" i="2"/>
  <c r="H347" i="2"/>
  <c r="W347" i="2"/>
  <c r="O347" i="2"/>
  <c r="G347" i="2"/>
  <c r="V347" i="2"/>
  <c r="N347" i="2"/>
  <c r="F347" i="2"/>
  <c r="U347" i="2"/>
  <c r="M347" i="2"/>
  <c r="S347" i="2"/>
  <c r="K347" i="2"/>
  <c r="R347" i="2"/>
  <c r="J347" i="2"/>
  <c r="AH347" i="2" s="1"/>
  <c r="T347" i="2"/>
  <c r="L347" i="2"/>
  <c r="Z352" i="2"/>
  <c r="Y352" i="2"/>
  <c r="X352" i="2"/>
  <c r="AB352" i="2"/>
  <c r="AA352" i="2"/>
  <c r="AC352" i="2"/>
  <c r="E352" i="2"/>
  <c r="AK344" i="1"/>
  <c r="AC367" i="2"/>
  <c r="E367" i="2"/>
  <c r="AB367" i="2"/>
  <c r="AA367" i="2"/>
  <c r="Z367" i="2"/>
  <c r="Y367" i="2"/>
  <c r="X367" i="2"/>
  <c r="AK359" i="1"/>
  <c r="AC377" i="2"/>
  <c r="E377" i="2"/>
  <c r="AB377" i="2"/>
  <c r="AA377" i="2"/>
  <c r="Y377" i="2"/>
  <c r="Z377" i="2"/>
  <c r="X377" i="2"/>
  <c r="Q379" i="2"/>
  <c r="I379" i="2"/>
  <c r="P379" i="2"/>
  <c r="H379" i="2"/>
  <c r="W379" i="2"/>
  <c r="O379" i="2"/>
  <c r="G379" i="2"/>
  <c r="V379" i="2"/>
  <c r="N379" i="2"/>
  <c r="F379" i="2"/>
  <c r="U379" i="2"/>
  <c r="M379" i="2"/>
  <c r="S379" i="2"/>
  <c r="K379" i="2"/>
  <c r="J379" i="2"/>
  <c r="AH379" i="2" s="1"/>
  <c r="R379" i="2"/>
  <c r="L379" i="2"/>
  <c r="T379" i="2"/>
  <c r="Z384" i="2"/>
  <c r="Y384" i="2"/>
  <c r="X384" i="2"/>
  <c r="AB384" i="2"/>
  <c r="E384" i="2"/>
  <c r="AC384" i="2"/>
  <c r="AA384" i="2"/>
  <c r="AK376" i="1"/>
  <c r="AC399" i="2"/>
  <c r="E399" i="2"/>
  <c r="AB399" i="2"/>
  <c r="AA399" i="2"/>
  <c r="Z399" i="2"/>
  <c r="X399" i="2"/>
  <c r="Y399" i="2"/>
  <c r="AK391" i="1"/>
  <c r="X409" i="2"/>
  <c r="AC409" i="2"/>
  <c r="E409" i="2"/>
  <c r="AB409" i="2"/>
  <c r="Z409" i="2"/>
  <c r="Y409" i="2"/>
  <c r="AA409" i="2"/>
  <c r="R411" i="2"/>
  <c r="J411" i="2"/>
  <c r="AH411" i="2" s="1"/>
  <c r="Q411" i="2"/>
  <c r="I411" i="2"/>
  <c r="P411" i="2"/>
  <c r="H411" i="2"/>
  <c r="W411" i="2"/>
  <c r="O411" i="2"/>
  <c r="G411" i="2"/>
  <c r="V411" i="2"/>
  <c r="N411" i="2"/>
  <c r="F411" i="2"/>
  <c r="T411" i="2"/>
  <c r="L411" i="2"/>
  <c r="S411" i="2"/>
  <c r="K411" i="2"/>
  <c r="U411" i="2"/>
  <c r="M411" i="2"/>
  <c r="AA416" i="2"/>
  <c r="Z416" i="2"/>
  <c r="Y416" i="2"/>
  <c r="X416" i="2"/>
  <c r="AC416" i="2"/>
  <c r="E416" i="2"/>
  <c r="AB416" i="2"/>
  <c r="AK408" i="1"/>
  <c r="AC431" i="2"/>
  <c r="E431" i="2"/>
  <c r="AB431" i="2"/>
  <c r="AA431" i="2"/>
  <c r="Z431" i="2"/>
  <c r="X431" i="2"/>
  <c r="Y431" i="2"/>
  <c r="AK423" i="1"/>
  <c r="X441" i="2"/>
  <c r="AC441" i="2"/>
  <c r="E441" i="2"/>
  <c r="AB441" i="2"/>
  <c r="AA441" i="2"/>
  <c r="Z441" i="2"/>
  <c r="Y441" i="2"/>
  <c r="R443" i="2"/>
  <c r="J443" i="2"/>
  <c r="AH443" i="2" s="1"/>
  <c r="Q443" i="2"/>
  <c r="I443" i="2"/>
  <c r="P443" i="2"/>
  <c r="H443" i="2"/>
  <c r="W443" i="2"/>
  <c r="O443" i="2"/>
  <c r="G443" i="2"/>
  <c r="V443" i="2"/>
  <c r="N443" i="2"/>
  <c r="F443" i="2"/>
  <c r="U443" i="2"/>
  <c r="M443" i="2"/>
  <c r="T443" i="2"/>
  <c r="L443" i="2"/>
  <c r="K443" i="2"/>
  <c r="S443" i="2"/>
  <c r="AA448" i="2"/>
  <c r="Z448" i="2"/>
  <c r="Y448" i="2"/>
  <c r="X448" i="2"/>
  <c r="AC448" i="2"/>
  <c r="E448" i="2"/>
  <c r="AB448" i="2"/>
  <c r="AK440" i="1"/>
  <c r="AC463" i="2"/>
  <c r="E463" i="2"/>
  <c r="AB463" i="2"/>
  <c r="AA463" i="2"/>
  <c r="Z463" i="2"/>
  <c r="Y463" i="2"/>
  <c r="X463" i="2"/>
  <c r="AK455" i="1"/>
  <c r="AA473" i="2"/>
  <c r="Z473" i="2"/>
  <c r="Y473" i="2"/>
  <c r="AB473" i="2"/>
  <c r="AC473" i="2"/>
  <c r="X473" i="2"/>
  <c r="E473" i="2"/>
  <c r="U475" i="2"/>
  <c r="M475" i="2"/>
  <c r="T475" i="2"/>
  <c r="L475" i="2"/>
  <c r="S475" i="2"/>
  <c r="K475" i="2"/>
  <c r="Q475" i="2"/>
  <c r="I475" i="2"/>
  <c r="W475" i="2"/>
  <c r="O475" i="2"/>
  <c r="G475" i="2"/>
  <c r="V475" i="2"/>
  <c r="N475" i="2"/>
  <c r="F475" i="2"/>
  <c r="H475" i="2"/>
  <c r="R475" i="2"/>
  <c r="P475" i="2"/>
  <c r="J475" i="2"/>
  <c r="AH475" i="2" s="1"/>
  <c r="AC480" i="2"/>
  <c r="E480" i="2"/>
  <c r="AB480" i="2"/>
  <c r="AA480" i="2"/>
  <c r="Z480" i="2"/>
  <c r="X480" i="2"/>
  <c r="Y480" i="2"/>
  <c r="AK472" i="1"/>
  <c r="Y495" i="2"/>
  <c r="X495" i="2"/>
  <c r="AC495" i="2"/>
  <c r="E495" i="2"/>
  <c r="AA495" i="2"/>
  <c r="Z495" i="2"/>
  <c r="AB495" i="2"/>
  <c r="AK487" i="1"/>
  <c r="AA505" i="2"/>
  <c r="Z505" i="2"/>
  <c r="Y505" i="2"/>
  <c r="X505" i="2"/>
  <c r="AC505" i="2"/>
  <c r="E505" i="2"/>
  <c r="AB505" i="2"/>
  <c r="U507" i="2"/>
  <c r="M507" i="2"/>
  <c r="T507" i="2"/>
  <c r="L507" i="2"/>
  <c r="S507" i="2"/>
  <c r="K507" i="2"/>
  <c r="R507" i="2"/>
  <c r="J507" i="2"/>
  <c r="AH507" i="2" s="1"/>
  <c r="Q507" i="2"/>
  <c r="I507" i="2"/>
  <c r="W507" i="2"/>
  <c r="O507" i="2"/>
  <c r="G507" i="2"/>
  <c r="V507" i="2"/>
  <c r="N507" i="2"/>
  <c r="F507" i="2"/>
  <c r="P507" i="2"/>
  <c r="H507" i="2"/>
  <c r="AB512" i="2"/>
  <c r="Z512" i="2"/>
  <c r="Y512" i="2"/>
  <c r="X512" i="2"/>
  <c r="AC512" i="2"/>
  <c r="E512" i="2"/>
  <c r="AA512" i="2"/>
  <c r="AK504" i="1"/>
  <c r="AC527" i="2"/>
  <c r="E527" i="2"/>
  <c r="AB527" i="2"/>
  <c r="AA527" i="2"/>
  <c r="Y527" i="2"/>
  <c r="X527" i="2"/>
  <c r="Z527" i="2"/>
  <c r="AK519" i="1"/>
  <c r="Y537" i="2"/>
  <c r="X537" i="2"/>
  <c r="AC537" i="2"/>
  <c r="E537" i="2"/>
  <c r="AA537" i="2"/>
  <c r="Z537" i="2"/>
  <c r="AB537" i="2"/>
  <c r="S539" i="2"/>
  <c r="K539" i="2"/>
  <c r="R539" i="2"/>
  <c r="J539" i="2"/>
  <c r="AH539" i="2" s="1"/>
  <c r="Q539" i="2"/>
  <c r="I539" i="2"/>
  <c r="P539" i="2"/>
  <c r="H539" i="2"/>
  <c r="W539" i="2"/>
  <c r="O539" i="2"/>
  <c r="G539" i="2"/>
  <c r="U539" i="2"/>
  <c r="M539" i="2"/>
  <c r="T539" i="2"/>
  <c r="L539" i="2"/>
  <c r="N539" i="2"/>
  <c r="F539" i="2"/>
  <c r="V539" i="2"/>
  <c r="AB544" i="2"/>
  <c r="AA544" i="2"/>
  <c r="Z544" i="2"/>
  <c r="Y544" i="2"/>
  <c r="X544" i="2"/>
  <c r="AC544" i="2"/>
  <c r="E544" i="2"/>
  <c r="AK536" i="1"/>
  <c r="AC559" i="2"/>
  <c r="E559" i="2"/>
  <c r="AB559" i="2"/>
  <c r="AA559" i="2"/>
  <c r="Y559" i="2"/>
  <c r="X559" i="2"/>
  <c r="Z559" i="2"/>
  <c r="AK551" i="1"/>
  <c r="AE564" i="2"/>
  <c r="R566" i="2"/>
  <c r="J566" i="2"/>
  <c r="AH566" i="2" s="1"/>
  <c r="Q566" i="2"/>
  <c r="I566" i="2"/>
  <c r="P566" i="2"/>
  <c r="H566" i="2"/>
  <c r="W566" i="2"/>
  <c r="O566" i="2"/>
  <c r="G566" i="2"/>
  <c r="V566" i="2"/>
  <c r="N566" i="2"/>
  <c r="F566" i="2"/>
  <c r="T566" i="2"/>
  <c r="L566" i="2"/>
  <c r="S566" i="2"/>
  <c r="K566" i="2"/>
  <c r="U566" i="2"/>
  <c r="M566" i="2"/>
  <c r="AK555" i="1"/>
  <c r="AK560" i="1"/>
  <c r="U573" i="2"/>
  <c r="M573" i="2"/>
  <c r="T573" i="2"/>
  <c r="L573" i="2"/>
  <c r="S573" i="2"/>
  <c r="K573" i="2"/>
  <c r="R573" i="2"/>
  <c r="J573" i="2"/>
  <c r="AH573" i="2" s="1"/>
  <c r="Q573" i="2"/>
  <c r="I573" i="2"/>
  <c r="W573" i="2"/>
  <c r="O573" i="2"/>
  <c r="G573" i="2"/>
  <c r="V573" i="2"/>
  <c r="N573" i="2"/>
  <c r="F573" i="2"/>
  <c r="P573" i="2"/>
  <c r="H573" i="2"/>
  <c r="AK562" i="1"/>
  <c r="W575" i="2"/>
  <c r="O575" i="2"/>
  <c r="G575" i="2"/>
  <c r="V575" i="2"/>
  <c r="N575" i="2"/>
  <c r="F575" i="2"/>
  <c r="U575" i="2"/>
  <c r="M575" i="2"/>
  <c r="T575" i="2"/>
  <c r="L575" i="2"/>
  <c r="S575" i="2"/>
  <c r="K575" i="2"/>
  <c r="Q575" i="2"/>
  <c r="I575" i="2"/>
  <c r="P575" i="2"/>
  <c r="H575" i="2"/>
  <c r="J575" i="2"/>
  <c r="AH575" i="2" s="1"/>
  <c r="R575" i="2"/>
  <c r="AC578" i="2"/>
  <c r="E578" i="2"/>
  <c r="AB578" i="2"/>
  <c r="AA578" i="2"/>
  <c r="Z578" i="2"/>
  <c r="X578" i="2"/>
  <c r="Y578" i="2"/>
  <c r="AE580" i="2"/>
  <c r="R582" i="2"/>
  <c r="J582" i="2"/>
  <c r="AH582" i="2" s="1"/>
  <c r="O582" i="2"/>
  <c r="F582" i="2"/>
  <c r="W582" i="2"/>
  <c r="N582" i="2"/>
  <c r="V582" i="2"/>
  <c r="M582" i="2"/>
  <c r="U582" i="2"/>
  <c r="L582" i="2"/>
  <c r="T582" i="2"/>
  <c r="K582" i="2"/>
  <c r="Q582" i="2"/>
  <c r="H582" i="2"/>
  <c r="P582" i="2"/>
  <c r="G582" i="2"/>
  <c r="I582" i="2"/>
  <c r="S582" i="2"/>
  <c r="AK571" i="1"/>
  <c r="AK576" i="1"/>
  <c r="V589" i="2"/>
  <c r="N589" i="2"/>
  <c r="F589" i="2"/>
  <c r="U589" i="2"/>
  <c r="M589" i="2"/>
  <c r="T589" i="2"/>
  <c r="L589" i="2"/>
  <c r="S589" i="2"/>
  <c r="K589" i="2"/>
  <c r="R589" i="2"/>
  <c r="J589" i="2"/>
  <c r="AH589" i="2" s="1"/>
  <c r="P589" i="2"/>
  <c r="H589" i="2"/>
  <c r="W589" i="2"/>
  <c r="O589" i="2"/>
  <c r="G589" i="2"/>
  <c r="I589" i="2"/>
  <c r="Q589" i="2"/>
  <c r="AK578" i="1"/>
  <c r="P591" i="2"/>
  <c r="H591" i="2"/>
  <c r="W591" i="2"/>
  <c r="O591" i="2"/>
  <c r="G591" i="2"/>
  <c r="V591" i="2"/>
  <c r="N591" i="2"/>
  <c r="F591" i="2"/>
  <c r="U591" i="2"/>
  <c r="M591" i="2"/>
  <c r="T591" i="2"/>
  <c r="L591" i="2"/>
  <c r="R591" i="2"/>
  <c r="J591" i="2"/>
  <c r="AH591" i="2" s="1"/>
  <c r="Q591" i="2"/>
  <c r="I591" i="2"/>
  <c r="S591" i="2"/>
  <c r="K591" i="2"/>
  <c r="AC594" i="2"/>
  <c r="E594" i="2"/>
  <c r="AB594" i="2"/>
  <c r="AA594" i="2"/>
  <c r="Y594" i="2"/>
  <c r="X594" i="2"/>
  <c r="Z594" i="2"/>
  <c r="S598" i="2"/>
  <c r="K598" i="2"/>
  <c r="R598" i="2"/>
  <c r="J598" i="2"/>
  <c r="AH598" i="2" s="1"/>
  <c r="Q598" i="2"/>
  <c r="I598" i="2"/>
  <c r="P598" i="2"/>
  <c r="H598" i="2"/>
  <c r="W598" i="2"/>
  <c r="O598" i="2"/>
  <c r="G598" i="2"/>
  <c r="U598" i="2"/>
  <c r="M598" i="2"/>
  <c r="T598" i="2"/>
  <c r="L598" i="2"/>
  <c r="V598" i="2"/>
  <c r="N598" i="2"/>
  <c r="F598" i="2"/>
  <c r="AK587" i="1"/>
  <c r="AK592" i="1"/>
  <c r="V605" i="2"/>
  <c r="N605" i="2"/>
  <c r="F605" i="2"/>
  <c r="U605" i="2"/>
  <c r="M605" i="2"/>
  <c r="T605" i="2"/>
  <c r="L605" i="2"/>
  <c r="S605" i="2"/>
  <c r="K605" i="2"/>
  <c r="R605" i="2"/>
  <c r="J605" i="2"/>
  <c r="AH605" i="2" s="1"/>
  <c r="P605" i="2"/>
  <c r="H605" i="2"/>
  <c r="W605" i="2"/>
  <c r="O605" i="2"/>
  <c r="G605" i="2"/>
  <c r="Q605" i="2"/>
  <c r="I605" i="2"/>
  <c r="AK594" i="1"/>
  <c r="P607" i="2"/>
  <c r="H607" i="2"/>
  <c r="W607" i="2"/>
  <c r="O607" i="2"/>
  <c r="G607" i="2"/>
  <c r="V607" i="2"/>
  <c r="N607" i="2"/>
  <c r="F607" i="2"/>
  <c r="U607" i="2"/>
  <c r="M607" i="2"/>
  <c r="T607" i="2"/>
  <c r="L607" i="2"/>
  <c r="R607" i="2"/>
  <c r="J607" i="2"/>
  <c r="AH607" i="2" s="1"/>
  <c r="Q607" i="2"/>
  <c r="I607" i="2"/>
  <c r="S607" i="2"/>
  <c r="K607" i="2"/>
  <c r="AC610" i="2"/>
  <c r="E610" i="2"/>
  <c r="AB610" i="2"/>
  <c r="AA610" i="2"/>
  <c r="Z610" i="2"/>
  <c r="X610" i="2"/>
  <c r="Y610" i="2"/>
  <c r="Q614" i="2"/>
  <c r="I614" i="2"/>
  <c r="P614" i="2"/>
  <c r="H614" i="2"/>
  <c r="W614" i="2"/>
  <c r="O614" i="2"/>
  <c r="G614" i="2"/>
  <c r="V614" i="2"/>
  <c r="N614" i="2"/>
  <c r="F614" i="2"/>
  <c r="U614" i="2"/>
  <c r="M614" i="2"/>
  <c r="T614" i="2"/>
  <c r="L614" i="2"/>
  <c r="S614" i="2"/>
  <c r="K614" i="2"/>
  <c r="R614" i="2"/>
  <c r="J614" i="2"/>
  <c r="AH614" i="2" s="1"/>
  <c r="AK603" i="1"/>
  <c r="AK608" i="1"/>
  <c r="T621" i="2"/>
  <c r="L621" i="2"/>
  <c r="S621" i="2"/>
  <c r="K621" i="2"/>
  <c r="R621" i="2"/>
  <c r="J621" i="2"/>
  <c r="AH621" i="2" s="1"/>
  <c r="Q621" i="2"/>
  <c r="I621" i="2"/>
  <c r="P621" i="2"/>
  <c r="H621" i="2"/>
  <c r="W621" i="2"/>
  <c r="O621" i="2"/>
  <c r="G621" i="2"/>
  <c r="V621" i="2"/>
  <c r="N621" i="2"/>
  <c r="F621" i="2"/>
  <c r="M621" i="2"/>
  <c r="U621" i="2"/>
  <c r="AK610" i="1"/>
  <c r="V623" i="2"/>
  <c r="N623" i="2"/>
  <c r="F623" i="2"/>
  <c r="U623" i="2"/>
  <c r="M623" i="2"/>
  <c r="T623" i="2"/>
  <c r="L623" i="2"/>
  <c r="S623" i="2"/>
  <c r="K623" i="2"/>
  <c r="R623" i="2"/>
  <c r="J623" i="2"/>
  <c r="AH623" i="2" s="1"/>
  <c r="Q623" i="2"/>
  <c r="I623" i="2"/>
  <c r="P623" i="2"/>
  <c r="H623" i="2"/>
  <c r="O623" i="2"/>
  <c r="G623" i="2"/>
  <c r="W623" i="2"/>
  <c r="AC626" i="2"/>
  <c r="E626" i="2"/>
  <c r="AB626" i="2"/>
  <c r="AA626" i="2"/>
  <c r="Z626" i="2"/>
  <c r="Y626" i="2"/>
  <c r="X626" i="2"/>
  <c r="S630" i="2"/>
  <c r="K630" i="2"/>
  <c r="R630" i="2"/>
  <c r="J630" i="2"/>
  <c r="AH630" i="2" s="1"/>
  <c r="Q630" i="2"/>
  <c r="I630" i="2"/>
  <c r="P630" i="2"/>
  <c r="H630" i="2"/>
  <c r="W630" i="2"/>
  <c r="O630" i="2"/>
  <c r="G630" i="2"/>
  <c r="V630" i="2"/>
  <c r="N630" i="2"/>
  <c r="F630" i="2"/>
  <c r="U630" i="2"/>
  <c r="T630" i="2"/>
  <c r="M630" i="2"/>
  <c r="L630" i="2"/>
  <c r="AK619" i="1"/>
  <c r="AK624" i="1"/>
  <c r="W637" i="2"/>
  <c r="O637" i="2"/>
  <c r="G637" i="2"/>
  <c r="V637" i="2"/>
  <c r="N637" i="2"/>
  <c r="F637" i="2"/>
  <c r="U637" i="2"/>
  <c r="M637" i="2"/>
  <c r="T637" i="2"/>
  <c r="L637" i="2"/>
  <c r="S637" i="2"/>
  <c r="K637" i="2"/>
  <c r="R637" i="2"/>
  <c r="J637" i="2"/>
  <c r="AH637" i="2" s="1"/>
  <c r="Q637" i="2"/>
  <c r="I637" i="2"/>
  <c r="P637" i="2"/>
  <c r="H637" i="2"/>
  <c r="AK626" i="1"/>
  <c r="S639" i="2"/>
  <c r="K639" i="2"/>
  <c r="W639" i="2"/>
  <c r="O639" i="2"/>
  <c r="G639" i="2"/>
  <c r="V639" i="2"/>
  <c r="L639" i="2"/>
  <c r="U639" i="2"/>
  <c r="J639" i="2"/>
  <c r="AH639" i="2" s="1"/>
  <c r="T639" i="2"/>
  <c r="I639" i="2"/>
  <c r="R639" i="2"/>
  <c r="H639" i="2"/>
  <c r="Q639" i="2"/>
  <c r="F639" i="2"/>
  <c r="P639" i="2"/>
  <c r="N639" i="2"/>
  <c r="M639" i="2"/>
  <c r="AA642" i="2"/>
  <c r="Z642" i="2"/>
  <c r="Y642" i="2"/>
  <c r="X642" i="2"/>
  <c r="E642" i="2"/>
  <c r="AC642" i="2"/>
  <c r="AB642" i="2"/>
  <c r="AE644" i="2"/>
  <c r="W646" i="2"/>
  <c r="O646" i="2"/>
  <c r="G646" i="2"/>
  <c r="V646" i="2"/>
  <c r="N646" i="2"/>
  <c r="F646" i="2"/>
  <c r="S646" i="2"/>
  <c r="K646" i="2"/>
  <c r="R646" i="2"/>
  <c r="J646" i="2"/>
  <c r="AH646" i="2" s="1"/>
  <c r="I646" i="2"/>
  <c r="H646" i="2"/>
  <c r="U646" i="2"/>
  <c r="T646" i="2"/>
  <c r="Q646" i="2"/>
  <c r="P646" i="2"/>
  <c r="M646" i="2"/>
  <c r="L646" i="2"/>
  <c r="AK635" i="1"/>
  <c r="AK640" i="1"/>
  <c r="R653" i="2"/>
  <c r="J653" i="2"/>
  <c r="AH653" i="2" s="1"/>
  <c r="Q653" i="2"/>
  <c r="I653" i="2"/>
  <c r="P653" i="2"/>
  <c r="H653" i="2"/>
  <c r="V653" i="2"/>
  <c r="N653" i="2"/>
  <c r="F653" i="2"/>
  <c r="U653" i="2"/>
  <c r="M653" i="2"/>
  <c r="K653" i="2"/>
  <c r="G653" i="2"/>
  <c r="W653" i="2"/>
  <c r="T653" i="2"/>
  <c r="S653" i="2"/>
  <c r="O653" i="2"/>
  <c r="L653" i="2"/>
  <c r="AK642" i="1"/>
  <c r="T655" i="2"/>
  <c r="L655" i="2"/>
  <c r="S655" i="2"/>
  <c r="K655" i="2"/>
  <c r="R655" i="2"/>
  <c r="J655" i="2"/>
  <c r="AH655" i="2" s="1"/>
  <c r="P655" i="2"/>
  <c r="H655" i="2"/>
  <c r="W655" i="2"/>
  <c r="O655" i="2"/>
  <c r="G655" i="2"/>
  <c r="I655" i="2"/>
  <c r="F655" i="2"/>
  <c r="V655" i="2"/>
  <c r="U655" i="2"/>
  <c r="Q655" i="2"/>
  <c r="N655" i="2"/>
  <c r="M655" i="2"/>
  <c r="AC658" i="2"/>
  <c r="AA658" i="2"/>
  <c r="Z658" i="2"/>
  <c r="Y658" i="2"/>
  <c r="X658" i="2"/>
  <c r="E658" i="2"/>
  <c r="AB658" i="2"/>
  <c r="AE660" i="2"/>
  <c r="V662" i="2"/>
  <c r="N662" i="2"/>
  <c r="R662" i="2"/>
  <c r="I662" i="2"/>
  <c r="P662" i="2"/>
  <c r="G662" i="2"/>
  <c r="T662" i="2"/>
  <c r="H662" i="2"/>
  <c r="S662" i="2"/>
  <c r="F662" i="2"/>
  <c r="Q662" i="2"/>
  <c r="O662" i="2"/>
  <c r="M662" i="2"/>
  <c r="L662" i="2"/>
  <c r="J662" i="2"/>
  <c r="AH662" i="2" s="1"/>
  <c r="W662" i="2"/>
  <c r="U662" i="2"/>
  <c r="K662" i="2"/>
  <c r="AK651" i="1"/>
  <c r="AK656" i="1"/>
  <c r="S669" i="2"/>
  <c r="K669" i="2"/>
  <c r="Q669" i="2"/>
  <c r="I669" i="2"/>
  <c r="T669" i="2"/>
  <c r="H669" i="2"/>
  <c r="P669" i="2"/>
  <c r="F669" i="2"/>
  <c r="N669" i="2"/>
  <c r="M669" i="2"/>
  <c r="L669" i="2"/>
  <c r="W669" i="2"/>
  <c r="J669" i="2"/>
  <c r="AH669" i="2" s="1"/>
  <c r="V669" i="2"/>
  <c r="G669" i="2"/>
  <c r="U669" i="2"/>
  <c r="R669" i="2"/>
  <c r="O669" i="2"/>
  <c r="AK658" i="1"/>
  <c r="U671" i="2"/>
  <c r="M671" i="2"/>
  <c r="S671" i="2"/>
  <c r="K671" i="2"/>
  <c r="V671" i="2"/>
  <c r="J671" i="2"/>
  <c r="AH671" i="2" s="1"/>
  <c r="R671" i="2"/>
  <c r="H671" i="2"/>
  <c r="I671" i="2"/>
  <c r="W671" i="2"/>
  <c r="G671" i="2"/>
  <c r="T671" i="2"/>
  <c r="F671" i="2"/>
  <c r="Q671" i="2"/>
  <c r="P671" i="2"/>
  <c r="O671" i="2"/>
  <c r="N671" i="2"/>
  <c r="L671" i="2"/>
  <c r="AB674" i="2"/>
  <c r="Z674" i="2"/>
  <c r="AC674" i="2"/>
  <c r="Y674" i="2"/>
  <c r="E674" i="2"/>
  <c r="AA674" i="2"/>
  <c r="X674" i="2"/>
  <c r="P678" i="2"/>
  <c r="H678" i="2"/>
  <c r="V678" i="2"/>
  <c r="N678" i="2"/>
  <c r="F678" i="2"/>
  <c r="U678" i="2"/>
  <c r="K678" i="2"/>
  <c r="S678" i="2"/>
  <c r="I678" i="2"/>
  <c r="R678" i="2"/>
  <c r="Q678" i="2"/>
  <c r="O678" i="2"/>
  <c r="M678" i="2"/>
  <c r="L678" i="2"/>
  <c r="J678" i="2"/>
  <c r="AH678" i="2" s="1"/>
  <c r="W678" i="2"/>
  <c r="T678" i="2"/>
  <c r="G678" i="2"/>
  <c r="AK667" i="1"/>
  <c r="I16" i="2"/>
  <c r="R17" i="2"/>
  <c r="M24" i="2"/>
  <c r="V25" i="2"/>
  <c r="I32" i="2"/>
  <c r="Q36" i="2"/>
  <c r="Q44" i="2"/>
  <c r="H55" i="2"/>
  <c r="X81" i="2"/>
  <c r="S88" i="2"/>
  <c r="N95" i="2"/>
  <c r="T568" i="2"/>
  <c r="L568" i="2"/>
  <c r="S568" i="2"/>
  <c r="K568" i="2"/>
  <c r="R568" i="2"/>
  <c r="J568" i="2"/>
  <c r="AH568" i="2" s="1"/>
  <c r="Q568" i="2"/>
  <c r="I568" i="2"/>
  <c r="P568" i="2"/>
  <c r="H568" i="2"/>
  <c r="V568" i="2"/>
  <c r="N568" i="2"/>
  <c r="F568" i="2"/>
  <c r="U568" i="2"/>
  <c r="M568" i="2"/>
  <c r="G568" i="2"/>
  <c r="W568" i="2"/>
  <c r="O568" i="2"/>
  <c r="Y569" i="2"/>
  <c r="X569" i="2"/>
  <c r="AC569" i="2"/>
  <c r="E569" i="2"/>
  <c r="AA569" i="2"/>
  <c r="Z569" i="2"/>
  <c r="AB569" i="2"/>
  <c r="T576" i="2"/>
  <c r="L576" i="2"/>
  <c r="S576" i="2"/>
  <c r="K576" i="2"/>
  <c r="R576" i="2"/>
  <c r="J576" i="2"/>
  <c r="AH576" i="2" s="1"/>
  <c r="Q576" i="2"/>
  <c r="I576" i="2"/>
  <c r="P576" i="2"/>
  <c r="H576" i="2"/>
  <c r="V576" i="2"/>
  <c r="N576" i="2"/>
  <c r="F576" i="2"/>
  <c r="U576" i="2"/>
  <c r="M576" i="2"/>
  <c r="O576" i="2"/>
  <c r="G576" i="2"/>
  <c r="W576" i="2"/>
  <c r="Y577" i="2"/>
  <c r="X577" i="2"/>
  <c r="AC577" i="2"/>
  <c r="E577" i="2"/>
  <c r="AA577" i="2"/>
  <c r="Z577" i="2"/>
  <c r="AB577" i="2"/>
  <c r="U584" i="2"/>
  <c r="M584" i="2"/>
  <c r="T584" i="2"/>
  <c r="L584" i="2"/>
  <c r="O584" i="2"/>
  <c r="N584" i="2"/>
  <c r="W584" i="2"/>
  <c r="K584" i="2"/>
  <c r="V584" i="2"/>
  <c r="J584" i="2"/>
  <c r="AH584" i="2" s="1"/>
  <c r="S584" i="2"/>
  <c r="I584" i="2"/>
  <c r="Q584" i="2"/>
  <c r="G584" i="2"/>
  <c r="P584" i="2"/>
  <c r="F584" i="2"/>
  <c r="H584" i="2"/>
  <c r="R584" i="2"/>
  <c r="Z585" i="2"/>
  <c r="Y585" i="2"/>
  <c r="AC585" i="2"/>
  <c r="AB585" i="2"/>
  <c r="AA585" i="2"/>
  <c r="E585" i="2"/>
  <c r="X585" i="2"/>
  <c r="U592" i="2"/>
  <c r="M592" i="2"/>
  <c r="T592" i="2"/>
  <c r="L592" i="2"/>
  <c r="S592" i="2"/>
  <c r="K592" i="2"/>
  <c r="R592" i="2"/>
  <c r="J592" i="2"/>
  <c r="AH592" i="2" s="1"/>
  <c r="Q592" i="2"/>
  <c r="I592" i="2"/>
  <c r="W592" i="2"/>
  <c r="O592" i="2"/>
  <c r="G592" i="2"/>
  <c r="V592" i="2"/>
  <c r="N592" i="2"/>
  <c r="F592" i="2"/>
  <c r="P592" i="2"/>
  <c r="H592" i="2"/>
  <c r="Z593" i="2"/>
  <c r="Y593" i="2"/>
  <c r="X593" i="2"/>
  <c r="AB593" i="2"/>
  <c r="AA593" i="2"/>
  <c r="AC593" i="2"/>
  <c r="E593" i="2"/>
  <c r="U600" i="2"/>
  <c r="M600" i="2"/>
  <c r="T600" i="2"/>
  <c r="L600" i="2"/>
  <c r="S600" i="2"/>
  <c r="K600" i="2"/>
  <c r="R600" i="2"/>
  <c r="J600" i="2"/>
  <c r="AH600" i="2" s="1"/>
  <c r="Q600" i="2"/>
  <c r="I600" i="2"/>
  <c r="W600" i="2"/>
  <c r="O600" i="2"/>
  <c r="G600" i="2"/>
  <c r="V600" i="2"/>
  <c r="N600" i="2"/>
  <c r="F600" i="2"/>
  <c r="P600" i="2"/>
  <c r="H600" i="2"/>
  <c r="Z601" i="2"/>
  <c r="Y601" i="2"/>
  <c r="X601" i="2"/>
  <c r="AB601" i="2"/>
  <c r="AA601" i="2"/>
  <c r="E601" i="2"/>
  <c r="AC601" i="2"/>
  <c r="Q608" i="2"/>
  <c r="V608" i="2"/>
  <c r="M608" i="2"/>
  <c r="U608" i="2"/>
  <c r="L608" i="2"/>
  <c r="T608" i="2"/>
  <c r="K608" i="2"/>
  <c r="S608" i="2"/>
  <c r="J608" i="2"/>
  <c r="AH608" i="2" s="1"/>
  <c r="R608" i="2"/>
  <c r="I608" i="2"/>
  <c r="O608" i="2"/>
  <c r="G608" i="2"/>
  <c r="W608" i="2"/>
  <c r="N608" i="2"/>
  <c r="F608" i="2"/>
  <c r="P608" i="2"/>
  <c r="H608" i="2"/>
  <c r="X609" i="2"/>
  <c r="AC609" i="2"/>
  <c r="E609" i="2"/>
  <c r="Z609" i="2"/>
  <c r="AA609" i="2"/>
  <c r="Y609" i="2"/>
  <c r="AB609" i="2"/>
  <c r="S616" i="2"/>
  <c r="K616" i="2"/>
  <c r="R616" i="2"/>
  <c r="J616" i="2"/>
  <c r="AH616" i="2" s="1"/>
  <c r="Q616" i="2"/>
  <c r="I616" i="2"/>
  <c r="P616" i="2"/>
  <c r="H616" i="2"/>
  <c r="W616" i="2"/>
  <c r="O616" i="2"/>
  <c r="G616" i="2"/>
  <c r="V616" i="2"/>
  <c r="N616" i="2"/>
  <c r="F616" i="2"/>
  <c r="U616" i="2"/>
  <c r="M616" i="2"/>
  <c r="T616" i="2"/>
  <c r="L616" i="2"/>
  <c r="X617" i="2"/>
  <c r="AC617" i="2"/>
  <c r="E617" i="2"/>
  <c r="AB617" i="2"/>
  <c r="AA617" i="2"/>
  <c r="Z617" i="2"/>
  <c r="Y617" i="2"/>
  <c r="S624" i="2"/>
  <c r="K624" i="2"/>
  <c r="R624" i="2"/>
  <c r="J624" i="2"/>
  <c r="AH624" i="2" s="1"/>
  <c r="Q624" i="2"/>
  <c r="I624" i="2"/>
  <c r="P624" i="2"/>
  <c r="H624" i="2"/>
  <c r="W624" i="2"/>
  <c r="O624" i="2"/>
  <c r="G624" i="2"/>
  <c r="V624" i="2"/>
  <c r="N624" i="2"/>
  <c r="F624" i="2"/>
  <c r="U624" i="2"/>
  <c r="M624" i="2"/>
  <c r="T624" i="2"/>
  <c r="L624" i="2"/>
  <c r="X625" i="2"/>
  <c r="AC625" i="2"/>
  <c r="E625" i="2"/>
  <c r="AB625" i="2"/>
  <c r="AA625" i="2"/>
  <c r="Z625" i="2"/>
  <c r="Y625" i="2"/>
  <c r="U632" i="2"/>
  <c r="M632" i="2"/>
  <c r="T632" i="2"/>
  <c r="L632" i="2"/>
  <c r="S632" i="2"/>
  <c r="K632" i="2"/>
  <c r="R632" i="2"/>
  <c r="J632" i="2"/>
  <c r="AH632" i="2" s="1"/>
  <c r="Q632" i="2"/>
  <c r="I632" i="2"/>
  <c r="P632" i="2"/>
  <c r="H632" i="2"/>
  <c r="O632" i="2"/>
  <c r="N632" i="2"/>
  <c r="G632" i="2"/>
  <c r="F632" i="2"/>
  <c r="W632" i="2"/>
  <c r="V632" i="2"/>
  <c r="Z633" i="2"/>
  <c r="Y633" i="2"/>
  <c r="X633" i="2"/>
  <c r="AC633" i="2"/>
  <c r="E633" i="2"/>
  <c r="AB633" i="2"/>
  <c r="AA633" i="2"/>
  <c r="P640" i="2"/>
  <c r="H640" i="2"/>
  <c r="T640" i="2"/>
  <c r="L640" i="2"/>
  <c r="R640" i="2"/>
  <c r="G640" i="2"/>
  <c r="Q640" i="2"/>
  <c r="F640" i="2"/>
  <c r="O640" i="2"/>
  <c r="N640" i="2"/>
  <c r="W640" i="2"/>
  <c r="M640" i="2"/>
  <c r="V640" i="2"/>
  <c r="K640" i="2"/>
  <c r="U640" i="2"/>
  <c r="J640" i="2"/>
  <c r="AH640" i="2" s="1"/>
  <c r="S640" i="2"/>
  <c r="I640" i="2"/>
  <c r="AC641" i="2"/>
  <c r="E641" i="2"/>
  <c r="Z641" i="2"/>
  <c r="Y641" i="2"/>
  <c r="AB641" i="2"/>
  <c r="AA641" i="2"/>
  <c r="X641" i="2"/>
  <c r="Q648" i="2"/>
  <c r="I648" i="2"/>
  <c r="P648" i="2"/>
  <c r="H648" i="2"/>
  <c r="U648" i="2"/>
  <c r="M648" i="2"/>
  <c r="T648" i="2"/>
  <c r="L648" i="2"/>
  <c r="J648" i="2"/>
  <c r="AH648" i="2" s="1"/>
  <c r="W648" i="2"/>
  <c r="G648" i="2"/>
  <c r="V648" i="2"/>
  <c r="F648" i="2"/>
  <c r="S648" i="2"/>
  <c r="R648" i="2"/>
  <c r="O648" i="2"/>
  <c r="N648" i="2"/>
  <c r="K648" i="2"/>
  <c r="AC649" i="2"/>
  <c r="E649" i="2"/>
  <c r="Z649" i="2"/>
  <c r="Y649" i="2"/>
  <c r="AB649" i="2"/>
  <c r="AA649" i="2"/>
  <c r="X649" i="2"/>
  <c r="Q656" i="2"/>
  <c r="I656" i="2"/>
  <c r="P656" i="2"/>
  <c r="H656" i="2"/>
  <c r="W656" i="2"/>
  <c r="O656" i="2"/>
  <c r="G656" i="2"/>
  <c r="U656" i="2"/>
  <c r="M656" i="2"/>
  <c r="T656" i="2"/>
  <c r="L656" i="2"/>
  <c r="F656" i="2"/>
  <c r="V656" i="2"/>
  <c r="S656" i="2"/>
  <c r="R656" i="2"/>
  <c r="N656" i="2"/>
  <c r="K656" i="2"/>
  <c r="J656" i="2"/>
  <c r="AH656" i="2" s="1"/>
  <c r="Z657" i="2"/>
  <c r="Y657" i="2"/>
  <c r="X657" i="2"/>
  <c r="E657" i="2"/>
  <c r="AC657" i="2"/>
  <c r="AB657" i="2"/>
  <c r="AA657" i="2"/>
  <c r="P664" i="2"/>
  <c r="H664" i="2"/>
  <c r="T664" i="2"/>
  <c r="K664" i="2"/>
  <c r="R664" i="2"/>
  <c r="I664" i="2"/>
  <c r="Q664" i="2"/>
  <c r="O664" i="2"/>
  <c r="N664" i="2"/>
  <c r="M664" i="2"/>
  <c r="W664" i="2"/>
  <c r="L664" i="2"/>
  <c r="V664" i="2"/>
  <c r="J664" i="2"/>
  <c r="AH664" i="2" s="1"/>
  <c r="S664" i="2"/>
  <c r="G664" i="2"/>
  <c r="F664" i="2"/>
  <c r="U664" i="2"/>
  <c r="AC665" i="2"/>
  <c r="E665" i="2"/>
  <c r="AA665" i="2"/>
  <c r="AB665" i="2"/>
  <c r="Z665" i="2"/>
  <c r="Y665" i="2"/>
  <c r="X665" i="2"/>
  <c r="R672" i="2"/>
  <c r="J672" i="2"/>
  <c r="AH672" i="2" s="1"/>
  <c r="P672" i="2"/>
  <c r="H672" i="2"/>
  <c r="Q672" i="2"/>
  <c r="F672" i="2"/>
  <c r="N672" i="2"/>
  <c r="L672" i="2"/>
  <c r="W672" i="2"/>
  <c r="K672" i="2"/>
  <c r="V672" i="2"/>
  <c r="I672" i="2"/>
  <c r="U672" i="2"/>
  <c r="G672" i="2"/>
  <c r="T672" i="2"/>
  <c r="S672" i="2"/>
  <c r="O672" i="2"/>
  <c r="M672" i="2"/>
  <c r="AC673" i="2"/>
  <c r="E673" i="2"/>
  <c r="X673" i="2"/>
  <c r="AB673" i="2"/>
  <c r="AA673" i="2"/>
  <c r="Z673" i="2"/>
  <c r="Y673" i="2"/>
  <c r="P680" i="2"/>
  <c r="H680" i="2"/>
  <c r="O680" i="2"/>
  <c r="F680" i="2"/>
  <c r="V680" i="2"/>
  <c r="M680" i="2"/>
  <c r="Q680" i="2"/>
  <c r="L680" i="2"/>
  <c r="K680" i="2"/>
  <c r="J680" i="2"/>
  <c r="AH680" i="2" s="1"/>
  <c r="W680" i="2"/>
  <c r="I680" i="2"/>
  <c r="U680" i="2"/>
  <c r="G680" i="2"/>
  <c r="T680" i="2"/>
  <c r="S680" i="2"/>
  <c r="R680" i="2"/>
  <c r="N680" i="2"/>
  <c r="AC681" i="2"/>
  <c r="E681" i="2"/>
  <c r="Y681" i="2"/>
  <c r="AA681" i="2"/>
  <c r="X681" i="2"/>
  <c r="AB681" i="2"/>
  <c r="Z681" i="2"/>
  <c r="J83" i="6"/>
  <c r="J44" i="7"/>
  <c r="J6" i="7"/>
  <c r="J82" i="7"/>
  <c r="J6" i="6"/>
  <c r="J44" i="5"/>
  <c r="J83" i="5"/>
  <c r="J44" i="6"/>
  <c r="J6" i="5"/>
  <c r="AK557" i="1"/>
  <c r="AK565" i="1"/>
  <c r="AK573" i="1"/>
  <c r="AK581" i="1"/>
  <c r="AK589" i="1"/>
  <c r="AK597" i="1"/>
  <c r="AK605" i="1"/>
  <c r="AK613" i="1"/>
  <c r="AK621" i="1"/>
  <c r="AK629" i="1"/>
  <c r="AK637" i="1"/>
  <c r="AK645" i="1"/>
  <c r="AK653" i="1"/>
  <c r="AK661" i="1"/>
  <c r="AK669" i="1"/>
  <c r="U236" i="2"/>
  <c r="M236" i="2"/>
  <c r="T236" i="2"/>
  <c r="L236" i="2"/>
  <c r="S236" i="2"/>
  <c r="K236" i="2"/>
  <c r="R236" i="2"/>
  <c r="J236" i="2"/>
  <c r="AH236" i="2" s="1"/>
  <c r="Q236" i="2"/>
  <c r="I236" i="2"/>
  <c r="W236" i="2"/>
  <c r="O236" i="2"/>
  <c r="G236" i="2"/>
  <c r="V236" i="2"/>
  <c r="P236" i="2"/>
  <c r="N236" i="2"/>
  <c r="H236" i="2"/>
  <c r="F236" i="2"/>
  <c r="Z237" i="2"/>
  <c r="Y237" i="2"/>
  <c r="X237" i="2"/>
  <c r="AB237" i="2"/>
  <c r="E237" i="2"/>
  <c r="AC237" i="2"/>
  <c r="AA237" i="2"/>
  <c r="Q244" i="2"/>
  <c r="I244" i="2"/>
  <c r="W244" i="2"/>
  <c r="O244" i="2"/>
  <c r="G244" i="2"/>
  <c r="U244" i="2"/>
  <c r="M244" i="2"/>
  <c r="S244" i="2"/>
  <c r="K244" i="2"/>
  <c r="V244" i="2"/>
  <c r="F244" i="2"/>
  <c r="T244" i="2"/>
  <c r="R244" i="2"/>
  <c r="P244" i="2"/>
  <c r="N244" i="2"/>
  <c r="J244" i="2"/>
  <c r="AH244" i="2" s="1"/>
  <c r="L244" i="2"/>
  <c r="H244" i="2"/>
  <c r="AB245" i="2"/>
  <c r="Z245" i="2"/>
  <c r="X245" i="2"/>
  <c r="AC245" i="2"/>
  <c r="AA245" i="2"/>
  <c r="Y245" i="2"/>
  <c r="E245" i="2"/>
  <c r="Q252" i="2"/>
  <c r="I252" i="2"/>
  <c r="P252" i="2"/>
  <c r="H252" i="2"/>
  <c r="W252" i="2"/>
  <c r="O252" i="2"/>
  <c r="G252" i="2"/>
  <c r="V252" i="2"/>
  <c r="N252" i="2"/>
  <c r="F252" i="2"/>
  <c r="U252" i="2"/>
  <c r="M252" i="2"/>
  <c r="S252" i="2"/>
  <c r="K252" i="2"/>
  <c r="T252" i="2"/>
  <c r="R252" i="2"/>
  <c r="L252" i="2"/>
  <c r="J252" i="2"/>
  <c r="AH252" i="2" s="1"/>
  <c r="AC253" i="2"/>
  <c r="E253" i="2"/>
  <c r="AB253" i="2"/>
  <c r="AA253" i="2"/>
  <c r="Z253" i="2"/>
  <c r="X253" i="2"/>
  <c r="Y253" i="2"/>
  <c r="Q260" i="2"/>
  <c r="I260" i="2"/>
  <c r="P260" i="2"/>
  <c r="H260" i="2"/>
  <c r="W260" i="2"/>
  <c r="O260" i="2"/>
  <c r="G260" i="2"/>
  <c r="V260" i="2"/>
  <c r="N260" i="2"/>
  <c r="F260" i="2"/>
  <c r="U260" i="2"/>
  <c r="M260" i="2"/>
  <c r="S260" i="2"/>
  <c r="K260" i="2"/>
  <c r="T260" i="2"/>
  <c r="R260" i="2"/>
  <c r="L260" i="2"/>
  <c r="J260" i="2"/>
  <c r="AH260" i="2" s="1"/>
  <c r="AC261" i="2"/>
  <c r="E261" i="2"/>
  <c r="AB261" i="2"/>
  <c r="AA261" i="2"/>
  <c r="Z261" i="2"/>
  <c r="X261" i="2"/>
  <c r="Y261" i="2"/>
  <c r="Q268" i="2"/>
  <c r="I268" i="2"/>
  <c r="P268" i="2"/>
  <c r="H268" i="2"/>
  <c r="W268" i="2"/>
  <c r="O268" i="2"/>
  <c r="G268" i="2"/>
  <c r="V268" i="2"/>
  <c r="N268" i="2"/>
  <c r="F268" i="2"/>
  <c r="U268" i="2"/>
  <c r="M268" i="2"/>
  <c r="S268" i="2"/>
  <c r="K268" i="2"/>
  <c r="R268" i="2"/>
  <c r="L268" i="2"/>
  <c r="J268" i="2"/>
  <c r="AH268" i="2" s="1"/>
  <c r="T268" i="2"/>
  <c r="AC269" i="2"/>
  <c r="E269" i="2"/>
  <c r="AB269" i="2"/>
  <c r="AA269" i="2"/>
  <c r="Z269" i="2"/>
  <c r="X269" i="2"/>
  <c r="Y269" i="2"/>
  <c r="Q276" i="2"/>
  <c r="I276" i="2"/>
  <c r="P276" i="2"/>
  <c r="H276" i="2"/>
  <c r="W276" i="2"/>
  <c r="O276" i="2"/>
  <c r="G276" i="2"/>
  <c r="V276" i="2"/>
  <c r="N276" i="2"/>
  <c r="F276" i="2"/>
  <c r="U276" i="2"/>
  <c r="M276" i="2"/>
  <c r="S276" i="2"/>
  <c r="K276" i="2"/>
  <c r="T276" i="2"/>
  <c r="R276" i="2"/>
  <c r="L276" i="2"/>
  <c r="J276" i="2"/>
  <c r="AH276" i="2" s="1"/>
  <c r="AC277" i="2"/>
  <c r="E277" i="2"/>
  <c r="AB277" i="2"/>
  <c r="AA277" i="2"/>
  <c r="Z277" i="2"/>
  <c r="X277" i="2"/>
  <c r="Y277" i="2"/>
  <c r="Q284" i="2"/>
  <c r="I284" i="2"/>
  <c r="P284" i="2"/>
  <c r="H284" i="2"/>
  <c r="W284" i="2"/>
  <c r="O284" i="2"/>
  <c r="G284" i="2"/>
  <c r="V284" i="2"/>
  <c r="N284" i="2"/>
  <c r="F284" i="2"/>
  <c r="U284" i="2"/>
  <c r="M284" i="2"/>
  <c r="S284" i="2"/>
  <c r="K284" i="2"/>
  <c r="J284" i="2"/>
  <c r="AH284" i="2" s="1"/>
  <c r="T284" i="2"/>
  <c r="R284" i="2"/>
  <c r="L284" i="2"/>
  <c r="AC285" i="2"/>
  <c r="E285" i="2"/>
  <c r="AB285" i="2"/>
  <c r="AA285" i="2"/>
  <c r="Z285" i="2"/>
  <c r="X285" i="2"/>
  <c r="Y285" i="2"/>
  <c r="Q292" i="2"/>
  <c r="I292" i="2"/>
  <c r="P292" i="2"/>
  <c r="H292" i="2"/>
  <c r="W292" i="2"/>
  <c r="O292" i="2"/>
  <c r="G292" i="2"/>
  <c r="V292" i="2"/>
  <c r="N292" i="2"/>
  <c r="F292" i="2"/>
  <c r="U292" i="2"/>
  <c r="M292" i="2"/>
  <c r="S292" i="2"/>
  <c r="K292" i="2"/>
  <c r="T292" i="2"/>
  <c r="R292" i="2"/>
  <c r="L292" i="2"/>
  <c r="J292" i="2"/>
  <c r="AH292" i="2" s="1"/>
  <c r="AC293" i="2"/>
  <c r="E293" i="2"/>
  <c r="AB293" i="2"/>
  <c r="AA293" i="2"/>
  <c r="Z293" i="2"/>
  <c r="X293" i="2"/>
  <c r="Y293" i="2"/>
  <c r="Q300" i="2"/>
  <c r="I300" i="2"/>
  <c r="P300" i="2"/>
  <c r="H300" i="2"/>
  <c r="W300" i="2"/>
  <c r="O300" i="2"/>
  <c r="G300" i="2"/>
  <c r="V300" i="2"/>
  <c r="N300" i="2"/>
  <c r="F300" i="2"/>
  <c r="U300" i="2"/>
  <c r="M300" i="2"/>
  <c r="S300" i="2"/>
  <c r="K300" i="2"/>
  <c r="T300" i="2"/>
  <c r="R300" i="2"/>
  <c r="L300" i="2"/>
  <c r="J300" i="2"/>
  <c r="AH300" i="2" s="1"/>
  <c r="AC301" i="2"/>
  <c r="E301" i="2"/>
  <c r="AB301" i="2"/>
  <c r="AA301" i="2"/>
  <c r="Z301" i="2"/>
  <c r="X301" i="2"/>
  <c r="Y301" i="2"/>
  <c r="Q308" i="2"/>
  <c r="I308" i="2"/>
  <c r="P308" i="2"/>
  <c r="H308" i="2"/>
  <c r="W308" i="2"/>
  <c r="O308" i="2"/>
  <c r="G308" i="2"/>
  <c r="V308" i="2"/>
  <c r="N308" i="2"/>
  <c r="F308" i="2"/>
  <c r="U308" i="2"/>
  <c r="M308" i="2"/>
  <c r="S308" i="2"/>
  <c r="K308" i="2"/>
  <c r="J308" i="2"/>
  <c r="AH308" i="2" s="1"/>
  <c r="T308" i="2"/>
  <c r="R308" i="2"/>
  <c r="L308" i="2"/>
  <c r="AC309" i="2"/>
  <c r="E309" i="2"/>
  <c r="AB309" i="2"/>
  <c r="AA309" i="2"/>
  <c r="Z309" i="2"/>
  <c r="X309" i="2"/>
  <c r="Y309" i="2"/>
  <c r="Q316" i="2"/>
  <c r="I316" i="2"/>
  <c r="P316" i="2"/>
  <c r="H316" i="2"/>
  <c r="W316" i="2"/>
  <c r="O316" i="2"/>
  <c r="G316" i="2"/>
  <c r="V316" i="2"/>
  <c r="N316" i="2"/>
  <c r="F316" i="2"/>
  <c r="U316" i="2"/>
  <c r="M316" i="2"/>
  <c r="S316" i="2"/>
  <c r="K316" i="2"/>
  <c r="R316" i="2"/>
  <c r="L316" i="2"/>
  <c r="J316" i="2"/>
  <c r="AH316" i="2" s="1"/>
  <c r="T316" i="2"/>
  <c r="AC317" i="2"/>
  <c r="E317" i="2"/>
  <c r="AB317" i="2"/>
  <c r="AA317" i="2"/>
  <c r="Z317" i="2"/>
  <c r="X317" i="2"/>
  <c r="Y317" i="2"/>
  <c r="Q324" i="2"/>
  <c r="I324" i="2"/>
  <c r="P324" i="2"/>
  <c r="H324" i="2"/>
  <c r="W324" i="2"/>
  <c r="O324" i="2"/>
  <c r="G324" i="2"/>
  <c r="V324" i="2"/>
  <c r="N324" i="2"/>
  <c r="F324" i="2"/>
  <c r="U324" i="2"/>
  <c r="M324" i="2"/>
  <c r="S324" i="2"/>
  <c r="K324" i="2"/>
  <c r="T324" i="2"/>
  <c r="R324" i="2"/>
  <c r="L324" i="2"/>
  <c r="J324" i="2"/>
  <c r="AH324" i="2" s="1"/>
  <c r="AC325" i="2"/>
  <c r="E325" i="2"/>
  <c r="AB325" i="2"/>
  <c r="AA325" i="2"/>
  <c r="Z325" i="2"/>
  <c r="X325" i="2"/>
  <c r="Y325" i="2"/>
  <c r="V332" i="2"/>
  <c r="N332" i="2"/>
  <c r="F332" i="2"/>
  <c r="U332" i="2"/>
  <c r="M332" i="2"/>
  <c r="T332" i="2"/>
  <c r="L332" i="2"/>
  <c r="S332" i="2"/>
  <c r="K332" i="2"/>
  <c r="R332" i="2"/>
  <c r="J332" i="2"/>
  <c r="AH332" i="2" s="1"/>
  <c r="P332" i="2"/>
  <c r="H332" i="2"/>
  <c r="W332" i="2"/>
  <c r="O332" i="2"/>
  <c r="G332" i="2"/>
  <c r="Q332" i="2"/>
  <c r="I332" i="2"/>
  <c r="AA333" i="2"/>
  <c r="Z333" i="2"/>
  <c r="Y333" i="2"/>
  <c r="X333" i="2"/>
  <c r="AC333" i="2"/>
  <c r="E333" i="2"/>
  <c r="AB333" i="2"/>
  <c r="V340" i="2"/>
  <c r="N340" i="2"/>
  <c r="F340" i="2"/>
  <c r="U340" i="2"/>
  <c r="M340" i="2"/>
  <c r="T340" i="2"/>
  <c r="L340" i="2"/>
  <c r="S340" i="2"/>
  <c r="K340" i="2"/>
  <c r="R340" i="2"/>
  <c r="J340" i="2"/>
  <c r="AH340" i="2" s="1"/>
  <c r="P340" i="2"/>
  <c r="H340" i="2"/>
  <c r="W340" i="2"/>
  <c r="O340" i="2"/>
  <c r="G340" i="2"/>
  <c r="Q340" i="2"/>
  <c r="I340" i="2"/>
  <c r="AA341" i="2"/>
  <c r="Z341" i="2"/>
  <c r="Y341" i="2"/>
  <c r="X341" i="2"/>
  <c r="AC341" i="2"/>
  <c r="E341" i="2"/>
  <c r="AB341" i="2"/>
  <c r="V348" i="2"/>
  <c r="N348" i="2"/>
  <c r="F348" i="2"/>
  <c r="U348" i="2"/>
  <c r="M348" i="2"/>
  <c r="T348" i="2"/>
  <c r="L348" i="2"/>
  <c r="S348" i="2"/>
  <c r="K348" i="2"/>
  <c r="R348" i="2"/>
  <c r="J348" i="2"/>
  <c r="AH348" i="2" s="1"/>
  <c r="P348" i="2"/>
  <c r="H348" i="2"/>
  <c r="W348" i="2"/>
  <c r="O348" i="2"/>
  <c r="G348" i="2"/>
  <c r="Q348" i="2"/>
  <c r="I348" i="2"/>
  <c r="AA349" i="2"/>
  <c r="Z349" i="2"/>
  <c r="Y349" i="2"/>
  <c r="X349" i="2"/>
  <c r="AC349" i="2"/>
  <c r="E349" i="2"/>
  <c r="AB349" i="2"/>
  <c r="V356" i="2"/>
  <c r="N356" i="2"/>
  <c r="F356" i="2"/>
  <c r="U356" i="2"/>
  <c r="M356" i="2"/>
  <c r="T356" i="2"/>
  <c r="L356" i="2"/>
  <c r="S356" i="2"/>
  <c r="K356" i="2"/>
  <c r="R356" i="2"/>
  <c r="J356" i="2"/>
  <c r="AH356" i="2" s="1"/>
  <c r="P356" i="2"/>
  <c r="H356" i="2"/>
  <c r="W356" i="2"/>
  <c r="O356" i="2"/>
  <c r="G356" i="2"/>
  <c r="Q356" i="2"/>
  <c r="I356" i="2"/>
  <c r="AA357" i="2"/>
  <c r="Z357" i="2"/>
  <c r="Y357" i="2"/>
  <c r="X357" i="2"/>
  <c r="AC357" i="2"/>
  <c r="E357" i="2"/>
  <c r="AB357" i="2"/>
  <c r="V364" i="2"/>
  <c r="N364" i="2"/>
  <c r="F364" i="2"/>
  <c r="T364" i="2"/>
  <c r="L364" i="2"/>
  <c r="S364" i="2"/>
  <c r="K364" i="2"/>
  <c r="R364" i="2"/>
  <c r="J364" i="2"/>
  <c r="AH364" i="2" s="1"/>
  <c r="I364" i="2"/>
  <c r="H364" i="2"/>
  <c r="W364" i="2"/>
  <c r="G364" i="2"/>
  <c r="U364" i="2"/>
  <c r="Q364" i="2"/>
  <c r="O364" i="2"/>
  <c r="M364" i="2"/>
  <c r="P364" i="2"/>
  <c r="AA365" i="2"/>
  <c r="Y365" i="2"/>
  <c r="X365" i="2"/>
  <c r="AC365" i="2"/>
  <c r="AB365" i="2"/>
  <c r="E365" i="2"/>
  <c r="Z365" i="2"/>
  <c r="V372" i="2"/>
  <c r="N372" i="2"/>
  <c r="F372" i="2"/>
  <c r="U372" i="2"/>
  <c r="M372" i="2"/>
  <c r="T372" i="2"/>
  <c r="L372" i="2"/>
  <c r="S372" i="2"/>
  <c r="K372" i="2"/>
  <c r="R372" i="2"/>
  <c r="J372" i="2"/>
  <c r="AH372" i="2" s="1"/>
  <c r="W372" i="2"/>
  <c r="Q372" i="2"/>
  <c r="P372" i="2"/>
  <c r="O372" i="2"/>
  <c r="H372" i="2"/>
  <c r="G372" i="2"/>
  <c r="I372" i="2"/>
  <c r="AA373" i="2"/>
  <c r="Z373" i="2"/>
  <c r="Y373" i="2"/>
  <c r="X373" i="2"/>
  <c r="AB373" i="2"/>
  <c r="E373" i="2"/>
  <c r="AC373" i="2"/>
  <c r="V380" i="2"/>
  <c r="N380" i="2"/>
  <c r="F380" i="2"/>
  <c r="U380" i="2"/>
  <c r="M380" i="2"/>
  <c r="T380" i="2"/>
  <c r="L380" i="2"/>
  <c r="S380" i="2"/>
  <c r="K380" i="2"/>
  <c r="R380" i="2"/>
  <c r="J380" i="2"/>
  <c r="AH380" i="2" s="1"/>
  <c r="P380" i="2"/>
  <c r="H380" i="2"/>
  <c r="W380" i="2"/>
  <c r="Q380" i="2"/>
  <c r="O380" i="2"/>
  <c r="I380" i="2"/>
  <c r="G380" i="2"/>
  <c r="AA381" i="2"/>
  <c r="Z381" i="2"/>
  <c r="Y381" i="2"/>
  <c r="X381" i="2"/>
  <c r="AC381" i="2"/>
  <c r="E381" i="2"/>
  <c r="AB381" i="2"/>
  <c r="V388" i="2"/>
  <c r="N388" i="2"/>
  <c r="F388" i="2"/>
  <c r="U388" i="2"/>
  <c r="M388" i="2"/>
  <c r="T388" i="2"/>
  <c r="L388" i="2"/>
  <c r="S388" i="2"/>
  <c r="K388" i="2"/>
  <c r="R388" i="2"/>
  <c r="J388" i="2"/>
  <c r="AH388" i="2" s="1"/>
  <c r="P388" i="2"/>
  <c r="H388" i="2"/>
  <c r="W388" i="2"/>
  <c r="Q388" i="2"/>
  <c r="O388" i="2"/>
  <c r="G388" i="2"/>
  <c r="I388" i="2"/>
  <c r="AA389" i="2"/>
  <c r="Z389" i="2"/>
  <c r="Y389" i="2"/>
  <c r="X389" i="2"/>
  <c r="AC389" i="2"/>
  <c r="E389" i="2"/>
  <c r="AB389" i="2"/>
  <c r="V396" i="2"/>
  <c r="N396" i="2"/>
  <c r="F396" i="2"/>
  <c r="U396" i="2"/>
  <c r="M396" i="2"/>
  <c r="T396" i="2"/>
  <c r="L396" i="2"/>
  <c r="S396" i="2"/>
  <c r="K396" i="2"/>
  <c r="Q396" i="2"/>
  <c r="I396" i="2"/>
  <c r="J396" i="2"/>
  <c r="AH396" i="2" s="1"/>
  <c r="H396" i="2"/>
  <c r="G396" i="2"/>
  <c r="W396" i="2"/>
  <c r="P396" i="2"/>
  <c r="R396" i="2"/>
  <c r="O396" i="2"/>
  <c r="AB397" i="2"/>
  <c r="AA397" i="2"/>
  <c r="Z397" i="2"/>
  <c r="Y397" i="2"/>
  <c r="X397" i="2"/>
  <c r="AC397" i="2"/>
  <c r="E397" i="2"/>
  <c r="W404" i="2"/>
  <c r="O404" i="2"/>
  <c r="G404" i="2"/>
  <c r="V404" i="2"/>
  <c r="N404" i="2"/>
  <c r="F404" i="2"/>
  <c r="U404" i="2"/>
  <c r="M404" i="2"/>
  <c r="T404" i="2"/>
  <c r="L404" i="2"/>
  <c r="S404" i="2"/>
  <c r="K404" i="2"/>
  <c r="Q404" i="2"/>
  <c r="I404" i="2"/>
  <c r="P404" i="2"/>
  <c r="H404" i="2"/>
  <c r="R404" i="2"/>
  <c r="J404" i="2"/>
  <c r="AH404" i="2" s="1"/>
  <c r="AB405" i="2"/>
  <c r="AA405" i="2"/>
  <c r="Z405" i="2"/>
  <c r="Y405" i="2"/>
  <c r="X405" i="2"/>
  <c r="AC405" i="2"/>
  <c r="E405" i="2"/>
  <c r="W412" i="2"/>
  <c r="O412" i="2"/>
  <c r="G412" i="2"/>
  <c r="V412" i="2"/>
  <c r="N412" i="2"/>
  <c r="F412" i="2"/>
  <c r="U412" i="2"/>
  <c r="M412" i="2"/>
  <c r="T412" i="2"/>
  <c r="L412" i="2"/>
  <c r="S412" i="2"/>
  <c r="K412" i="2"/>
  <c r="Q412" i="2"/>
  <c r="I412" i="2"/>
  <c r="P412" i="2"/>
  <c r="H412" i="2"/>
  <c r="R412" i="2"/>
  <c r="J412" i="2"/>
  <c r="AH412" i="2" s="1"/>
  <c r="AB413" i="2"/>
  <c r="AA413" i="2"/>
  <c r="Z413" i="2"/>
  <c r="Y413" i="2"/>
  <c r="X413" i="2"/>
  <c r="AC413" i="2"/>
  <c r="E413" i="2"/>
  <c r="W420" i="2"/>
  <c r="O420" i="2"/>
  <c r="G420" i="2"/>
  <c r="V420" i="2"/>
  <c r="N420" i="2"/>
  <c r="F420" i="2"/>
  <c r="U420" i="2"/>
  <c r="M420" i="2"/>
  <c r="T420" i="2"/>
  <c r="L420" i="2"/>
  <c r="S420" i="2"/>
  <c r="K420" i="2"/>
  <c r="Q420" i="2"/>
  <c r="I420" i="2"/>
  <c r="P420" i="2"/>
  <c r="H420" i="2"/>
  <c r="R420" i="2"/>
  <c r="J420" i="2"/>
  <c r="AH420" i="2" s="1"/>
  <c r="AB421" i="2"/>
  <c r="AA421" i="2"/>
  <c r="Z421" i="2"/>
  <c r="Y421" i="2"/>
  <c r="X421" i="2"/>
  <c r="AC421" i="2"/>
  <c r="E421" i="2"/>
  <c r="W428" i="2"/>
  <c r="O428" i="2"/>
  <c r="G428" i="2"/>
  <c r="V428" i="2"/>
  <c r="N428" i="2"/>
  <c r="F428" i="2"/>
  <c r="U428" i="2"/>
  <c r="M428" i="2"/>
  <c r="T428" i="2"/>
  <c r="L428" i="2"/>
  <c r="S428" i="2"/>
  <c r="K428" i="2"/>
  <c r="Q428" i="2"/>
  <c r="I428" i="2"/>
  <c r="P428" i="2"/>
  <c r="H428" i="2"/>
  <c r="R428" i="2"/>
  <c r="J428" i="2"/>
  <c r="AH428" i="2" s="1"/>
  <c r="AB429" i="2"/>
  <c r="AA429" i="2"/>
  <c r="Z429" i="2"/>
  <c r="Y429" i="2"/>
  <c r="X429" i="2"/>
  <c r="AC429" i="2"/>
  <c r="E429" i="2"/>
  <c r="W436" i="2"/>
  <c r="O436" i="2"/>
  <c r="G436" i="2"/>
  <c r="V436" i="2"/>
  <c r="N436" i="2"/>
  <c r="F436" i="2"/>
  <c r="T436" i="2"/>
  <c r="L436" i="2"/>
  <c r="R436" i="2"/>
  <c r="J436" i="2"/>
  <c r="AH436" i="2" s="1"/>
  <c r="Q436" i="2"/>
  <c r="I436" i="2"/>
  <c r="K436" i="2"/>
  <c r="H436" i="2"/>
  <c r="U436" i="2"/>
  <c r="P436" i="2"/>
  <c r="M436" i="2"/>
  <c r="S436" i="2"/>
  <c r="AB437" i="2"/>
  <c r="AA437" i="2"/>
  <c r="Z437" i="2"/>
  <c r="Y437" i="2"/>
  <c r="E437" i="2"/>
  <c r="AC437" i="2"/>
  <c r="X437" i="2"/>
  <c r="W444" i="2"/>
  <c r="O444" i="2"/>
  <c r="G444" i="2"/>
  <c r="V444" i="2"/>
  <c r="N444" i="2"/>
  <c r="F444" i="2"/>
  <c r="U444" i="2"/>
  <c r="M444" i="2"/>
  <c r="T444" i="2"/>
  <c r="L444" i="2"/>
  <c r="S444" i="2"/>
  <c r="K444" i="2"/>
  <c r="R444" i="2"/>
  <c r="J444" i="2"/>
  <c r="AH444" i="2" s="1"/>
  <c r="Q444" i="2"/>
  <c r="I444" i="2"/>
  <c r="P444" i="2"/>
  <c r="H444" i="2"/>
  <c r="AB445" i="2"/>
  <c r="AA445" i="2"/>
  <c r="Z445" i="2"/>
  <c r="Y445" i="2"/>
  <c r="X445" i="2"/>
  <c r="AC445" i="2"/>
  <c r="E445" i="2"/>
  <c r="W452" i="2"/>
  <c r="O452" i="2"/>
  <c r="G452" i="2"/>
  <c r="V452" i="2"/>
  <c r="N452" i="2"/>
  <c r="F452" i="2"/>
  <c r="U452" i="2"/>
  <c r="M452" i="2"/>
  <c r="T452" i="2"/>
  <c r="L452" i="2"/>
  <c r="S452" i="2"/>
  <c r="K452" i="2"/>
  <c r="R452" i="2"/>
  <c r="J452" i="2"/>
  <c r="AH452" i="2" s="1"/>
  <c r="Q452" i="2"/>
  <c r="I452" i="2"/>
  <c r="P452" i="2"/>
  <c r="H452" i="2"/>
  <c r="AB453" i="2"/>
  <c r="AA453" i="2"/>
  <c r="Z453" i="2"/>
  <c r="Y453" i="2"/>
  <c r="X453" i="2"/>
  <c r="AC453" i="2"/>
  <c r="E453" i="2"/>
  <c r="W460" i="2"/>
  <c r="O460" i="2"/>
  <c r="G460" i="2"/>
  <c r="V460" i="2"/>
  <c r="N460" i="2"/>
  <c r="F460" i="2"/>
  <c r="U460" i="2"/>
  <c r="M460" i="2"/>
  <c r="T460" i="2"/>
  <c r="L460" i="2"/>
  <c r="S460" i="2"/>
  <c r="K460" i="2"/>
  <c r="R460" i="2"/>
  <c r="J460" i="2"/>
  <c r="AH460" i="2" s="1"/>
  <c r="Q460" i="2"/>
  <c r="I460" i="2"/>
  <c r="P460" i="2"/>
  <c r="H460" i="2"/>
  <c r="AB461" i="2"/>
  <c r="AA461" i="2"/>
  <c r="Z461" i="2"/>
  <c r="Y461" i="2"/>
  <c r="X461" i="2"/>
  <c r="AC461" i="2"/>
  <c r="E461" i="2"/>
  <c r="W468" i="2"/>
  <c r="O468" i="2"/>
  <c r="G468" i="2"/>
  <c r="V468" i="2"/>
  <c r="N468" i="2"/>
  <c r="F468" i="2"/>
  <c r="U468" i="2"/>
  <c r="M468" i="2"/>
  <c r="T468" i="2"/>
  <c r="L468" i="2"/>
  <c r="S468" i="2"/>
  <c r="K468" i="2"/>
  <c r="R468" i="2"/>
  <c r="J468" i="2"/>
  <c r="AH468" i="2" s="1"/>
  <c r="Q468" i="2"/>
  <c r="I468" i="2"/>
  <c r="P468" i="2"/>
  <c r="H468" i="2"/>
  <c r="AB469" i="2"/>
  <c r="AA469" i="2"/>
  <c r="Z469" i="2"/>
  <c r="Y469" i="2"/>
  <c r="X469" i="2"/>
  <c r="AC469" i="2"/>
  <c r="E469" i="2"/>
  <c r="R476" i="2"/>
  <c r="J476" i="2"/>
  <c r="AH476" i="2" s="1"/>
  <c r="Q476" i="2"/>
  <c r="I476" i="2"/>
  <c r="P476" i="2"/>
  <c r="H476" i="2"/>
  <c r="W476" i="2"/>
  <c r="O476" i="2"/>
  <c r="G476" i="2"/>
  <c r="V476" i="2"/>
  <c r="N476" i="2"/>
  <c r="F476" i="2"/>
  <c r="T476" i="2"/>
  <c r="L476" i="2"/>
  <c r="S476" i="2"/>
  <c r="K476" i="2"/>
  <c r="U476" i="2"/>
  <c r="M476" i="2"/>
  <c r="AC477" i="2"/>
  <c r="E477" i="2"/>
  <c r="AB477" i="2"/>
  <c r="AA477" i="2"/>
  <c r="Y477" i="2"/>
  <c r="X477" i="2"/>
  <c r="Z477" i="2"/>
  <c r="R484" i="2"/>
  <c r="J484" i="2"/>
  <c r="AH484" i="2" s="1"/>
  <c r="Q484" i="2"/>
  <c r="I484" i="2"/>
  <c r="P484" i="2"/>
  <c r="H484" i="2"/>
  <c r="W484" i="2"/>
  <c r="O484" i="2"/>
  <c r="G484" i="2"/>
  <c r="V484" i="2"/>
  <c r="N484" i="2"/>
  <c r="F484" i="2"/>
  <c r="T484" i="2"/>
  <c r="L484" i="2"/>
  <c r="S484" i="2"/>
  <c r="K484" i="2"/>
  <c r="U484" i="2"/>
  <c r="M484" i="2"/>
  <c r="AC485" i="2"/>
  <c r="E485" i="2"/>
  <c r="AB485" i="2"/>
  <c r="AA485" i="2"/>
  <c r="Y485" i="2"/>
  <c r="X485" i="2"/>
  <c r="Z485" i="2"/>
  <c r="R492" i="2"/>
  <c r="J492" i="2"/>
  <c r="AH492" i="2" s="1"/>
  <c r="Q492" i="2"/>
  <c r="I492" i="2"/>
  <c r="P492" i="2"/>
  <c r="H492" i="2"/>
  <c r="W492" i="2"/>
  <c r="O492" i="2"/>
  <c r="G492" i="2"/>
  <c r="V492" i="2"/>
  <c r="N492" i="2"/>
  <c r="F492" i="2"/>
  <c r="T492" i="2"/>
  <c r="L492" i="2"/>
  <c r="S492" i="2"/>
  <c r="K492" i="2"/>
  <c r="U492" i="2"/>
  <c r="M492" i="2"/>
  <c r="AC493" i="2"/>
  <c r="E493" i="2"/>
  <c r="AB493" i="2"/>
  <c r="AA493" i="2"/>
  <c r="Y493" i="2"/>
  <c r="X493" i="2"/>
  <c r="Z493" i="2"/>
  <c r="R500" i="2"/>
  <c r="J500" i="2"/>
  <c r="AH500" i="2" s="1"/>
  <c r="Q500" i="2"/>
  <c r="I500" i="2"/>
  <c r="P500" i="2"/>
  <c r="H500" i="2"/>
  <c r="W500" i="2"/>
  <c r="O500" i="2"/>
  <c r="G500" i="2"/>
  <c r="V500" i="2"/>
  <c r="N500" i="2"/>
  <c r="F500" i="2"/>
  <c r="T500" i="2"/>
  <c r="L500" i="2"/>
  <c r="S500" i="2"/>
  <c r="K500" i="2"/>
  <c r="M500" i="2"/>
  <c r="U500" i="2"/>
  <c r="AC501" i="2"/>
  <c r="E501" i="2"/>
  <c r="AB501" i="2"/>
  <c r="AA501" i="2"/>
  <c r="Y501" i="2"/>
  <c r="X501" i="2"/>
  <c r="Z501" i="2"/>
  <c r="R508" i="2"/>
  <c r="J508" i="2"/>
  <c r="AH508" i="2" s="1"/>
  <c r="Q508" i="2"/>
  <c r="I508" i="2"/>
  <c r="P508" i="2"/>
  <c r="H508" i="2"/>
  <c r="W508" i="2"/>
  <c r="O508" i="2"/>
  <c r="G508" i="2"/>
  <c r="V508" i="2"/>
  <c r="N508" i="2"/>
  <c r="F508" i="2"/>
  <c r="T508" i="2"/>
  <c r="L508" i="2"/>
  <c r="S508" i="2"/>
  <c r="K508" i="2"/>
  <c r="M508" i="2"/>
  <c r="U508" i="2"/>
  <c r="AA509" i="2"/>
  <c r="Z509" i="2"/>
  <c r="AC509" i="2"/>
  <c r="AB509" i="2"/>
  <c r="Y509" i="2"/>
  <c r="E509" i="2"/>
  <c r="X509" i="2"/>
  <c r="P516" i="2"/>
  <c r="H516" i="2"/>
  <c r="W516" i="2"/>
  <c r="O516" i="2"/>
  <c r="G516" i="2"/>
  <c r="V516" i="2"/>
  <c r="N516" i="2"/>
  <c r="F516" i="2"/>
  <c r="U516" i="2"/>
  <c r="M516" i="2"/>
  <c r="T516" i="2"/>
  <c r="L516" i="2"/>
  <c r="R516" i="2"/>
  <c r="J516" i="2"/>
  <c r="AH516" i="2" s="1"/>
  <c r="Q516" i="2"/>
  <c r="I516" i="2"/>
  <c r="K516" i="2"/>
  <c r="S516" i="2"/>
  <c r="AC517" i="2"/>
  <c r="E517" i="2"/>
  <c r="AB517" i="2"/>
  <c r="AA517" i="2"/>
  <c r="Z517" i="2"/>
  <c r="Y517" i="2"/>
  <c r="X517" i="2"/>
  <c r="P524" i="2"/>
  <c r="H524" i="2"/>
  <c r="W524" i="2"/>
  <c r="O524" i="2"/>
  <c r="G524" i="2"/>
  <c r="V524" i="2"/>
  <c r="N524" i="2"/>
  <c r="F524" i="2"/>
  <c r="U524" i="2"/>
  <c r="M524" i="2"/>
  <c r="T524" i="2"/>
  <c r="L524" i="2"/>
  <c r="R524" i="2"/>
  <c r="J524" i="2"/>
  <c r="AH524" i="2" s="1"/>
  <c r="Q524" i="2"/>
  <c r="I524" i="2"/>
  <c r="K524" i="2"/>
  <c r="S524" i="2"/>
  <c r="AC525" i="2"/>
  <c r="E525" i="2"/>
  <c r="AB525" i="2"/>
  <c r="AA525" i="2"/>
  <c r="Z525" i="2"/>
  <c r="Y525" i="2"/>
  <c r="X525" i="2"/>
  <c r="P532" i="2"/>
  <c r="H532" i="2"/>
  <c r="W532" i="2"/>
  <c r="O532" i="2"/>
  <c r="G532" i="2"/>
  <c r="V532" i="2"/>
  <c r="N532" i="2"/>
  <c r="F532" i="2"/>
  <c r="U532" i="2"/>
  <c r="M532" i="2"/>
  <c r="T532" i="2"/>
  <c r="L532" i="2"/>
  <c r="R532" i="2"/>
  <c r="J532" i="2"/>
  <c r="AH532" i="2" s="1"/>
  <c r="Q532" i="2"/>
  <c r="I532" i="2"/>
  <c r="K532" i="2"/>
  <c r="S532" i="2"/>
  <c r="AC533" i="2"/>
  <c r="E533" i="2"/>
  <c r="AB533" i="2"/>
  <c r="AA533" i="2"/>
  <c r="Z533" i="2"/>
  <c r="Y533" i="2"/>
  <c r="X533" i="2"/>
  <c r="P540" i="2"/>
  <c r="H540" i="2"/>
  <c r="W540" i="2"/>
  <c r="O540" i="2"/>
  <c r="G540" i="2"/>
  <c r="V540" i="2"/>
  <c r="N540" i="2"/>
  <c r="F540" i="2"/>
  <c r="U540" i="2"/>
  <c r="M540" i="2"/>
  <c r="T540" i="2"/>
  <c r="L540" i="2"/>
  <c r="R540" i="2"/>
  <c r="J540" i="2"/>
  <c r="AH540" i="2" s="1"/>
  <c r="Q540" i="2"/>
  <c r="I540" i="2"/>
  <c r="S540" i="2"/>
  <c r="K540" i="2"/>
  <c r="AC541" i="2"/>
  <c r="E541" i="2"/>
  <c r="AB541" i="2"/>
  <c r="AA541" i="2"/>
  <c r="Z541" i="2"/>
  <c r="Y541" i="2"/>
  <c r="X541" i="2"/>
  <c r="P548" i="2"/>
  <c r="H548" i="2"/>
  <c r="W548" i="2"/>
  <c r="O548" i="2"/>
  <c r="G548" i="2"/>
  <c r="V548" i="2"/>
  <c r="N548" i="2"/>
  <c r="F548" i="2"/>
  <c r="U548" i="2"/>
  <c r="Q548" i="2"/>
  <c r="I548" i="2"/>
  <c r="T548" i="2"/>
  <c r="S548" i="2"/>
  <c r="R548" i="2"/>
  <c r="M548" i="2"/>
  <c r="L548" i="2"/>
  <c r="J548" i="2"/>
  <c r="AH548" i="2" s="1"/>
  <c r="K548" i="2"/>
  <c r="AC549" i="2"/>
  <c r="E549" i="2"/>
  <c r="AB549" i="2"/>
  <c r="AA549" i="2"/>
  <c r="Z549" i="2"/>
  <c r="X549" i="2"/>
  <c r="Y549" i="2"/>
  <c r="P556" i="2"/>
  <c r="H556" i="2"/>
  <c r="W556" i="2"/>
  <c r="O556" i="2"/>
  <c r="G556" i="2"/>
  <c r="V556" i="2"/>
  <c r="N556" i="2"/>
  <c r="F556" i="2"/>
  <c r="U556" i="2"/>
  <c r="M556" i="2"/>
  <c r="T556" i="2"/>
  <c r="L556" i="2"/>
  <c r="R556" i="2"/>
  <c r="J556" i="2"/>
  <c r="AH556" i="2" s="1"/>
  <c r="Q556" i="2"/>
  <c r="I556" i="2"/>
  <c r="S556" i="2"/>
  <c r="K556" i="2"/>
  <c r="AC557" i="2"/>
  <c r="E557" i="2"/>
  <c r="AB557" i="2"/>
  <c r="AA557" i="2"/>
  <c r="Z557" i="2"/>
  <c r="Y557" i="2"/>
  <c r="X557" i="2"/>
  <c r="P564" i="2"/>
  <c r="H564" i="2"/>
  <c r="W564" i="2"/>
  <c r="O564" i="2"/>
  <c r="G564" i="2"/>
  <c r="V564" i="2"/>
  <c r="N564" i="2"/>
  <c r="F564" i="2"/>
  <c r="U564" i="2"/>
  <c r="M564" i="2"/>
  <c r="T564" i="2"/>
  <c r="L564" i="2"/>
  <c r="R564" i="2"/>
  <c r="J564" i="2"/>
  <c r="AH564" i="2" s="1"/>
  <c r="Q564" i="2"/>
  <c r="I564" i="2"/>
  <c r="S564" i="2"/>
  <c r="K564" i="2"/>
  <c r="AC565" i="2"/>
  <c r="E565" i="2"/>
  <c r="AB565" i="2"/>
  <c r="AA565" i="2"/>
  <c r="Z565" i="2"/>
  <c r="Y565" i="2"/>
  <c r="X565" i="2"/>
  <c r="P572" i="2"/>
  <c r="H572" i="2"/>
  <c r="W572" i="2"/>
  <c r="O572" i="2"/>
  <c r="G572" i="2"/>
  <c r="V572" i="2"/>
  <c r="N572" i="2"/>
  <c r="F572" i="2"/>
  <c r="U572" i="2"/>
  <c r="M572" i="2"/>
  <c r="T572" i="2"/>
  <c r="L572" i="2"/>
  <c r="R572" i="2"/>
  <c r="J572" i="2"/>
  <c r="AH572" i="2" s="1"/>
  <c r="Q572" i="2"/>
  <c r="I572" i="2"/>
  <c r="S572" i="2"/>
  <c r="K572" i="2"/>
  <c r="AC573" i="2"/>
  <c r="E573" i="2"/>
  <c r="AB573" i="2"/>
  <c r="AA573" i="2"/>
  <c r="Z573" i="2"/>
  <c r="Y573" i="2"/>
  <c r="X573" i="2"/>
  <c r="P580" i="2"/>
  <c r="H580" i="2"/>
  <c r="W580" i="2"/>
  <c r="O580" i="2"/>
  <c r="G580" i="2"/>
  <c r="V580" i="2"/>
  <c r="N580" i="2"/>
  <c r="F580" i="2"/>
  <c r="U580" i="2"/>
  <c r="M580" i="2"/>
  <c r="T580" i="2"/>
  <c r="L580" i="2"/>
  <c r="R580" i="2"/>
  <c r="J580" i="2"/>
  <c r="AH580" i="2" s="1"/>
  <c r="Q580" i="2"/>
  <c r="I580" i="2"/>
  <c r="S580" i="2"/>
  <c r="K580" i="2"/>
  <c r="AC581" i="2"/>
  <c r="E581" i="2"/>
  <c r="X581" i="2"/>
  <c r="AB581" i="2"/>
  <c r="Z581" i="2"/>
  <c r="Y581" i="2"/>
  <c r="AA581" i="2"/>
  <c r="Q588" i="2"/>
  <c r="I588" i="2"/>
  <c r="P588" i="2"/>
  <c r="H588" i="2"/>
  <c r="W588" i="2"/>
  <c r="O588" i="2"/>
  <c r="G588" i="2"/>
  <c r="V588" i="2"/>
  <c r="N588" i="2"/>
  <c r="F588" i="2"/>
  <c r="S588" i="2"/>
  <c r="K588" i="2"/>
  <c r="U588" i="2"/>
  <c r="T588" i="2"/>
  <c r="R588" i="2"/>
  <c r="L588" i="2"/>
  <c r="J588" i="2"/>
  <c r="AH588" i="2" s="1"/>
  <c r="M588" i="2"/>
  <c r="AC589" i="2"/>
  <c r="E589" i="2"/>
  <c r="AB589" i="2"/>
  <c r="AA589" i="2"/>
  <c r="Z589" i="2"/>
  <c r="X589" i="2"/>
  <c r="Y589" i="2"/>
  <c r="Q596" i="2"/>
  <c r="I596" i="2"/>
  <c r="P596" i="2"/>
  <c r="H596" i="2"/>
  <c r="W596" i="2"/>
  <c r="O596" i="2"/>
  <c r="G596" i="2"/>
  <c r="V596" i="2"/>
  <c r="N596" i="2"/>
  <c r="F596" i="2"/>
  <c r="U596" i="2"/>
  <c r="M596" i="2"/>
  <c r="S596" i="2"/>
  <c r="K596" i="2"/>
  <c r="R596" i="2"/>
  <c r="J596" i="2"/>
  <c r="AH596" i="2" s="1"/>
  <c r="L596" i="2"/>
  <c r="T596" i="2"/>
  <c r="AC597" i="2"/>
  <c r="E597" i="2"/>
  <c r="AB597" i="2"/>
  <c r="AA597" i="2"/>
  <c r="Z597" i="2"/>
  <c r="X597" i="2"/>
  <c r="Y597" i="2"/>
  <c r="Q604" i="2"/>
  <c r="I604" i="2"/>
  <c r="P604" i="2"/>
  <c r="H604" i="2"/>
  <c r="W604" i="2"/>
  <c r="O604" i="2"/>
  <c r="G604" i="2"/>
  <c r="V604" i="2"/>
  <c r="N604" i="2"/>
  <c r="F604" i="2"/>
  <c r="U604" i="2"/>
  <c r="M604" i="2"/>
  <c r="S604" i="2"/>
  <c r="K604" i="2"/>
  <c r="R604" i="2"/>
  <c r="J604" i="2"/>
  <c r="AH604" i="2" s="1"/>
  <c r="L604" i="2"/>
  <c r="T604" i="2"/>
  <c r="AC605" i="2"/>
  <c r="E605" i="2"/>
  <c r="AB605" i="2"/>
  <c r="AA605" i="2"/>
  <c r="Z605" i="2"/>
  <c r="X605" i="2"/>
  <c r="Y605" i="2"/>
  <c r="W612" i="2"/>
  <c r="O612" i="2"/>
  <c r="G612" i="2"/>
  <c r="V612" i="2"/>
  <c r="N612" i="2"/>
  <c r="F612" i="2"/>
  <c r="U612" i="2"/>
  <c r="M612" i="2"/>
  <c r="T612" i="2"/>
  <c r="L612" i="2"/>
  <c r="R612" i="2"/>
  <c r="Q612" i="2"/>
  <c r="I612" i="2"/>
  <c r="S612" i="2"/>
  <c r="P612" i="2"/>
  <c r="K612" i="2"/>
  <c r="J612" i="2"/>
  <c r="AH612" i="2" s="1"/>
  <c r="H612" i="2"/>
  <c r="AB613" i="2"/>
  <c r="AA613" i="2"/>
  <c r="Z613" i="2"/>
  <c r="Y613" i="2"/>
  <c r="X613" i="2"/>
  <c r="E613" i="2"/>
  <c r="AC613" i="2"/>
  <c r="W620" i="2"/>
  <c r="O620" i="2"/>
  <c r="G620" i="2"/>
  <c r="V620" i="2"/>
  <c r="N620" i="2"/>
  <c r="F620" i="2"/>
  <c r="U620" i="2"/>
  <c r="M620" i="2"/>
  <c r="T620" i="2"/>
  <c r="L620" i="2"/>
  <c r="S620" i="2"/>
  <c r="K620" i="2"/>
  <c r="R620" i="2"/>
  <c r="J620" i="2"/>
  <c r="AH620" i="2" s="1"/>
  <c r="Q620" i="2"/>
  <c r="I620" i="2"/>
  <c r="P620" i="2"/>
  <c r="H620" i="2"/>
  <c r="AB621" i="2"/>
  <c r="AA621" i="2"/>
  <c r="Z621" i="2"/>
  <c r="Y621" i="2"/>
  <c r="X621" i="2"/>
  <c r="E621" i="2"/>
  <c r="AC621" i="2"/>
  <c r="V628" i="2"/>
  <c r="N628" i="2"/>
  <c r="F628" i="2"/>
  <c r="U628" i="2"/>
  <c r="M628" i="2"/>
  <c r="L628" i="2"/>
  <c r="W628" i="2"/>
  <c r="K628" i="2"/>
  <c r="T628" i="2"/>
  <c r="J628" i="2"/>
  <c r="AH628" i="2" s="1"/>
  <c r="S628" i="2"/>
  <c r="I628" i="2"/>
  <c r="R628" i="2"/>
  <c r="H628" i="2"/>
  <c r="Q628" i="2"/>
  <c r="G628" i="2"/>
  <c r="P628" i="2"/>
  <c r="O628" i="2"/>
  <c r="AA629" i="2"/>
  <c r="Z629" i="2"/>
  <c r="E629" i="2"/>
  <c r="AC629" i="2"/>
  <c r="AB629" i="2"/>
  <c r="Y629" i="2"/>
  <c r="X629" i="2"/>
  <c r="Q636" i="2"/>
  <c r="I636" i="2"/>
  <c r="P636" i="2"/>
  <c r="H636" i="2"/>
  <c r="W636" i="2"/>
  <c r="O636" i="2"/>
  <c r="G636" i="2"/>
  <c r="V636" i="2"/>
  <c r="N636" i="2"/>
  <c r="F636" i="2"/>
  <c r="U636" i="2"/>
  <c r="M636" i="2"/>
  <c r="T636" i="2"/>
  <c r="L636" i="2"/>
  <c r="S636" i="2"/>
  <c r="R636" i="2"/>
  <c r="K636" i="2"/>
  <c r="J636" i="2"/>
  <c r="AH636" i="2" s="1"/>
  <c r="AC637" i="2"/>
  <c r="E637" i="2"/>
  <c r="AB637" i="2"/>
  <c r="AA637" i="2"/>
  <c r="Z637" i="2"/>
  <c r="Y637" i="2"/>
  <c r="X637" i="2"/>
  <c r="U644" i="2"/>
  <c r="M644" i="2"/>
  <c r="T644" i="2"/>
  <c r="L644" i="2"/>
  <c r="Q644" i="2"/>
  <c r="I644" i="2"/>
  <c r="P644" i="2"/>
  <c r="H644" i="2"/>
  <c r="J644" i="2"/>
  <c r="AH644" i="2" s="1"/>
  <c r="W644" i="2"/>
  <c r="G644" i="2"/>
  <c r="V644" i="2"/>
  <c r="F644" i="2"/>
  <c r="S644" i="2"/>
  <c r="R644" i="2"/>
  <c r="O644" i="2"/>
  <c r="N644" i="2"/>
  <c r="K644" i="2"/>
  <c r="Z645" i="2"/>
  <c r="Y645" i="2"/>
  <c r="AC645" i="2"/>
  <c r="E645" i="2"/>
  <c r="AB645" i="2"/>
  <c r="AA645" i="2"/>
  <c r="X645" i="2"/>
  <c r="U652" i="2"/>
  <c r="M652" i="2"/>
  <c r="T652" i="2"/>
  <c r="L652" i="2"/>
  <c r="S652" i="2"/>
  <c r="K652" i="2"/>
  <c r="Q652" i="2"/>
  <c r="I652" i="2"/>
  <c r="P652" i="2"/>
  <c r="H652" i="2"/>
  <c r="J652" i="2"/>
  <c r="AH652" i="2" s="1"/>
  <c r="G652" i="2"/>
  <c r="F652" i="2"/>
  <c r="W652" i="2"/>
  <c r="V652" i="2"/>
  <c r="R652" i="2"/>
  <c r="O652" i="2"/>
  <c r="N652" i="2"/>
  <c r="Z653" i="2"/>
  <c r="Y653" i="2"/>
  <c r="X653" i="2"/>
  <c r="AC653" i="2"/>
  <c r="E653" i="2"/>
  <c r="AB653" i="2"/>
  <c r="AA653" i="2"/>
  <c r="W660" i="2"/>
  <c r="O660" i="2"/>
  <c r="G660" i="2"/>
  <c r="U660" i="2"/>
  <c r="M660" i="2"/>
  <c r="R660" i="2"/>
  <c r="H660" i="2"/>
  <c r="Q660" i="2"/>
  <c r="F660" i="2"/>
  <c r="P660" i="2"/>
  <c r="N660" i="2"/>
  <c r="L660" i="2"/>
  <c r="V660" i="2"/>
  <c r="K660" i="2"/>
  <c r="T660" i="2"/>
  <c r="S660" i="2"/>
  <c r="J660" i="2"/>
  <c r="AH660" i="2" s="1"/>
  <c r="I660" i="2"/>
  <c r="AB661" i="2"/>
  <c r="Z661" i="2"/>
  <c r="AC661" i="2"/>
  <c r="AA661" i="2"/>
  <c r="X661" i="2"/>
  <c r="E661" i="2"/>
  <c r="Y661" i="2"/>
  <c r="V668" i="2"/>
  <c r="N668" i="2"/>
  <c r="F668" i="2"/>
  <c r="T668" i="2"/>
  <c r="L668" i="2"/>
  <c r="O668" i="2"/>
  <c r="W668" i="2"/>
  <c r="K668" i="2"/>
  <c r="I668" i="2"/>
  <c r="U668" i="2"/>
  <c r="H668" i="2"/>
  <c r="S668" i="2"/>
  <c r="G668" i="2"/>
  <c r="R668" i="2"/>
  <c r="Q668" i="2"/>
  <c r="P668" i="2"/>
  <c r="M668" i="2"/>
  <c r="J668" i="2"/>
  <c r="AH668" i="2" s="1"/>
  <c r="AA669" i="2"/>
  <c r="Y669" i="2"/>
  <c r="AB669" i="2"/>
  <c r="AC669" i="2"/>
  <c r="Z669" i="2"/>
  <c r="X669" i="2"/>
  <c r="E669" i="2"/>
  <c r="V676" i="2"/>
  <c r="N676" i="2"/>
  <c r="F676" i="2"/>
  <c r="T676" i="2"/>
  <c r="L676" i="2"/>
  <c r="S676" i="2"/>
  <c r="I676" i="2"/>
  <c r="Q676" i="2"/>
  <c r="G676" i="2"/>
  <c r="M676" i="2"/>
  <c r="K676" i="2"/>
  <c r="J676" i="2"/>
  <c r="AH676" i="2" s="1"/>
  <c r="W676" i="2"/>
  <c r="H676" i="2"/>
  <c r="U676" i="2"/>
  <c r="R676" i="2"/>
  <c r="P676" i="2"/>
  <c r="O676" i="2"/>
  <c r="AA677" i="2"/>
  <c r="Y677" i="2"/>
  <c r="X677" i="2"/>
  <c r="AC677" i="2"/>
  <c r="AB677" i="2"/>
  <c r="Z677" i="2"/>
  <c r="E677" i="2"/>
  <c r="AH176" i="2"/>
  <c r="AH207" i="2"/>
  <c r="AH222" i="2"/>
  <c r="AH354" i="2"/>
  <c r="AH622" i="2"/>
  <c r="J47" i="15"/>
  <c r="J48" i="15" s="1"/>
  <c r="J45" i="15"/>
  <c r="E65" i="16"/>
  <c r="D68" i="16"/>
  <c r="C68" i="16"/>
  <c r="E33" i="16"/>
  <c r="E100" i="16"/>
  <c r="G129" i="16"/>
  <c r="U129" i="16"/>
  <c r="T132" i="16"/>
  <c r="E132" i="16"/>
  <c r="D45" i="15"/>
  <c r="D49" i="15"/>
  <c r="L45" i="15"/>
  <c r="L49" i="15"/>
  <c r="I46" i="15"/>
  <c r="V161" i="16"/>
  <c r="U164" i="16"/>
  <c r="E193" i="16"/>
  <c r="E45" i="15"/>
  <c r="M45" i="15"/>
  <c r="J46" i="15"/>
  <c r="T164" i="16"/>
  <c r="F47" i="15"/>
  <c r="F48" i="15" s="1"/>
  <c r="D47" i="15"/>
  <c r="D48" i="15" s="1"/>
  <c r="G47" i="15"/>
  <c r="G48" i="15" s="1"/>
  <c r="D46" i="15"/>
  <c r="L46" i="15"/>
  <c r="H49" i="15"/>
  <c r="H45" i="15"/>
  <c r="L47" i="15"/>
  <c r="L48" i="15" s="1"/>
  <c r="G45" i="15"/>
  <c r="I47" i="15"/>
  <c r="I48" i="15" s="1"/>
  <c r="C49" i="15"/>
  <c r="K49" i="15"/>
  <c r="C196" i="16"/>
  <c r="I45" i="15"/>
  <c r="C47" i="15"/>
  <c r="C48" i="15" s="1"/>
  <c r="K47" i="15"/>
  <c r="K48" i="15" s="1"/>
  <c r="E49" i="15"/>
  <c r="M49" i="15"/>
  <c r="S132" i="16"/>
  <c r="E47" i="15"/>
  <c r="E48" i="15" s="1"/>
  <c r="M47" i="15"/>
  <c r="M48" i="15" s="1"/>
  <c r="G49" i="15"/>
  <c r="C36" i="16"/>
  <c r="V97" i="16" l="1"/>
  <c r="T100" i="16"/>
  <c r="G97" i="16"/>
  <c r="F161" i="16"/>
  <c r="E164" i="16"/>
  <c r="U65" i="16"/>
  <c r="T68" i="16"/>
  <c r="U33" i="16"/>
  <c r="T36" i="16"/>
  <c r="J37" i="17"/>
  <c r="I29" i="17"/>
  <c r="H29" i="17"/>
  <c r="G29" i="17"/>
  <c r="H27" i="17"/>
  <c r="G27" i="17"/>
  <c r="I27" i="17"/>
  <c r="I36" i="17"/>
  <c r="H36" i="17"/>
  <c r="G36" i="17"/>
  <c r="G7" i="17"/>
  <c r="H7" i="17"/>
  <c r="C24" i="17"/>
  <c r="I7" i="17"/>
  <c r="H33" i="17"/>
  <c r="G33" i="17"/>
  <c r="I33" i="17"/>
  <c r="G19" i="17"/>
  <c r="I19" i="17"/>
  <c r="H19" i="17"/>
  <c r="G12" i="17"/>
  <c r="H12" i="17"/>
  <c r="I12" i="17"/>
  <c r="I9" i="17"/>
  <c r="H9" i="17"/>
  <c r="G9" i="17"/>
  <c r="J26" i="17"/>
  <c r="H8" i="17"/>
  <c r="I8" i="17"/>
  <c r="G8" i="17"/>
  <c r="G13" i="17"/>
  <c r="H13" i="17"/>
  <c r="I13" i="17"/>
  <c r="I32" i="17"/>
  <c r="H32" i="17"/>
  <c r="G32" i="17"/>
  <c r="G38" i="17"/>
  <c r="H38" i="17"/>
  <c r="I38" i="17"/>
  <c r="H25" i="17"/>
  <c r="G25" i="17"/>
  <c r="C42" i="17"/>
  <c r="I25" i="17"/>
  <c r="J36" i="17"/>
  <c r="J7" i="17"/>
  <c r="H23" i="17"/>
  <c r="G23" i="17"/>
  <c r="I23" i="17"/>
  <c r="I17" i="17"/>
  <c r="H17" i="17"/>
  <c r="G17" i="17"/>
  <c r="H16" i="17"/>
  <c r="I16" i="17"/>
  <c r="G16" i="17"/>
  <c r="H11" i="17"/>
  <c r="I11" i="17"/>
  <c r="G11" i="17"/>
  <c r="I10" i="17"/>
  <c r="H10" i="17"/>
  <c r="G10" i="17"/>
  <c r="I15" i="17"/>
  <c r="G15" i="17"/>
  <c r="H15" i="17"/>
  <c r="G28" i="17"/>
  <c r="I28" i="17"/>
  <c r="H28" i="17"/>
  <c r="I34" i="17"/>
  <c r="H34" i="17"/>
  <c r="G34" i="17"/>
  <c r="J32" i="17"/>
  <c r="H30" i="17"/>
  <c r="G30" i="17"/>
  <c r="I30" i="17"/>
  <c r="H21" i="17"/>
  <c r="I21" i="17"/>
  <c r="G21" i="17"/>
  <c r="H26" i="17"/>
  <c r="G26" i="17"/>
  <c r="I26" i="17"/>
  <c r="G22" i="17"/>
  <c r="H22" i="17"/>
  <c r="I22" i="17"/>
  <c r="H37" i="17"/>
  <c r="I37" i="17"/>
  <c r="G37" i="17"/>
  <c r="J16" i="17"/>
  <c r="G20" i="17"/>
  <c r="I20" i="17"/>
  <c r="H20" i="17"/>
  <c r="H18" i="17"/>
  <c r="I18" i="17"/>
  <c r="G18" i="17"/>
  <c r="I14" i="17"/>
  <c r="H14" i="17"/>
  <c r="G14" i="17"/>
  <c r="H39" i="17"/>
  <c r="G39" i="17"/>
  <c r="I39" i="17"/>
  <c r="J22" i="17"/>
  <c r="J15" i="17"/>
  <c r="J14" i="17"/>
  <c r="J25" i="17"/>
  <c r="I41" i="17"/>
  <c r="H41" i="17"/>
  <c r="G41" i="17"/>
  <c r="G31" i="17"/>
  <c r="I31" i="17"/>
  <c r="H31" i="17"/>
  <c r="H40" i="17"/>
  <c r="G40" i="17"/>
  <c r="I40" i="17"/>
  <c r="H35" i="17"/>
  <c r="I35" i="17"/>
  <c r="G35" i="17"/>
  <c r="J30" i="17"/>
  <c r="J12" i="17"/>
  <c r="J19" i="17"/>
  <c r="J29" i="17"/>
  <c r="J10" i="17"/>
  <c r="J9" i="17"/>
  <c r="J33" i="17"/>
  <c r="J18" i="17"/>
  <c r="J40" i="17"/>
  <c r="J21" i="17"/>
  <c r="J13" i="17"/>
  <c r="J39" i="17"/>
  <c r="J23" i="17"/>
  <c r="J27" i="17"/>
  <c r="J20" i="17"/>
  <c r="J28" i="17"/>
  <c r="J41" i="17"/>
  <c r="J17" i="17"/>
  <c r="J11" i="17"/>
  <c r="J8" i="17"/>
  <c r="J34" i="17"/>
  <c r="J35" i="17"/>
  <c r="J31" i="17"/>
  <c r="J38" i="17"/>
  <c r="B8" i="3"/>
  <c r="R3" i="3" s="1"/>
  <c r="E7" i="3"/>
  <c r="B8" i="2"/>
  <c r="E7" i="2"/>
  <c r="AE337" i="2"/>
  <c r="AE246" i="2"/>
  <c r="AE408" i="2"/>
  <c r="AE238" i="2"/>
  <c r="AE149" i="2"/>
  <c r="AE98" i="2"/>
  <c r="AE34" i="2"/>
  <c r="AE26" i="2"/>
  <c r="AE102" i="2"/>
  <c r="AE187" i="2"/>
  <c r="AE58" i="2"/>
  <c r="AE161" i="2"/>
  <c r="AE45" i="2"/>
  <c r="AE613" i="2"/>
  <c r="AE217" i="2"/>
  <c r="AE203" i="2"/>
  <c r="AE194" i="2"/>
  <c r="AE170" i="2"/>
  <c r="AE104" i="2"/>
  <c r="AE40" i="2"/>
  <c r="AE536" i="2"/>
  <c r="AE586" i="2"/>
  <c r="H93" i="5"/>
  <c r="G93" i="5"/>
  <c r="E93" i="5"/>
  <c r="F93" i="5"/>
  <c r="AE662" i="2"/>
  <c r="AE84" i="2"/>
  <c r="AE471" i="2"/>
  <c r="AE446" i="2"/>
  <c r="AE184" i="2"/>
  <c r="AE649" i="2"/>
  <c r="AE390" i="2"/>
  <c r="AE336" i="2"/>
  <c r="AE309" i="2"/>
  <c r="AE255" i="2"/>
  <c r="AE661" i="2"/>
  <c r="AE627" i="2"/>
  <c r="AE574" i="2"/>
  <c r="AE482" i="2"/>
  <c r="AE467" i="2"/>
  <c r="AE354" i="2"/>
  <c r="AE339" i="2"/>
  <c r="AE166" i="2"/>
  <c r="AE96" i="2"/>
  <c r="AE32" i="2"/>
  <c r="AE220" i="2"/>
  <c r="AE625" i="2"/>
  <c r="AE570" i="2"/>
  <c r="AE440" i="2"/>
  <c r="AE376" i="2"/>
  <c r="E98" i="6"/>
  <c r="H98" i="6"/>
  <c r="G98" i="6"/>
  <c r="F98" i="6"/>
  <c r="H94" i="5"/>
  <c r="G94" i="5"/>
  <c r="F94" i="5"/>
  <c r="E94" i="5"/>
  <c r="AE497" i="2"/>
  <c r="AE448" i="2"/>
  <c r="AE406" i="2"/>
  <c r="AE389" i="2"/>
  <c r="AE288" i="2"/>
  <c r="AE118" i="2"/>
  <c r="AE177" i="2"/>
  <c r="AE158" i="2"/>
  <c r="AE90" i="2"/>
  <c r="AE94" i="2"/>
  <c r="AE189" i="2"/>
  <c r="AE107" i="2"/>
  <c r="AE99" i="2"/>
  <c r="AE155" i="2"/>
  <c r="AE93" i="2"/>
  <c r="G91" i="5"/>
  <c r="F91" i="5"/>
  <c r="E91" i="5"/>
  <c r="H91" i="5"/>
  <c r="AE92" i="2"/>
  <c r="AE456" i="2"/>
  <c r="AE429" i="2"/>
  <c r="AE350" i="2"/>
  <c r="AE313" i="2"/>
  <c r="AE486" i="2"/>
  <c r="H87" i="6"/>
  <c r="G87" i="6"/>
  <c r="F87" i="6"/>
  <c r="E87" i="6"/>
  <c r="AE640" i="2"/>
  <c r="AE576" i="2"/>
  <c r="H94" i="6"/>
  <c r="G94" i="6"/>
  <c r="E94" i="6"/>
  <c r="F94" i="6"/>
  <c r="F84" i="5"/>
  <c r="E84" i="5"/>
  <c r="H84" i="5"/>
  <c r="G84" i="5"/>
  <c r="H83" i="5"/>
  <c r="G83" i="5"/>
  <c r="F83" i="5"/>
  <c r="E83" i="5"/>
  <c r="F85" i="6"/>
  <c r="E85" i="6"/>
  <c r="H85" i="6"/>
  <c r="G85" i="6"/>
  <c r="H95" i="6"/>
  <c r="G95" i="6"/>
  <c r="F95" i="6"/>
  <c r="E95" i="6"/>
  <c r="H84" i="7"/>
  <c r="G84" i="7"/>
  <c r="F84" i="7"/>
  <c r="E84" i="7"/>
  <c r="AE651" i="2"/>
  <c r="AE587" i="2"/>
  <c r="AE562" i="2"/>
  <c r="AE547" i="2"/>
  <c r="AE434" i="2"/>
  <c r="AE419" i="2"/>
  <c r="AE306" i="2"/>
  <c r="AE291" i="2"/>
  <c r="AE202" i="2"/>
  <c r="AE140" i="2"/>
  <c r="AE76" i="2"/>
  <c r="AE474" i="2"/>
  <c r="AE442" i="2"/>
  <c r="AE410" i="2"/>
  <c r="AE378" i="2"/>
  <c r="AE248" i="2"/>
  <c r="AE557" i="2"/>
  <c r="AE488" i="2"/>
  <c r="AE461" i="2"/>
  <c r="AE392" i="2"/>
  <c r="AE365" i="2"/>
  <c r="AE296" i="2"/>
  <c r="AE269" i="2"/>
  <c r="AE216" i="2"/>
  <c r="AE346" i="2"/>
  <c r="AE253" i="2"/>
  <c r="AE633" i="2"/>
  <c r="AE168" i="2"/>
  <c r="F108" i="5"/>
  <c r="E108" i="5"/>
  <c r="H108" i="5"/>
  <c r="G108" i="5"/>
  <c r="H82" i="5"/>
  <c r="G82" i="5"/>
  <c r="E82" i="5"/>
  <c r="F82" i="5"/>
  <c r="AE432" i="2"/>
  <c r="AE415" i="2"/>
  <c r="AE326" i="2"/>
  <c r="AE289" i="2"/>
  <c r="AE245" i="2"/>
  <c r="AE79" i="2"/>
  <c r="AE47" i="2"/>
  <c r="AE675" i="2"/>
  <c r="AE622" i="2"/>
  <c r="AE162" i="2"/>
  <c r="AE151" i="2"/>
  <c r="AE88" i="2"/>
  <c r="AE24" i="2"/>
  <c r="AE156" i="2"/>
  <c r="AE666" i="2"/>
  <c r="AE609" i="2"/>
  <c r="AE200" i="2"/>
  <c r="AE509" i="2"/>
  <c r="AE344" i="2"/>
  <c r="AE228" i="2"/>
  <c r="H96" i="7"/>
  <c r="G96" i="7"/>
  <c r="F96" i="7"/>
  <c r="E96" i="7"/>
  <c r="H83" i="6"/>
  <c r="G83" i="6"/>
  <c r="E83" i="6"/>
  <c r="F83" i="6"/>
  <c r="AE549" i="2"/>
  <c r="AE438" i="2"/>
  <c r="AE369" i="2"/>
  <c r="AE278" i="2"/>
  <c r="AE261" i="2"/>
  <c r="AE477" i="2"/>
  <c r="AE329" i="2"/>
  <c r="AE175" i="2"/>
  <c r="AE106" i="2"/>
  <c r="AE54" i="2"/>
  <c r="AE42" i="2"/>
  <c r="AE141" i="2"/>
  <c r="AE77" i="2"/>
  <c r="AE61" i="2"/>
  <c r="AE146" i="2"/>
  <c r="AE43" i="2"/>
  <c r="AE142" i="2"/>
  <c r="AE35" i="2"/>
  <c r="AE153" i="2"/>
  <c r="AE29" i="2"/>
  <c r="AE115" i="2"/>
  <c r="AE87" i="2"/>
  <c r="AE641" i="2"/>
  <c r="AE416" i="2"/>
  <c r="AE219" i="2"/>
  <c r="E87" i="7"/>
  <c r="H87" i="7"/>
  <c r="G87" i="7"/>
  <c r="F87" i="7"/>
  <c r="AE537" i="2"/>
  <c r="AE478" i="2"/>
  <c r="AE382" i="2"/>
  <c r="AE345" i="2"/>
  <c r="AE311" i="2"/>
  <c r="AE286" i="2"/>
  <c r="AE227" i="2"/>
  <c r="AE250" i="2"/>
  <c r="AE297" i="2"/>
  <c r="AE617" i="2"/>
  <c r="AE578" i="2"/>
  <c r="F93" i="6"/>
  <c r="E93" i="6"/>
  <c r="H93" i="6"/>
  <c r="G93" i="6"/>
  <c r="H81" i="7"/>
  <c r="G81" i="7"/>
  <c r="F81" i="7"/>
  <c r="E81" i="7"/>
  <c r="AE545" i="2"/>
  <c r="AE501" i="2"/>
  <c r="AE422" i="2"/>
  <c r="AE405" i="2"/>
  <c r="AE341" i="2"/>
  <c r="AE272" i="2"/>
  <c r="AE262" i="2"/>
  <c r="AE206" i="2"/>
  <c r="AE111" i="2"/>
  <c r="AE270" i="2"/>
  <c r="AE670" i="2"/>
  <c r="AE645" i="2"/>
  <c r="AE597" i="2"/>
  <c r="AE563" i="2"/>
  <c r="AE450" i="2"/>
  <c r="AE435" i="2"/>
  <c r="AE322" i="2"/>
  <c r="AE307" i="2"/>
  <c r="AE225" i="2"/>
  <c r="AE190" i="2"/>
  <c r="AE144" i="2"/>
  <c r="AE80" i="2"/>
  <c r="AE16" i="2"/>
  <c r="AK671" i="1"/>
  <c r="AE526" i="2"/>
  <c r="AE650" i="2"/>
  <c r="AE593" i="2"/>
  <c r="H110" i="5"/>
  <c r="G110" i="5"/>
  <c r="F110" i="5"/>
  <c r="E110" i="5"/>
  <c r="H86" i="5"/>
  <c r="G86" i="5"/>
  <c r="F86" i="5"/>
  <c r="E86" i="5"/>
  <c r="AE529" i="2"/>
  <c r="AE480" i="2"/>
  <c r="AE421" i="2"/>
  <c r="AE320" i="2"/>
  <c r="AE241" i="2"/>
  <c r="AE204" i="2"/>
  <c r="AE192" i="2"/>
  <c r="AE398" i="2"/>
  <c r="AE133" i="2"/>
  <c r="AE69" i="2"/>
  <c r="AE185" i="2"/>
  <c r="AE82" i="2"/>
  <c r="AE199" i="2"/>
  <c r="AE150" i="2"/>
  <c r="AE86" i="2"/>
  <c r="AE130" i="2"/>
  <c r="AE78" i="2"/>
  <c r="AE171" i="2"/>
  <c r="AE665" i="2"/>
  <c r="H86" i="6"/>
  <c r="G86" i="6"/>
  <c r="E86" i="6"/>
  <c r="F86" i="6"/>
  <c r="AE513" i="2"/>
  <c r="H109" i="5"/>
  <c r="G109" i="5"/>
  <c r="E109" i="5"/>
  <c r="F109" i="5"/>
  <c r="AE637" i="2"/>
  <c r="AE598" i="2"/>
  <c r="AE208" i="2"/>
  <c r="H112" i="5"/>
  <c r="F112" i="5"/>
  <c r="E112" i="5"/>
  <c r="G112" i="5"/>
  <c r="H97" i="16"/>
  <c r="G100" i="16"/>
  <c r="H85" i="5"/>
  <c r="G85" i="5"/>
  <c r="E85" i="5"/>
  <c r="F85" i="5"/>
  <c r="AE632" i="2"/>
  <c r="AE568" i="2"/>
  <c r="G107" i="5"/>
  <c r="F107" i="5"/>
  <c r="E107" i="5"/>
  <c r="H107" i="5"/>
  <c r="AE582" i="2"/>
  <c r="AE221" i="2"/>
  <c r="AE68" i="2"/>
  <c r="AE521" i="2"/>
  <c r="G87" i="5"/>
  <c r="F87" i="5"/>
  <c r="E87" i="5"/>
  <c r="H87" i="5"/>
  <c r="H83" i="7"/>
  <c r="G83" i="7"/>
  <c r="E83" i="7"/>
  <c r="F83" i="7"/>
  <c r="AE624" i="2"/>
  <c r="E105" i="5"/>
  <c r="H105" i="5"/>
  <c r="G105" i="5"/>
  <c r="F105" i="5"/>
  <c r="E95" i="7"/>
  <c r="H95" i="7"/>
  <c r="G95" i="7"/>
  <c r="F95" i="7"/>
  <c r="AE635" i="2"/>
  <c r="AE571" i="2"/>
  <c r="AE530" i="2"/>
  <c r="AE515" i="2"/>
  <c r="AE402" i="2"/>
  <c r="AE387" i="2"/>
  <c r="AE274" i="2"/>
  <c r="AE259" i="2"/>
  <c r="AE124" i="2"/>
  <c r="AE60" i="2"/>
  <c r="AE520" i="2"/>
  <c r="AE503" i="2"/>
  <c r="AE441" i="2"/>
  <c r="AE407" i="2"/>
  <c r="AE328" i="2"/>
  <c r="AE301" i="2"/>
  <c r="AE249" i="2"/>
  <c r="AE224" i="2"/>
  <c r="AE172" i="2"/>
  <c r="AE504" i="2"/>
  <c r="AE674" i="2"/>
  <c r="AE601" i="2"/>
  <c r="AE282" i="2"/>
  <c r="AE188" i="2"/>
  <c r="AE558" i="2"/>
  <c r="H104" i="5"/>
  <c r="F104" i="5"/>
  <c r="E104" i="5"/>
  <c r="G104" i="5"/>
  <c r="AE528" i="2"/>
  <c r="AE481" i="2"/>
  <c r="AE447" i="2"/>
  <c r="AE385" i="2"/>
  <c r="AE368" i="2"/>
  <c r="AE71" i="2"/>
  <c r="AE39" i="2"/>
  <c r="AE553" i="2"/>
  <c r="AE425" i="2"/>
  <c r="AE659" i="2"/>
  <c r="AE611" i="2"/>
  <c r="AE186" i="2"/>
  <c r="AE136" i="2"/>
  <c r="AE72" i="2"/>
  <c r="AE472" i="2"/>
  <c r="AE317" i="2"/>
  <c r="AE577" i="2"/>
  <c r="AE430" i="2"/>
  <c r="H94" i="7"/>
  <c r="G94" i="7"/>
  <c r="F94" i="7"/>
  <c r="E94" i="7"/>
  <c r="AE470" i="2"/>
  <c r="AE453" i="2"/>
  <c r="AE401" i="2"/>
  <c r="AE352" i="2"/>
  <c r="AE310" i="2"/>
  <c r="AE293" i="2"/>
  <c r="AE85" i="2"/>
  <c r="AE30" i="2"/>
  <c r="AE183" i="2"/>
  <c r="AE70" i="2"/>
  <c r="AE125" i="2"/>
  <c r="AE138" i="2"/>
  <c r="AE74" i="2"/>
  <c r="AE22" i="2"/>
  <c r="AE91" i="2"/>
  <c r="AE167" i="2"/>
  <c r="AE134" i="2"/>
  <c r="AE147" i="2"/>
  <c r="AE83" i="2"/>
  <c r="AE19" i="2"/>
  <c r="AE21" i="2"/>
  <c r="AE592" i="2"/>
  <c r="AE451" i="2"/>
  <c r="AE323" i="2"/>
  <c r="AE28" i="2"/>
  <c r="AE413" i="2"/>
  <c r="AE212" i="2"/>
  <c r="AE254" i="2"/>
  <c r="AE610" i="2"/>
  <c r="AE506" i="2"/>
  <c r="AE550" i="2"/>
  <c r="AE496" i="2"/>
  <c r="AE400" i="2"/>
  <c r="AE55" i="2"/>
  <c r="G88" i="6"/>
  <c r="F88" i="6"/>
  <c r="E88" i="6"/>
  <c r="H88" i="6"/>
  <c r="AE534" i="2"/>
  <c r="AE648" i="2"/>
  <c r="AE584" i="2"/>
  <c r="G111" i="5"/>
  <c r="F111" i="5"/>
  <c r="E111" i="5"/>
  <c r="H111" i="5"/>
  <c r="AE20" i="2"/>
  <c r="AE505" i="2"/>
  <c r="AE409" i="2"/>
  <c r="AE375" i="2"/>
  <c r="AE279" i="2"/>
  <c r="AE594" i="2"/>
  <c r="H90" i="5"/>
  <c r="G90" i="5"/>
  <c r="F90" i="5"/>
  <c r="E90" i="5"/>
  <c r="AE449" i="2"/>
  <c r="G95" i="5"/>
  <c r="F95" i="5"/>
  <c r="E95" i="5"/>
  <c r="H95" i="5"/>
  <c r="F193" i="16"/>
  <c r="E196" i="16"/>
  <c r="G92" i="6"/>
  <c r="F92" i="6"/>
  <c r="E92" i="6"/>
  <c r="H92" i="6"/>
  <c r="E89" i="5"/>
  <c r="H89" i="5"/>
  <c r="G89" i="5"/>
  <c r="F89" i="5"/>
  <c r="AE646" i="2"/>
  <c r="AE621" i="2"/>
  <c r="AE132" i="2"/>
  <c r="AE361" i="2"/>
  <c r="W161" i="16"/>
  <c r="V164" i="16"/>
  <c r="F65" i="16"/>
  <c r="E68" i="16"/>
  <c r="G84" i="6"/>
  <c r="F84" i="6"/>
  <c r="E84" i="6"/>
  <c r="H84" i="6"/>
  <c r="H114" i="5"/>
  <c r="G114" i="5"/>
  <c r="F114" i="5"/>
  <c r="E114" i="5"/>
  <c r="AE680" i="2"/>
  <c r="AE616" i="2"/>
  <c r="G89" i="7"/>
  <c r="F89" i="7"/>
  <c r="E89" i="7"/>
  <c r="H89" i="7"/>
  <c r="G99" i="5"/>
  <c r="F99" i="5"/>
  <c r="E99" i="5"/>
  <c r="H99" i="5"/>
  <c r="G103" i="5"/>
  <c r="F103" i="5"/>
  <c r="E103" i="5"/>
  <c r="H103" i="5"/>
  <c r="AE669" i="2"/>
  <c r="AE630" i="2"/>
  <c r="AE605" i="2"/>
  <c r="AE566" i="2"/>
  <c r="AE195" i="2"/>
  <c r="AE116" i="2"/>
  <c r="AE52" i="2"/>
  <c r="AE164" i="2"/>
  <c r="AE233" i="2"/>
  <c r="AE510" i="2"/>
  <c r="AE493" i="2"/>
  <c r="AE424" i="2"/>
  <c r="AE397" i="2"/>
  <c r="AE318" i="2"/>
  <c r="AE232" i="2"/>
  <c r="AE160" i="2"/>
  <c r="AE658" i="2"/>
  <c r="G93" i="7"/>
  <c r="F93" i="7"/>
  <c r="E93" i="7"/>
  <c r="H93" i="7"/>
  <c r="AE518" i="2"/>
  <c r="AE464" i="2"/>
  <c r="AE437" i="2"/>
  <c r="AE358" i="2"/>
  <c r="AE321" i="2"/>
  <c r="AE287" i="2"/>
  <c r="AE103" i="2"/>
  <c r="AE654" i="2"/>
  <c r="AE629" i="2"/>
  <c r="AE606" i="2"/>
  <c r="AE581" i="2"/>
  <c r="AE546" i="2"/>
  <c r="AE531" i="2"/>
  <c r="AE418" i="2"/>
  <c r="AE403" i="2"/>
  <c r="AE290" i="2"/>
  <c r="AE275" i="2"/>
  <c r="AE209" i="2"/>
  <c r="AE182" i="2"/>
  <c r="AE128" i="2"/>
  <c r="AE64" i="2"/>
  <c r="AE541" i="2"/>
  <c r="AE265" i="2"/>
  <c r="AE673" i="2"/>
  <c r="AE634" i="2"/>
  <c r="AE197" i="2"/>
  <c r="AE489" i="2"/>
  <c r="AE334" i="2"/>
  <c r="H106" i="5"/>
  <c r="G106" i="5"/>
  <c r="F106" i="5"/>
  <c r="E106" i="5"/>
  <c r="AE561" i="2"/>
  <c r="AE512" i="2"/>
  <c r="AE433" i="2"/>
  <c r="AE342" i="2"/>
  <c r="AE325" i="2"/>
  <c r="AE273" i="2"/>
  <c r="AE198" i="2"/>
  <c r="AE173" i="2"/>
  <c r="AE131" i="2"/>
  <c r="AE67" i="2"/>
  <c r="AE123" i="2"/>
  <c r="AE122" i="2"/>
  <c r="AE163" i="2"/>
  <c r="AE109" i="2"/>
  <c r="AE66" i="2"/>
  <c r="AE18" i="2"/>
  <c r="AE656" i="2"/>
  <c r="F92" i="5"/>
  <c r="E92" i="5"/>
  <c r="H92" i="5"/>
  <c r="G92" i="5"/>
  <c r="H89" i="6"/>
  <c r="F89" i="6"/>
  <c r="E89" i="6"/>
  <c r="G89" i="6"/>
  <c r="AE667" i="2"/>
  <c r="AE603" i="2"/>
  <c r="AE154" i="2"/>
  <c r="AE542" i="2"/>
  <c r="G96" i="6"/>
  <c r="F96" i="6"/>
  <c r="E96" i="6"/>
  <c r="H96" i="6"/>
  <c r="AE319" i="2"/>
  <c r="G115" i="5"/>
  <c r="F115" i="5"/>
  <c r="E115" i="5"/>
  <c r="H115" i="5"/>
  <c r="AE517" i="2"/>
  <c r="G82" i="7"/>
  <c r="F82" i="7"/>
  <c r="E82" i="7"/>
  <c r="H82" i="7"/>
  <c r="H88" i="5"/>
  <c r="F88" i="5"/>
  <c r="E88" i="5"/>
  <c r="G88" i="5"/>
  <c r="AE573" i="2"/>
  <c r="AE148" i="2"/>
  <c r="W97" i="16"/>
  <c r="V100" i="16"/>
  <c r="U132" i="16"/>
  <c r="V129" i="16"/>
  <c r="AE370" i="2"/>
  <c r="AE355" i="2"/>
  <c r="AE242" i="2"/>
  <c r="AE229" i="2"/>
  <c r="AE108" i="2"/>
  <c r="AE44" i="2"/>
  <c r="AE349" i="2"/>
  <c r="AE535" i="2"/>
  <c r="AE473" i="2"/>
  <c r="AE414" i="2"/>
  <c r="AE377" i="2"/>
  <c r="AE343" i="2"/>
  <c r="AE281" i="2"/>
  <c r="AE285" i="2"/>
  <c r="AE642" i="2"/>
  <c r="AE585" i="2"/>
  <c r="AE538" i="2"/>
  <c r="AE314" i="2"/>
  <c r="H98" i="5"/>
  <c r="G98" i="5"/>
  <c r="F98" i="5"/>
  <c r="E98" i="5"/>
  <c r="AE543" i="2"/>
  <c r="AE454" i="2"/>
  <c r="AE417" i="2"/>
  <c r="AE304" i="2"/>
  <c r="AE277" i="2"/>
  <c r="AE257" i="2"/>
  <c r="AE196" i="2"/>
  <c r="AE63" i="2"/>
  <c r="AE31" i="2"/>
  <c r="AE643" i="2"/>
  <c r="AE595" i="2"/>
  <c r="AE178" i="2"/>
  <c r="AE120" i="2"/>
  <c r="AE56" i="2"/>
  <c r="AE657" i="2"/>
  <c r="AE618" i="2"/>
  <c r="H91" i="7"/>
  <c r="G91" i="7"/>
  <c r="E91" i="7"/>
  <c r="F91" i="7"/>
  <c r="AE502" i="2"/>
  <c r="AE485" i="2"/>
  <c r="AE384" i="2"/>
  <c r="AE176" i="2"/>
  <c r="AE445" i="2"/>
  <c r="AE302" i="2"/>
  <c r="AE139" i="2"/>
  <c r="AE179" i="2"/>
  <c r="AE38" i="2"/>
  <c r="AE59" i="2"/>
  <c r="AE51" i="2"/>
  <c r="AE191" i="2"/>
  <c r="AE117" i="2"/>
  <c r="AE53" i="2"/>
  <c r="AE37" i="2"/>
  <c r="AE169" i="2"/>
  <c r="AE126" i="2"/>
  <c r="AE62" i="2"/>
  <c r="F90" i="7"/>
  <c r="E90" i="7"/>
  <c r="H90" i="7"/>
  <c r="G90" i="7"/>
  <c r="E113" i="5"/>
  <c r="H113" i="5"/>
  <c r="G113" i="5"/>
  <c r="F113" i="5"/>
  <c r="H88" i="7"/>
  <c r="G88" i="7"/>
  <c r="F88" i="7"/>
  <c r="E88" i="7"/>
  <c r="AE466" i="2"/>
  <c r="AE338" i="2"/>
  <c r="AE213" i="2"/>
  <c r="AE205" i="2"/>
  <c r="AE237" i="2"/>
  <c r="AE469" i="2"/>
  <c r="AE353" i="2"/>
  <c r="AE579" i="2"/>
  <c r="AE565" i="2"/>
  <c r="F33" i="16"/>
  <c r="E36" i="16"/>
  <c r="F82" i="6"/>
  <c r="E82" i="6"/>
  <c r="H82" i="6"/>
  <c r="G82" i="6"/>
  <c r="E97" i="5"/>
  <c r="H97" i="5"/>
  <c r="G97" i="5"/>
  <c r="F97" i="5"/>
  <c r="H97" i="7"/>
  <c r="G97" i="7"/>
  <c r="F97" i="7"/>
  <c r="E97" i="7"/>
  <c r="AE672" i="2"/>
  <c r="AE608" i="2"/>
  <c r="F100" i="5"/>
  <c r="E100" i="5"/>
  <c r="H100" i="5"/>
  <c r="G100" i="5"/>
  <c r="H91" i="6"/>
  <c r="G91" i="6"/>
  <c r="F91" i="6"/>
  <c r="E91" i="6"/>
  <c r="H92" i="7"/>
  <c r="G92" i="7"/>
  <c r="F92" i="7"/>
  <c r="E92" i="7"/>
  <c r="AE619" i="2"/>
  <c r="AE498" i="2"/>
  <c r="AE483" i="2"/>
  <c r="H129" i="16"/>
  <c r="G132" i="16"/>
  <c r="H101" i="5"/>
  <c r="G101" i="5"/>
  <c r="E101" i="5"/>
  <c r="F101" i="5"/>
  <c r="AE664" i="2"/>
  <c r="AE600" i="2"/>
  <c r="H97" i="6"/>
  <c r="F97" i="6"/>
  <c r="E97" i="6"/>
  <c r="G97" i="6"/>
  <c r="H86" i="7"/>
  <c r="F86" i="7"/>
  <c r="E86" i="7"/>
  <c r="G86" i="7"/>
  <c r="G85" i="7"/>
  <c r="F85" i="7"/>
  <c r="E85" i="7"/>
  <c r="H85" i="7"/>
  <c r="H96" i="5"/>
  <c r="F96" i="5"/>
  <c r="E96" i="5"/>
  <c r="G96" i="5"/>
  <c r="AE678" i="2"/>
  <c r="AE653" i="2"/>
  <c r="AE614" i="2"/>
  <c r="AE589" i="2"/>
  <c r="AE159" i="2"/>
  <c r="AE100" i="2"/>
  <c r="AE36" i="2"/>
  <c r="AE280" i="2"/>
  <c r="AE552" i="2"/>
  <c r="AE525" i="2"/>
  <c r="AE439" i="2"/>
  <c r="AE360" i="2"/>
  <c r="AE333" i="2"/>
  <c r="AE264" i="2"/>
  <c r="AE247" i="2"/>
  <c r="AE211" i="2"/>
  <c r="AE681" i="2"/>
  <c r="AE626" i="2"/>
  <c r="AE569" i="2"/>
  <c r="AE180" i="2"/>
  <c r="E90" i="6"/>
  <c r="H90" i="6"/>
  <c r="G90" i="6"/>
  <c r="F90" i="6"/>
  <c r="AE560" i="2"/>
  <c r="AE533" i="2"/>
  <c r="AE479" i="2"/>
  <c r="AE373" i="2"/>
  <c r="AE294" i="2"/>
  <c r="AE240" i="2"/>
  <c r="AE135" i="2"/>
  <c r="AE23" i="2"/>
  <c r="AE381" i="2"/>
  <c r="AE677" i="2"/>
  <c r="AE638" i="2"/>
  <c r="AE590" i="2"/>
  <c r="AE514" i="2"/>
  <c r="AE499" i="2"/>
  <c r="AE386" i="2"/>
  <c r="AE371" i="2"/>
  <c r="AE258" i="2"/>
  <c r="AE243" i="2"/>
  <c r="AE174" i="2"/>
  <c r="AE112" i="2"/>
  <c r="AE48" i="2"/>
  <c r="AE457" i="2"/>
  <c r="AE312" i="2"/>
  <c r="AE602" i="2"/>
  <c r="AE462" i="2"/>
  <c r="AE393" i="2"/>
  <c r="H102" i="5"/>
  <c r="G102" i="5"/>
  <c r="F102" i="5"/>
  <c r="E102" i="5"/>
  <c r="AE544" i="2"/>
  <c r="AE465" i="2"/>
  <c r="AE374" i="2"/>
  <c r="AE357" i="2"/>
  <c r="AE305" i="2"/>
  <c r="AE256" i="2"/>
  <c r="AE494" i="2"/>
  <c r="AE366" i="2"/>
  <c r="AE75" i="2"/>
  <c r="AE110" i="2"/>
  <c r="AE46" i="2"/>
  <c r="AE181" i="2"/>
  <c r="AE101" i="2"/>
  <c r="AE165" i="2"/>
  <c r="AE27" i="2"/>
  <c r="AE114" i="2"/>
  <c r="AE50" i="2"/>
  <c r="AJ37" i="2"/>
  <c r="AJ291" i="2"/>
  <c r="AJ400" i="2"/>
  <c r="AJ80" i="2"/>
  <c r="AJ199" i="2"/>
  <c r="AJ160" i="2"/>
  <c r="AJ503" i="2"/>
  <c r="AJ420" i="2"/>
  <c r="AJ74" i="2"/>
  <c r="AJ461" i="2"/>
  <c r="AJ207" i="2"/>
  <c r="AJ654" i="2"/>
  <c r="AJ312" i="2"/>
  <c r="AJ438" i="2"/>
  <c r="AJ232" i="2"/>
  <c r="AJ216" i="2"/>
  <c r="AJ187" i="2"/>
  <c r="AJ298" i="2"/>
  <c r="AJ32" i="2"/>
  <c r="AJ578" i="2"/>
  <c r="AJ463" i="2"/>
  <c r="AJ581" i="2"/>
  <c r="AJ449" i="2"/>
  <c r="AJ392" i="2"/>
  <c r="AJ72" i="2"/>
  <c r="AJ662" i="2"/>
  <c r="AJ290" i="2"/>
  <c r="AJ490" i="2"/>
  <c r="AJ497" i="2"/>
  <c r="AJ305" i="2"/>
  <c r="AJ430" i="2"/>
  <c r="AJ433" i="2"/>
  <c r="AJ217" i="2"/>
  <c r="AJ469" i="2"/>
  <c r="AJ488" i="2"/>
  <c r="AJ148" i="2"/>
  <c r="AJ170" i="2"/>
  <c r="AJ364" i="2"/>
  <c r="AJ101" i="2"/>
  <c r="AJ587" i="2"/>
  <c r="AJ23" i="2"/>
  <c r="AJ617" i="2"/>
  <c r="AJ173" i="2"/>
  <c r="AJ533" i="2"/>
  <c r="AJ367" i="2"/>
  <c r="AJ238" i="2"/>
  <c r="AJ167" i="2"/>
  <c r="AJ271" i="2"/>
  <c r="AJ234" i="2"/>
  <c r="AJ575" i="2"/>
  <c r="AJ97" i="2"/>
  <c r="AJ111" i="2"/>
  <c r="AJ165" i="2"/>
  <c r="AJ521" i="2"/>
  <c r="AJ676" i="2"/>
  <c r="AJ265" i="2"/>
  <c r="AJ222" i="2"/>
  <c r="AJ534" i="2"/>
  <c r="AJ124" i="2"/>
  <c r="AJ379" i="2"/>
  <c r="AJ644" i="2"/>
  <c r="AJ205" i="2"/>
  <c r="AJ19" i="2"/>
  <c r="AJ452" i="2"/>
  <c r="AJ555" i="2"/>
  <c r="AJ494" i="2"/>
  <c r="AJ310" i="2"/>
  <c r="AJ487" i="2"/>
  <c r="AJ89" i="2"/>
  <c r="AJ553" i="2"/>
  <c r="AJ54" i="2"/>
  <c r="AJ178" i="2"/>
  <c r="AJ337" i="2"/>
  <c r="AJ663" i="2"/>
  <c r="AJ108" i="2"/>
  <c r="AJ241" i="2"/>
  <c r="AJ318" i="2"/>
  <c r="AJ315" i="2"/>
  <c r="AJ86" i="2"/>
  <c r="AJ643" i="2"/>
  <c r="AJ351" i="2"/>
  <c r="AJ551" i="2"/>
  <c r="AJ77" i="2"/>
  <c r="AJ388" i="2"/>
  <c r="AJ637" i="2"/>
  <c r="AJ363" i="2"/>
  <c r="AJ542" i="2"/>
  <c r="AJ270" i="2"/>
  <c r="AJ226" i="2"/>
  <c r="AJ448" i="2"/>
  <c r="AJ17" i="2"/>
  <c r="AJ404" i="2"/>
  <c r="AJ442" i="2"/>
  <c r="AJ98" i="2"/>
  <c r="AJ532" i="2"/>
  <c r="AJ556" i="2"/>
  <c r="AJ117" i="2"/>
  <c r="AJ162" i="2"/>
  <c r="AJ99" i="2"/>
  <c r="AJ440" i="2"/>
  <c r="AJ538" i="2"/>
  <c r="AJ657" i="2"/>
  <c r="AJ283" i="2"/>
  <c r="AJ180" i="2"/>
  <c r="AJ591" i="2"/>
  <c r="AJ317" i="2"/>
  <c r="AJ268" i="2"/>
  <c r="AJ267" i="2"/>
  <c r="AJ113" i="2"/>
  <c r="AJ359" i="2"/>
  <c r="AJ94" i="2"/>
  <c r="AJ244" i="2"/>
  <c r="AJ483" i="2"/>
  <c r="AJ482" i="2"/>
  <c r="AJ342" i="2"/>
  <c r="AJ125" i="2"/>
  <c r="AJ62" i="2"/>
  <c r="AJ647" i="2"/>
  <c r="AJ377" i="2"/>
  <c r="AJ341" i="2"/>
  <c r="AJ266" i="2"/>
  <c r="AJ601" i="2"/>
  <c r="AJ29" i="2"/>
  <c r="AJ485" i="2"/>
  <c r="AJ499" i="2"/>
  <c r="AJ104" i="2"/>
  <c r="AJ634" i="2"/>
  <c r="AJ92" i="2"/>
  <c r="AJ43" i="2"/>
  <c r="AJ415" i="2"/>
  <c r="AJ378" i="2"/>
  <c r="AJ42" i="2"/>
  <c r="AJ250" i="2"/>
  <c r="AJ322" i="2"/>
  <c r="AJ18" i="2"/>
  <c r="AJ391" i="2"/>
  <c r="AJ252" i="2"/>
  <c r="AJ672" i="2"/>
  <c r="AJ602" i="2"/>
  <c r="AJ576" i="2"/>
  <c r="AJ507" i="2"/>
  <c r="AJ192" i="2"/>
  <c r="AJ28" i="2"/>
  <c r="AJ471" i="2"/>
  <c r="AJ84" i="2"/>
  <c r="AJ100" i="2"/>
  <c r="AJ214" i="2"/>
  <c r="AJ16" i="2"/>
  <c r="AJ625" i="2"/>
  <c r="AJ427" i="2"/>
  <c r="AJ273" i="2"/>
  <c r="AJ608" i="2"/>
  <c r="AJ299" i="2"/>
  <c r="AJ163" i="2"/>
  <c r="AJ447" i="2"/>
  <c r="AJ73" i="2"/>
  <c r="AJ123" i="2"/>
  <c r="AJ243" i="2"/>
  <c r="AJ596" i="2"/>
  <c r="AJ387" i="2"/>
  <c r="AJ370" i="2"/>
  <c r="AJ135" i="2"/>
  <c r="AJ344" i="2"/>
  <c r="AJ240" i="2"/>
  <c r="AJ338" i="2"/>
  <c r="AJ249" i="2"/>
  <c r="AJ600" i="2"/>
  <c r="AJ655" i="2"/>
  <c r="AJ88" i="2"/>
  <c r="AJ552" i="2"/>
  <c r="AJ574" i="2"/>
  <c r="AJ44" i="2"/>
  <c r="AJ522" i="2"/>
  <c r="AJ673" i="2"/>
  <c r="AJ572" i="2"/>
  <c r="AJ172" i="2"/>
  <c r="AJ349" i="2"/>
  <c r="AJ636" i="2"/>
  <c r="AJ332" i="2"/>
  <c r="AJ529" i="2"/>
  <c r="AJ612" i="2"/>
  <c r="AJ651" i="2"/>
  <c r="AJ386" i="2"/>
  <c r="AJ288" i="2"/>
  <c r="AJ559" i="2"/>
  <c r="AJ646" i="2"/>
  <c r="AJ30" i="2"/>
  <c r="AJ594" i="2"/>
  <c r="AJ570" i="2"/>
  <c r="AJ285" i="2"/>
  <c r="AJ409" i="2"/>
  <c r="AJ606" i="2"/>
  <c r="AJ454" i="2"/>
  <c r="AJ607" i="2"/>
  <c r="AJ604" i="2"/>
  <c r="AJ674" i="2"/>
  <c r="AJ157" i="2"/>
  <c r="AJ540" i="2"/>
  <c r="AJ66" i="2"/>
  <c r="AJ573" i="2"/>
  <c r="AJ51" i="2"/>
  <c r="AJ50" i="2"/>
  <c r="AJ599" i="2"/>
  <c r="AJ269" i="2"/>
  <c r="AJ661" i="2"/>
  <c r="AJ445" i="2"/>
  <c r="AJ300" i="2"/>
  <c r="AJ279" i="2"/>
  <c r="AJ91" i="2"/>
  <c r="AJ462" i="2"/>
  <c r="AJ566" i="2"/>
  <c r="AJ358" i="2"/>
  <c r="AJ443" i="2"/>
  <c r="AJ179" i="2"/>
  <c r="AJ653" i="2"/>
  <c r="AJ152" i="2"/>
  <c r="AJ264" i="2"/>
  <c r="AJ253" i="2"/>
  <c r="AJ371" i="2"/>
  <c r="AJ444" i="2"/>
  <c r="AJ220" i="2"/>
  <c r="AJ49" i="2"/>
  <c r="AJ491" i="2"/>
  <c r="AJ650" i="2"/>
  <c r="AJ38" i="2"/>
  <c r="AJ603" i="2"/>
  <c r="AJ106" i="2"/>
  <c r="AJ260" i="2"/>
  <c r="AJ197" i="2"/>
  <c r="AJ468" i="2"/>
  <c r="AJ209" i="2"/>
  <c r="AJ109" i="2"/>
  <c r="AJ376" i="2"/>
  <c r="AJ57" i="2"/>
  <c r="AJ255" i="2"/>
  <c r="AJ206" i="2"/>
  <c r="AJ539" i="2"/>
  <c r="AJ110" i="2"/>
  <c r="AJ501" i="2"/>
  <c r="AJ548" i="2"/>
  <c r="AJ418" i="2"/>
  <c r="AJ137" i="2"/>
  <c r="AJ541" i="2"/>
  <c r="AJ204" i="2"/>
  <c r="AJ134" i="2"/>
  <c r="AJ536" i="2"/>
  <c r="AJ368" i="2"/>
  <c r="AJ292" i="2"/>
  <c r="AJ421" i="2"/>
  <c r="AJ78" i="2"/>
  <c r="AJ56" i="2"/>
  <c r="AJ381" i="2"/>
  <c r="AJ583" i="2"/>
  <c r="AJ311" i="2"/>
  <c r="AJ479" i="2"/>
  <c r="AJ403" i="2"/>
  <c r="AJ513" i="2"/>
  <c r="AJ251" i="2"/>
  <c r="AJ275" i="2"/>
  <c r="AJ231" i="2"/>
  <c r="AJ107" i="2"/>
  <c r="AJ411" i="2"/>
  <c r="AJ350" i="2"/>
  <c r="AJ397" i="2"/>
  <c r="AJ39" i="2"/>
  <c r="AJ334" i="2"/>
  <c r="AJ116" i="2"/>
  <c r="AJ628" i="2"/>
  <c r="AJ525" i="2"/>
  <c r="AJ595" i="2"/>
  <c r="AJ335" i="2"/>
  <c r="AJ63" i="2"/>
  <c r="AJ366" i="2"/>
  <c r="AJ652" i="2"/>
  <c r="AJ346" i="2"/>
  <c r="AJ261" i="2"/>
  <c r="AJ641" i="2"/>
  <c r="AJ130" i="2"/>
  <c r="AJ439" i="2"/>
  <c r="AJ185" i="2"/>
  <c r="AJ356" i="2"/>
  <c r="AJ176" i="2"/>
  <c r="AJ642" i="2"/>
  <c r="AJ605" i="2"/>
  <c r="AJ459" i="2"/>
  <c r="AJ155" i="2"/>
  <c r="AJ151" i="2"/>
  <c r="AJ307" i="2"/>
  <c r="AJ569" i="2"/>
  <c r="AJ190" i="2"/>
  <c r="AJ248" i="2"/>
  <c r="AJ470" i="2"/>
  <c r="AJ408" i="2"/>
  <c r="AJ35" i="2"/>
  <c r="AJ535" i="2"/>
  <c r="AJ456" i="2"/>
  <c r="AJ328" i="2"/>
  <c r="AJ565" i="2"/>
  <c r="AJ219" i="2"/>
  <c r="AJ577" i="2"/>
  <c r="AJ360" i="2"/>
  <c r="AJ259" i="2"/>
  <c r="AJ47" i="2"/>
  <c r="AJ629" i="2"/>
  <c r="AJ519" i="2"/>
  <c r="AJ127" i="2"/>
  <c r="AJ508" i="2"/>
  <c r="AJ505" i="2"/>
  <c r="AJ166" i="2"/>
  <c r="AJ321" i="2"/>
  <c r="AJ329" i="2"/>
  <c r="AJ191" i="2"/>
  <c r="AJ150" i="2"/>
  <c r="AJ414" i="2"/>
  <c r="AJ416" i="2"/>
  <c r="AJ609" i="2"/>
  <c r="AJ36" i="2"/>
  <c r="AJ245" i="2"/>
  <c r="AJ560" i="2"/>
  <c r="AJ579" i="2"/>
  <c r="AJ87" i="2"/>
  <c r="AJ675" i="2"/>
  <c r="AJ474" i="2"/>
  <c r="AJ223" i="2"/>
  <c r="AJ530" i="2"/>
  <c r="AJ406" i="2"/>
  <c r="AJ502" i="2"/>
  <c r="AJ369" i="2"/>
  <c r="AJ563" i="2"/>
  <c r="AJ527" i="2"/>
  <c r="AJ382" i="2"/>
  <c r="AJ582" i="2"/>
  <c r="AJ457" i="2"/>
  <c r="AJ562" i="2"/>
  <c r="AJ658" i="2"/>
  <c r="AJ402" i="2"/>
  <c r="AJ611" i="2"/>
  <c r="AJ543" i="2"/>
  <c r="AJ524" i="2"/>
  <c r="AJ33" i="2"/>
  <c r="AJ428" i="2"/>
  <c r="AJ131" i="2"/>
  <c r="AJ161" i="2"/>
  <c r="AJ343" i="2"/>
  <c r="AJ210" i="2"/>
  <c r="AJ295" i="2"/>
  <c r="AJ81" i="2"/>
  <c r="AJ303" i="2"/>
  <c r="AJ670" i="2"/>
  <c r="AJ372" i="2"/>
  <c r="AJ159" i="2"/>
  <c r="AJ263" i="2"/>
  <c r="AJ208" i="2"/>
  <c r="AJ188" i="2"/>
  <c r="AJ598" i="2"/>
  <c r="AJ41" i="2"/>
  <c r="AJ227" i="2"/>
  <c r="AJ112" i="2"/>
  <c r="AJ544" i="2"/>
  <c r="AJ195" i="2"/>
  <c r="AJ664" i="2"/>
  <c r="AJ120" i="2"/>
  <c r="AJ514" i="2"/>
  <c r="AJ568" i="2"/>
  <c r="AJ610" i="2"/>
  <c r="AJ649" i="2"/>
  <c r="AJ630" i="2"/>
  <c r="AJ389" i="2"/>
  <c r="AJ424" i="2"/>
  <c r="AJ412" i="2"/>
  <c r="AJ383" i="2"/>
  <c r="AJ25" i="2"/>
  <c r="AJ517" i="2"/>
  <c r="AJ619" i="2"/>
  <c r="AJ122" i="2"/>
  <c r="AJ128" i="2"/>
  <c r="AJ324" i="2"/>
  <c r="AJ580" i="2"/>
  <c r="AJ336" i="2"/>
  <c r="AJ65" i="2"/>
  <c r="AJ571" i="2"/>
  <c r="AJ257" i="2"/>
  <c r="AJ618" i="2"/>
  <c r="AJ319" i="2"/>
  <c r="AJ182" i="2"/>
  <c r="AJ624" i="2"/>
  <c r="AJ446" i="2"/>
  <c r="AJ282" i="2"/>
  <c r="AJ476" i="2"/>
  <c r="AJ201" i="2"/>
  <c r="AJ671" i="2"/>
  <c r="AJ45" i="2"/>
  <c r="AJ518" i="2"/>
  <c r="AJ60" i="2"/>
  <c r="AJ384" i="2"/>
  <c r="AJ301" i="2"/>
  <c r="AJ333" i="2"/>
  <c r="AJ237" i="2"/>
  <c r="AJ558" i="2"/>
  <c r="AJ510" i="2"/>
  <c r="AJ680" i="2"/>
  <c r="AJ85" i="2"/>
  <c r="AJ132" i="2"/>
  <c r="AJ55" i="2"/>
  <c r="AJ174" i="2"/>
  <c r="AJ24" i="2"/>
  <c r="AJ254" i="2"/>
  <c r="AJ181" i="2"/>
  <c r="AJ96" i="2"/>
  <c r="AJ526" i="2"/>
  <c r="AJ186" i="2"/>
  <c r="AJ639" i="2"/>
  <c r="AJ82" i="2"/>
  <c r="AJ246" i="2"/>
  <c r="AJ221" i="2"/>
  <c r="AJ277" i="2"/>
  <c r="AJ667" i="2"/>
  <c r="AJ352" i="2"/>
  <c r="AJ40" i="2"/>
  <c r="AJ175" i="2"/>
  <c r="AJ323" i="2"/>
  <c r="AJ616" i="2"/>
  <c r="AJ284" i="2"/>
  <c r="AJ46" i="2"/>
  <c r="AJ626" i="2"/>
  <c r="AJ306" i="2"/>
  <c r="AJ478" i="2"/>
  <c r="AJ153" i="2"/>
  <c r="AJ53" i="2"/>
  <c r="AJ79" i="2"/>
  <c r="AJ141" i="2"/>
  <c r="AJ48" i="2"/>
  <c r="AJ314" i="2"/>
  <c r="AJ431" i="2"/>
  <c r="AJ133" i="2"/>
  <c r="AJ171" i="2"/>
  <c r="AJ486" i="2"/>
  <c r="AJ276" i="2"/>
  <c r="AJ677" i="2"/>
  <c r="AJ193" i="2"/>
  <c r="AJ436" i="2"/>
  <c r="AJ215" i="2"/>
  <c r="AJ289" i="2"/>
  <c r="AJ515" i="2"/>
  <c r="AJ308" i="2"/>
  <c r="AJ297" i="2"/>
  <c r="AJ390" i="2"/>
  <c r="AJ627" i="2"/>
  <c r="AJ327" i="2"/>
  <c r="AJ64" i="2"/>
  <c r="AJ126" i="2"/>
  <c r="AJ281" i="2"/>
  <c r="AJ640" i="2"/>
  <c r="AJ434" i="2"/>
  <c r="AJ410" i="2"/>
  <c r="AJ472" i="2"/>
  <c r="AJ76" i="2"/>
  <c r="AJ361" i="2"/>
  <c r="AJ549" i="2"/>
  <c r="AJ362" i="2"/>
  <c r="AJ407" i="2"/>
  <c r="AJ561" i="2"/>
  <c r="AJ396" i="2"/>
  <c r="AJ61" i="2"/>
  <c r="AJ143" i="2"/>
  <c r="AJ423" i="2"/>
  <c r="AJ164" i="2"/>
  <c r="AJ399" i="2"/>
  <c r="AJ545" i="2"/>
  <c r="AJ365" i="2"/>
  <c r="AJ589" i="2"/>
  <c r="AJ511" i="2"/>
  <c r="AJ660" i="2"/>
  <c r="AJ228" i="2"/>
  <c r="AJ168" i="2"/>
  <c r="AJ632" i="2"/>
  <c r="AJ564" i="2"/>
  <c r="AJ375" i="2"/>
  <c r="AJ242" i="2"/>
  <c r="AJ489" i="2"/>
  <c r="AJ623" i="2"/>
  <c r="AJ309" i="2"/>
  <c r="AJ156" i="2"/>
  <c r="AJ146" i="2"/>
  <c r="AJ262" i="2"/>
  <c r="AJ149" i="2"/>
  <c r="AJ500" i="2"/>
  <c r="AJ426" i="2"/>
  <c r="AJ584" i="2"/>
  <c r="AJ272" i="2"/>
  <c r="AJ354" i="2"/>
  <c r="AJ648" i="2"/>
  <c r="AJ422" i="2"/>
  <c r="AJ211" i="2"/>
  <c r="AJ417" i="2"/>
  <c r="AJ293" i="2"/>
  <c r="AJ59" i="2"/>
  <c r="AJ554" i="2"/>
  <c r="AJ202" i="2"/>
  <c r="AJ22" i="2"/>
  <c r="AJ247" i="2"/>
  <c r="AJ158" i="2"/>
  <c r="AJ224" i="2"/>
  <c r="AJ339" i="2"/>
  <c r="AJ473" i="2"/>
  <c r="AJ419" i="2"/>
  <c r="AJ615" i="2"/>
  <c r="AJ115" i="2"/>
  <c r="AJ435" i="2"/>
  <c r="AJ385" i="2"/>
  <c r="AJ480" i="2"/>
  <c r="AJ212" i="2"/>
  <c r="AJ678" i="2"/>
  <c r="AJ347" i="2"/>
  <c r="AJ34" i="2"/>
  <c r="AJ405" i="2"/>
  <c r="AJ477" i="2"/>
  <c r="AJ102" i="2"/>
  <c r="AJ458" i="2"/>
  <c r="AJ492" i="2"/>
  <c r="AJ139" i="2"/>
  <c r="AJ622" i="2"/>
  <c r="AJ357" i="2"/>
  <c r="AJ198" i="2"/>
  <c r="AJ71" i="2"/>
  <c r="AJ345" i="2"/>
  <c r="AJ537" i="2"/>
  <c r="AJ119" i="2"/>
  <c r="AJ118" i="2"/>
  <c r="AJ145" i="2"/>
  <c r="AJ21" i="2"/>
  <c r="AJ531" i="2"/>
  <c r="AJ393" i="2"/>
  <c r="AJ504" i="2"/>
  <c r="AJ588" i="2"/>
  <c r="AJ668" i="2"/>
  <c r="AJ114" i="2"/>
  <c r="AJ466" i="2"/>
  <c r="AJ659" i="2"/>
  <c r="AJ666" i="2"/>
  <c r="AJ121" i="2"/>
  <c r="AJ258" i="2"/>
  <c r="AJ496" i="2"/>
  <c r="AJ184" i="2"/>
  <c r="AJ495" i="2"/>
  <c r="AJ547" i="2"/>
  <c r="AJ68" i="2"/>
  <c r="AJ557" i="2"/>
  <c r="AJ398" i="2"/>
  <c r="AJ340" i="2"/>
  <c r="AJ509" i="2"/>
  <c r="AJ353" i="2"/>
  <c r="AJ67" i="2"/>
  <c r="AJ313" i="2"/>
  <c r="AJ620" i="2"/>
  <c r="AJ380" i="2"/>
  <c r="AJ493" i="2"/>
  <c r="AJ235" i="2"/>
  <c r="AJ633" i="2"/>
  <c r="AJ481" i="2"/>
  <c r="AJ286" i="2"/>
  <c r="AJ194" i="2"/>
  <c r="AJ645" i="2"/>
  <c r="AJ550" i="2"/>
  <c r="AJ635" i="2"/>
  <c r="AJ144" i="2"/>
  <c r="AJ325" i="2"/>
  <c r="AJ154" i="2"/>
  <c r="AJ213" i="2"/>
  <c r="AJ614" i="2"/>
  <c r="AJ136" i="2"/>
  <c r="AJ374" i="2"/>
  <c r="AJ546" i="2"/>
  <c r="AJ236" i="2"/>
  <c r="AJ58" i="2"/>
  <c r="AJ621" i="2"/>
  <c r="AJ83" i="2"/>
  <c r="AJ93" i="2"/>
  <c r="AJ455" i="2"/>
  <c r="AJ26" i="2"/>
  <c r="AJ183" i="2"/>
  <c r="AJ294" i="2"/>
  <c r="AJ465" i="2"/>
  <c r="AJ669" i="2"/>
  <c r="AJ451" i="2"/>
  <c r="AJ475" i="2"/>
  <c r="AJ75" i="2"/>
  <c r="AJ467" i="2"/>
  <c r="AJ140" i="2"/>
  <c r="AJ464" i="2"/>
  <c r="AJ498" i="2"/>
  <c r="AJ373" i="2"/>
  <c r="AJ592" i="2"/>
  <c r="AJ441" i="2"/>
  <c r="AJ239" i="2"/>
  <c r="AJ316" i="2"/>
  <c r="AJ177" i="2"/>
  <c r="AJ638" i="2"/>
  <c r="AJ147" i="2"/>
  <c r="AJ453" i="2"/>
  <c r="AJ432" i="2"/>
  <c r="AJ528" i="2"/>
  <c r="AJ593" i="2"/>
  <c r="AJ233" i="2"/>
  <c r="AJ520" i="2"/>
  <c r="AJ320" i="2"/>
  <c r="AJ331" i="2"/>
  <c r="AJ506" i="2"/>
  <c r="AJ516" i="2"/>
  <c r="AJ330" i="2"/>
  <c r="AJ512" i="2"/>
  <c r="AJ218" i="2"/>
  <c r="AJ229" i="2"/>
  <c r="AJ203" i="2"/>
  <c r="AJ69" i="2"/>
  <c r="AJ31" i="2"/>
  <c r="AJ679" i="2"/>
  <c r="AJ394" i="2"/>
  <c r="AJ413" i="2"/>
  <c r="AJ200" i="2"/>
  <c r="AJ142" i="2"/>
  <c r="AJ296" i="2"/>
  <c r="AJ631" i="2"/>
  <c r="AJ256" i="2"/>
  <c r="AJ437" i="2"/>
  <c r="AJ395" i="2"/>
  <c r="AJ189" i="2"/>
  <c r="AJ355" i="2"/>
  <c r="AJ590" i="2"/>
  <c r="AJ138" i="2"/>
  <c r="AJ287" i="2"/>
  <c r="AJ585" i="2"/>
  <c r="AJ169" i="2"/>
  <c r="AJ425" i="2"/>
  <c r="AJ586" i="2"/>
  <c r="AJ70" i="2"/>
  <c r="AJ597" i="2"/>
  <c r="AJ348" i="2"/>
  <c r="AJ129" i="2"/>
  <c r="AJ304" i="2"/>
  <c r="AJ401" i="2"/>
  <c r="AJ278" i="2"/>
  <c r="AJ20" i="2"/>
  <c r="AJ230" i="2"/>
  <c r="AJ280" i="2"/>
  <c r="AJ665" i="2"/>
  <c r="AJ656" i="2"/>
  <c r="AJ52" i="2"/>
  <c r="AJ326" i="2"/>
  <c r="AJ567" i="2"/>
  <c r="AJ460" i="2"/>
  <c r="AJ95" i="2"/>
  <c r="AJ225" i="2"/>
  <c r="AJ429" i="2"/>
  <c r="AJ302" i="2"/>
  <c r="AJ90" i="2"/>
  <c r="AJ484" i="2"/>
  <c r="AJ450" i="2"/>
  <c r="AJ27" i="2"/>
  <c r="AJ681" i="2"/>
  <c r="AJ105" i="2"/>
  <c r="AJ523" i="2"/>
  <c r="AJ103" i="2"/>
  <c r="AJ613" i="2"/>
  <c r="AJ196" i="2"/>
  <c r="AJ274" i="2"/>
  <c r="G161" i="16" l="1"/>
  <c r="F164" i="16"/>
  <c r="H132" i="16"/>
  <c r="I129" i="16"/>
  <c r="H100" i="16"/>
  <c r="I97" i="16"/>
  <c r="U68" i="16"/>
  <c r="V65" i="16"/>
  <c r="V33" i="16"/>
  <c r="U36" i="16"/>
  <c r="V10" i="3"/>
  <c r="O7" i="3"/>
  <c r="V8" i="3"/>
  <c r="L5" i="3"/>
  <c r="F4" i="3"/>
  <c r="B11" i="3"/>
  <c r="R8" i="3"/>
  <c r="F3" i="3"/>
  <c r="R5" i="3"/>
  <c r="V5" i="3"/>
  <c r="V12" i="3"/>
  <c r="V11" i="3"/>
  <c r="V9" i="3"/>
  <c r="V7" i="3"/>
  <c r="R11" i="3"/>
  <c r="S1" i="3"/>
  <c r="I3" i="3"/>
  <c r="I4" i="3"/>
  <c r="R4" i="3"/>
  <c r="J24" i="17"/>
  <c r="J42" i="17"/>
  <c r="N41" i="17"/>
  <c r="P41" i="17"/>
  <c r="R41" i="17" s="1"/>
  <c r="N39" i="17"/>
  <c r="P39" i="17"/>
  <c r="R39" i="17" s="1"/>
  <c r="N11" i="17"/>
  <c r="P11" i="17"/>
  <c r="R11" i="17" s="1"/>
  <c r="N25" i="17"/>
  <c r="P25" i="17"/>
  <c r="R25" i="17" s="1"/>
  <c r="N22" i="17"/>
  <c r="P22" i="17"/>
  <c r="R22" i="17" s="1"/>
  <c r="N30" i="17"/>
  <c r="P30" i="17"/>
  <c r="R30" i="17" s="1"/>
  <c r="N28" i="17"/>
  <c r="P28" i="17"/>
  <c r="R28" i="17" s="1"/>
  <c r="N33" i="17"/>
  <c r="P33" i="17"/>
  <c r="R33" i="17" s="1"/>
  <c r="N14" i="17"/>
  <c r="P14" i="17"/>
  <c r="R14" i="17" s="1"/>
  <c r="N20" i="17"/>
  <c r="P20" i="17"/>
  <c r="R20" i="17" s="1"/>
  <c r="N23" i="17"/>
  <c r="P23" i="17"/>
  <c r="R23" i="17" s="1"/>
  <c r="N13" i="17"/>
  <c r="P13" i="17"/>
  <c r="R13" i="17" s="1"/>
  <c r="N40" i="17"/>
  <c r="P40" i="17"/>
  <c r="R40" i="17" s="1"/>
  <c r="N26" i="17"/>
  <c r="P26" i="17"/>
  <c r="R26" i="17" s="1"/>
  <c r="N15" i="17"/>
  <c r="P15" i="17"/>
  <c r="R15" i="17" s="1"/>
  <c r="N16" i="17"/>
  <c r="P16" i="17"/>
  <c r="R16" i="17" s="1"/>
  <c r="N8" i="17"/>
  <c r="P8" i="17"/>
  <c r="R8" i="17" s="1"/>
  <c r="N27" i="17"/>
  <c r="P27" i="17"/>
  <c r="R27" i="17" s="1"/>
  <c r="N37" i="17"/>
  <c r="P37" i="17"/>
  <c r="R37" i="17" s="1"/>
  <c r="N34" i="17"/>
  <c r="P34" i="17"/>
  <c r="R34" i="17" s="1"/>
  <c r="N38" i="17"/>
  <c r="P38" i="17"/>
  <c r="R38" i="17" s="1"/>
  <c r="N12" i="17"/>
  <c r="P12" i="17"/>
  <c r="R12" i="17" s="1"/>
  <c r="H24" i="17"/>
  <c r="I24" i="17"/>
  <c r="G24" i="17"/>
  <c r="N18" i="17"/>
  <c r="P18" i="17"/>
  <c r="R18" i="17" s="1"/>
  <c r="N21" i="17"/>
  <c r="P21" i="17"/>
  <c r="R21" i="17" s="1"/>
  <c r="N10" i="17"/>
  <c r="P10" i="17"/>
  <c r="R10" i="17" s="1"/>
  <c r="N32" i="17"/>
  <c r="P32" i="17"/>
  <c r="R32" i="17" s="1"/>
  <c r="N29" i="17"/>
  <c r="P29" i="17"/>
  <c r="R29" i="17" s="1"/>
  <c r="N17" i="17"/>
  <c r="P17" i="17"/>
  <c r="R17" i="17" s="1"/>
  <c r="N7" i="17"/>
  <c r="P7" i="17"/>
  <c r="R7" i="17" s="1"/>
  <c r="N10" i="2" s="1"/>
  <c r="N35" i="17"/>
  <c r="P35" i="17"/>
  <c r="R35" i="17" s="1"/>
  <c r="N31" i="17"/>
  <c r="P31" i="17"/>
  <c r="R31" i="17" s="1"/>
  <c r="G42" i="17"/>
  <c r="I42" i="17"/>
  <c r="C43" i="17"/>
  <c r="H42" i="17"/>
  <c r="N9" i="17"/>
  <c r="P9" i="17"/>
  <c r="R9" i="17" s="1"/>
  <c r="N19" i="17"/>
  <c r="P19" i="17"/>
  <c r="R19" i="17" s="1"/>
  <c r="N36" i="17"/>
  <c r="P36" i="17"/>
  <c r="R36" i="17" s="1"/>
  <c r="D1" i="3"/>
  <c r="O5" i="3"/>
  <c r="O4" i="3"/>
  <c r="L4" i="3"/>
  <c r="V6" i="3"/>
  <c r="O3" i="3"/>
  <c r="L6" i="3"/>
  <c r="O6" i="3"/>
  <c r="I5" i="3"/>
  <c r="F9" i="2"/>
  <c r="V4" i="3"/>
  <c r="L3" i="3"/>
  <c r="V3" i="3"/>
  <c r="B10" i="3"/>
  <c r="R12" i="3"/>
  <c r="I6" i="3"/>
  <c r="F9" i="3"/>
  <c r="F11" i="3"/>
  <c r="B12" i="3"/>
  <c r="F10" i="3"/>
  <c r="F8" i="3"/>
  <c r="F12" i="3"/>
  <c r="F12" i="2"/>
  <c r="F11" i="2"/>
  <c r="F8" i="2"/>
  <c r="B11" i="2"/>
  <c r="B9" i="2"/>
  <c r="O4" i="2"/>
  <c r="I5" i="2"/>
  <c r="L4" i="2"/>
  <c r="O3" i="2"/>
  <c r="O7" i="2"/>
  <c r="B10" i="2"/>
  <c r="R11" i="2"/>
  <c r="T1" i="2"/>
  <c r="W6" i="2"/>
  <c r="W7" i="2"/>
  <c r="F10" i="2"/>
  <c r="I6" i="2"/>
  <c r="L6" i="2"/>
  <c r="W4" i="2"/>
  <c r="B12" i="2"/>
  <c r="L3" i="2"/>
  <c r="O6" i="2"/>
  <c r="F4" i="2"/>
  <c r="W5" i="2"/>
  <c r="R4" i="2"/>
  <c r="W8" i="2"/>
  <c r="O5" i="2"/>
  <c r="I3" i="2"/>
  <c r="R8" i="2"/>
  <c r="F3" i="2"/>
  <c r="D1" i="2"/>
  <c r="W11" i="2"/>
  <c r="R12" i="2"/>
  <c r="W10" i="2"/>
  <c r="L5" i="2"/>
  <c r="I4" i="2"/>
  <c r="R3" i="2"/>
  <c r="R5" i="2"/>
  <c r="B9" i="3"/>
  <c r="W12" i="2"/>
  <c r="W3" i="2"/>
  <c r="W9" i="2"/>
  <c r="AM671" i="1"/>
  <c r="W100" i="16"/>
  <c r="X97" i="16"/>
  <c r="F68" i="16"/>
  <c r="G65" i="16"/>
  <c r="F36" i="16"/>
  <c r="G33" i="16"/>
  <c r="G193" i="16"/>
  <c r="F196" i="16"/>
  <c r="W129" i="16"/>
  <c r="V132" i="16"/>
  <c r="W164" i="16"/>
  <c r="X161" i="16"/>
  <c r="D2" i="2"/>
  <c r="D2" i="3"/>
  <c r="X164" i="16" l="1"/>
  <c r="Y161" i="16"/>
  <c r="G164" i="16"/>
  <c r="H161" i="16"/>
  <c r="I132" i="16"/>
  <c r="J129" i="16"/>
  <c r="I100" i="16"/>
  <c r="J97" i="16"/>
  <c r="X100" i="16"/>
  <c r="Y97" i="16"/>
  <c r="W65" i="16"/>
  <c r="V68" i="16"/>
  <c r="W33" i="16"/>
  <c r="V36" i="16"/>
  <c r="J43" i="17"/>
  <c r="I43" i="17"/>
  <c r="H43" i="17"/>
  <c r="G43" i="17"/>
  <c r="N42" i="17"/>
  <c r="P42" i="17"/>
  <c r="N24" i="17"/>
  <c r="P24" i="17"/>
  <c r="H193" i="16"/>
  <c r="G196" i="16"/>
  <c r="H33" i="16"/>
  <c r="G36" i="16"/>
  <c r="H65" i="16"/>
  <c r="G68" i="16"/>
  <c r="W132" i="16"/>
  <c r="X129" i="16"/>
  <c r="J132" i="16" l="1"/>
  <c r="K129" i="16"/>
  <c r="J100" i="16"/>
  <c r="K97" i="16"/>
  <c r="H196" i="16"/>
  <c r="I193" i="16"/>
  <c r="Y164" i="16"/>
  <c r="Z161" i="16"/>
  <c r="H164" i="16"/>
  <c r="I161" i="16"/>
  <c r="X132" i="16"/>
  <c r="Y129" i="16"/>
  <c r="Y100" i="16"/>
  <c r="Z97" i="16"/>
  <c r="X65" i="16"/>
  <c r="W68" i="16"/>
  <c r="H68" i="16"/>
  <c r="I65" i="16"/>
  <c r="H36" i="16"/>
  <c r="I33" i="16"/>
  <c r="X33" i="16"/>
  <c r="W36" i="16"/>
  <c r="N43" i="17"/>
  <c r="P43" i="17"/>
  <c r="Z164" i="16" l="1"/>
  <c r="AA161" i="16"/>
  <c r="Z100" i="16"/>
  <c r="AA97" i="16"/>
  <c r="K132" i="16"/>
  <c r="L129" i="16"/>
  <c r="L132" i="16" s="1"/>
  <c r="K100" i="16"/>
  <c r="L97" i="16"/>
  <c r="L100" i="16" s="1"/>
  <c r="I196" i="16"/>
  <c r="J193" i="16"/>
  <c r="I164" i="16"/>
  <c r="J161" i="16"/>
  <c r="Y132" i="16"/>
  <c r="Z129" i="16"/>
  <c r="X68" i="16"/>
  <c r="Y65" i="16"/>
  <c r="I68" i="16"/>
  <c r="J65" i="16"/>
  <c r="X36" i="16"/>
  <c r="Y33" i="16"/>
  <c r="I36" i="16"/>
  <c r="J33" i="16"/>
  <c r="AA164" i="16" l="1"/>
  <c r="AB161" i="16"/>
  <c r="AB164" i="16" s="1"/>
  <c r="Z132" i="16"/>
  <c r="AA129" i="16"/>
  <c r="AA100" i="16"/>
  <c r="AB97" i="16"/>
  <c r="AB100" i="16" s="1"/>
  <c r="J196" i="16"/>
  <c r="K193" i="16"/>
  <c r="J164" i="16"/>
  <c r="K161" i="16"/>
  <c r="J68" i="16"/>
  <c r="K65" i="16"/>
  <c r="J36" i="16"/>
  <c r="K33" i="16"/>
  <c r="Y68" i="16"/>
  <c r="Z65" i="16"/>
  <c r="Y36" i="16"/>
  <c r="Z33" i="16"/>
  <c r="AA132" i="16" l="1"/>
  <c r="AB129" i="16"/>
  <c r="AB132" i="16" s="1"/>
  <c r="Z68" i="16"/>
  <c r="AA65" i="16"/>
  <c r="Z36" i="16"/>
  <c r="AA33" i="16"/>
  <c r="K196" i="16"/>
  <c r="L193" i="16"/>
  <c r="L196" i="16" s="1"/>
  <c r="K164" i="16"/>
  <c r="L161" i="16"/>
  <c r="L164" i="16" s="1"/>
  <c r="K68" i="16"/>
  <c r="L65" i="16"/>
  <c r="L68" i="16" s="1"/>
  <c r="K36" i="16"/>
  <c r="L33" i="16"/>
  <c r="L36" i="16" s="1"/>
  <c r="AA68" i="16" l="1"/>
  <c r="AB65" i="16"/>
  <c r="AB68" i="16" s="1"/>
  <c r="AA36" i="16"/>
  <c r="AB33" i="16"/>
  <c r="AB36" i="16" s="1"/>
</calcChain>
</file>

<file path=xl/comments1.xml><?xml version="1.0" encoding="utf-8"?>
<comments xmlns="http://schemas.openxmlformats.org/spreadsheetml/2006/main">
  <authors>
    <author>USER</author>
  </authors>
  <commentList>
    <comment ref="B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R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W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9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R9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3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3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3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3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AD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B4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4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R4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W4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41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R41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6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6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6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6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6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AD6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B7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7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R7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W7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73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R73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9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9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99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99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0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AD10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B10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10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R10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W10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10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R10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12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12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31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131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3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AD132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B1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1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R1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W13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13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R137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15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15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63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AD163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6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AD164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  <comment ref="B16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L'ANNE EN COURS</t>
        </r>
      </text>
    </comment>
    <comment ref="G168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L'ANTIGENE CORRESPONDANT</t>
        </r>
      </text>
    </comment>
    <comment ref="B169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LA POPULATION CIBLE PAR ANTIGENE</t>
        </r>
      </text>
    </comment>
    <comment ref="N190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95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11"/>
            <color indexed="10"/>
            <rFont val="Tahoma"/>
            <family val="2"/>
          </rPr>
          <t>Mettre l'objectif de couverture ici</t>
        </r>
      </text>
    </comment>
    <comment ref="N196" authorId="0" shapeId="0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METTRE A JOUR LA  LIGNE
</t>
        </r>
      </text>
    </comment>
  </commentList>
</comments>
</file>

<file path=xl/sharedStrings.xml><?xml version="1.0" encoding="utf-8"?>
<sst xmlns="http://schemas.openxmlformats.org/spreadsheetml/2006/main" count="5180" uniqueCount="965">
  <si>
    <t>Rota 1</t>
  </si>
  <si>
    <t>Rota 3</t>
  </si>
  <si>
    <t/>
  </si>
  <si>
    <t>AS</t>
  </si>
  <si>
    <t>ZS</t>
  </si>
  <si>
    <t>Province</t>
  </si>
  <si>
    <t>Pop_Totale_2024</t>
  </si>
  <si>
    <t>BCG</t>
  </si>
  <si>
    <t>VPI 1</t>
  </si>
  <si>
    <t>PCV-13 (1)</t>
  </si>
  <si>
    <t>PCV-13 (3)</t>
  </si>
  <si>
    <t>VAR1</t>
  </si>
  <si>
    <t>VAR 2/RR 2</t>
  </si>
  <si>
    <t>VAA</t>
  </si>
  <si>
    <t>VPI 2</t>
  </si>
  <si>
    <t>Td 1</t>
  </si>
  <si>
    <t>Nord Kivu</t>
  </si>
  <si>
    <t xml:space="preserve"> Alimbongo</t>
  </si>
  <si>
    <t xml:space="preserve"> Bambo</t>
  </si>
  <si>
    <t xml:space="preserve"> Beni</t>
  </si>
  <si>
    <t xml:space="preserve"> Biena</t>
  </si>
  <si>
    <t xml:space="preserve"> Binza</t>
  </si>
  <si>
    <t xml:space="preserve"> Birambizo</t>
  </si>
  <si>
    <t xml:space="preserve"> Butembo</t>
  </si>
  <si>
    <t xml:space="preserve"> Goma</t>
  </si>
  <si>
    <t xml:space="preserve"> Itebero</t>
  </si>
  <si>
    <t xml:space="preserve"> Kalunguta</t>
  </si>
  <si>
    <t xml:space="preserve"> Kamango</t>
  </si>
  <si>
    <t xml:space="preserve"> Karisimbi</t>
  </si>
  <si>
    <t xml:space="preserve"> Katoyi</t>
  </si>
  <si>
    <t xml:space="preserve"> Katwa</t>
  </si>
  <si>
    <t xml:space="preserve"> Kayna</t>
  </si>
  <si>
    <t xml:space="preserve"> Kibirizi</t>
  </si>
  <si>
    <t xml:space="preserve"> Kibua</t>
  </si>
  <si>
    <t xml:space="preserve"> Kirotshe</t>
  </si>
  <si>
    <t xml:space="preserve"> Kyondo</t>
  </si>
  <si>
    <t xml:space="preserve"> Lubero</t>
  </si>
  <si>
    <t xml:space="preserve"> Mabalako</t>
  </si>
  <si>
    <t xml:space="preserve"> Manguredjipa</t>
  </si>
  <si>
    <t xml:space="preserve"> Masereka</t>
  </si>
  <si>
    <t xml:space="preserve"> Masisi</t>
  </si>
  <si>
    <t xml:space="preserve"> Musienene</t>
  </si>
  <si>
    <t xml:space="preserve"> Mutwanga</t>
  </si>
  <si>
    <t xml:space="preserve"> Mweso</t>
  </si>
  <si>
    <t xml:space="preserve"> Nyiragongo</t>
  </si>
  <si>
    <t xml:space="preserve"> Oicha</t>
  </si>
  <si>
    <t xml:space="preserve"> Pinga</t>
  </si>
  <si>
    <t xml:space="preserve"> Rutshuru</t>
  </si>
  <si>
    <t xml:space="preserve"> Rwanguba</t>
  </si>
  <si>
    <t xml:space="preserve"> Vuhovi</t>
  </si>
  <si>
    <t xml:space="preserve"> Walikale</t>
  </si>
  <si>
    <t xml:space="preserve"> Bingi</t>
  </si>
  <si>
    <t xml:space="preserve"> Bunyatenge</t>
  </si>
  <si>
    <t xml:space="preserve"> Caritas Kaseghe</t>
  </si>
  <si>
    <t xml:space="preserve"> Fatua</t>
  </si>
  <si>
    <t xml:space="preserve"> Itundwe </t>
  </si>
  <si>
    <t xml:space="preserve"> Kalimba</t>
  </si>
  <si>
    <t xml:space="preserve"> Kalungu</t>
  </si>
  <si>
    <t xml:space="preserve"> Kaseghe CBCA</t>
  </si>
  <si>
    <t xml:space="preserve"> Kasingiri</t>
  </si>
  <si>
    <t xml:space="preserve"> Kikyo</t>
  </si>
  <si>
    <t xml:space="preserve"> Kilonge</t>
  </si>
  <si>
    <t xml:space="preserve"> Kiribata</t>
  </si>
  <si>
    <t xml:space="preserve"> Kitsombiro</t>
  </si>
  <si>
    <t xml:space="preserve"> Kyambali</t>
  </si>
  <si>
    <t xml:space="preserve"> Lubango</t>
  </si>
  <si>
    <t xml:space="preserve"> Lunyasenge</t>
  </si>
  <si>
    <t xml:space="preserve"> Luseke</t>
  </si>
  <si>
    <t xml:space="preserve"> Masika</t>
  </si>
  <si>
    <t xml:space="preserve"> Matembe</t>
  </si>
  <si>
    <t xml:space="preserve"> Ndoluma</t>
  </si>
  <si>
    <t xml:space="preserve"> Ngekeni</t>
  </si>
  <si>
    <t xml:space="preserve"> Taliha</t>
  </si>
  <si>
    <t xml:space="preserve"> Vutsorovia</t>
  </si>
  <si>
    <t xml:space="preserve"> Butare</t>
  </si>
  <si>
    <t xml:space="preserve"> CBCA Bambo</t>
  </si>
  <si>
    <t xml:space="preserve"> CEBCE Bambo</t>
  </si>
  <si>
    <t xml:space="preserve"> Faraja</t>
  </si>
  <si>
    <t xml:space="preserve"> Kabizo</t>
  </si>
  <si>
    <t xml:space="preserve"> Kamena</t>
  </si>
  <si>
    <t xml:space="preserve"> Kirumba</t>
  </si>
  <si>
    <t xml:space="preserve"> Kishishe</t>
  </si>
  <si>
    <t xml:space="preserve"> Marangara</t>
  </si>
  <si>
    <t xml:space="preserve"> Mushababwe</t>
  </si>
  <si>
    <t xml:space="preserve"> Rebero</t>
  </si>
  <si>
    <t xml:space="preserve"> Rushovu</t>
  </si>
  <si>
    <t xml:space="preserve"> Tongo</t>
  </si>
  <si>
    <t xml:space="preserve"> Boikene</t>
  </si>
  <si>
    <t xml:space="preserve"> Bundji</t>
  </si>
  <si>
    <t xml:space="preserve"> Butanuka</t>
  </si>
  <si>
    <t xml:space="preserve"> Butsili</t>
  </si>
  <si>
    <t xml:space="preserve"> Kanzulinzuli</t>
  </si>
  <si>
    <t xml:space="preserve"> Kasabinyole</t>
  </si>
  <si>
    <t xml:space="preserve"> Kasanga</t>
  </si>
  <si>
    <t xml:space="preserve"> Kuka</t>
  </si>
  <si>
    <t xml:space="preserve"> Mabakanga</t>
  </si>
  <si>
    <t xml:space="preserve"> Mabolio</t>
  </si>
  <si>
    <t xml:space="preserve"> Madrandele</t>
  </si>
  <si>
    <t xml:space="preserve"> Malepe</t>
  </si>
  <si>
    <t xml:space="preserve"> Mangothe</t>
  </si>
  <si>
    <t xml:space="preserve"> Mukulya</t>
  </si>
  <si>
    <t xml:space="preserve"> Ndindi</t>
  </si>
  <si>
    <t xml:space="preserve"> Ngadi</t>
  </si>
  <si>
    <t xml:space="preserve"> Ngilinga</t>
  </si>
  <si>
    <t xml:space="preserve"> Ngongolio</t>
  </si>
  <si>
    <t xml:space="preserve"> Nzuma</t>
  </si>
  <si>
    <t xml:space="preserve"> Paida</t>
  </si>
  <si>
    <t xml:space="preserve"> Rwangoma</t>
  </si>
  <si>
    <t xml:space="preserve"> Sayo</t>
  </si>
  <si>
    <t xml:space="preserve"> Supa</t>
  </si>
  <si>
    <t xml:space="preserve"> Tamende</t>
  </si>
  <si>
    <t xml:space="preserve"> Tuungane</t>
  </si>
  <si>
    <t xml:space="preserve"> Anuarite</t>
  </si>
  <si>
    <t xml:space="preserve"> Biambwe</t>
  </si>
  <si>
    <t xml:space="preserve"> Kaheku</t>
  </si>
  <si>
    <t xml:space="preserve"> Katanga</t>
  </si>
  <si>
    <t xml:space="preserve"> Kiragho</t>
  </si>
  <si>
    <t xml:space="preserve"> Kirima</t>
  </si>
  <si>
    <t xml:space="preserve"> Maeba</t>
  </si>
  <si>
    <t xml:space="preserve"> Mambowa</t>
  </si>
  <si>
    <t xml:space="preserve"> Mandelya</t>
  </si>
  <si>
    <t xml:space="preserve"> Masayi</t>
  </si>
  <si>
    <t xml:space="preserve"> Masingi</t>
  </si>
  <si>
    <t xml:space="preserve"> Masoya</t>
  </si>
  <si>
    <t xml:space="preserve"> Mateto</t>
  </si>
  <si>
    <t xml:space="preserve"> Mausa</t>
  </si>
  <si>
    <t xml:space="preserve"> Musenge</t>
  </si>
  <si>
    <t xml:space="preserve"> Pombi</t>
  </si>
  <si>
    <t xml:space="preserve"> Somea</t>
  </si>
  <si>
    <t xml:space="preserve"> Buramba</t>
  </si>
  <si>
    <t xml:space="preserve"> Camps 5 Heures</t>
  </si>
  <si>
    <t xml:space="preserve"> Ishasha</t>
  </si>
  <si>
    <t xml:space="preserve"> Kasave </t>
  </si>
  <si>
    <t xml:space="preserve"> Katwiguru</t>
  </si>
  <si>
    <t xml:space="preserve"> Kiseguru</t>
  </si>
  <si>
    <t xml:space="preserve"> Kisharo</t>
  </si>
  <si>
    <t xml:space="preserve"> Majengo </t>
  </si>
  <si>
    <t xml:space="preserve"> Munyaga</t>
  </si>
  <si>
    <t xml:space="preserve"> Nyabanira</t>
  </si>
  <si>
    <t xml:space="preserve"> Nyakahanga</t>
  </si>
  <si>
    <t xml:space="preserve"> Nyakakoma</t>
  </si>
  <si>
    <t xml:space="preserve"> Nyamilima</t>
  </si>
  <si>
    <t xml:space="preserve"> Nyaruhange</t>
  </si>
  <si>
    <t xml:space="preserve"> Bishusha</t>
  </si>
  <si>
    <t xml:space="preserve"> Bwiza</t>
  </si>
  <si>
    <t xml:space="preserve"> JTN</t>
  </si>
  <si>
    <t xml:space="preserve"> Kahe</t>
  </si>
  <si>
    <t xml:space="preserve"> Kanyangohe</t>
  </si>
  <si>
    <t xml:space="preserve"> Katsiru</t>
  </si>
  <si>
    <t xml:space="preserve"> Kizimba</t>
  </si>
  <si>
    <t xml:space="preserve"> Luya</t>
  </si>
  <si>
    <t xml:space="preserve"> Mulimbi</t>
  </si>
  <si>
    <t xml:space="preserve"> Mushebere</t>
  </si>
  <si>
    <t xml:space="preserve"> Ngogholo</t>
  </si>
  <si>
    <t xml:space="preserve"> Rusekera</t>
  </si>
  <si>
    <t xml:space="preserve"> Rwindi</t>
  </si>
  <si>
    <t xml:space="preserve"> Katsya</t>
  </si>
  <si>
    <t xml:space="preserve"> Kyangike</t>
  </si>
  <si>
    <t xml:space="preserve"> Makasi</t>
  </si>
  <si>
    <t xml:space="preserve"> Malende</t>
  </si>
  <si>
    <t xml:space="preserve"> Mama Musayi</t>
  </si>
  <si>
    <t xml:space="preserve"> Matanda</t>
  </si>
  <si>
    <t xml:space="preserve"> Mondo</t>
  </si>
  <si>
    <t xml:space="preserve"> Munzambaye</t>
  </si>
  <si>
    <t xml:space="preserve"> Ngengere</t>
  </si>
  <si>
    <t xml:space="preserve"> Vulamba</t>
  </si>
  <si>
    <t xml:space="preserve"> Vulindi</t>
  </si>
  <si>
    <t xml:space="preserve"> Vusenzera</t>
  </si>
  <si>
    <t xml:space="preserve"> Vutetse</t>
  </si>
  <si>
    <t xml:space="preserve"> Vutike</t>
  </si>
  <si>
    <t xml:space="preserve"> Vutsundo</t>
  </si>
  <si>
    <t xml:space="preserve"> Vuvatsi</t>
  </si>
  <si>
    <t xml:space="preserve"> Buhimba</t>
  </si>
  <si>
    <t xml:space="preserve"> CASOP</t>
  </si>
  <si>
    <t xml:space="preserve"> CCLK</t>
  </si>
  <si>
    <t xml:space="preserve"> Carmel</t>
  </si>
  <si>
    <t xml:space="preserve"> Heal Africa</t>
  </si>
  <si>
    <t xml:space="preserve"> Himbi</t>
  </si>
  <si>
    <t xml:space="preserve"> Katindo</t>
  </si>
  <si>
    <t xml:space="preserve"> Keshero</t>
  </si>
  <si>
    <t xml:space="preserve"> Mapendo</t>
  </si>
  <si>
    <t xml:space="preserve"> Umoja</t>
  </si>
  <si>
    <t xml:space="preserve"> Biriko</t>
  </si>
  <si>
    <t xml:space="preserve"> Bongo Bongo</t>
  </si>
  <si>
    <t xml:space="preserve"> Busurungi</t>
  </si>
  <si>
    <t xml:space="preserve"> Chambucha</t>
  </si>
  <si>
    <t xml:space="preserve"> Hombo</t>
  </si>
  <si>
    <t xml:space="preserve"> Ibanga</t>
  </si>
  <si>
    <t xml:space="preserve"> Idipo</t>
  </si>
  <si>
    <t xml:space="preserve"> Isangi</t>
  </si>
  <si>
    <t xml:space="preserve"> Kabamba</t>
  </si>
  <si>
    <t xml:space="preserve"> Karete</t>
  </si>
  <si>
    <t xml:space="preserve"> Katambira</t>
  </si>
  <si>
    <t xml:space="preserve"> Katatwa</t>
  </si>
  <si>
    <t xml:space="preserve"> Kifuruka</t>
  </si>
  <si>
    <t xml:space="preserve"> Kilambo</t>
  </si>
  <si>
    <t xml:space="preserve"> Kiuli</t>
  </si>
  <si>
    <t xml:space="preserve"> Lowa</t>
  </si>
  <si>
    <t xml:space="preserve"> Lukaraba</t>
  </si>
  <si>
    <t xml:space="preserve"> Malembe</t>
  </si>
  <si>
    <t xml:space="preserve"> Mandje</t>
  </si>
  <si>
    <t xml:space="preserve"> Mianga</t>
  </si>
  <si>
    <t xml:space="preserve"> Mifuti 55ème CEBCE</t>
  </si>
  <si>
    <t xml:space="preserve"> Mifuti 8ème CEPAC</t>
  </si>
  <si>
    <t xml:space="preserve"> Muruo</t>
  </si>
  <si>
    <t xml:space="preserve"> Nyamimba</t>
  </si>
  <si>
    <t xml:space="preserve"> Otobora</t>
  </si>
  <si>
    <t xml:space="preserve"> Tusoke</t>
  </si>
  <si>
    <t xml:space="preserve"> Amani Kisungu</t>
  </si>
  <si>
    <t xml:space="preserve"> Butuhe</t>
  </si>
  <si>
    <t xml:space="preserve"> Kabasha</t>
  </si>
  <si>
    <t xml:space="preserve"> Kahamba</t>
  </si>
  <si>
    <t xml:space="preserve"> Kanyihunga</t>
  </si>
  <si>
    <t xml:space="preserve"> Kasebere</t>
  </si>
  <si>
    <t xml:space="preserve"> Kavakubi</t>
  </si>
  <si>
    <t xml:space="preserve"> Kitovo</t>
  </si>
  <si>
    <t xml:space="preserve"> Kivetya</t>
  </si>
  <si>
    <t xml:space="preserve"> Kyavisogho</t>
  </si>
  <si>
    <t xml:space="preserve"> Lisasa</t>
  </si>
  <si>
    <t xml:space="preserve"> Maboya</t>
  </si>
  <si>
    <t xml:space="preserve"> Mabuku</t>
  </si>
  <si>
    <t xml:space="preserve"> Makoko</t>
  </si>
  <si>
    <t xml:space="preserve"> Mambingi</t>
  </si>
  <si>
    <t xml:space="preserve"> Mataba</t>
  </si>
  <si>
    <t xml:space="preserve"> Mbilinga</t>
  </si>
  <si>
    <t xml:space="preserve"> Rwahwa</t>
  </si>
  <si>
    <t xml:space="preserve"> Vurondo</t>
  </si>
  <si>
    <t xml:space="preserve"> Bugando</t>
  </si>
  <si>
    <t xml:space="preserve"> Bukohwa</t>
  </si>
  <si>
    <t xml:space="preserve"> Kahondo</t>
  </si>
  <si>
    <t xml:space="preserve"> Kamanzara</t>
  </si>
  <si>
    <t xml:space="preserve"> Kikingi</t>
  </si>
  <si>
    <t xml:space="preserve"> Kikura</t>
  </si>
  <si>
    <t xml:space="preserve"> Kitimba</t>
  </si>
  <si>
    <t xml:space="preserve"> Luanoli</t>
  </si>
  <si>
    <t xml:space="preserve"> Maale</t>
  </si>
  <si>
    <t xml:space="preserve"> Mulopia</t>
  </si>
  <si>
    <t xml:space="preserve"> Musale</t>
  </si>
  <si>
    <t xml:space="preserve"> Ndama</t>
  </si>
  <si>
    <t xml:space="preserve"> Njiapanda</t>
  </si>
  <si>
    <t xml:space="preserve"> Nsungu</t>
  </si>
  <si>
    <t xml:space="preserve"> Albert Barthel</t>
  </si>
  <si>
    <t xml:space="preserve"> Amani</t>
  </si>
  <si>
    <t xml:space="preserve"> Baraka</t>
  </si>
  <si>
    <t xml:space="preserve"> Bujovu</t>
  </si>
  <si>
    <t xml:space="preserve"> Hebron</t>
  </si>
  <si>
    <t xml:space="preserve"> Kahembe</t>
  </si>
  <si>
    <t xml:space="preserve"> Kasika</t>
  </si>
  <si>
    <t xml:space="preserve"> Mabanga</t>
  </si>
  <si>
    <t xml:space="preserve"> Majengo</t>
  </si>
  <si>
    <t xml:space="preserve"> Mugunga 3</t>
  </si>
  <si>
    <t xml:space="preserve"> Mugunga</t>
  </si>
  <si>
    <t xml:space="preserve"> Murara</t>
  </si>
  <si>
    <t xml:space="preserve"> Muungano Resurrection</t>
  </si>
  <si>
    <t xml:space="preserve"> Muungano Solidarité</t>
  </si>
  <si>
    <t xml:space="preserve"> Méthodiste Unis de Majengo</t>
  </si>
  <si>
    <t xml:space="preserve"> Ndosho</t>
  </si>
  <si>
    <t xml:space="preserve"> Rapha</t>
  </si>
  <si>
    <t xml:space="preserve"> Virunga</t>
  </si>
  <si>
    <t xml:space="preserve"> Bihambwe</t>
  </si>
  <si>
    <t xml:space="preserve"> Biolo</t>
  </si>
  <si>
    <t xml:space="preserve"> Bitoyi</t>
  </si>
  <si>
    <t xml:space="preserve"> Bukuba</t>
  </si>
  <si>
    <t xml:space="preserve"> Bukumbirire</t>
  </si>
  <si>
    <t xml:space="preserve"> Kachihembe</t>
  </si>
  <si>
    <t xml:space="preserve"> Kasake</t>
  </si>
  <si>
    <t xml:space="preserve"> Kashovu</t>
  </si>
  <si>
    <t xml:space="preserve"> Kasinga</t>
  </si>
  <si>
    <t xml:space="preserve"> Katovu</t>
  </si>
  <si>
    <t xml:space="preserve"> Katuunda</t>
  </si>
  <si>
    <t xml:space="preserve"> Kibabi</t>
  </si>
  <si>
    <t xml:space="preserve"> Kikoma</t>
  </si>
  <si>
    <t xml:space="preserve"> Kinigi</t>
  </si>
  <si>
    <t xml:space="preserve"> Kirambo</t>
  </si>
  <si>
    <t xml:space="preserve"> Kiruli</t>
  </si>
  <si>
    <t xml:space="preserve"> Mangere</t>
  </si>
  <si>
    <t xml:space="preserve"> Nihima</t>
  </si>
  <si>
    <t xml:space="preserve"> Nyambisi</t>
  </si>
  <si>
    <t xml:space="preserve"> Nyandeki</t>
  </si>
  <si>
    <t xml:space="preserve"> Ufamandu</t>
  </si>
  <si>
    <t xml:space="preserve"> Irangya</t>
  </si>
  <si>
    <t xml:space="preserve"> Kambuli</t>
  </si>
  <si>
    <t xml:space="preserve"> Kihinga</t>
  </si>
  <si>
    <t xml:space="preserve"> Kivika</t>
  </si>
  <si>
    <t xml:space="preserve"> Kyaghala  </t>
  </si>
  <si>
    <t xml:space="preserve"> Makangala</t>
  </si>
  <si>
    <t xml:space="preserve"> Makerere</t>
  </si>
  <si>
    <t xml:space="preserve"> Masiki</t>
  </si>
  <si>
    <t xml:space="preserve"> Masuli</t>
  </si>
  <si>
    <t xml:space="preserve"> Misebere</t>
  </si>
  <si>
    <t xml:space="preserve"> Mitoya</t>
  </si>
  <si>
    <t xml:space="preserve"> Muchanga</t>
  </si>
  <si>
    <t xml:space="preserve"> Mukuna</t>
  </si>
  <si>
    <t xml:space="preserve"> Muyisa</t>
  </si>
  <si>
    <t xml:space="preserve"> Rughenda</t>
  </si>
  <si>
    <t xml:space="preserve"> Tulizeni</t>
  </si>
  <si>
    <t xml:space="preserve"> Vighole</t>
  </si>
  <si>
    <t xml:space="preserve"> Vuhika</t>
  </si>
  <si>
    <t xml:space="preserve"> Vungi</t>
  </si>
  <si>
    <t xml:space="preserve"> Wanamahika</t>
  </si>
  <si>
    <t xml:space="preserve"> Wayene</t>
  </si>
  <si>
    <t xml:space="preserve"> Bulinda</t>
  </si>
  <si>
    <t xml:space="preserve"> Bulotwa</t>
  </si>
  <si>
    <t xml:space="preserve"> Busekera</t>
  </si>
  <si>
    <t xml:space="preserve"> Butsiri</t>
  </si>
  <si>
    <t xml:space="preserve"> Bwatsinge</t>
  </si>
  <si>
    <t xml:space="preserve"> Itsu</t>
  </si>
  <si>
    <t xml:space="preserve"> Kamandi</t>
  </si>
  <si>
    <t xml:space="preserve"> Kamandi Lac</t>
  </si>
  <si>
    <t xml:space="preserve"> Kanyabayonga</t>
  </si>
  <si>
    <t xml:space="preserve"> Kanyatsi</t>
  </si>
  <si>
    <t xml:space="preserve"> Kasando</t>
  </si>
  <si>
    <t xml:space="preserve"> Katero</t>
  </si>
  <si>
    <t xml:space="preserve"> Kikuvo</t>
  </si>
  <si>
    <t xml:space="preserve"> Luofu</t>
  </si>
  <si>
    <t xml:space="preserve"> Mighobwe</t>
  </si>
  <si>
    <t xml:space="preserve"> Miriki</t>
  </si>
  <si>
    <t xml:space="preserve"> Mulinde</t>
  </si>
  <si>
    <t xml:space="preserve"> Nyamiindo</t>
  </si>
  <si>
    <t xml:space="preserve"> Singamwambe</t>
  </si>
  <si>
    <t xml:space="preserve"> Vuhoyo</t>
  </si>
  <si>
    <t xml:space="preserve"> Vuvogho</t>
  </si>
  <si>
    <t xml:space="preserve"> Birundule</t>
  </si>
  <si>
    <t xml:space="preserve"> Buhondwa</t>
  </si>
  <si>
    <t xml:space="preserve"> Bulindi</t>
  </si>
  <si>
    <t xml:space="preserve"> Bwalanda</t>
  </si>
  <si>
    <t xml:space="preserve"> CBCA Kibirizi</t>
  </si>
  <si>
    <t xml:space="preserve"> Cepromi</t>
  </si>
  <si>
    <t xml:space="preserve"> Ibuga</t>
  </si>
  <si>
    <t xml:space="preserve"> Kabati</t>
  </si>
  <si>
    <t xml:space="preserve"> Kalonge</t>
  </si>
  <si>
    <t xml:space="preserve"> Kashalira</t>
  </si>
  <si>
    <t xml:space="preserve"> Kasoko</t>
  </si>
  <si>
    <t xml:space="preserve"> Kibingo</t>
  </si>
  <si>
    <t xml:space="preserve"> Kikuku</t>
  </si>
  <si>
    <t xml:space="preserve"> Kiyeye</t>
  </si>
  <si>
    <t xml:space="preserve"> Kyaghala</t>
  </si>
  <si>
    <t xml:space="preserve"> Muliki</t>
  </si>
  <si>
    <t xml:space="preserve"> Mushikiri</t>
  </si>
  <si>
    <t xml:space="preserve"> Nyanzale</t>
  </si>
  <si>
    <t xml:space="preserve"> Nyarubande</t>
  </si>
  <si>
    <t xml:space="preserve"> Singa</t>
  </si>
  <si>
    <t xml:space="preserve"> Vitshumbi</t>
  </si>
  <si>
    <t xml:space="preserve"> Byungu</t>
  </si>
  <si>
    <t xml:space="preserve"> Karambi</t>
  </si>
  <si>
    <t xml:space="preserve"> Kasuka</t>
  </si>
  <si>
    <t xml:space="preserve"> Kibati</t>
  </si>
  <si>
    <t xml:space="preserve"> Kilungu</t>
  </si>
  <si>
    <t xml:space="preserve"> Kimua</t>
  </si>
  <si>
    <t xml:space="preserve"> Kishanga</t>
  </si>
  <si>
    <t xml:space="preserve"> Langira</t>
  </si>
  <si>
    <t xml:space="preserve"> Limangi</t>
  </si>
  <si>
    <t xml:space="preserve"> Lubonga</t>
  </si>
  <si>
    <t xml:space="preserve"> Luvungi</t>
  </si>
  <si>
    <t xml:space="preserve"> Machumbi</t>
  </si>
  <si>
    <t xml:space="preserve"> Misau</t>
  </si>
  <si>
    <t xml:space="preserve"> N'Kimba</t>
  </si>
  <si>
    <t xml:space="preserve"> Ngenge</t>
  </si>
  <si>
    <t xml:space="preserve"> Ntoto</t>
  </si>
  <si>
    <t xml:space="preserve"> Robe</t>
  </si>
  <si>
    <t xml:space="preserve"> Bishange</t>
  </si>
  <si>
    <t xml:space="preserve"> Bitonga</t>
  </si>
  <si>
    <t xml:space="preserve"> Bulengero</t>
  </si>
  <si>
    <t xml:space="preserve"> Buroha</t>
  </si>
  <si>
    <t xml:space="preserve"> Bushuhe</t>
  </si>
  <si>
    <t xml:space="preserve"> Bweremana</t>
  </si>
  <si>
    <t xml:space="preserve"> Humule</t>
  </si>
  <si>
    <t xml:space="preserve"> Kabase</t>
  </si>
  <si>
    <t xml:space="preserve"> Kabingu</t>
  </si>
  <si>
    <t xml:space="preserve"> Kaduki</t>
  </si>
  <si>
    <t xml:space="preserve"> Karuba</t>
  </si>
  <si>
    <t xml:space="preserve"> Kashebere</t>
  </si>
  <si>
    <t xml:space="preserve"> Kasura</t>
  </si>
  <si>
    <t xml:space="preserve"> Kausa</t>
  </si>
  <si>
    <t xml:space="preserve"> Kihindo</t>
  </si>
  <si>
    <t xml:space="preserve"> Kimoka</t>
  </si>
  <si>
    <t xml:space="preserve"> Kionde</t>
  </si>
  <si>
    <t xml:space="preserve"> Kyabondo</t>
  </si>
  <si>
    <t xml:space="preserve"> Luzirantaka</t>
  </si>
  <si>
    <t xml:space="preserve"> Mitumbala</t>
  </si>
  <si>
    <t xml:space="preserve"> Mumba</t>
  </si>
  <si>
    <t xml:space="preserve"> Murambi</t>
  </si>
  <si>
    <t xml:space="preserve"> Mushaki</t>
  </si>
  <si>
    <t xml:space="preserve"> Ngungu</t>
  </si>
  <si>
    <t xml:space="preserve"> Nzulo</t>
  </si>
  <si>
    <t xml:space="preserve"> Rubaya</t>
  </si>
  <si>
    <t xml:space="preserve"> Ruhegeri</t>
  </si>
  <si>
    <t xml:space="preserve"> Sake</t>
  </si>
  <si>
    <t xml:space="preserve"> Burusi</t>
  </si>
  <si>
    <t xml:space="preserve"> Kalengehya</t>
  </si>
  <si>
    <t xml:space="preserve"> Kalivuli</t>
  </si>
  <si>
    <t xml:space="preserve"> Kasisi</t>
  </si>
  <si>
    <t xml:space="preserve"> Kasongwere</t>
  </si>
  <si>
    <t xml:space="preserve"> Katiri</t>
  </si>
  <si>
    <t xml:space="preserve"> Kirindera</t>
  </si>
  <si>
    <t xml:space="preserve"> Kitolu</t>
  </si>
  <si>
    <t xml:space="preserve"> Kivuwe</t>
  </si>
  <si>
    <t xml:space="preserve"> Kyalumba</t>
  </si>
  <si>
    <t xml:space="preserve"> Kyangendi</t>
  </si>
  <si>
    <t xml:space="preserve"> Kyavinyonge</t>
  </si>
  <si>
    <t xml:space="preserve"> Mbungwe</t>
  </si>
  <si>
    <t xml:space="preserve"> Museya</t>
  </si>
  <si>
    <t xml:space="preserve"> Ngitse</t>
  </si>
  <si>
    <t xml:space="preserve"> Vayana</t>
  </si>
  <si>
    <t xml:space="preserve"> Vuhasa</t>
  </si>
  <si>
    <t xml:space="preserve"> Vuhesi</t>
  </si>
  <si>
    <t xml:space="preserve"> Vulambayiri</t>
  </si>
  <si>
    <t xml:space="preserve"> Vusorongi</t>
  </si>
  <si>
    <t xml:space="preserve"> Vutumbi</t>
  </si>
  <si>
    <t xml:space="preserve"> Vyakuno</t>
  </si>
  <si>
    <t xml:space="preserve"> Bukununu</t>
  </si>
  <si>
    <t xml:space="preserve"> Kagheri</t>
  </si>
  <si>
    <t xml:space="preserve"> Kaghuli</t>
  </si>
  <si>
    <t xml:space="preserve"> Kakonze</t>
  </si>
  <si>
    <t xml:space="preserve"> Kasalala</t>
  </si>
  <si>
    <t xml:space="preserve"> Kasima</t>
  </si>
  <si>
    <t xml:space="preserve"> Kasugho</t>
  </si>
  <si>
    <t xml:space="preserve"> Katolo</t>
  </si>
  <si>
    <t xml:space="preserve"> Kavetya</t>
  </si>
  <si>
    <t xml:space="preserve"> Kaviseghe</t>
  </si>
  <si>
    <t xml:space="preserve"> Kipese</t>
  </si>
  <si>
    <t xml:space="preserve"> Kisaka</t>
  </si>
  <si>
    <t xml:space="preserve"> Kisima</t>
  </si>
  <si>
    <t xml:space="preserve"> Kiviriri</t>
  </si>
  <si>
    <t xml:space="preserve"> Lubero Cité</t>
  </si>
  <si>
    <t xml:space="preserve"> Mubana</t>
  </si>
  <si>
    <t xml:space="preserve"> Mulo</t>
  </si>
  <si>
    <t xml:space="preserve"> Vukendo</t>
  </si>
  <si>
    <t xml:space="preserve"> Vulambo</t>
  </si>
  <si>
    <t xml:space="preserve"> Vunyakondomi</t>
  </si>
  <si>
    <t xml:space="preserve"> Aloya</t>
  </si>
  <si>
    <t xml:space="preserve"> Bingo</t>
  </si>
  <si>
    <t xml:space="preserve"> Buhumbani</t>
  </si>
  <si>
    <t xml:space="preserve"> Linzo</t>
  </si>
  <si>
    <t xml:space="preserve"> Lubena</t>
  </si>
  <si>
    <t xml:space="preserve"> Malese</t>
  </si>
  <si>
    <t xml:space="preserve"> Mangina</t>
  </si>
  <si>
    <t xml:space="preserve"> Mangodomu</t>
  </si>
  <si>
    <t xml:space="preserve"> Masimbembe</t>
  </si>
  <si>
    <t xml:space="preserve"> Metale</t>
  </si>
  <si>
    <t xml:space="preserve"> Mununze</t>
  </si>
  <si>
    <t xml:space="preserve"> Ngazi</t>
  </si>
  <si>
    <t xml:space="preserve"> Ngoyo</t>
  </si>
  <si>
    <t xml:space="preserve"> Visiki</t>
  </si>
  <si>
    <t xml:space="preserve"> Vusayiro</t>
  </si>
  <si>
    <t xml:space="preserve"> Akwele</t>
  </si>
  <si>
    <t xml:space="preserve"> Bandulu</t>
  </si>
  <si>
    <t xml:space="preserve"> Isange</t>
  </si>
  <si>
    <t xml:space="preserve"> Kambau</t>
  </si>
  <si>
    <t xml:space="preserve"> Liboyo</t>
  </si>
  <si>
    <t xml:space="preserve"> Mabuo</t>
  </si>
  <si>
    <t xml:space="preserve"> Malunguma</t>
  </si>
  <si>
    <t xml:space="preserve"> Mama Wa Huruma</t>
  </si>
  <si>
    <t xml:space="preserve"> Mbunia</t>
  </si>
  <si>
    <t xml:space="preserve"> Midede</t>
  </si>
  <si>
    <t xml:space="preserve"> Ombole</t>
  </si>
  <si>
    <t xml:space="preserve"> Bukondi</t>
  </si>
  <si>
    <t xml:space="preserve"> Ikuvula</t>
  </si>
  <si>
    <t xml:space="preserve"> Kaniyi</t>
  </si>
  <si>
    <t xml:space="preserve"> Kitembe</t>
  </si>
  <si>
    <t xml:space="preserve"> Kitsimba</t>
  </si>
  <si>
    <t xml:space="preserve"> Kitsuku</t>
  </si>
  <si>
    <t xml:space="preserve"> Lukanga</t>
  </si>
  <si>
    <t xml:space="preserve"> Luotu</t>
  </si>
  <si>
    <t xml:space="preserve"> Magheria</t>
  </si>
  <si>
    <t xml:space="preserve"> Mihake</t>
  </si>
  <si>
    <t xml:space="preserve"> Miringate</t>
  </si>
  <si>
    <t xml:space="preserve"> Nyabili</t>
  </si>
  <si>
    <t xml:space="preserve"> Rwese</t>
  </si>
  <si>
    <t xml:space="preserve"> Vusitoro</t>
  </si>
  <si>
    <t xml:space="preserve"> Vusumba</t>
  </si>
  <si>
    <t xml:space="preserve"> Buabo</t>
  </si>
  <si>
    <t xml:space="preserve"> Buguri</t>
  </si>
  <si>
    <t xml:space="preserve"> Bukombo</t>
  </si>
  <si>
    <t xml:space="preserve"> Kaandja</t>
  </si>
  <si>
    <t xml:space="preserve"> Kahanga</t>
  </si>
  <si>
    <t xml:space="preserve"> Kaniro</t>
  </si>
  <si>
    <t xml:space="preserve"> Kazinga</t>
  </si>
  <si>
    <t xml:space="preserve"> Kilolirwe</t>
  </si>
  <si>
    <t xml:space="preserve"> Kitsule</t>
  </si>
  <si>
    <t xml:space="preserve"> Loashi</t>
  </si>
  <si>
    <t xml:space="preserve"> Luke</t>
  </si>
  <si>
    <t xml:space="preserve"> Lukweti</t>
  </si>
  <si>
    <t xml:space="preserve"> Lwibo</t>
  </si>
  <si>
    <t xml:space="preserve"> Mahanga</t>
  </si>
  <si>
    <t xml:space="preserve"> Mahya</t>
  </si>
  <si>
    <t xml:space="preserve"> Mbitsi</t>
  </si>
  <si>
    <t xml:space="preserve"> Miandja</t>
  </si>
  <si>
    <t xml:space="preserve"> Mpanamo</t>
  </si>
  <si>
    <t xml:space="preserve"> Muheto</t>
  </si>
  <si>
    <t xml:space="preserve"> Mutiri</t>
  </si>
  <si>
    <t xml:space="preserve"> Ngomashi</t>
  </si>
  <si>
    <t xml:space="preserve"> Nyabiondo</t>
  </si>
  <si>
    <t xml:space="preserve"> Nyakariba</t>
  </si>
  <si>
    <t xml:space="preserve"> Nyamitaba</t>
  </si>
  <si>
    <t xml:space="preserve"> Sati</t>
  </si>
  <si>
    <t xml:space="preserve"> Bikindwe</t>
  </si>
  <si>
    <t xml:space="preserve"> Bughumirya</t>
  </si>
  <si>
    <t xml:space="preserve"> Butumbe</t>
  </si>
  <si>
    <t xml:space="preserve"> Buyinga</t>
  </si>
  <si>
    <t xml:space="preserve"> Bweteta</t>
  </si>
  <si>
    <t xml:space="preserve"> Ivatama</t>
  </si>
  <si>
    <t xml:space="preserve"> Kimbulu</t>
  </si>
  <si>
    <t xml:space="preserve"> Kyambogho</t>
  </si>
  <si>
    <t xml:space="preserve"> Mabambi</t>
  </si>
  <si>
    <t xml:space="preserve"> Masumo</t>
  </si>
  <si>
    <t xml:space="preserve"> Mongali</t>
  </si>
  <si>
    <t xml:space="preserve"> Mukongo</t>
  </si>
  <si>
    <t xml:space="preserve"> Munoli</t>
  </si>
  <si>
    <t xml:space="preserve"> Nduko</t>
  </si>
  <si>
    <t xml:space="preserve"> Ngeleza</t>
  </si>
  <si>
    <t xml:space="preserve"> Ngoma</t>
  </si>
  <si>
    <t xml:space="preserve"> Vughalihya</t>
  </si>
  <si>
    <t xml:space="preserve"> Vusa</t>
  </si>
  <si>
    <t xml:space="preserve"> Vusamba</t>
  </si>
  <si>
    <t xml:space="preserve"> Vusayi</t>
  </si>
  <si>
    <t xml:space="preserve"> Bulongo</t>
  </si>
  <si>
    <t xml:space="preserve"> Halungupa</t>
  </si>
  <si>
    <t xml:space="preserve"> Kabalwa</t>
  </si>
  <si>
    <t xml:space="preserve"> Kalembo</t>
  </si>
  <si>
    <t xml:space="preserve"> Kangahuka</t>
  </si>
  <si>
    <t xml:space="preserve"> Kasindi</t>
  </si>
  <si>
    <t xml:space="preserve"> Kenehambaore</t>
  </si>
  <si>
    <t xml:space="preserve"> Kitokoli</t>
  </si>
  <si>
    <t xml:space="preserve"> Kudi 3</t>
  </si>
  <si>
    <t xml:space="preserve"> La Frontière</t>
  </si>
  <si>
    <t xml:space="preserve"> Loulo</t>
  </si>
  <si>
    <t xml:space="preserve"> Lubiriha</t>
  </si>
  <si>
    <t xml:space="preserve"> Lume</t>
  </si>
  <si>
    <t xml:space="preserve"> Manzanga</t>
  </si>
  <si>
    <t xml:space="preserve"> Masambo</t>
  </si>
  <si>
    <t xml:space="preserve"> Muramba</t>
  </si>
  <si>
    <t xml:space="preserve"> Mwenda</t>
  </si>
  <si>
    <t xml:space="preserve"> Nzenga</t>
  </si>
  <si>
    <t xml:space="preserve"> Rugetsi</t>
  </si>
  <si>
    <t xml:space="preserve"> Bibwe</t>
  </si>
  <si>
    <t xml:space="preserve"> Bukama</t>
  </si>
  <si>
    <t xml:space="preserve"> Burungu</t>
  </si>
  <si>
    <t xml:space="preserve"> Bushanga</t>
  </si>
  <si>
    <t xml:space="preserve"> Busumba</t>
  </si>
  <si>
    <t xml:space="preserve"> Bweru</t>
  </si>
  <si>
    <t xml:space="preserve"> Kalembe</t>
  </si>
  <si>
    <t xml:space="preserve"> Kamonyi</t>
  </si>
  <si>
    <t xml:space="preserve"> Kashuga</t>
  </si>
  <si>
    <t xml:space="preserve"> Katuna</t>
  </si>
  <si>
    <t xml:space="preserve"> Kibarizo</t>
  </si>
  <si>
    <t xml:space="preserve"> Kichanga</t>
  </si>
  <si>
    <t xml:space="preserve"> Kinyana</t>
  </si>
  <si>
    <t xml:space="preserve"> Kirumbu</t>
  </si>
  <si>
    <t xml:space="preserve"> Kivuye</t>
  </si>
  <si>
    <t xml:space="preserve"> Luhanga</t>
  </si>
  <si>
    <t xml:space="preserve"> Lwama</t>
  </si>
  <si>
    <t xml:space="preserve"> Mokoto</t>
  </si>
  <si>
    <t xml:space="preserve"> Mpati</t>
  </si>
  <si>
    <t xml:space="preserve"> Mwanja</t>
  </si>
  <si>
    <t xml:space="preserve"> Rugarama</t>
  </si>
  <si>
    <t xml:space="preserve"> St Benoit</t>
  </si>
  <si>
    <t xml:space="preserve"> Tambi</t>
  </si>
  <si>
    <t xml:space="preserve"> Yopa</t>
  </si>
  <si>
    <t xml:space="preserve"> Buhumba</t>
  </si>
  <si>
    <t xml:space="preserve"> Kanyaruchinya</t>
  </si>
  <si>
    <t xml:space="preserve"> Kasizi</t>
  </si>
  <si>
    <t xml:space="preserve"> Kingarame</t>
  </si>
  <si>
    <t xml:space="preserve"> Kiziba</t>
  </si>
  <si>
    <t xml:space="preserve"> Mudja</t>
  </si>
  <si>
    <t xml:space="preserve"> Munigi</t>
  </si>
  <si>
    <t xml:space="preserve"> Ngangi III</t>
  </si>
  <si>
    <t xml:space="preserve"> Rusayo</t>
  </si>
  <si>
    <t xml:space="preserve"> Turunga</t>
  </si>
  <si>
    <t xml:space="preserve"> Apetina</t>
  </si>
  <si>
    <t xml:space="preserve"> Bayeti</t>
  </si>
  <si>
    <t xml:space="preserve"> Bunzumu</t>
  </si>
  <si>
    <t xml:space="preserve"> Eringeti</t>
  </si>
  <si>
    <t xml:space="preserve"> Kainama</t>
  </si>
  <si>
    <t xml:space="preserve"> Kithevya</t>
  </si>
  <si>
    <t xml:space="preserve"> Kokola</t>
  </si>
  <si>
    <t xml:space="preserve"> Kukutama</t>
  </si>
  <si>
    <t xml:space="preserve"> Liva</t>
  </si>
  <si>
    <t xml:space="preserve"> Mabasele</t>
  </si>
  <si>
    <t xml:space="preserve"> Maleki</t>
  </si>
  <si>
    <t xml:space="preserve"> Mambabeka</t>
  </si>
  <si>
    <t xml:space="preserve"> Mambabio</t>
  </si>
  <si>
    <t xml:space="preserve"> Mambau</t>
  </si>
  <si>
    <t xml:space="preserve"> Mamove</t>
  </si>
  <si>
    <t xml:space="preserve"> Mangboko</t>
  </si>
  <si>
    <t xml:space="preserve"> Masosi</t>
  </si>
  <si>
    <t xml:space="preserve"> Mavivi</t>
  </si>
  <si>
    <t xml:space="preserve"> Mbau</t>
  </si>
  <si>
    <t xml:space="preserve"> Mbimbi</t>
  </si>
  <si>
    <t xml:space="preserve"> Mbutaba</t>
  </si>
  <si>
    <t xml:space="preserve"> Musuku</t>
  </si>
  <si>
    <t xml:space="preserve"> Pakanza</t>
  </si>
  <si>
    <t xml:space="preserve"> Pasala</t>
  </si>
  <si>
    <t xml:space="preserve"> Samboko</t>
  </si>
  <si>
    <t xml:space="preserve"> Tenambo</t>
  </si>
  <si>
    <t xml:space="preserve"> Totolito</t>
  </si>
  <si>
    <t xml:space="preserve"> Besse</t>
  </si>
  <si>
    <t xml:space="preserve"> Bukonde</t>
  </si>
  <si>
    <t xml:space="preserve"> Bukumbirwa</t>
  </si>
  <si>
    <t xml:space="preserve"> Buleusa</t>
  </si>
  <si>
    <t xml:space="preserve"> Kailenge</t>
  </si>
  <si>
    <t xml:space="preserve"> Kanune</t>
  </si>
  <si>
    <t xml:space="preserve"> Kaseke</t>
  </si>
  <si>
    <t xml:space="preserve"> Kateku</t>
  </si>
  <si>
    <t xml:space="preserve"> Lukala</t>
  </si>
  <si>
    <t xml:space="preserve"> MPety</t>
  </si>
  <si>
    <t xml:space="preserve"> Mashuta</t>
  </si>
  <si>
    <t xml:space="preserve"> Munsanga</t>
  </si>
  <si>
    <t xml:space="preserve"> Mutongo</t>
  </si>
  <si>
    <t xml:space="preserve"> asa</t>
  </si>
  <si>
    <t xml:space="preserve"> Oninga</t>
  </si>
  <si>
    <t xml:space="preserve"> Rungoma</t>
  </si>
  <si>
    <t xml:space="preserve"> Rusamambu</t>
  </si>
  <si>
    <t xml:space="preserve"> Biruma</t>
  </si>
  <si>
    <t xml:space="preserve"> Bunyereza</t>
  </si>
  <si>
    <t xml:space="preserve"> Buturande</t>
  </si>
  <si>
    <t xml:space="preserve"> Kakomero</t>
  </si>
  <si>
    <t xml:space="preserve"> Kalengera</t>
  </si>
  <si>
    <t xml:space="preserve"> Katale</t>
  </si>
  <si>
    <t xml:space="preserve"> Kibututu</t>
  </si>
  <si>
    <t xml:space="preserve"> Kinyandonyi</t>
  </si>
  <si>
    <t xml:space="preserve"> Kiwanja</t>
  </si>
  <si>
    <t xml:space="preserve"> Mabungo</t>
  </si>
  <si>
    <t xml:space="preserve"> Rubare</t>
  </si>
  <si>
    <t xml:space="preserve"> Rugari</t>
  </si>
  <si>
    <t xml:space="preserve"> Bugusa</t>
  </si>
  <si>
    <t xml:space="preserve"> Bunagana</t>
  </si>
  <si>
    <t xml:space="preserve"> Kabaya</t>
  </si>
  <si>
    <t xml:space="preserve"> Kabonero</t>
  </si>
  <si>
    <t xml:space="preserve"> Kakondo</t>
  </si>
  <si>
    <t xml:space="preserve"> Kamira </t>
  </si>
  <si>
    <t xml:space="preserve"> Kanombe</t>
  </si>
  <si>
    <t xml:space="preserve"> Kazuba</t>
  </si>
  <si>
    <t xml:space="preserve"> Matebe</t>
  </si>
  <si>
    <t xml:space="preserve"> Mutabo</t>
  </si>
  <si>
    <t xml:space="preserve"> okwe</t>
  </si>
  <si>
    <t xml:space="preserve"> Ntamugenga</t>
  </si>
  <si>
    <t xml:space="preserve"> Nyarukwangara</t>
  </si>
  <si>
    <t xml:space="preserve"> Rubavu</t>
  </si>
  <si>
    <t xml:space="preserve"> Rutsiro</t>
  </si>
  <si>
    <t xml:space="preserve"> Rwanguba Kabindi</t>
  </si>
  <si>
    <t xml:space="preserve"> Shangi</t>
  </si>
  <si>
    <t xml:space="preserve"> Shinda</t>
  </si>
  <si>
    <t xml:space="preserve"> Tanda</t>
  </si>
  <si>
    <t xml:space="preserve"> Tshengerero</t>
  </si>
  <si>
    <t xml:space="preserve"> Buhesi</t>
  </si>
  <si>
    <t xml:space="preserve"> Bukoroghoto</t>
  </si>
  <si>
    <t xml:space="preserve"> Bulambo</t>
  </si>
  <si>
    <t xml:space="preserve"> Bunyuka</t>
  </si>
  <si>
    <t xml:space="preserve"> Isonga</t>
  </si>
  <si>
    <t xml:space="preserve"> Kasitu</t>
  </si>
  <si>
    <t xml:space="preserve"> Katanda</t>
  </si>
  <si>
    <t xml:space="preserve"> Kibwe</t>
  </si>
  <si>
    <t xml:space="preserve"> Kighali</t>
  </si>
  <si>
    <t xml:space="preserve"> Lulinda</t>
  </si>
  <si>
    <t xml:space="preserve"> Musenda</t>
  </si>
  <si>
    <t xml:space="preserve"> Mutendero</t>
  </si>
  <si>
    <t xml:space="preserve"> 8ème CEPAC</t>
  </si>
  <si>
    <t xml:space="preserve"> Bilobilo</t>
  </si>
  <si>
    <t xml:space="preserve"> Biruwe</t>
  </si>
  <si>
    <t xml:space="preserve"> Bisie</t>
  </si>
  <si>
    <t xml:space="preserve"> Boboro</t>
  </si>
  <si>
    <t xml:space="preserve"> Eliba</t>
  </si>
  <si>
    <t xml:space="preserve"> Kirundu</t>
  </si>
  <si>
    <t xml:space="preserve"> Moria</t>
  </si>
  <si>
    <t xml:space="preserve"> Mpofi</t>
  </si>
  <si>
    <t xml:space="preserve"> Mundindi</t>
  </si>
  <si>
    <t xml:space="preserve"> Mutakato</t>
  </si>
  <si>
    <t xml:space="preserve"> Ndjingala</t>
  </si>
  <si>
    <t xml:space="preserve"> Ndofia</t>
  </si>
  <si>
    <t xml:space="preserve"> Nyasi</t>
  </si>
  <si>
    <t xml:space="preserve"> Obaye</t>
  </si>
  <si>
    <t xml:space="preserve"> Sacré Coeur</t>
  </si>
  <si>
    <t xml:space="preserve"> Santé Plus</t>
  </si>
  <si>
    <t>Cible 3,49%</t>
  </si>
  <si>
    <t>Cible 4%</t>
  </si>
  <si>
    <t>ESV</t>
  </si>
  <si>
    <t>Cible_Cumulée 3,49%</t>
  </si>
  <si>
    <t>Cible_Cumulée 4%</t>
  </si>
  <si>
    <t>Somme de CV_BCG</t>
  </si>
  <si>
    <t>Somme de CV_VPI</t>
  </si>
  <si>
    <t>Données</t>
  </si>
  <si>
    <t>Somme de CV_VPO3</t>
  </si>
  <si>
    <t>Somme de CV_DTC1</t>
  </si>
  <si>
    <t>Somme de CV_DTC3</t>
  </si>
  <si>
    <t>Somme de CV_PCV13 1</t>
  </si>
  <si>
    <t>Somme de CV_PCV13 3</t>
  </si>
  <si>
    <t>Somme de Rota1</t>
  </si>
  <si>
    <t>Somme de Rota3</t>
  </si>
  <si>
    <t>Somme de CV_VAR1</t>
  </si>
  <si>
    <t>Somme de CV_VAR2</t>
  </si>
  <si>
    <t>Somme de CV_VAA</t>
  </si>
  <si>
    <t>Somme de CV_VPI2</t>
  </si>
  <si>
    <t>Somme de CV_Td1</t>
  </si>
  <si>
    <t>Somme de CV_Td2+</t>
  </si>
  <si>
    <t>Somme de Tx_Abandon Penta 1-3</t>
  </si>
  <si>
    <t>CV_DTC3</t>
  </si>
  <si>
    <t>COORDINATION PROVINCIALE DU NORD-KIVU</t>
  </si>
  <si>
    <t>COUVERTURES VACCINALES / PEV DE ROUTINE PAR AIRE DE SANTE</t>
  </si>
  <si>
    <t>Visu</t>
  </si>
  <si>
    <t>Étiquettes de lignes</t>
  </si>
  <si>
    <t>Total général</t>
  </si>
  <si>
    <t>Somme de ESV</t>
  </si>
  <si>
    <t>Valeurs</t>
  </si>
  <si>
    <t>CV BCG</t>
  </si>
  <si>
    <t>CV VPO3</t>
  </si>
  <si>
    <t>CV DTC3</t>
  </si>
  <si>
    <t>CV PCV-13 3</t>
  </si>
  <si>
    <t>CV Rota 3</t>
  </si>
  <si>
    <t>CV VAR 2</t>
  </si>
  <si>
    <t>CV VAA</t>
  </si>
  <si>
    <t>CV VPI 2</t>
  </si>
  <si>
    <t>CV Td2+</t>
  </si>
  <si>
    <t>CV VPI 1</t>
  </si>
  <si>
    <t>ESV :</t>
  </si>
  <si>
    <t>Td 2</t>
  </si>
  <si>
    <t>Td 3</t>
  </si>
  <si>
    <t>Td 4</t>
  </si>
  <si>
    <t>Td 5</t>
  </si>
  <si>
    <t>DONNEES BRUTES EXTRAITES DE DHIS2</t>
  </si>
  <si>
    <t>Promptitude</t>
  </si>
  <si>
    <t>Completude</t>
  </si>
  <si>
    <t>PCV-13 3</t>
  </si>
  <si>
    <t>Td2+</t>
  </si>
  <si>
    <t>Tx_Ab</t>
  </si>
  <si>
    <t>X</t>
  </si>
  <si>
    <t>Y</t>
  </si>
  <si>
    <t>&lt;50%</t>
  </si>
  <si>
    <t>&gt;=50%&lt;80%</t>
  </si>
  <si>
    <t>&gt;=80%&lt;95%</t>
  </si>
  <si>
    <t>&gt;=95%</t>
  </si>
  <si>
    <t>&lt;=10%</t>
  </si>
  <si>
    <t>&gt;10%</t>
  </si>
  <si>
    <t>Catégorisation</t>
  </si>
  <si>
    <t>CAT1</t>
  </si>
  <si>
    <t>CAT2</t>
  </si>
  <si>
    <t>CAT3</t>
  </si>
  <si>
    <t>CAT4</t>
  </si>
  <si>
    <t>Antenne</t>
  </si>
  <si>
    <t>Butembo</t>
  </si>
  <si>
    <t>Goma</t>
  </si>
  <si>
    <t>Période cumulée :</t>
  </si>
  <si>
    <t>PCV-13 (2)</t>
  </si>
  <si>
    <t>Rota 2</t>
  </si>
  <si>
    <t>VPI1</t>
  </si>
  <si>
    <t>VPO 0</t>
  </si>
  <si>
    <t>VPO 1</t>
  </si>
  <si>
    <t>VPO 2</t>
  </si>
  <si>
    <t>VPO 3</t>
  </si>
  <si>
    <t>Penta 1</t>
  </si>
  <si>
    <t>Penta 2</t>
  </si>
  <si>
    <t>Penta 3</t>
  </si>
  <si>
    <t>PCV-13 1</t>
  </si>
  <si>
    <t>PENTA 3</t>
  </si>
  <si>
    <t>PCV-13 2</t>
  </si>
  <si>
    <t>ROTA 3</t>
  </si>
  <si>
    <t>ROTA 2</t>
  </si>
  <si>
    <t>ROTA 1</t>
  </si>
  <si>
    <t>PENTA 1</t>
  </si>
  <si>
    <t>PENTA 2</t>
  </si>
  <si>
    <t>VAR 1/RR1</t>
  </si>
  <si>
    <t>VAR2/RR2</t>
  </si>
  <si>
    <t>CAT :</t>
  </si>
  <si>
    <t>EZD</t>
  </si>
  <si>
    <t>EZD :</t>
  </si>
  <si>
    <t>NAISSANCE</t>
  </si>
  <si>
    <t>1 MOIS ET DEMI</t>
  </si>
  <si>
    <t>2 MOIS ET DEMI</t>
  </si>
  <si>
    <t>3 MOIS ET DEMI</t>
  </si>
  <si>
    <t>15 MOIS</t>
  </si>
  <si>
    <t>Categorisaton</t>
  </si>
  <si>
    <t>Tx_Ab :</t>
  </si>
  <si>
    <t>Somme de CV_VPO 1</t>
  </si>
  <si>
    <t>Somme de CV_VPO 2</t>
  </si>
  <si>
    <t>Somme de CV_Penta 2</t>
  </si>
  <si>
    <t>Somme de CV_PCV-13 2</t>
  </si>
  <si>
    <t>Somme de CV_VPO 0</t>
  </si>
  <si>
    <t>Somme de CV_Rota 2</t>
  </si>
  <si>
    <t>Somme de EZD</t>
  </si>
  <si>
    <t>CV PAR RAPPORT AUX OBJECTIFS</t>
  </si>
  <si>
    <t>VAR1/RR1</t>
  </si>
  <si>
    <t>FE</t>
  </si>
  <si>
    <t>Td1</t>
  </si>
  <si>
    <t>VAR 2</t>
  </si>
  <si>
    <t xml:space="preserve"> </t>
  </si>
  <si>
    <t>Objetcit 95%</t>
  </si>
  <si>
    <t>Objectif 90%</t>
  </si>
  <si>
    <t>9 MOIS</t>
  </si>
  <si>
    <t>Tx_Abandon</t>
  </si>
  <si>
    <t>CV_Penta3</t>
  </si>
  <si>
    <t xml:space="preserve">  </t>
  </si>
  <si>
    <t>Données des Populations, Doses de Vaccins Administrées, CV</t>
  </si>
  <si>
    <t>Analyse des Problèmes</t>
  </si>
  <si>
    <t>Zone par priorité</t>
  </si>
  <si>
    <t>Doses de vaccins administrées</t>
  </si>
  <si>
    <t>Couverture Vaccinale(%)</t>
  </si>
  <si>
    <t>Taux Abandon %</t>
  </si>
  <si>
    <t>Type de problèmes</t>
  </si>
  <si>
    <t>&lt; 1an</t>
  </si>
  <si>
    <t>VAR</t>
  </si>
  <si>
    <t>Utilisation</t>
  </si>
  <si>
    <t>1,2,3,4</t>
  </si>
  <si>
    <t>Priorité 1,2,3…</t>
  </si>
  <si>
    <t>Somme de Penta 1</t>
  </si>
  <si>
    <t>Somme de Penta 3</t>
  </si>
  <si>
    <t>ANT. BUTEMBO</t>
  </si>
  <si>
    <t>ANT. GOMA</t>
  </si>
  <si>
    <t>Somme de VAR1</t>
  </si>
  <si>
    <t>NORD KIVU</t>
  </si>
  <si>
    <t>Chiffre Pop Cible</t>
  </si>
  <si>
    <r>
      <t xml:space="preserve">Cible </t>
    </r>
    <r>
      <rPr>
        <b/>
        <sz val="11"/>
        <color theme="4" tint="0.59999389629810485"/>
        <rFont val="Calibri"/>
        <family val="2"/>
      </rPr>
      <t>˂</t>
    </r>
    <r>
      <rPr>
        <b/>
        <sz val="9.35"/>
        <color theme="4" tint="0.59999389629810485"/>
        <rFont val="Arial"/>
        <family val="2"/>
      </rPr>
      <t xml:space="preserve"> 1 an</t>
    </r>
  </si>
  <si>
    <t>Cible FE</t>
  </si>
  <si>
    <t>Securité</t>
  </si>
  <si>
    <t>Somme de Cible_Cumulée 3,49%</t>
  </si>
  <si>
    <t>Somme de Cible_Cumulée 4%</t>
  </si>
  <si>
    <t>Tx_Ab_P1-3</t>
  </si>
  <si>
    <t xml:space="preserve">                    </t>
  </si>
  <si>
    <t>NB AS</t>
  </si>
  <si>
    <t>Population</t>
  </si>
  <si>
    <t>Periode</t>
  </si>
  <si>
    <t>Penta1-Penta3</t>
  </si>
  <si>
    <t>Penta1-VAR</t>
  </si>
  <si>
    <t>Accèssibilité</t>
  </si>
  <si>
    <r>
      <t xml:space="preserve">Cible </t>
    </r>
    <r>
      <rPr>
        <b/>
        <sz val="11"/>
        <color theme="0"/>
        <rFont val="Calibri"/>
        <family val="2"/>
      </rPr>
      <t>˂</t>
    </r>
    <r>
      <rPr>
        <b/>
        <sz val="9.35"/>
        <color theme="0"/>
        <rFont val="Arial"/>
        <family val="2"/>
      </rPr>
      <t xml:space="preserve"> 1 an</t>
    </r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</si>
  <si>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</si>
  <si>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</si>
  <si>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</si>
  <si>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</si>
  <si>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</si>
  <si>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</si>
  <si>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</si>
  <si>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</si>
  <si>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</si>
  <si>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</si>
  <si>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</si>
  <si>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</si>
  <si>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PRIORITE</t>
  </si>
  <si>
    <t>Supervision des Zones de Santé par la province</t>
  </si>
  <si>
    <t>Supervision ZS vers AS</t>
  </si>
  <si>
    <t xml:space="preserve">Disponibilité des vaccins et intrants </t>
  </si>
  <si>
    <t>Fonctionnalité de la CDF</t>
  </si>
  <si>
    <t>Score de séances fixes</t>
  </si>
  <si>
    <t>Score de séances avancées</t>
  </si>
  <si>
    <t xml:space="preserve">Disponibilité des cartes de vaccinations </t>
  </si>
  <si>
    <t xml:space="preserve">Suivi des enfants </t>
  </si>
  <si>
    <t>Réunions</t>
  </si>
  <si>
    <t>Rapport de données</t>
  </si>
  <si>
    <t>Score total</t>
  </si>
  <si>
    <t>Disponibilité des cartes de vacc</t>
  </si>
  <si>
    <t>INDICATEURS</t>
  </si>
  <si>
    <t>SCORES</t>
  </si>
  <si>
    <t>SCORE TOTAL</t>
  </si>
  <si>
    <t>Mise à jour</t>
  </si>
  <si>
    <t>ANTENNE</t>
  </si>
  <si>
    <t xml:space="preserve"> Supervision ZS vers AS</t>
  </si>
  <si>
    <t>Supervision ZS vers AS (&gt;=80%)</t>
  </si>
  <si>
    <t>Disponibilité des vaccins et intrants &gt;=80%</t>
  </si>
  <si>
    <t>Fonctionnalité de la CDF (&gt;=80%)</t>
  </si>
  <si>
    <t>Score de séances fixes (&gt;=80%)</t>
  </si>
  <si>
    <t>Score de séances avancées (&gt;=80%)</t>
  </si>
  <si>
    <t>Disponibilité des cartes de vaccinations (&gt;=80%)</t>
  </si>
  <si>
    <t>Suivi des enfants (&gt;=90%)</t>
  </si>
  <si>
    <t>Réunions (100%)</t>
  </si>
  <si>
    <t>Rapport de données (100%)</t>
  </si>
  <si>
    <t>Score total (&gt;=80%)</t>
  </si>
  <si>
    <t>Butembo (Nb ZS)</t>
  </si>
  <si>
    <t>Goma (Nb ZS)</t>
  </si>
  <si>
    <t>Nord Kivu (Nb AS)</t>
  </si>
  <si>
    <t>%</t>
  </si>
  <si>
    <t>ZS avec Score 0%</t>
  </si>
  <si>
    <t>Période</t>
  </si>
  <si>
    <t>Supervision des Aires de Santé par les ZS</t>
  </si>
  <si>
    <t>% d'aire de santé réalisant les minimun des séances avancées</t>
  </si>
  <si>
    <t>% d'aire de santé réalisant les minimun des séances fixes</t>
  </si>
  <si>
    <t>Fonctionnalité de la chaîne de froid</t>
  </si>
  <si>
    <t>Disponibilité des vaccins et intrants (AS+ZS)</t>
  </si>
  <si>
    <t>Disponibilité de carte de vaccination</t>
  </si>
  <si>
    <t>Suivi des enfants</t>
  </si>
  <si>
    <t>Performance mensuelle</t>
  </si>
  <si>
    <t>Objectif</t>
  </si>
  <si>
    <t>PERFORMANCES MASHAKO / ZS</t>
  </si>
  <si>
    <t>PERIODE :</t>
  </si>
  <si>
    <t>Evolution des Scores par ZS</t>
  </si>
  <si>
    <t>Tendences annuelle des Scores par ZS</t>
  </si>
  <si>
    <t>Alimbongo</t>
  </si>
  <si>
    <t>Beni</t>
  </si>
  <si>
    <t>Biena</t>
  </si>
  <si>
    <t>Kalunguta</t>
  </si>
  <si>
    <t>Kamango</t>
  </si>
  <si>
    <t>Katwa</t>
  </si>
  <si>
    <t>Kayna</t>
  </si>
  <si>
    <t>Kyondo</t>
  </si>
  <si>
    <t>Lubero</t>
  </si>
  <si>
    <t>Mabalako</t>
  </si>
  <si>
    <t>Manguredjipa</t>
  </si>
  <si>
    <t>Masereka</t>
  </si>
  <si>
    <t>Musienene</t>
  </si>
  <si>
    <t>Mutwanga</t>
  </si>
  <si>
    <t>Oicha</t>
  </si>
  <si>
    <t>Vuhovi</t>
  </si>
  <si>
    <t>Bambo</t>
  </si>
  <si>
    <t>Binza</t>
  </si>
  <si>
    <t>Birambizo</t>
  </si>
  <si>
    <t>Itebero</t>
  </si>
  <si>
    <t>Karisimbi</t>
  </si>
  <si>
    <t>Katoyi</t>
  </si>
  <si>
    <t>Kibirizi</t>
  </si>
  <si>
    <t>Kibua</t>
  </si>
  <si>
    <t>Kirotshe</t>
  </si>
  <si>
    <t>Masisi</t>
  </si>
  <si>
    <t>Mweso</t>
  </si>
  <si>
    <t>Nyiragongo</t>
  </si>
  <si>
    <t>Pinga</t>
  </si>
  <si>
    <t>Rutshuru</t>
  </si>
  <si>
    <t>Rwanguba</t>
  </si>
  <si>
    <t>Walikale</t>
  </si>
  <si>
    <t>SCORE GLOBAL</t>
  </si>
  <si>
    <t>SELECTIONEZ</t>
  </si>
  <si>
    <t>BABU (Bonne Accessibilité, Bonne Utilisation) : Taux d’abandon faible, Couverture par Penta 1 élevée</t>
  </si>
  <si>
    <t>BAMU (Bonne Accessibilité, Mauvaise Utilisation) : Taux d'Abandon élevé, Couverture Penta 1 élevée</t>
  </si>
  <si>
    <t>MABU (Mauvaise Accessibilité, Bonne Utilisation) : Faible Taux d'Abandon, Couverture par Penta 1 faible</t>
  </si>
  <si>
    <t>MAMU (Mauvaise Accessibilité, Mauvaise Utilisation) : Taux d'Abandon élevé, Couverture par Penta 1 faible</t>
  </si>
  <si>
    <t>Année :</t>
  </si>
  <si>
    <t xml:space="preserve">ANTIGENE : </t>
  </si>
  <si>
    <t>Population cible annuelle :</t>
  </si>
  <si>
    <t>janvier</t>
  </si>
  <si>
    <t>février</t>
  </si>
  <si>
    <t>mars</t>
  </si>
  <si>
    <t>avril</t>
  </si>
  <si>
    <t xml:space="preserve">mai </t>
  </si>
  <si>
    <t>juin</t>
  </si>
  <si>
    <t>juillet</t>
  </si>
  <si>
    <t>août</t>
  </si>
  <si>
    <t>septembre</t>
  </si>
  <si>
    <t>octobre</t>
  </si>
  <si>
    <t>novembre</t>
  </si>
  <si>
    <t>décembre</t>
  </si>
  <si>
    <t>Vacccinations effectuées</t>
  </si>
  <si>
    <t>Vaccinations cumulées</t>
  </si>
  <si>
    <t>Couverture idéale</t>
  </si>
  <si>
    <t>Couverture poursuivie</t>
  </si>
  <si>
    <t>Couverture vaccinale</t>
  </si>
  <si>
    <t>VPO3</t>
  </si>
  <si>
    <t xml:space="preserve">     </t>
  </si>
  <si>
    <t>VAR 1</t>
  </si>
  <si>
    <t>VAR2</t>
  </si>
  <si>
    <t>PENTA3</t>
  </si>
  <si>
    <t>TD2+</t>
  </si>
  <si>
    <t>VOLET DE NAVIGATION (Sélectionnez l'Antigène)</t>
  </si>
  <si>
    <t>Complétude</t>
  </si>
  <si>
    <t>Scores Mensuels Province</t>
  </si>
  <si>
    <t>Plan de rederessement</t>
  </si>
  <si>
    <t>EZD/Non Vaccinés(nb)</t>
  </si>
  <si>
    <t>ESV/sous Vaccine</t>
  </si>
  <si>
    <t xml:space="preserve">Catégorie de Probleme </t>
  </si>
  <si>
    <t>Indicateur Mashako/Score</t>
  </si>
  <si>
    <t>ECV</t>
  </si>
  <si>
    <t>Tx_Abandon_Penta1</t>
  </si>
  <si>
    <t>ECV :</t>
  </si>
  <si>
    <t>Somme de ECV2</t>
  </si>
  <si>
    <t xml:space="preserve"> Kumbwa Aire de Santé</t>
  </si>
  <si>
    <t>Réalisation</t>
  </si>
  <si>
    <t>Id</t>
  </si>
  <si>
    <t>ENFANTS ZERO DOSE</t>
  </si>
  <si>
    <t>ENFANTS SOUS VACCINES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</si>
</sst>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5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8"/>
      <color theme="4" tint="-0.499984740745262"/>
      <name val="Arial"/>
      <family val="2"/>
    </font>
    <font>
      <sz val="10"/>
      <color theme="0"/>
      <name val="Arial"/>
      <family val="2"/>
    </font>
    <font>
      <b/>
      <sz val="12"/>
      <color theme="4" tint="-0.499984740745262"/>
      <name val="Arial"/>
      <family val="2"/>
    </font>
    <font>
      <b/>
      <sz val="11"/>
      <color theme="0"/>
      <name val="Arial"/>
      <family val="2"/>
    </font>
    <font>
      <sz val="12"/>
      <color theme="0"/>
      <name val="Arial"/>
      <family val="2"/>
    </font>
    <font>
      <sz val="12"/>
      <color theme="4" tint="-0.499984740745262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color theme="4" tint="0.59999389629810485"/>
      <name val="Arial"/>
      <family val="2"/>
    </font>
    <font>
      <b/>
      <sz val="14"/>
      <name val="Arial"/>
      <family val="2"/>
    </font>
    <font>
      <b/>
      <sz val="11"/>
      <color theme="7" tint="-0.499984740745262"/>
      <name val="Arial"/>
      <family val="2"/>
    </font>
    <font>
      <b/>
      <sz val="10"/>
      <color rgb="FF00133A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1"/>
      <color theme="4" tint="0.59999389629810485"/>
      <name val="Calibri"/>
      <family val="2"/>
    </font>
    <font>
      <b/>
      <sz val="9.35"/>
      <color theme="4" tint="0.59999389629810485"/>
      <name val="Arial"/>
      <family val="2"/>
    </font>
    <font>
      <sz val="14"/>
      <color theme="1"/>
      <name val="Arial"/>
      <family val="2"/>
    </font>
    <font>
      <sz val="11"/>
      <color theme="0"/>
      <name val="Arial"/>
      <family val="2"/>
    </font>
    <font>
      <b/>
      <sz val="11"/>
      <color theme="0"/>
      <name val="Calibri"/>
      <family val="2"/>
    </font>
    <font>
      <b/>
      <sz val="9.35"/>
      <color theme="0"/>
      <name val="Arial"/>
      <family val="2"/>
    </font>
    <font>
      <b/>
      <sz val="14"/>
      <color theme="0"/>
      <name val="Arial"/>
      <family val="2"/>
    </font>
    <font>
      <sz val="16"/>
      <color theme="1"/>
      <name val="Arial"/>
      <family val="2"/>
    </font>
    <font>
      <sz val="9"/>
      <color rgb="FF000000"/>
      <name val="Arial"/>
      <family val="2"/>
    </font>
    <font>
      <b/>
      <sz val="12"/>
      <color rgb="FF000000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b/>
      <sz val="28"/>
      <name val="Arial"/>
      <family val="2"/>
    </font>
    <font>
      <u/>
      <sz val="10"/>
      <color theme="10"/>
      <name val="Arial"/>
      <family val="2"/>
    </font>
    <font>
      <b/>
      <sz val="14"/>
      <color indexed="14"/>
      <name val="Arial"/>
      <family val="2"/>
    </font>
    <font>
      <b/>
      <sz val="14"/>
      <name val="Comic Sans MS"/>
      <family val="4"/>
    </font>
    <font>
      <b/>
      <sz val="14"/>
      <color indexed="54"/>
      <name val="Arial"/>
      <family val="2"/>
    </font>
    <font>
      <b/>
      <sz val="14"/>
      <color indexed="45"/>
      <name val="Arial"/>
      <family val="2"/>
    </font>
    <font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color indexed="10"/>
      <name val="Tahoma"/>
      <family val="2"/>
    </font>
    <font>
      <b/>
      <sz val="14"/>
      <color theme="10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sz val="11"/>
      <name val="Arial"/>
    </font>
    <font>
      <sz val="11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DB3AE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47E55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6577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DF2ED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</fills>
  <borders count="8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medium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2060"/>
      </top>
      <bottom/>
      <diagonal/>
    </border>
    <border>
      <left style="thin">
        <color rgb="FF030933"/>
      </left>
      <right/>
      <top style="thin">
        <color rgb="FF030933"/>
      </top>
      <bottom/>
      <diagonal/>
    </border>
    <border>
      <left/>
      <right style="thin">
        <color rgb="FF030933"/>
      </right>
      <top style="thin">
        <color rgb="FF030933"/>
      </top>
      <bottom/>
      <diagonal/>
    </border>
    <border>
      <left style="thin">
        <color rgb="FF030933"/>
      </left>
      <right/>
      <top/>
      <bottom/>
      <diagonal/>
    </border>
    <border>
      <left/>
      <right style="thin">
        <color rgb="FF030933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030933"/>
      </right>
      <top style="thin">
        <color rgb="FF030933"/>
      </top>
      <bottom style="thin">
        <color rgb="FF030933"/>
      </bottom>
      <diagonal/>
    </border>
    <border>
      <left/>
      <right style="thin">
        <color rgb="FF030933"/>
      </right>
      <top/>
      <bottom/>
      <diagonal/>
    </border>
    <border>
      <left/>
      <right style="medium">
        <color indexed="64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 style="thin">
        <color rgb="FF030933"/>
      </top>
      <bottom/>
      <diagonal/>
    </border>
    <border>
      <left/>
      <right style="medium">
        <color rgb="FF0070C0"/>
      </right>
      <top style="thin">
        <color rgb="FF030933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70C0"/>
      </left>
      <right/>
      <top/>
      <bottom style="thin">
        <color rgb="FF030933"/>
      </bottom>
      <diagonal/>
    </border>
    <border>
      <left style="medium">
        <color rgb="FF0070C0"/>
      </left>
      <right/>
      <top style="thin">
        <color rgb="FF030933"/>
      </top>
      <bottom style="thin">
        <color rgb="FF030933"/>
      </bottom>
      <diagonal/>
    </border>
    <border>
      <left/>
      <right style="medium">
        <color rgb="FF0070C0"/>
      </right>
      <top/>
      <bottom/>
      <diagonal/>
    </border>
    <border>
      <left/>
      <right/>
      <top/>
      <bottom style="medium">
        <color rgb="FF0070C0"/>
      </bottom>
      <diagonal/>
    </border>
    <border>
      <left style="thin">
        <color rgb="FF030933"/>
      </left>
      <right/>
      <top/>
      <bottom style="medium">
        <color rgb="FF0070C0"/>
      </bottom>
      <diagonal/>
    </border>
    <border>
      <left/>
      <right style="medium">
        <color rgb="FF0070C0"/>
      </right>
      <top style="thin">
        <color theme="4" tint="0.39997558519241921"/>
      </top>
      <bottom style="medium">
        <color rgb="FF0070C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030933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 style="dashed">
        <color theme="0"/>
      </top>
      <bottom/>
      <diagonal/>
    </border>
    <border>
      <left style="thin">
        <color rgb="FF065770"/>
      </left>
      <right/>
      <top/>
      <bottom style="thin">
        <color rgb="FF065770"/>
      </bottom>
      <diagonal/>
    </border>
    <border>
      <left/>
      <right/>
      <top/>
      <bottom style="thin">
        <color rgb="FF065770"/>
      </bottom>
      <diagonal/>
    </border>
    <border>
      <left/>
      <right style="thin">
        <color rgb="FF065770"/>
      </right>
      <top/>
      <bottom style="thin">
        <color rgb="FF06577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theme="4" tint="0.59999389629810485"/>
      </top>
      <bottom style="thin">
        <color theme="4" tint="0.59999389629810485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</cellStyleXfs>
  <cellXfs count="337">
    <xf numFmtId="0" fontId="0" fillId="0" borderId="0" xfId="0"/>
    <xf numFmtId="0" fontId="0" fillId="0" borderId="0" xfId="0" pivotButton="1"/>
    <xf numFmtId="0" fontId="0" fillId="0" borderId="0" xfId="0" applyProtection="1">
      <protection locked="0"/>
    </xf>
    <xf numFmtId="0" fontId="3" fillId="0" borderId="0" xfId="0" applyFont="1" applyProtection="1">
      <protection locked="0"/>
    </xf>
    <xf numFmtId="9" fontId="0" fillId="0" borderId="0" xfId="2" applyFont="1" applyAlignment="1" applyProtection="1">
      <alignment horizontal="center"/>
      <protection locked="0"/>
    </xf>
    <xf numFmtId="9" fontId="0" fillId="0" borderId="0" xfId="2" applyFont="1" applyAlignment="1" applyProtection="1">
      <alignment horizontal="center"/>
    </xf>
    <xf numFmtId="0" fontId="0" fillId="0" borderId="0" xfId="0" applyAlignment="1">
      <alignment horizontal="left"/>
    </xf>
    <xf numFmtId="3" fontId="0" fillId="0" borderId="0" xfId="0" applyNumberFormat="1"/>
    <xf numFmtId="0" fontId="4" fillId="5" borderId="15" xfId="0" applyFont="1" applyFill="1" applyBorder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165" fontId="0" fillId="0" borderId="0" xfId="1" applyNumberFormat="1" applyFont="1" applyProtection="1">
      <protection locked="0"/>
    </xf>
    <xf numFmtId="165" fontId="1" fillId="0" borderId="0" xfId="0" applyNumberFormat="1" applyFont="1" applyProtection="1">
      <protection locked="0"/>
    </xf>
    <xf numFmtId="165" fontId="1" fillId="8" borderId="0" xfId="0" applyNumberFormat="1" applyFont="1" applyFill="1" applyProtection="1">
      <protection locked="0"/>
    </xf>
    <xf numFmtId="0" fontId="8" fillId="4" borderId="0" xfId="0" applyFont="1" applyFill="1" applyAlignment="1">
      <alignment horizontal="center" vertical="center" wrapText="1"/>
    </xf>
    <xf numFmtId="165" fontId="0" fillId="8" borderId="0" xfId="1" applyNumberFormat="1" applyFont="1" applyFill="1" applyProtection="1"/>
    <xf numFmtId="165" fontId="5" fillId="3" borderId="0" xfId="1" applyNumberFormat="1" applyFont="1" applyFill="1" applyProtection="1"/>
    <xf numFmtId="0" fontId="6" fillId="2" borderId="0" xfId="0" applyFont="1" applyFill="1" applyAlignment="1">
      <alignment horizontal="center" vertical="center" wrapText="1"/>
    </xf>
    <xf numFmtId="165" fontId="3" fillId="8" borderId="0" xfId="0" applyNumberFormat="1" applyFont="1" applyFill="1" applyAlignment="1">
      <alignment horizontal="right"/>
    </xf>
    <xf numFmtId="0" fontId="2" fillId="0" borderId="0" xfId="0" applyFont="1" applyAlignment="1">
      <alignment horizontal="center"/>
    </xf>
    <xf numFmtId="9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1" fontId="0" fillId="0" borderId="0" xfId="2" applyNumberFormat="1" applyFont="1" applyAlignment="1" applyProtection="1">
      <alignment horizontal="center"/>
      <protection locked="0"/>
    </xf>
    <xf numFmtId="0" fontId="8" fillId="10" borderId="0" xfId="0" applyFont="1" applyFill="1" applyAlignment="1">
      <alignment horizontal="center"/>
    </xf>
    <xf numFmtId="9" fontId="0" fillId="0" borderId="0" xfId="0" applyNumberFormat="1"/>
    <xf numFmtId="0" fontId="10" fillId="0" borderId="0" xfId="0" applyFont="1"/>
    <xf numFmtId="0" fontId="0" fillId="0" borderId="0" xfId="0" applyAlignment="1">
      <alignment horizontal="center"/>
    </xf>
    <xf numFmtId="1" fontId="0" fillId="0" borderId="0" xfId="2" applyNumberFormat="1" applyFont="1" applyAlignment="1" applyProtection="1">
      <alignment horizontal="center"/>
    </xf>
    <xf numFmtId="1" fontId="10" fillId="0" borderId="0" xfId="2" applyNumberFormat="1" applyFont="1" applyAlignment="1" applyProtection="1">
      <alignment horizontal="center"/>
    </xf>
    <xf numFmtId="9" fontId="10" fillId="0" borderId="0" xfId="2" applyFont="1" applyAlignment="1" applyProtection="1">
      <alignment horizontal="center"/>
    </xf>
    <xf numFmtId="0" fontId="1" fillId="0" borderId="0" xfId="0" applyFont="1" applyProtection="1">
      <protection locked="0"/>
    </xf>
    <xf numFmtId="0" fontId="13" fillId="0" borderId="0" xfId="0" applyFont="1" applyAlignment="1" applyProtection="1">
      <alignment vertical="center"/>
      <protection hidden="1"/>
    </xf>
    <xf numFmtId="0" fontId="0" fillId="0" borderId="0" xfId="0" applyProtection="1">
      <protection hidden="1"/>
    </xf>
    <xf numFmtId="0" fontId="10" fillId="0" borderId="0" xfId="0" applyFont="1" applyProtection="1">
      <protection hidden="1"/>
    </xf>
    <xf numFmtId="0" fontId="11" fillId="0" borderId="0" xfId="0" applyFont="1" applyAlignment="1" applyProtection="1">
      <alignment vertical="center" wrapText="1"/>
      <protection hidden="1"/>
    </xf>
    <xf numFmtId="0" fontId="8" fillId="9" borderId="19" xfId="0" applyFont="1" applyFill="1" applyBorder="1" applyAlignment="1" applyProtection="1">
      <alignment horizontal="right" vertical="center"/>
      <protection hidden="1"/>
    </xf>
    <xf numFmtId="9" fontId="7" fillId="6" borderId="20" xfId="2" applyFont="1" applyFill="1" applyBorder="1" applyAlignment="1" applyProtection="1">
      <alignment horizontal="center" vertical="center"/>
      <protection hidden="1"/>
    </xf>
    <xf numFmtId="9" fontId="7" fillId="6" borderId="5" xfId="2" applyFont="1" applyFill="1" applyBorder="1" applyAlignment="1" applyProtection="1">
      <alignment horizontal="center" vertical="center"/>
      <protection hidden="1"/>
    </xf>
    <xf numFmtId="0" fontId="17" fillId="10" borderId="0" xfId="0" applyFont="1" applyFill="1" applyAlignment="1" applyProtection="1">
      <alignment horizontal="right" wrapText="1"/>
      <protection hidden="1"/>
    </xf>
    <xf numFmtId="0" fontId="12" fillId="10" borderId="0" xfId="0" applyFont="1" applyFill="1" applyAlignment="1" applyProtection="1">
      <alignment horizontal="left" wrapText="1"/>
      <protection hidden="1"/>
    </xf>
    <xf numFmtId="3" fontId="15" fillId="0" borderId="22" xfId="0" applyNumberFormat="1" applyFont="1" applyBorder="1" applyAlignment="1" applyProtection="1">
      <alignment horizontal="center"/>
      <protection hidden="1"/>
    </xf>
    <xf numFmtId="3" fontId="12" fillId="10" borderId="0" xfId="0" applyNumberFormat="1" applyFont="1" applyFill="1" applyAlignment="1" applyProtection="1">
      <alignment horizontal="left"/>
      <protection hidden="1"/>
    </xf>
    <xf numFmtId="0" fontId="16" fillId="10" borderId="0" xfId="0" applyFont="1" applyFill="1" applyProtection="1">
      <protection hidden="1"/>
    </xf>
    <xf numFmtId="0" fontId="10" fillId="10" borderId="0" xfId="0" applyFont="1" applyFill="1" applyProtection="1">
      <protection hidden="1"/>
    </xf>
    <xf numFmtId="0" fontId="17" fillId="10" borderId="0" xfId="0" applyFont="1" applyFill="1" applyAlignment="1" applyProtection="1">
      <alignment horizontal="right" vertical="center" wrapText="1"/>
      <protection hidden="1"/>
    </xf>
    <xf numFmtId="0" fontId="12" fillId="10" borderId="0" xfId="0" applyFont="1" applyFill="1" applyAlignment="1" applyProtection="1">
      <alignment horizontal="center" vertical="center" wrapText="1"/>
      <protection hidden="1"/>
    </xf>
    <xf numFmtId="0" fontId="17" fillId="10" borderId="0" xfId="0" applyFont="1" applyFill="1" applyAlignment="1" applyProtection="1">
      <alignment horizontal="right" vertical="top" wrapText="1"/>
      <protection hidden="1"/>
    </xf>
    <xf numFmtId="0" fontId="2" fillId="7" borderId="4" xfId="0" applyFont="1" applyFill="1" applyBorder="1" applyAlignment="1" applyProtection="1">
      <alignment horizontal="center" vertical="center" wrapText="1"/>
      <protection hidden="1"/>
    </xf>
    <xf numFmtId="0" fontId="2" fillId="7" borderId="13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Protection="1">
      <protection hidden="1"/>
    </xf>
    <xf numFmtId="9" fontId="0" fillId="0" borderId="0" xfId="2" applyFont="1" applyAlignment="1" applyProtection="1">
      <alignment horizontal="center"/>
      <protection hidden="1"/>
    </xf>
    <xf numFmtId="3" fontId="2" fillId="0" borderId="0" xfId="0" applyNumberFormat="1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1" fillId="0" borderId="0" xfId="0" applyFont="1" applyProtection="1">
      <protection hidden="1"/>
    </xf>
    <xf numFmtId="165" fontId="1" fillId="0" borderId="0" xfId="0" applyNumberFormat="1" applyFont="1"/>
    <xf numFmtId="0" fontId="10" fillId="0" borderId="0" xfId="0" applyFont="1" applyProtection="1">
      <protection locked="0"/>
    </xf>
    <xf numFmtId="0" fontId="9" fillId="0" borderId="26" xfId="0" applyFont="1" applyBorder="1" applyAlignment="1" applyProtection="1">
      <alignment vertical="center"/>
      <protection hidden="1"/>
    </xf>
    <xf numFmtId="0" fontId="0" fillId="0" borderId="27" xfId="0" applyBorder="1" applyProtection="1">
      <protection hidden="1"/>
    </xf>
    <xf numFmtId="0" fontId="14" fillId="0" borderId="27" xfId="0" applyFont="1" applyBorder="1" applyAlignment="1" applyProtection="1">
      <alignment vertical="center"/>
      <protection hidden="1"/>
    </xf>
    <xf numFmtId="0" fontId="15" fillId="0" borderId="27" xfId="0" applyFont="1" applyBorder="1" applyProtection="1">
      <protection hidden="1"/>
    </xf>
    <xf numFmtId="0" fontId="9" fillId="0" borderId="27" xfId="0" applyFont="1" applyBorder="1" applyAlignment="1" applyProtection="1">
      <alignment vertical="center"/>
      <protection hidden="1"/>
    </xf>
    <xf numFmtId="0" fontId="0" fillId="0" borderId="28" xfId="0" applyBorder="1" applyProtection="1">
      <protection hidden="1"/>
    </xf>
    <xf numFmtId="0" fontId="8" fillId="9" borderId="31" xfId="0" applyFont="1" applyFill="1" applyBorder="1" applyAlignment="1" applyProtection="1">
      <alignment horizontal="right" vertical="center"/>
      <protection hidden="1"/>
    </xf>
    <xf numFmtId="0" fontId="8" fillId="9" borderId="0" xfId="0" applyFont="1" applyFill="1" applyAlignment="1" applyProtection="1">
      <alignment horizontal="right" vertical="center"/>
      <protection hidden="1"/>
    </xf>
    <xf numFmtId="9" fontId="7" fillId="6" borderId="32" xfId="2" applyFont="1" applyFill="1" applyBorder="1" applyAlignment="1" applyProtection="1">
      <alignment horizontal="center" vertical="center"/>
      <protection hidden="1"/>
    </xf>
    <xf numFmtId="0" fontId="8" fillId="9" borderId="33" xfId="0" applyFont="1" applyFill="1" applyBorder="1" applyAlignment="1" applyProtection="1">
      <alignment horizontal="right" vertical="center"/>
      <protection hidden="1"/>
    </xf>
    <xf numFmtId="0" fontId="15" fillId="0" borderId="0" xfId="0" applyFont="1" applyProtection="1">
      <protection hidden="1"/>
    </xf>
    <xf numFmtId="0" fontId="0" fillId="0" borderId="35" xfId="0" applyBorder="1" applyProtection="1">
      <protection hidden="1"/>
    </xf>
    <xf numFmtId="0" fontId="21" fillId="11" borderId="31" xfId="0" applyFont="1" applyFill="1" applyBorder="1" applyAlignment="1" applyProtection="1">
      <alignment horizontal="right"/>
      <protection hidden="1"/>
    </xf>
    <xf numFmtId="0" fontId="21" fillId="11" borderId="33" xfId="0" applyFont="1" applyFill="1" applyBorder="1" applyAlignment="1" applyProtection="1">
      <alignment horizontal="right"/>
      <protection hidden="1"/>
    </xf>
    <xf numFmtId="0" fontId="15" fillId="0" borderId="36" xfId="0" applyFont="1" applyBorder="1" applyProtection="1">
      <protection hidden="1"/>
    </xf>
    <xf numFmtId="0" fontId="0" fillId="0" borderId="36" xfId="0" applyBorder="1" applyProtection="1">
      <protection hidden="1"/>
    </xf>
    <xf numFmtId="0" fontId="8" fillId="9" borderId="37" xfId="0" applyFont="1" applyFill="1" applyBorder="1" applyAlignment="1" applyProtection="1">
      <alignment horizontal="right" vertical="center"/>
      <protection hidden="1"/>
    </xf>
    <xf numFmtId="9" fontId="7" fillId="6" borderId="38" xfId="2" applyFont="1" applyFill="1" applyBorder="1" applyAlignment="1" applyProtection="1">
      <alignment horizontal="center" vertical="center"/>
      <protection hidden="1"/>
    </xf>
    <xf numFmtId="0" fontId="1" fillId="0" borderId="0" xfId="0" applyFont="1"/>
    <xf numFmtId="0" fontId="23" fillId="0" borderId="0" xfId="0" applyFont="1" applyAlignment="1" applyProtection="1">
      <alignment horizontal="right"/>
      <protection hidden="1"/>
    </xf>
    <xf numFmtId="0" fontId="1" fillId="0" borderId="0" xfId="0" quotePrefix="1" applyFont="1"/>
    <xf numFmtId="0" fontId="0" fillId="0" borderId="0" xfId="0" applyAlignment="1">
      <alignment horizontal="left" indent="1"/>
    </xf>
    <xf numFmtId="0" fontId="15" fillId="0" borderId="44" xfId="0" applyFont="1" applyBorder="1" applyProtection="1">
      <protection hidden="1"/>
    </xf>
    <xf numFmtId="0" fontId="2" fillId="7" borderId="45" xfId="0" applyFont="1" applyFill="1" applyBorder="1" applyAlignment="1" applyProtection="1">
      <alignment horizontal="center" vertical="center" wrapText="1"/>
      <protection hidden="1"/>
    </xf>
    <xf numFmtId="0" fontId="3" fillId="0" borderId="0" xfId="2" applyNumberFormat="1" applyFont="1" applyAlignment="1" applyProtection="1">
      <alignment horizontal="center"/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2" fillId="16" borderId="0" xfId="0" applyFont="1" applyFill="1" applyAlignment="1" applyProtection="1">
      <alignment horizontal="right" wrapText="1"/>
      <protection hidden="1"/>
    </xf>
    <xf numFmtId="0" fontId="12" fillId="16" borderId="0" xfId="0" applyFont="1" applyFill="1" applyAlignment="1" applyProtection="1">
      <alignment horizontal="left" wrapText="1"/>
      <protection hidden="1"/>
    </xf>
    <xf numFmtId="3" fontId="12" fillId="16" borderId="0" xfId="0" applyNumberFormat="1" applyFont="1" applyFill="1" applyAlignment="1" applyProtection="1">
      <alignment horizontal="left"/>
      <protection hidden="1"/>
    </xf>
    <xf numFmtId="0" fontId="27" fillId="16" borderId="0" xfId="0" applyFont="1" applyFill="1" applyProtection="1">
      <protection hidden="1"/>
    </xf>
    <xf numFmtId="0" fontId="10" fillId="16" borderId="0" xfId="0" applyFont="1" applyFill="1" applyProtection="1">
      <protection hidden="1"/>
    </xf>
    <xf numFmtId="0" fontId="12" fillId="16" borderId="0" xfId="0" applyFont="1" applyFill="1" applyAlignment="1" applyProtection="1">
      <alignment horizontal="right" vertical="center" wrapText="1"/>
      <protection hidden="1"/>
    </xf>
    <xf numFmtId="0" fontId="12" fillId="16" borderId="0" xfId="0" applyFont="1" applyFill="1" applyAlignment="1" applyProtection="1">
      <alignment horizontal="center" vertical="center" wrapText="1"/>
      <protection hidden="1"/>
    </xf>
    <xf numFmtId="0" fontId="12" fillId="16" borderId="0" xfId="0" applyFont="1" applyFill="1" applyAlignment="1" applyProtection="1">
      <alignment horizontal="right" vertical="top" wrapText="1"/>
      <protection hidden="1"/>
    </xf>
    <xf numFmtId="0" fontId="21" fillId="16" borderId="0" xfId="0" applyFont="1" applyFill="1" applyAlignment="1" applyProtection="1">
      <alignment vertical="center" wrapText="1"/>
      <protection hidden="1"/>
    </xf>
    <xf numFmtId="0" fontId="12" fillId="16" borderId="0" xfId="0" applyFont="1" applyFill="1" applyAlignment="1" applyProtection="1">
      <alignment vertical="center" wrapText="1"/>
      <protection hidden="1"/>
    </xf>
    <xf numFmtId="1" fontId="0" fillId="0" borderId="0" xfId="0" applyNumberFormat="1" applyProtection="1">
      <protection locked="0"/>
    </xf>
    <xf numFmtId="9" fontId="3" fillId="0" borderId="0" xfId="2" applyFont="1" applyProtection="1">
      <protection locked="0"/>
    </xf>
    <xf numFmtId="14" fontId="0" fillId="0" borderId="0" xfId="0" applyNumberFormat="1" applyProtection="1">
      <protection hidden="1"/>
    </xf>
    <xf numFmtId="0" fontId="35" fillId="18" borderId="0" xfId="0" applyFont="1" applyFill="1" applyAlignment="1" applyProtection="1">
      <alignment vertical="center"/>
      <protection locked="0"/>
    </xf>
    <xf numFmtId="14" fontId="34" fillId="18" borderId="0" xfId="0" applyNumberFormat="1" applyFont="1" applyFill="1" applyAlignment="1" applyProtection="1">
      <alignment vertical="center"/>
      <protection locked="0"/>
    </xf>
    <xf numFmtId="0" fontId="31" fillId="21" borderId="0" xfId="0" applyFont="1" applyFill="1" applyAlignment="1" applyProtection="1">
      <alignment vertical="center"/>
      <protection locked="0"/>
    </xf>
    <xf numFmtId="0" fontId="7" fillId="21" borderId="0" xfId="0" applyFont="1" applyFill="1" applyAlignment="1" applyProtection="1">
      <alignment textRotation="90" wrapText="1"/>
      <protection locked="0"/>
    </xf>
    <xf numFmtId="0" fontId="3" fillId="21" borderId="0" xfId="0" applyFont="1" applyFill="1" applyProtection="1">
      <protection locked="0"/>
    </xf>
    <xf numFmtId="0" fontId="10" fillId="18" borderId="51" xfId="0" applyFont="1" applyFill="1" applyBorder="1" applyAlignment="1" applyProtection="1">
      <alignment horizontal="center"/>
      <protection hidden="1"/>
    </xf>
    <xf numFmtId="9" fontId="49" fillId="6" borderId="5" xfId="2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locked="0"/>
    </xf>
    <xf numFmtId="165" fontId="1" fillId="0" borderId="0" xfId="1" applyNumberFormat="1" applyFont="1" applyProtection="1">
      <protection locked="0"/>
    </xf>
    <xf numFmtId="1" fontId="0" fillId="0" borderId="0" xfId="0" applyNumberFormat="1" applyProtection="1">
      <protection hidden="1"/>
    </xf>
    <xf numFmtId="14" fontId="2" fillId="0" borderId="0" xfId="0" applyNumberFormat="1" applyFont="1" applyProtection="1">
      <protection hidden="1"/>
    </xf>
    <xf numFmtId="0" fontId="34" fillId="20" borderId="55" xfId="0" applyFont="1" applyFill="1" applyBorder="1" applyAlignment="1" applyProtection="1">
      <alignment horizontal="center" vertical="center"/>
      <protection hidden="1"/>
    </xf>
    <xf numFmtId="0" fontId="34" fillId="20" borderId="56" xfId="0" applyFont="1" applyFill="1" applyBorder="1" applyAlignment="1" applyProtection="1">
      <alignment horizontal="center" vertical="center" wrapText="1"/>
      <protection hidden="1"/>
    </xf>
    <xf numFmtId="0" fontId="16" fillId="0" borderId="15" xfId="0" applyFont="1" applyBorder="1" applyProtection="1">
      <protection hidden="1"/>
    </xf>
    <xf numFmtId="9" fontId="32" fillId="0" borderId="15" xfId="0" applyNumberFormat="1" applyFont="1" applyBorder="1" applyAlignment="1" applyProtection="1">
      <alignment horizontal="center" vertical="center"/>
      <protection hidden="1"/>
    </xf>
    <xf numFmtId="0" fontId="16" fillId="0" borderId="57" xfId="0" applyFont="1" applyBorder="1" applyProtection="1">
      <protection hidden="1"/>
    </xf>
    <xf numFmtId="9" fontId="32" fillId="0" borderId="57" xfId="0" applyNumberFormat="1" applyFont="1" applyBorder="1" applyAlignment="1" applyProtection="1">
      <alignment horizontal="center" vertical="center"/>
      <protection hidden="1"/>
    </xf>
    <xf numFmtId="0" fontId="16" fillId="0" borderId="58" xfId="0" applyFont="1" applyBorder="1" applyProtection="1">
      <protection hidden="1"/>
    </xf>
    <xf numFmtId="9" fontId="32" fillId="0" borderId="58" xfId="0" applyNumberFormat="1" applyFont="1" applyBorder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vertical="center"/>
      <protection hidden="1"/>
    </xf>
    <xf numFmtId="0" fontId="34" fillId="20" borderId="59" xfId="0" applyFont="1" applyFill="1" applyBorder="1" applyAlignment="1" applyProtection="1">
      <alignment horizontal="center" vertical="center" wrapText="1"/>
      <protection hidden="1"/>
    </xf>
    <xf numFmtId="0" fontId="34" fillId="20" borderId="60" xfId="0" applyFont="1" applyFill="1" applyBorder="1" applyAlignment="1" applyProtection="1">
      <alignment horizontal="center" vertical="center" wrapText="1"/>
      <protection hidden="1"/>
    </xf>
    <xf numFmtId="0" fontId="16" fillId="0" borderId="15" xfId="0" applyFont="1" applyBorder="1" applyAlignment="1" applyProtection="1">
      <alignment horizontal="right" vertic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4" fillId="0" borderId="15" xfId="0" applyFont="1" applyBorder="1" applyAlignment="1" applyProtection="1">
      <alignment horizontal="center" vertical="center"/>
      <protection hidden="1"/>
    </xf>
    <xf numFmtId="9" fontId="36" fillId="0" borderId="15" xfId="0" applyNumberFormat="1" applyFont="1" applyBorder="1" applyAlignment="1" applyProtection="1">
      <alignment horizontal="center" vertical="center"/>
      <protection hidden="1"/>
    </xf>
    <xf numFmtId="0" fontId="37" fillId="0" borderId="15" xfId="0" applyFont="1" applyBorder="1" applyAlignment="1" applyProtection="1">
      <alignment horizontal="center" vertical="center"/>
      <protection hidden="1"/>
    </xf>
    <xf numFmtId="0" fontId="34" fillId="17" borderId="55" xfId="0" applyFont="1" applyFill="1" applyBorder="1" applyAlignment="1" applyProtection="1">
      <alignment horizontal="center" vertical="center"/>
      <protection hidden="1"/>
    </xf>
    <xf numFmtId="0" fontId="34" fillId="17" borderId="56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34" fillId="20" borderId="61" xfId="0" applyFont="1" applyFill="1" applyBorder="1" applyAlignment="1" applyProtection="1">
      <alignment horizontal="center" vertical="center" wrapText="1"/>
      <protection hidden="1"/>
    </xf>
    <xf numFmtId="0" fontId="34" fillId="20" borderId="62" xfId="0" applyFont="1" applyFill="1" applyBorder="1" applyAlignment="1" applyProtection="1">
      <alignment horizontal="center" vertical="center" wrapText="1"/>
      <protection hidden="1"/>
    </xf>
    <xf numFmtId="9" fontId="27" fillId="20" borderId="15" xfId="0" applyNumberFormat="1" applyFont="1" applyFill="1" applyBorder="1" applyAlignment="1" applyProtection="1">
      <alignment horizontal="center"/>
      <protection hidden="1"/>
    </xf>
    <xf numFmtId="9" fontId="0" fillId="21" borderId="15" xfId="0" applyNumberFormat="1" applyFill="1" applyBorder="1" applyAlignment="1" applyProtection="1">
      <alignment horizontal="center"/>
      <protection hidden="1"/>
    </xf>
    <xf numFmtId="9" fontId="0" fillId="21" borderId="15" xfId="2" applyFont="1" applyFill="1" applyBorder="1" applyAlignment="1" applyProtection="1">
      <alignment horizontal="center"/>
      <protection hidden="1"/>
    </xf>
    <xf numFmtId="9" fontId="32" fillId="0" borderId="0" xfId="0" applyNumberFormat="1" applyFont="1" applyAlignment="1" applyProtection="1">
      <alignment horizontal="center" vertical="center"/>
      <protection hidden="1"/>
    </xf>
    <xf numFmtId="0" fontId="26" fillId="6" borderId="46" xfId="2" applyNumberFormat="1" applyFont="1" applyFill="1" applyBorder="1" applyAlignment="1" applyProtection="1">
      <alignment horizontal="center"/>
      <protection hidden="1"/>
    </xf>
    <xf numFmtId="9" fontId="22" fillId="0" borderId="23" xfId="0" applyNumberFormat="1" applyFont="1" applyBorder="1" applyAlignment="1" applyProtection="1">
      <alignment horizontal="center"/>
      <protection hidden="1"/>
    </xf>
    <xf numFmtId="9" fontId="33" fillId="0" borderId="0" xfId="0" applyNumberFormat="1" applyFont="1" applyAlignment="1" applyProtection="1">
      <alignment horizontal="center" vertical="center"/>
      <protection hidden="1"/>
    </xf>
    <xf numFmtId="0" fontId="8" fillId="4" borderId="3" xfId="0" applyFont="1" applyFill="1" applyBorder="1" applyAlignment="1" applyProtection="1">
      <alignment vertical="center" wrapText="1"/>
      <protection locked="0" hidden="1"/>
    </xf>
    <xf numFmtId="0" fontId="8" fillId="4" borderId="2" xfId="0" applyFont="1" applyFill="1" applyBorder="1" applyAlignment="1" applyProtection="1">
      <alignment horizontal="center" vertical="center" wrapText="1"/>
      <protection locked="0" hidden="1"/>
    </xf>
    <xf numFmtId="0" fontId="8" fillId="4" borderId="2" xfId="0" applyFont="1" applyFill="1" applyBorder="1" applyAlignment="1" applyProtection="1">
      <alignment vertical="center" wrapText="1"/>
      <protection hidden="1"/>
    </xf>
    <xf numFmtId="0" fontId="0" fillId="0" borderId="6" xfId="0" applyBorder="1" applyProtection="1">
      <protection locked="0" hidden="1"/>
    </xf>
    <xf numFmtId="0" fontId="0" fillId="0" borderId="6" xfId="0" pivotButton="1" applyBorder="1" applyProtection="1">
      <protection locked="0" hidden="1"/>
    </xf>
    <xf numFmtId="0" fontId="0" fillId="0" borderId="7" xfId="0" applyBorder="1" applyProtection="1">
      <protection locked="0" hidden="1"/>
    </xf>
    <xf numFmtId="0" fontId="0" fillId="0" borderId="8" xfId="0" applyBorder="1" applyProtection="1">
      <protection locked="0" hidden="1"/>
    </xf>
    <xf numFmtId="0" fontId="0" fillId="0" borderId="9" xfId="0" applyBorder="1" applyProtection="1">
      <protection locked="0" hidden="1"/>
    </xf>
    <xf numFmtId="0" fontId="0" fillId="0" borderId="1" xfId="0" applyBorder="1" applyProtection="1">
      <protection hidden="1"/>
    </xf>
    <xf numFmtId="0" fontId="0" fillId="0" borderId="0" xfId="0" applyProtection="1">
      <protection locked="0" hidden="1"/>
    </xf>
    <xf numFmtId="0" fontId="0" fillId="0" borderId="1" xfId="0" applyBorder="1" applyProtection="1">
      <protection locked="0" hidden="1"/>
    </xf>
    <xf numFmtId="0" fontId="0" fillId="0" borderId="0" xfId="0" pivotButton="1" applyProtection="1">
      <protection hidden="1"/>
    </xf>
    <xf numFmtId="0" fontId="0" fillId="0" borderId="0" xfId="0" applyAlignment="1" applyProtection="1">
      <alignment horizontal="left"/>
      <protection hidden="1"/>
    </xf>
    <xf numFmtId="9" fontId="0" fillId="0" borderId="0" xfId="0" applyNumberFormat="1" applyProtection="1">
      <protection hidden="1"/>
    </xf>
    <xf numFmtId="0" fontId="8" fillId="4" borderId="3" xfId="0" applyFont="1" applyFill="1" applyBorder="1" applyAlignment="1" applyProtection="1">
      <alignment horizontal="center" vertical="center" wrapText="1"/>
      <protection locked="0" hidden="1"/>
    </xf>
    <xf numFmtId="0" fontId="8" fillId="4" borderId="0" xfId="0" applyFont="1" applyFill="1" applyAlignment="1" applyProtection="1">
      <alignment horizontal="center" vertical="center" wrapText="1"/>
      <protection locked="0" hidden="1"/>
    </xf>
    <xf numFmtId="9" fontId="10" fillId="0" borderId="0" xfId="0" applyNumberFormat="1" applyFont="1" applyAlignment="1" applyProtection="1">
      <alignment horizontal="center"/>
      <protection hidden="1"/>
    </xf>
    <xf numFmtId="9" fontId="10" fillId="0" borderId="0" xfId="0" applyNumberFormat="1" applyFont="1" applyProtection="1">
      <protection hidden="1"/>
    </xf>
    <xf numFmtId="9" fontId="10" fillId="0" borderId="0" xfId="2" applyFont="1" applyProtection="1">
      <protection hidden="1"/>
    </xf>
    <xf numFmtId="9" fontId="0" fillId="0" borderId="0" xfId="0" applyNumberFormat="1" applyAlignment="1" applyProtection="1">
      <alignment horizontal="center"/>
      <protection locked="0" hidden="1"/>
    </xf>
    <xf numFmtId="0" fontId="0" fillId="0" borderId="3" xfId="0" applyBorder="1" applyProtection="1">
      <protection hidden="1"/>
    </xf>
    <xf numFmtId="0" fontId="40" fillId="0" borderId="2" xfId="0" applyFont="1" applyBorder="1" applyProtection="1">
      <protection hidden="1"/>
    </xf>
    <xf numFmtId="0" fontId="0" fillId="0" borderId="2" xfId="0" applyBorder="1" applyProtection="1">
      <protection hidden="1"/>
    </xf>
    <xf numFmtId="0" fontId="2" fillId="0" borderId="2" xfId="0" applyFont="1" applyBorder="1" applyProtection="1">
      <protection hidden="1"/>
    </xf>
    <xf numFmtId="0" fontId="0" fillId="0" borderId="24" xfId="0" applyBorder="1" applyProtection="1">
      <protection hidden="1"/>
    </xf>
    <xf numFmtId="0" fontId="0" fillId="22" borderId="25" xfId="0" applyFill="1" applyBorder="1" applyProtection="1">
      <protection hidden="1"/>
    </xf>
    <xf numFmtId="1" fontId="40" fillId="0" borderId="15" xfId="0" applyNumberFormat="1" applyFont="1" applyBorder="1" applyProtection="1">
      <protection hidden="1"/>
    </xf>
    <xf numFmtId="0" fontId="0" fillId="0" borderId="25" xfId="0" applyBorder="1" applyProtection="1">
      <protection hidden="1"/>
    </xf>
    <xf numFmtId="9" fontId="42" fillId="0" borderId="1" xfId="0" applyNumberFormat="1" applyFont="1" applyBorder="1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9" fontId="43" fillId="0" borderId="1" xfId="0" applyNumberFormat="1" applyFont="1" applyBorder="1" applyAlignment="1" applyProtection="1">
      <alignment horizontal="left"/>
      <protection hidden="1"/>
    </xf>
    <xf numFmtId="9" fontId="44" fillId="0" borderId="0" xfId="0" applyNumberFormat="1" applyFont="1" applyProtection="1">
      <protection hidden="1"/>
    </xf>
    <xf numFmtId="0" fontId="0" fillId="0" borderId="42" xfId="0" applyBorder="1" applyProtection="1">
      <protection hidden="1"/>
    </xf>
    <xf numFmtId="1" fontId="1" fillId="0" borderId="66" xfId="0" applyNumberFormat="1" applyFont="1" applyBorder="1" applyProtection="1">
      <protection hidden="1"/>
    </xf>
    <xf numFmtId="1" fontId="1" fillId="0" borderId="67" xfId="0" applyNumberFormat="1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0" fillId="22" borderId="43" xfId="0" applyFill="1" applyBorder="1" applyProtection="1">
      <protection hidden="1"/>
    </xf>
    <xf numFmtId="0" fontId="0" fillId="22" borderId="15" xfId="0" applyFill="1" applyBorder="1" applyProtection="1">
      <protection hidden="1"/>
    </xf>
    <xf numFmtId="0" fontId="0" fillId="22" borderId="40" xfId="0" applyFill="1" applyBorder="1" applyProtection="1">
      <protection hidden="1"/>
    </xf>
    <xf numFmtId="0" fontId="0" fillId="23" borderId="15" xfId="0" applyFill="1" applyBorder="1" applyProtection="1">
      <protection hidden="1"/>
    </xf>
    <xf numFmtId="0" fontId="0" fillId="0" borderId="15" xfId="0" applyBorder="1" applyProtection="1">
      <protection hidden="1"/>
    </xf>
    <xf numFmtId="1" fontId="0" fillId="22" borderId="40" xfId="0" applyNumberFormat="1" applyFill="1" applyBorder="1" applyProtection="1">
      <protection hidden="1"/>
    </xf>
    <xf numFmtId="1" fontId="0" fillId="23" borderId="15" xfId="0" applyNumberFormat="1" applyFill="1" applyBorder="1" applyProtection="1">
      <protection hidden="1"/>
    </xf>
    <xf numFmtId="1" fontId="0" fillId="22" borderId="15" xfId="0" applyNumberFormat="1" applyFill="1" applyBorder="1" applyProtection="1">
      <protection hidden="1"/>
    </xf>
    <xf numFmtId="1" fontId="0" fillId="0" borderId="1" xfId="0" applyNumberFormat="1" applyBorder="1" applyProtection="1">
      <protection hidden="1"/>
    </xf>
    <xf numFmtId="9" fontId="0" fillId="22" borderId="40" xfId="0" applyNumberFormat="1" applyFill="1" applyBorder="1" applyProtection="1">
      <protection hidden="1"/>
    </xf>
    <xf numFmtId="9" fontId="0" fillId="23" borderId="15" xfId="0" applyNumberFormat="1" applyFill="1" applyBorder="1" applyProtection="1">
      <protection hidden="1"/>
    </xf>
    <xf numFmtId="9" fontId="0" fillId="22" borderId="15" xfId="0" applyNumberFormat="1" applyFill="1" applyBorder="1" applyProtection="1">
      <protection hidden="1"/>
    </xf>
    <xf numFmtId="9" fontId="0" fillId="0" borderId="1" xfId="0" applyNumberFormat="1" applyBorder="1" applyProtection="1">
      <protection hidden="1"/>
    </xf>
    <xf numFmtId="0" fontId="0" fillId="0" borderId="63" xfId="0" applyBorder="1" applyProtection="1">
      <protection hidden="1"/>
    </xf>
    <xf numFmtId="0" fontId="0" fillId="0" borderId="64" xfId="0" applyBorder="1" applyProtection="1">
      <protection hidden="1"/>
    </xf>
    <xf numFmtId="0" fontId="0" fillId="0" borderId="65" xfId="0" applyBorder="1" applyProtection="1">
      <protection hidden="1"/>
    </xf>
    <xf numFmtId="0" fontId="2" fillId="0" borderId="0" xfId="0" applyFont="1" applyAlignment="1" applyProtection="1">
      <alignment horizontal="centerContinuous"/>
      <protection locked="0" hidden="1"/>
    </xf>
    <xf numFmtId="0" fontId="0" fillId="0" borderId="0" xfId="0" applyAlignment="1" applyProtection="1">
      <alignment horizontal="centerContinuous"/>
      <protection locked="0" hidden="1"/>
    </xf>
    <xf numFmtId="0" fontId="2" fillId="0" borderId="0" xfId="0" applyFont="1" applyProtection="1">
      <protection locked="0" hidden="1"/>
    </xf>
    <xf numFmtId="0" fontId="1" fillId="0" borderId="0" xfId="0" applyFont="1" applyProtection="1">
      <protection locked="0" hidden="1"/>
    </xf>
    <xf numFmtId="0" fontId="34" fillId="20" borderId="55" xfId="0" applyFont="1" applyFill="1" applyBorder="1" applyAlignment="1">
      <alignment horizontal="center" vertical="center"/>
    </xf>
    <xf numFmtId="0" fontId="34" fillId="20" borderId="56" xfId="0" applyFont="1" applyFill="1" applyBorder="1" applyAlignment="1">
      <alignment horizontal="center" vertical="center" wrapText="1"/>
    </xf>
    <xf numFmtId="0" fontId="34" fillId="20" borderId="61" xfId="0" applyFont="1" applyFill="1" applyBorder="1" applyAlignment="1">
      <alignment horizontal="center" vertical="center" wrapText="1"/>
    </xf>
    <xf numFmtId="0" fontId="16" fillId="0" borderId="15" xfId="0" applyFont="1" applyBorder="1"/>
    <xf numFmtId="9" fontId="32" fillId="0" borderId="15" xfId="2" applyFont="1" applyBorder="1" applyAlignment="1">
      <alignment horizontal="center" vertical="center"/>
    </xf>
    <xf numFmtId="0" fontId="39" fillId="0" borderId="63" xfId="3" applyBorder="1" applyProtection="1">
      <protection hidden="1"/>
    </xf>
    <xf numFmtId="9" fontId="49" fillId="6" borderId="5" xfId="2" applyFont="1" applyFill="1" applyBorder="1" applyAlignment="1" applyProtection="1">
      <alignment horizontal="center" vertical="center"/>
      <protection hidden="1"/>
    </xf>
    <xf numFmtId="0" fontId="15" fillId="0" borderId="44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1" fontId="0" fillId="0" borderId="0" xfId="0" applyNumberFormat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35" xfId="0" applyBorder="1" applyAlignment="1" applyProtection="1">
      <alignment vertical="center"/>
      <protection hidden="1"/>
    </xf>
    <xf numFmtId="0" fontId="23" fillId="0" borderId="0" xfId="0" applyFont="1" applyAlignment="1" applyProtection="1">
      <alignment horizontal="right" vertical="center"/>
      <protection hidden="1"/>
    </xf>
    <xf numFmtId="0" fontId="8" fillId="13" borderId="15" xfId="0" applyFont="1" applyFill="1" applyBorder="1" applyAlignment="1" applyProtection="1">
      <alignment horizontal="center" vertical="center"/>
      <protection locked="0"/>
    </xf>
    <xf numFmtId="0" fontId="8" fillId="13" borderId="15" xfId="0" applyFont="1" applyFill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/>
    </xf>
    <xf numFmtId="1" fontId="0" fillId="0" borderId="15" xfId="0" applyNumberFormat="1" applyBorder="1" applyAlignment="1">
      <alignment horizontal="center"/>
    </xf>
    <xf numFmtId="9" fontId="0" fillId="0" borderId="15" xfId="2" applyFont="1" applyBorder="1" applyAlignment="1">
      <alignment horizontal="center"/>
    </xf>
    <xf numFmtId="9" fontId="0" fillId="0" borderId="15" xfId="2" applyFont="1" applyBorder="1" applyAlignment="1">
      <alignment horizontal="center" wrapText="1"/>
    </xf>
    <xf numFmtId="1" fontId="0" fillId="0" borderId="71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9" fontId="0" fillId="0" borderId="71" xfId="2" applyFont="1" applyBorder="1" applyAlignment="1">
      <alignment horizontal="center"/>
    </xf>
    <xf numFmtId="9" fontId="0" fillId="0" borderId="71" xfId="2" applyFont="1" applyBorder="1" applyAlignment="1">
      <alignment horizontal="center" wrapText="1"/>
    </xf>
    <xf numFmtId="1" fontId="0" fillId="0" borderId="58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9" fontId="0" fillId="0" borderId="58" xfId="2" applyFont="1" applyBorder="1" applyAlignment="1">
      <alignment horizontal="center"/>
    </xf>
    <xf numFmtId="9" fontId="0" fillId="0" borderId="58" xfId="2" applyFont="1" applyBorder="1" applyAlignment="1">
      <alignment horizontal="center" wrapText="1"/>
    </xf>
    <xf numFmtId="0" fontId="2" fillId="12" borderId="72" xfId="0" applyFont="1" applyFill="1" applyBorder="1" applyAlignment="1" applyProtection="1">
      <alignment vertical="center"/>
      <protection locked="0"/>
    </xf>
    <xf numFmtId="0" fontId="0" fillId="0" borderId="73" xfId="0" applyBorder="1"/>
    <xf numFmtId="0" fontId="0" fillId="0" borderId="74" xfId="0" applyBorder="1"/>
    <xf numFmtId="0" fontId="2" fillId="12" borderId="72" xfId="0" applyFont="1" applyFill="1" applyBorder="1" applyAlignment="1" applyProtection="1">
      <alignment horizontal="center" vertical="center"/>
      <protection locked="0"/>
    </xf>
    <xf numFmtId="0" fontId="8" fillId="13" borderId="72" xfId="0" applyFont="1" applyFill="1" applyBorder="1" applyAlignment="1" applyProtection="1">
      <alignment horizontal="center" vertical="center"/>
      <protection locked="0"/>
    </xf>
    <xf numFmtId="0" fontId="0" fillId="0" borderId="39" xfId="0" applyBorder="1" applyAlignment="1">
      <alignment horizontal="center"/>
    </xf>
    <xf numFmtId="0" fontId="0" fillId="0" borderId="39" xfId="0" applyBorder="1"/>
    <xf numFmtId="0" fontId="0" fillId="0" borderId="79" xfId="0" applyBorder="1"/>
    <xf numFmtId="0" fontId="0" fillId="0" borderId="81" xfId="0" applyBorder="1"/>
    <xf numFmtId="1" fontId="2" fillId="0" borderId="73" xfId="0" applyNumberFormat="1" applyFont="1" applyBorder="1" applyAlignment="1">
      <alignment horizontal="center"/>
    </xf>
    <xf numFmtId="9" fontId="2" fillId="0" borderId="73" xfId="2" applyFont="1" applyBorder="1" applyAlignment="1">
      <alignment horizontal="center"/>
    </xf>
    <xf numFmtId="0" fontId="2" fillId="0" borderId="73" xfId="0" applyFont="1" applyBorder="1" applyAlignment="1">
      <alignment horizontal="center"/>
    </xf>
    <xf numFmtId="1" fontId="2" fillId="27" borderId="73" xfId="0" applyNumberFormat="1" applyFont="1" applyFill="1" applyBorder="1" applyAlignment="1">
      <alignment horizontal="center"/>
    </xf>
    <xf numFmtId="9" fontId="2" fillId="27" borderId="73" xfId="2" applyFont="1" applyFill="1" applyBorder="1" applyAlignment="1">
      <alignment horizontal="center"/>
    </xf>
    <xf numFmtId="0" fontId="2" fillId="27" borderId="73" xfId="0" applyFont="1" applyFill="1" applyBorder="1" applyAlignment="1">
      <alignment horizontal="center"/>
    </xf>
    <xf numFmtId="0" fontId="2" fillId="27" borderId="74" xfId="0" applyFont="1" applyFill="1" applyBorder="1" applyAlignment="1">
      <alignment horizontal="center"/>
    </xf>
    <xf numFmtId="0" fontId="2" fillId="27" borderId="74" xfId="0" applyFont="1" applyFill="1" applyBorder="1"/>
    <xf numFmtId="0" fontId="2" fillId="20" borderId="73" xfId="0" applyFont="1" applyFill="1" applyBorder="1" applyAlignment="1">
      <alignment horizontal="center"/>
    </xf>
    <xf numFmtId="9" fontId="2" fillId="20" borderId="73" xfId="2" applyFont="1" applyFill="1" applyBorder="1" applyAlignment="1">
      <alignment horizontal="center" wrapText="1"/>
    </xf>
    <xf numFmtId="14" fontId="2" fillId="0" borderId="0" xfId="0" applyNumberFormat="1" applyFont="1" applyAlignment="1" applyProtection="1">
      <alignment horizontal="left"/>
      <protection hidden="1"/>
    </xf>
    <xf numFmtId="165" fontId="50" fillId="0" borderId="0" xfId="0" applyNumberFormat="1" applyFont="1"/>
    <xf numFmtId="0" fontId="22" fillId="6" borderId="46" xfId="2" applyNumberFormat="1" applyFont="1" applyFill="1" applyBorder="1" applyAlignment="1" applyProtection="1">
      <alignment horizontal="center"/>
      <protection hidden="1"/>
    </xf>
    <xf numFmtId="9" fontId="22" fillId="6" borderId="82" xfId="0" applyNumberFormat="1" applyFont="1" applyFill="1" applyBorder="1" applyAlignment="1">
      <alignment horizontal="center"/>
    </xf>
    <xf numFmtId="9" fontId="7" fillId="0" borderId="0" xfId="2" applyFont="1" applyAlignment="1" applyProtection="1">
      <alignment horizontal="center"/>
    </xf>
    <xf numFmtId="1" fontId="7" fillId="0" borderId="0" xfId="2" applyNumberFormat="1" applyFont="1" applyAlignment="1" applyProtection="1">
      <alignment horizontal="center"/>
    </xf>
    <xf numFmtId="0" fontId="0" fillId="0" borderId="0" xfId="0" pivotButton="1" applyProtection="1">
      <protection locked="0" hidden="1"/>
    </xf>
    <xf numFmtId="0" fontId="1" fillId="0" borderId="0" xfId="0" applyFont="1" applyAlignment="1" applyProtection="1">
      <alignment horizontal="centerContinuous"/>
      <protection locked="0" hidden="1"/>
    </xf>
    <xf numFmtId="1" fontId="0" fillId="0" borderId="0" xfId="0" applyNumberFormat="1"/>
    <xf numFmtId="9" fontId="0" fillId="0" borderId="0" xfId="0" applyNumberFormat="1" applyProtection="1">
      <protection locked="0" hidden="1"/>
    </xf>
    <xf numFmtId="0" fontId="1" fillId="0" borderId="0" xfId="0" applyFont="1" applyAlignment="1" applyProtection="1">
      <alignment horizontal="center"/>
      <protection locked="0" hidden="1"/>
    </xf>
    <xf numFmtId="9" fontId="0" fillId="0" borderId="0" xfId="2" applyFont="1" applyProtection="1">
      <protection locked="0" hidden="1"/>
    </xf>
    <xf numFmtId="0" fontId="51" fillId="0" borderId="10" xfId="0" applyFont="1" applyBorder="1" applyProtection="1">
      <protection locked="0" hidden="1"/>
    </xf>
    <xf numFmtId="9" fontId="51" fillId="0" borderId="3" xfId="0" applyNumberFormat="1" applyFont="1" applyBorder="1" applyAlignment="1" applyProtection="1">
      <alignment horizontal="center"/>
      <protection locked="0" hidden="1"/>
    </xf>
    <xf numFmtId="9" fontId="51" fillId="0" borderId="2" xfId="0" applyNumberFormat="1" applyFont="1" applyBorder="1" applyAlignment="1" applyProtection="1">
      <alignment horizontal="center"/>
      <protection locked="0" hidden="1"/>
    </xf>
    <xf numFmtId="3" fontId="51" fillId="0" borderId="2" xfId="0" applyNumberFormat="1" applyFont="1" applyBorder="1" applyAlignment="1" applyProtection="1">
      <alignment horizontal="center"/>
      <protection locked="0" hidden="1"/>
    </xf>
    <xf numFmtId="9" fontId="51" fillId="0" borderId="24" xfId="0" applyNumberFormat="1" applyFont="1" applyBorder="1" applyAlignment="1" applyProtection="1">
      <alignment horizontal="center"/>
      <protection locked="0" hidden="1"/>
    </xf>
    <xf numFmtId="0" fontId="51" fillId="0" borderId="11" xfId="0" applyFont="1" applyBorder="1" applyProtection="1">
      <protection locked="0" hidden="1"/>
    </xf>
    <xf numFmtId="9" fontId="51" fillId="0" borderId="25" xfId="0" applyNumberFormat="1" applyFont="1" applyBorder="1" applyAlignment="1" applyProtection="1">
      <alignment horizontal="center"/>
      <protection locked="0" hidden="1"/>
    </xf>
    <xf numFmtId="9" fontId="51" fillId="0" borderId="0" xfId="0" applyNumberFormat="1" applyFont="1" applyAlignment="1" applyProtection="1">
      <alignment horizontal="center"/>
      <protection locked="0" hidden="1"/>
    </xf>
    <xf numFmtId="3" fontId="51" fillId="0" borderId="0" xfId="0" applyNumberFormat="1" applyFont="1" applyAlignment="1" applyProtection="1">
      <alignment horizontal="center"/>
      <protection locked="0" hidden="1"/>
    </xf>
    <xf numFmtId="9" fontId="51" fillId="0" borderId="1" xfId="0" applyNumberFormat="1" applyFont="1" applyBorder="1" applyAlignment="1" applyProtection="1">
      <alignment horizontal="center"/>
      <protection locked="0" hidden="1"/>
    </xf>
    <xf numFmtId="0" fontId="51" fillId="0" borderId="12" xfId="0" applyFont="1" applyBorder="1" applyProtection="1">
      <protection locked="0" hidden="1"/>
    </xf>
    <xf numFmtId="0" fontId="51" fillId="0" borderId="6" xfId="0" applyFont="1" applyBorder="1" applyProtection="1">
      <protection locked="0" hidden="1"/>
    </xf>
    <xf numFmtId="9" fontId="51" fillId="0" borderId="7" xfId="0" applyNumberFormat="1" applyFont="1" applyBorder="1" applyAlignment="1" applyProtection="1">
      <alignment horizontal="center"/>
      <protection locked="0" hidden="1"/>
    </xf>
    <xf numFmtId="9" fontId="51" fillId="0" borderId="8" xfId="0" applyNumberFormat="1" applyFont="1" applyBorder="1" applyAlignment="1" applyProtection="1">
      <alignment horizontal="center"/>
      <protection locked="0" hidden="1"/>
    </xf>
    <xf numFmtId="3" fontId="51" fillId="0" borderId="8" xfId="0" applyNumberFormat="1" applyFont="1" applyBorder="1" applyAlignment="1" applyProtection="1">
      <alignment horizontal="center"/>
      <protection locked="0" hidden="1"/>
    </xf>
    <xf numFmtId="9" fontId="51" fillId="0" borderId="9" xfId="0" applyNumberFormat="1" applyFont="1" applyBorder="1" applyAlignment="1" applyProtection="1">
      <alignment horizontal="center"/>
      <protection locked="0" hidden="1"/>
    </xf>
    <xf numFmtId="1" fontId="51" fillId="0" borderId="2" xfId="0" applyNumberFormat="1" applyFont="1" applyBorder="1" applyAlignment="1" applyProtection="1">
      <alignment horizontal="center"/>
      <protection locked="0" hidden="1"/>
    </xf>
    <xf numFmtId="1" fontId="51" fillId="0" borderId="0" xfId="0" applyNumberFormat="1" applyFont="1" applyAlignment="1" applyProtection="1">
      <alignment horizontal="center"/>
      <protection locked="0" hidden="1"/>
    </xf>
    <xf numFmtId="1" fontId="51" fillId="0" borderId="8" xfId="0" applyNumberFormat="1" applyFont="1" applyBorder="1" applyAlignment="1" applyProtection="1">
      <alignment horizontal="center"/>
      <protection locked="0" hidden="1"/>
    </xf>
    <xf numFmtId="0" fontId="7" fillId="0" borderId="0" xfId="0" applyFont="1" applyProtection="1">
      <protection hidden="1"/>
    </xf>
    <xf numFmtId="0" fontId="52" fillId="15" borderId="0" xfId="0" applyFont="1" applyFill="1"/>
    <xf numFmtId="3" fontId="0" fillId="28" borderId="0" xfId="0" applyNumberFormat="1" applyFill="1"/>
    <xf numFmtId="1" fontId="0" fillId="28" borderId="0" xfId="0" applyNumberFormat="1" applyFill="1"/>
    <xf numFmtId="0" fontId="10" fillId="29" borderId="0" xfId="0" applyFont="1" applyFill="1"/>
    <xf numFmtId="0" fontId="10" fillId="29" borderId="0" xfId="0" applyFont="1" applyFill="1" applyAlignment="1">
      <alignment horizontal="center"/>
    </xf>
    <xf numFmtId="0" fontId="2" fillId="0" borderId="0" xfId="0" applyFont="1" applyProtection="1">
      <protection locked="0"/>
    </xf>
    <xf numFmtId="0" fontId="1" fillId="16" borderId="40" xfId="0" applyFont="1" applyFill="1" applyBorder="1" applyAlignment="1" applyProtection="1">
      <alignment horizontal="center" vertical="center"/>
      <protection locked="0"/>
    </xf>
    <xf numFmtId="0" fontId="1" fillId="16" borderId="78" xfId="0" applyFont="1" applyFill="1" applyBorder="1" applyAlignment="1" applyProtection="1">
      <alignment horizontal="center" vertical="center"/>
      <protection locked="0"/>
    </xf>
    <xf numFmtId="0" fontId="1" fillId="16" borderId="80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30" fillId="18" borderId="0" xfId="0" applyFont="1" applyFill="1" applyAlignment="1" applyProtection="1">
      <alignment horizontal="center" vertical="center"/>
      <protection locked="0"/>
    </xf>
    <xf numFmtId="0" fontId="8" fillId="13" borderId="75" xfId="0" applyFont="1" applyFill="1" applyBorder="1" applyAlignment="1" applyProtection="1">
      <alignment horizontal="center" vertical="center" wrapText="1"/>
      <protection locked="0"/>
    </xf>
    <xf numFmtId="0" fontId="8" fillId="13" borderId="40" xfId="0" applyFont="1" applyFill="1" applyBorder="1" applyAlignment="1" applyProtection="1">
      <alignment horizontal="center" vertical="center" wrapText="1"/>
      <protection locked="0"/>
    </xf>
    <xf numFmtId="0" fontId="6" fillId="14" borderId="76" xfId="0" applyFont="1" applyFill="1" applyBorder="1" applyAlignment="1" applyProtection="1">
      <alignment horizontal="center" vertical="center" wrapText="1"/>
      <protection locked="0"/>
    </xf>
    <xf numFmtId="0" fontId="6" fillId="15" borderId="76" xfId="0" applyFont="1" applyFill="1" applyBorder="1" applyAlignment="1" applyProtection="1">
      <alignment horizontal="center" vertical="center"/>
      <protection locked="0"/>
    </xf>
    <xf numFmtId="0" fontId="8" fillId="13" borderId="76" xfId="0" applyFont="1" applyFill="1" applyBorder="1" applyAlignment="1" applyProtection="1">
      <alignment horizontal="center" vertical="center" wrapText="1"/>
      <protection locked="0"/>
    </xf>
    <xf numFmtId="0" fontId="8" fillId="13" borderId="15" xfId="0" applyFont="1" applyFill="1" applyBorder="1" applyAlignment="1" applyProtection="1">
      <alignment horizontal="center" vertical="center" wrapText="1"/>
      <protection locked="0"/>
    </xf>
    <xf numFmtId="0" fontId="8" fillId="13" borderId="77" xfId="0" applyFont="1" applyFill="1" applyBorder="1" applyAlignment="1" applyProtection="1">
      <alignment horizontal="center" vertical="center" wrapText="1"/>
      <protection locked="0"/>
    </xf>
    <xf numFmtId="0" fontId="8" fillId="13" borderId="39" xfId="0" applyFont="1" applyFill="1" applyBorder="1" applyAlignment="1" applyProtection="1">
      <alignment horizontal="center" vertical="center" wrapText="1"/>
      <protection locked="0"/>
    </xf>
    <xf numFmtId="0" fontId="8" fillId="13" borderId="15" xfId="0" applyFont="1" applyFill="1" applyBorder="1" applyAlignment="1" applyProtection="1">
      <alignment horizontal="center" vertical="center"/>
      <protection locked="0"/>
    </xf>
    <xf numFmtId="0" fontId="10" fillId="20" borderId="3" xfId="0" applyFont="1" applyFill="1" applyBorder="1" applyAlignment="1" applyProtection="1">
      <alignment horizontal="center"/>
      <protection hidden="1"/>
    </xf>
    <xf numFmtId="0" fontId="10" fillId="20" borderId="2" xfId="0" applyFont="1" applyFill="1" applyBorder="1" applyAlignment="1" applyProtection="1">
      <alignment horizontal="center"/>
      <protection hidden="1"/>
    </xf>
    <xf numFmtId="0" fontId="10" fillId="20" borderId="24" xfId="0" applyFont="1" applyFill="1" applyBorder="1" applyAlignment="1" applyProtection="1">
      <alignment horizontal="center"/>
      <protection hidden="1"/>
    </xf>
    <xf numFmtId="0" fontId="16" fillId="0" borderId="15" xfId="0" applyFont="1" applyBorder="1" applyAlignment="1" applyProtection="1">
      <alignment horizontal="center" vertical="center"/>
      <protection hidden="1"/>
    </xf>
    <xf numFmtId="0" fontId="16" fillId="0" borderId="57" xfId="0" applyFont="1" applyBorder="1" applyAlignment="1" applyProtection="1">
      <alignment horizontal="center" vertical="center"/>
      <protection hidden="1"/>
    </xf>
    <xf numFmtId="0" fontId="16" fillId="0" borderId="58" xfId="0" applyFont="1" applyBorder="1" applyAlignment="1" applyProtection="1">
      <alignment horizontal="center" vertical="center"/>
      <protection hidden="1"/>
    </xf>
    <xf numFmtId="0" fontId="39" fillId="0" borderId="25" xfId="3" applyBorder="1" applyAlignment="1" applyProtection="1">
      <alignment horizontal="left"/>
      <protection hidden="1"/>
    </xf>
    <xf numFmtId="0" fontId="39" fillId="0" borderId="0" xfId="3" applyBorder="1" applyAlignment="1" applyProtection="1">
      <alignment horizontal="left"/>
      <protection hidden="1"/>
    </xf>
    <xf numFmtId="0" fontId="39" fillId="0" borderId="1" xfId="3" applyBorder="1" applyAlignment="1" applyProtection="1">
      <alignment horizontal="left"/>
      <protection hidden="1"/>
    </xf>
    <xf numFmtId="0" fontId="0" fillId="19" borderId="0" xfId="0" applyFill="1" applyAlignment="1" applyProtection="1">
      <alignment horizontal="right" vertical="center"/>
      <protection hidden="1"/>
    </xf>
    <xf numFmtId="0" fontId="10" fillId="18" borderId="0" xfId="0" applyFont="1" applyFill="1" applyAlignment="1" applyProtection="1">
      <alignment horizontal="right" vertical="center"/>
      <protection hidden="1"/>
    </xf>
    <xf numFmtId="14" fontId="0" fillId="0" borderId="52" xfId="0" applyNumberFormat="1" applyBorder="1" applyAlignment="1" applyProtection="1">
      <alignment horizontal="center"/>
      <protection hidden="1"/>
    </xf>
    <xf numFmtId="14" fontId="0" fillId="0" borderId="53" xfId="0" applyNumberFormat="1" applyBorder="1" applyAlignment="1" applyProtection="1">
      <alignment horizontal="center"/>
      <protection hidden="1"/>
    </xf>
    <xf numFmtId="14" fontId="0" fillId="0" borderId="54" xfId="0" applyNumberFormat="1" applyBorder="1" applyAlignment="1" applyProtection="1">
      <alignment horizontal="center"/>
      <protection hidden="1"/>
    </xf>
    <xf numFmtId="0" fontId="1" fillId="19" borderId="0" xfId="0" applyFont="1" applyFill="1" applyAlignment="1" applyProtection="1">
      <alignment horizontal="right" vertical="center"/>
      <protection hidden="1"/>
    </xf>
    <xf numFmtId="0" fontId="30" fillId="18" borderId="0" xfId="0" applyFont="1" applyFill="1" applyAlignment="1" applyProtection="1">
      <alignment horizontal="center" vertical="center" wrapText="1"/>
      <protection hidden="1"/>
    </xf>
    <xf numFmtId="0" fontId="10" fillId="18" borderId="51" xfId="0" applyFont="1" applyFill="1" applyBorder="1" applyAlignment="1" applyProtection="1">
      <alignment horizontal="center"/>
      <protection hidden="1"/>
    </xf>
    <xf numFmtId="0" fontId="20" fillId="0" borderId="17" xfId="0" applyFont="1" applyBorder="1" applyAlignment="1" applyProtection="1">
      <alignment horizontal="center" vertical="center"/>
      <protection hidden="1"/>
    </xf>
    <xf numFmtId="0" fontId="20" fillId="0" borderId="30" xfId="0" applyFont="1" applyBorder="1" applyAlignment="1" applyProtection="1">
      <alignment horizontal="center" vertical="center"/>
      <protection hidden="1"/>
    </xf>
    <xf numFmtId="0" fontId="12" fillId="16" borderId="0" xfId="0" applyFont="1" applyFill="1" applyAlignment="1" applyProtection="1">
      <alignment horizontal="left" wrapText="1"/>
      <protection hidden="1"/>
    </xf>
    <xf numFmtId="0" fontId="20" fillId="0" borderId="29" xfId="0" applyFont="1" applyBorder="1" applyAlignment="1" applyProtection="1">
      <alignment horizontal="center" vertical="center"/>
      <protection hidden="1"/>
    </xf>
    <xf numFmtId="0" fontId="20" fillId="0" borderId="18" xfId="0" applyFont="1" applyBorder="1" applyAlignment="1" applyProtection="1">
      <alignment horizontal="center" vertical="center"/>
      <protection hidden="1"/>
    </xf>
    <xf numFmtId="0" fontId="21" fillId="10" borderId="34" xfId="0" applyFont="1" applyFill="1" applyBorder="1" applyAlignment="1" applyProtection="1">
      <alignment horizontal="center" vertical="center"/>
      <protection hidden="1"/>
    </xf>
    <xf numFmtId="0" fontId="21" fillId="10" borderId="21" xfId="0" applyFont="1" applyFill="1" applyBorder="1" applyAlignment="1" applyProtection="1">
      <alignment horizontal="center" vertical="center"/>
      <protection hidden="1"/>
    </xf>
    <xf numFmtId="14" fontId="0" fillId="0" borderId="52" xfId="0" applyNumberFormat="1" applyBorder="1" applyAlignment="1" applyProtection="1">
      <alignment horizontal="right"/>
      <protection hidden="1"/>
    </xf>
    <xf numFmtId="14" fontId="0" fillId="0" borderId="53" xfId="0" applyNumberFormat="1" applyBorder="1" applyAlignment="1" applyProtection="1">
      <alignment horizontal="right"/>
      <protection hidden="1"/>
    </xf>
    <xf numFmtId="0" fontId="7" fillId="19" borderId="0" xfId="0" applyFont="1" applyFill="1" applyAlignment="1" applyProtection="1">
      <alignment horizontal="right" vertical="center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0" fontId="19" fillId="0" borderId="14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2" fillId="10" borderId="16" xfId="0" applyFont="1" applyFill="1" applyBorder="1" applyAlignment="1" applyProtection="1">
      <alignment horizontal="left" wrapText="1"/>
      <protection hidden="1"/>
    </xf>
    <xf numFmtId="0" fontId="21" fillId="17" borderId="17" xfId="0" applyFont="1" applyFill="1" applyBorder="1" applyAlignment="1" applyProtection="1">
      <alignment horizontal="center" vertical="center"/>
      <protection hidden="1"/>
    </xf>
    <xf numFmtId="0" fontId="21" fillId="17" borderId="18" xfId="0" applyFont="1" applyFill="1" applyBorder="1" applyAlignment="1" applyProtection="1">
      <alignment horizontal="center" vertical="center"/>
      <protection hidden="1"/>
    </xf>
    <xf numFmtId="0" fontId="38" fillId="0" borderId="47" xfId="0" applyFont="1" applyBorder="1" applyAlignment="1" applyProtection="1">
      <alignment horizontal="center" vertical="center"/>
      <protection hidden="1"/>
    </xf>
    <xf numFmtId="0" fontId="38" fillId="0" borderId="48" xfId="0" applyFont="1" applyBorder="1" applyAlignment="1" applyProtection="1">
      <alignment horizontal="center" vertical="center"/>
      <protection hidden="1"/>
    </xf>
    <xf numFmtId="0" fontId="38" fillId="0" borderId="49" xfId="0" applyFont="1" applyBorder="1" applyAlignment="1" applyProtection="1">
      <alignment horizontal="center" vertical="center"/>
      <protection hidden="1"/>
    </xf>
    <xf numFmtId="0" fontId="38" fillId="0" borderId="50" xfId="0" applyFont="1" applyBorder="1" applyAlignment="1" applyProtection="1">
      <alignment horizontal="center" vertical="center"/>
      <protection hidden="1"/>
    </xf>
    <xf numFmtId="0" fontId="10" fillId="10" borderId="0" xfId="0" applyFont="1" applyFill="1" applyAlignment="1" applyProtection="1">
      <alignment horizontal="center" vertical="center" wrapText="1"/>
      <protection hidden="1"/>
    </xf>
    <xf numFmtId="0" fontId="48" fillId="24" borderId="15" xfId="3" applyFont="1" applyFill="1" applyBorder="1" applyAlignment="1" applyProtection="1">
      <alignment horizontal="center" vertical="center"/>
      <protection locked="0" hidden="1"/>
    </xf>
    <xf numFmtId="0" fontId="48" fillId="26" borderId="15" xfId="3" applyFont="1" applyFill="1" applyBorder="1" applyAlignment="1" applyProtection="1">
      <alignment horizontal="center" vertical="center"/>
      <protection locked="0" hidden="1"/>
    </xf>
    <xf numFmtId="0" fontId="48" fillId="25" borderId="15" xfId="3" applyFont="1" applyFill="1" applyBorder="1" applyAlignment="1" applyProtection="1">
      <alignment horizontal="center" vertical="center"/>
      <protection locked="0" hidden="1"/>
    </xf>
    <xf numFmtId="0" fontId="18" fillId="0" borderId="15" xfId="0" applyFont="1" applyBorder="1" applyAlignment="1" applyProtection="1">
      <alignment horizontal="center" vertical="center"/>
      <protection hidden="1"/>
    </xf>
    <xf numFmtId="0" fontId="18" fillId="0" borderId="41" xfId="0" applyFont="1" applyBorder="1" applyAlignment="1" applyProtection="1">
      <alignment horizontal="center" vertical="center"/>
      <protection hidden="1"/>
    </xf>
    <xf numFmtId="0" fontId="18" fillId="0" borderId="71" xfId="0" applyFont="1" applyBorder="1" applyAlignment="1" applyProtection="1">
      <alignment horizontal="center" vertical="center"/>
      <protection hidden="1"/>
    </xf>
    <xf numFmtId="0" fontId="18" fillId="0" borderId="42" xfId="0" applyFont="1" applyBorder="1" applyAlignment="1" applyProtection="1">
      <alignment horizontal="center" vertical="center"/>
      <protection hidden="1"/>
    </xf>
    <xf numFmtId="0" fontId="41" fillId="0" borderId="68" xfId="0" applyFont="1" applyBorder="1" applyAlignment="1" applyProtection="1">
      <alignment horizontal="center"/>
      <protection hidden="1"/>
    </xf>
    <xf numFmtId="0" fontId="41" fillId="0" borderId="69" xfId="0" applyFont="1" applyBorder="1" applyAlignment="1" applyProtection="1">
      <alignment horizontal="center"/>
      <protection hidden="1"/>
    </xf>
    <xf numFmtId="0" fontId="41" fillId="0" borderId="70" xfId="0" applyFont="1" applyBorder="1" applyAlignment="1" applyProtection="1">
      <alignment horizontal="center"/>
      <protection hidden="1"/>
    </xf>
  </cellXfs>
  <cellStyles count="4">
    <cellStyle name="Lien hypertexte" xfId="3" builtinId="8"/>
    <cellStyle name="Milliers" xfId="1" builtinId="3"/>
    <cellStyle name="Normal" xfId="0" builtinId="0"/>
    <cellStyle name="Pourcentage" xfId="2" builtinId="5"/>
  </cellStyles>
  <dxfs count="412"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protection locked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bottom" textRotation="0" wrapText="0" indent="0" justifyLastLine="0" shrinkToFit="0" readingOrder="0"/>
      <protection locked="1" hidden="1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1" hidden="1"/>
    </dxf>
    <dxf>
      <font>
        <b/>
        <i val="0"/>
        <color theme="0"/>
      </font>
      <fill>
        <patternFill>
          <bgColor rgb="FF0F9D2A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>
          <bgColor rgb="FFFF0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37FF91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F9D2A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EBFA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8B308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434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3DE35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3EEE4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1BF920"/>
      </font>
      <fill>
        <patternFill>
          <bgColor theme="4" tint="-0.499984740745262"/>
        </patternFill>
      </fill>
    </dxf>
    <dxf>
      <font>
        <b/>
        <i val="0"/>
        <color rgb="FFFF0000"/>
      </font>
      <fill>
        <patternFill>
          <bgColor theme="4" tint="-0.499984740745262"/>
        </patternFill>
      </fill>
    </dxf>
    <dxf>
      <font>
        <b/>
        <i val="0"/>
        <color rgb="FFF99F1B"/>
      </font>
      <fill>
        <patternFill>
          <bgColor theme="4" tint="-0.499984740745262"/>
        </patternFill>
      </fill>
    </dxf>
    <dxf>
      <font>
        <b/>
        <i val="0"/>
        <color rgb="FFE9FA0E"/>
      </font>
      <fill>
        <patternFill patternType="solid">
          <bgColor theme="4" tint="-0.499984740745262"/>
        </patternFill>
      </fill>
    </dxf>
    <dxf>
      <numFmt numFmtId="1" formatCode="0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font>
        <sz val="11"/>
      </font>
    </dxf>
    <dxf>
      <font>
        <sz val="11"/>
      </font>
    </dxf>
    <dxf>
      <font>
        <sz val="11"/>
      </font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numFmt numFmtId="13" formatCode="0%"/>
    </dxf>
    <dxf>
      <numFmt numFmtId="3" formatCode="#,##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numFmt numFmtId="13" formatCode="0%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1"/>
      </font>
      <fill>
        <patternFill>
          <bgColor rgb="FF3DE35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EBFA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8B308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434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3EEE4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F9D2A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1"/>
      </font>
      <fill>
        <patternFill>
          <bgColor rgb="FF3DE351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EBFA2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8B308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4343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3EEE4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F3F907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1"/>
      </font>
      <fill>
        <patternFill>
          <bgColor rgb="FF47E55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color theme="0"/>
      </font>
      <fill>
        <patternFill>
          <bgColor rgb="FF097916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color rgb="FF1BF920"/>
      </font>
      <fill>
        <patternFill>
          <bgColor theme="4" tint="-0.499984740745262"/>
        </patternFill>
      </fill>
    </dxf>
    <dxf>
      <font>
        <b/>
        <i val="0"/>
        <color rgb="FFE9FA0E"/>
      </font>
      <fill>
        <patternFill patternType="solid">
          <bgColor theme="4" tint="-0.499984740745262"/>
        </patternFill>
      </fill>
    </dxf>
    <dxf>
      <font>
        <b/>
        <i val="0"/>
        <color rgb="FFF99F1B"/>
      </font>
      <fill>
        <patternFill>
          <bgColor theme="4" tint="-0.499984740745262"/>
        </patternFill>
      </fill>
    </dxf>
    <dxf>
      <font>
        <b/>
        <i val="0"/>
        <color rgb="FFFF000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F9D2A"/>
        </patternFill>
      </fill>
    </dxf>
    <dxf>
      <font>
        <color rgb="FF9C0006"/>
      </font>
      <fill>
        <patternFill patternType="none">
          <bgColor indexed="6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C0006"/>
      </font>
      <fill>
        <patternFill>
          <bgColor rgb="FFEE931A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rgb="FF9C0006"/>
      </font>
      <fill>
        <patternFill>
          <bgColor rgb="FFEE931A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4960C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4960C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1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rgb="FF9C0006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rgb="FFADB3AE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rgb="FFADB3AE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rgb="FFADB3AE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rgb="FFADB3AE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5" formatCode="_(* #,##0_);_(* \(#,##0\);_(* &quot;-&quot;??_);_(@_)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  <fill>
        <patternFill patternType="solid">
          <fgColor indexed="64"/>
          <bgColor theme="6" tint="0.39997558519241921"/>
        </patternFill>
      </fill>
      <protection locked="1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right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0"/>
        <name val="Arial"/>
        <scheme val="none"/>
      </font>
      <fill>
        <patternFill>
          <bgColor rgb="FF06577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name val="Arial"/>
        <scheme val="none"/>
      </font>
      <fill>
        <patternFill>
          <bgColor rgb="FF00B050"/>
        </patternFill>
      </fill>
    </dxf>
  </dxfs>
  <tableStyles count="2" defaultTableStyle="TableStyleMedium2" defaultPivotStyle="PivotStyleLight16">
    <tableStyle name="Style de segment 1" pivot="0" table="0" count="1">
      <tableStyleElement type="headerRow" dxfId="411"/>
    </tableStyle>
    <tableStyle name="Style de segment 1 2" pivot="0" table="0" count="1">
      <tableStyleElement type="headerRow" dxfId="410"/>
    </tableStyle>
  </tableStyles>
  <colors>
    <mruColors>
      <color rgb="FF0F9D2A"/>
      <color rgb="FFFE0000"/>
      <color rgb="FFF4960C"/>
      <color rgb="FFEE931A"/>
      <color rgb="FFF3CA1D"/>
      <color rgb="FFFDF2ED"/>
      <color rgb="FF065770"/>
      <color rgb="FF37FF91"/>
      <color rgb="FFFDA1A1"/>
      <color rgb="FFF8B308"/>
    </mruColors>
  </colors>
  <extLst>
    <ext xmlns:x14="http://schemas.microsoft.com/office/spreadsheetml/2009/9/main" uri="{EB79DEF2-80B8-43e5-95BD-54CBDDF9020C}">
      <x14:slicerStyles defaultSlicerStyle="SlicerStyleLight1">
        <x14:slicerStyle name="Style de segment 1"/>
        <x14:slicerStyle name="Style de segment 1 2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microsoft.com/office/2007/relationships/slicerCache" Target="slicerCaches/slicerCache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g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Courbes_CV!$A$34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Courbes_CV!$B$34:$N$34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2FC-4BED-8145-5DBEF3C24F3A}"/>
            </c:ext>
          </c:extLst>
        </c:ser>
        <c:ser>
          <c:idx val="1"/>
          <c:order val="1"/>
          <c:tx>
            <c:strRef>
              <c:f>Courbes_CV!$A$35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Courbes_CV!$B$35:$N$35</c:f>
              <c:numCache>
                <c:formatCode>0%</c:formatCode>
                <c:ptCount val="13"/>
                <c:pt idx="0">
                  <c:v>0</c:v>
                </c:pt>
                <c:pt idx="1">
                  <c:v>8.1666666666666665E-2</c:v>
                </c:pt>
                <c:pt idx="2">
                  <c:v>0.16333333333333333</c:v>
                </c:pt>
                <c:pt idx="3">
                  <c:v>0.245</c:v>
                </c:pt>
                <c:pt idx="4">
                  <c:v>0.32666666666666666</c:v>
                </c:pt>
                <c:pt idx="5">
                  <c:v>0.40833333333333338</c:v>
                </c:pt>
                <c:pt idx="6">
                  <c:v>0.49</c:v>
                </c:pt>
                <c:pt idx="7">
                  <c:v>0.57166666666666666</c:v>
                </c:pt>
                <c:pt idx="8">
                  <c:v>0.65333333333333332</c:v>
                </c:pt>
                <c:pt idx="9">
                  <c:v>0.73499999999999999</c:v>
                </c:pt>
                <c:pt idx="10">
                  <c:v>0.81666666666666676</c:v>
                </c:pt>
                <c:pt idx="11">
                  <c:v>0.89833333333333332</c:v>
                </c:pt>
                <c:pt idx="12">
                  <c:v>0.98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2FC-4BED-8145-5DBEF3C24F3A}"/>
            </c:ext>
          </c:extLst>
        </c:ser>
        <c:ser>
          <c:idx val="2"/>
          <c:order val="2"/>
          <c:tx>
            <c:strRef>
              <c:f>Courbes_CV!$A$36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Courbes_CV!$B$36:$N$36</c:f>
              <c:numCache>
                <c:formatCode>0%</c:formatCode>
                <c:ptCount val="13"/>
                <c:pt idx="0">
                  <c:v>0</c:v>
                </c:pt>
                <c:pt idx="1">
                  <c:v>6.2831526619331071E-2</c:v>
                </c:pt>
                <c:pt idx="2">
                  <c:v>0.11053433065180564</c:v>
                </c:pt>
                <c:pt idx="3">
                  <c:v>0.1547679660812975</c:v>
                </c:pt>
                <c:pt idx="4">
                  <c:v>0.19416235431343326</c:v>
                </c:pt>
                <c:pt idx="5">
                  <c:v>0.23330679577497385</c:v>
                </c:pt>
                <c:pt idx="6">
                  <c:v>0.39837349453357157</c:v>
                </c:pt>
                <c:pt idx="7">
                  <c:v>0.47560936096942319</c:v>
                </c:pt>
                <c:pt idx="8">
                  <c:v>0.56125315904946171</c:v>
                </c:pt>
                <c:pt idx="9">
                  <c:v>0.62703081751108558</c:v>
                </c:pt>
                <c:pt idx="10">
                  <c:v>0.73713699860214954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2FC-4BED-8145-5DBEF3C24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491216"/>
        <c:axId val="-1390490672"/>
      </c:lineChart>
      <c:catAx>
        <c:axId val="-139049121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90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49067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91216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[1]BCG!$A$32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Courbes_CV!$B$66:$N$66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28A-4FB5-9D6E-DD02641D383B}"/>
            </c:ext>
          </c:extLst>
        </c:ser>
        <c:ser>
          <c:idx val="1"/>
          <c:order val="1"/>
          <c:tx>
            <c:strRef>
              <c:f>[1]BCG!$A$33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Courbes_CV!$B$67:$N$67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28A-4FB5-9D6E-DD02641D383B}"/>
            </c:ext>
          </c:extLst>
        </c:ser>
        <c:ser>
          <c:idx val="2"/>
          <c:order val="2"/>
          <c:tx>
            <c:strRef>
              <c:f>[1]BCG!$A$34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Courbes_CV!$B$68:$N$68</c:f>
              <c:numCache>
                <c:formatCode>0%</c:formatCode>
                <c:ptCount val="13"/>
                <c:pt idx="0">
                  <c:v>0</c:v>
                </c:pt>
                <c:pt idx="1">
                  <c:v>8.2432360742705574E-2</c:v>
                </c:pt>
                <c:pt idx="2">
                  <c:v>0.14081962864721487</c:v>
                </c:pt>
                <c:pt idx="3">
                  <c:v>0.19052785145888596</c:v>
                </c:pt>
                <c:pt idx="4">
                  <c:v>0.27981167108753313</c:v>
                </c:pt>
                <c:pt idx="5">
                  <c:v>0.36565782493368698</c:v>
                </c:pt>
                <c:pt idx="6">
                  <c:v>0.46593633952254643</c:v>
                </c:pt>
                <c:pt idx="7">
                  <c:v>0.55038992042440316</c:v>
                </c:pt>
                <c:pt idx="8">
                  <c:v>0.63741379310344826</c:v>
                </c:pt>
                <c:pt idx="9">
                  <c:v>0.72333952254641909</c:v>
                </c:pt>
                <c:pt idx="10">
                  <c:v>0.82562864721485407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28A-4FB5-9D6E-DD02641D3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490128"/>
        <c:axId val="-1390489040"/>
      </c:lineChart>
      <c:catAx>
        <c:axId val="-139049012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890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48904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90128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[1]BCG!$A$32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Courbes_CV!$R$66:$AD$66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36-4034-8768-15C6094FBAB6}"/>
            </c:ext>
          </c:extLst>
        </c:ser>
        <c:ser>
          <c:idx val="1"/>
          <c:order val="1"/>
          <c:tx>
            <c:strRef>
              <c:f>[1]BCG!$A$33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Courbes_CV!$R$67:$AD$67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136-4034-8768-15C6094FBAB6}"/>
            </c:ext>
          </c:extLst>
        </c:ser>
        <c:ser>
          <c:idx val="2"/>
          <c:order val="2"/>
          <c:tx>
            <c:strRef>
              <c:f>[1]BCG!$A$34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Courbes_CV!$R$68:$AD$68</c:f>
              <c:numCache>
                <c:formatCode>0%</c:formatCode>
                <c:ptCount val="13"/>
                <c:pt idx="0">
                  <c:v>0</c:v>
                </c:pt>
                <c:pt idx="1">
                  <c:v>7.4803713527851465E-2</c:v>
                </c:pt>
                <c:pt idx="2">
                  <c:v>0.12843501326259946</c:v>
                </c:pt>
                <c:pt idx="3">
                  <c:v>0.17612466843501326</c:v>
                </c:pt>
                <c:pt idx="4">
                  <c:v>0.26828116710875333</c:v>
                </c:pt>
                <c:pt idx="5">
                  <c:v>0.35445888594164454</c:v>
                </c:pt>
                <c:pt idx="6">
                  <c:v>0.44950397877984083</c:v>
                </c:pt>
                <c:pt idx="7">
                  <c:v>0.53518832891246682</c:v>
                </c:pt>
                <c:pt idx="8">
                  <c:v>0.62180636604774531</c:v>
                </c:pt>
                <c:pt idx="9">
                  <c:v>0.7070848806366048</c:v>
                </c:pt>
                <c:pt idx="10">
                  <c:v>0.8091803713527852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36-4034-8768-15C6094FB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499376"/>
        <c:axId val="-1390488496"/>
      </c:lineChart>
      <c:catAx>
        <c:axId val="-13904993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884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48849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99376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Courbes_CV!$A$98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Courbes_CV!$B$98:$N$98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172-49D6-9BCA-E065DB0441AA}"/>
            </c:ext>
          </c:extLst>
        </c:ser>
        <c:ser>
          <c:idx val="1"/>
          <c:order val="1"/>
          <c:tx>
            <c:strRef>
              <c:f>Courbes_CV!$A$99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Courbes_CV!$B$99:$N$99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172-49D6-9BCA-E065DB0441AA}"/>
            </c:ext>
          </c:extLst>
        </c:ser>
        <c:ser>
          <c:idx val="2"/>
          <c:order val="2"/>
          <c:tx>
            <c:strRef>
              <c:f>Courbes_CV!$A$100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Courbes_CV!$B$100:$N$100</c:f>
              <c:numCache>
                <c:formatCode>0%</c:formatCode>
                <c:ptCount val="13"/>
                <c:pt idx="0">
                  <c:v>0</c:v>
                </c:pt>
                <c:pt idx="1">
                  <c:v>7.9427055702917776E-2</c:v>
                </c:pt>
                <c:pt idx="2">
                  <c:v>0.15047745358090187</c:v>
                </c:pt>
                <c:pt idx="3">
                  <c:v>0.21820954907161805</c:v>
                </c:pt>
                <c:pt idx="4">
                  <c:v>0.30654907161803713</c:v>
                </c:pt>
                <c:pt idx="5">
                  <c:v>0.39026259946949604</c:v>
                </c:pt>
                <c:pt idx="6">
                  <c:v>0.4822785145888594</c:v>
                </c:pt>
                <c:pt idx="7">
                  <c:v>0.56519893899204243</c:v>
                </c:pt>
                <c:pt idx="8">
                  <c:v>0.65178514588859415</c:v>
                </c:pt>
                <c:pt idx="9">
                  <c:v>0.73760212201591513</c:v>
                </c:pt>
                <c:pt idx="10">
                  <c:v>0.83375066312997348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172-49D6-9BCA-E065DB044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487952"/>
        <c:axId val="-1390487408"/>
      </c:lineChart>
      <c:catAx>
        <c:axId val="-13904879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874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48740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87952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Courbes_CV!$Q$98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Courbes_CV!$R$98:$AD$98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51-458D-B5E3-23A757FEB852}"/>
            </c:ext>
          </c:extLst>
        </c:ser>
        <c:ser>
          <c:idx val="1"/>
          <c:order val="1"/>
          <c:tx>
            <c:strRef>
              <c:f>Courbes_CV!$Q$99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Courbes_CV!$R$99:$AD$99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151-458D-B5E3-23A757FEB852}"/>
            </c:ext>
          </c:extLst>
        </c:ser>
        <c:ser>
          <c:idx val="2"/>
          <c:order val="2"/>
          <c:tx>
            <c:strRef>
              <c:f>Courbes_CV!$Q$100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Courbes_CV!$R$100:$AD$100</c:f>
              <c:numCache>
                <c:formatCode>0%</c:formatCode>
                <c:ptCount val="13"/>
                <c:pt idx="0">
                  <c:v>0</c:v>
                </c:pt>
                <c:pt idx="1">
                  <c:v>6.0663129973474804E-2</c:v>
                </c:pt>
                <c:pt idx="2">
                  <c:v>0.101684350132626</c:v>
                </c:pt>
                <c:pt idx="3">
                  <c:v>0.14548806366047745</c:v>
                </c:pt>
                <c:pt idx="4">
                  <c:v>0.22988063660477454</c:v>
                </c:pt>
                <c:pt idx="5">
                  <c:v>0.31507427055702919</c:v>
                </c:pt>
                <c:pt idx="6">
                  <c:v>0.40882493368700268</c:v>
                </c:pt>
                <c:pt idx="7">
                  <c:v>0.49203713527851461</c:v>
                </c:pt>
                <c:pt idx="8">
                  <c:v>0.57682493368700261</c:v>
                </c:pt>
                <c:pt idx="9">
                  <c:v>0.66124137931034488</c:v>
                </c:pt>
                <c:pt idx="10">
                  <c:v>0.76333421750663133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151-458D-B5E3-23A757FEB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502640"/>
        <c:axId val="-1390501552"/>
      </c:lineChart>
      <c:catAx>
        <c:axId val="-139050264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50155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501552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502640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Courbes_CV!$A$130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Courbes_CV!$B$130:$N$130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C0-4D21-80EC-BF6CDDF6B869}"/>
            </c:ext>
          </c:extLst>
        </c:ser>
        <c:ser>
          <c:idx val="1"/>
          <c:order val="1"/>
          <c:tx>
            <c:strRef>
              <c:f>Courbes_CV!$A$131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Courbes_CV!$B$131:$N$131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C0-4D21-80EC-BF6CDDF6B869}"/>
            </c:ext>
          </c:extLst>
        </c:ser>
        <c:ser>
          <c:idx val="2"/>
          <c:order val="2"/>
          <c:tx>
            <c:strRef>
              <c:f>Courbes_CV!$A$132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Courbes_CV!$B$132:$N$132</c:f>
              <c:numCache>
                <c:formatCode>0%</c:formatCode>
                <c:ptCount val="13"/>
                <c:pt idx="0">
                  <c:v>0</c:v>
                </c:pt>
                <c:pt idx="1">
                  <c:v>8.1148541114058351E-2</c:v>
                </c:pt>
                <c:pt idx="2">
                  <c:v>0.15737400530503978</c:v>
                </c:pt>
                <c:pt idx="3">
                  <c:v>0.23328116710875332</c:v>
                </c:pt>
                <c:pt idx="4">
                  <c:v>0.32047480106100795</c:v>
                </c:pt>
                <c:pt idx="5">
                  <c:v>0.40377718832891246</c:v>
                </c:pt>
                <c:pt idx="6">
                  <c:v>0.489053050397878</c:v>
                </c:pt>
                <c:pt idx="7">
                  <c:v>0.5687692307692308</c:v>
                </c:pt>
                <c:pt idx="8">
                  <c:v>0.65204244031830239</c:v>
                </c:pt>
                <c:pt idx="9">
                  <c:v>0.73962068965517236</c:v>
                </c:pt>
                <c:pt idx="10">
                  <c:v>0.83707161803713526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8C0-4D21-80EC-BF6CDDF6B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90501008"/>
        <c:axId val="-1390498288"/>
      </c:lineChart>
      <c:catAx>
        <c:axId val="-1390501008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49828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9049828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90501008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Courbes_CV!$Q$130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Courbes_CV!$R$130:$AD$130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B54-4109-AE83-5BA9BF297093}"/>
            </c:ext>
          </c:extLst>
        </c:ser>
        <c:ser>
          <c:idx val="1"/>
          <c:order val="1"/>
          <c:tx>
            <c:strRef>
              <c:f>Courbes_CV!$Q$131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Courbes_CV!$R$131:$AD$131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B54-4109-AE83-5BA9BF297093}"/>
            </c:ext>
          </c:extLst>
        </c:ser>
        <c:ser>
          <c:idx val="2"/>
          <c:order val="2"/>
          <c:tx>
            <c:strRef>
              <c:f>Courbes_CV!$Q$132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Courbes_CV!$R$132:$AD$132</c:f>
              <c:numCache>
                <c:formatCode>0%</c:formatCode>
                <c:ptCount val="13"/>
                <c:pt idx="0">
                  <c:v>0</c:v>
                </c:pt>
                <c:pt idx="1">
                  <c:v>6.8746933523416306E-2</c:v>
                </c:pt>
                <c:pt idx="2">
                  <c:v>0.12495255640002592</c:v>
                </c:pt>
                <c:pt idx="3">
                  <c:v>0.17444664562176573</c:v>
                </c:pt>
                <c:pt idx="4">
                  <c:v>0.25242078075965302</c:v>
                </c:pt>
                <c:pt idx="5">
                  <c:v>0.32591901724632716</c:v>
                </c:pt>
                <c:pt idx="6">
                  <c:v>0.3984591244457199</c:v>
                </c:pt>
                <c:pt idx="7">
                  <c:v>0.46432241281949216</c:v>
                </c:pt>
                <c:pt idx="8">
                  <c:v>0.5341686492691371</c:v>
                </c:pt>
                <c:pt idx="9">
                  <c:v>0.60913648019403277</c:v>
                </c:pt>
                <c:pt idx="10">
                  <c:v>0.68380113494348427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B54-4109-AE83-5BA9BF297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673407376"/>
        <c:axId val="-1384597008"/>
      </c:lineChart>
      <c:catAx>
        <c:axId val="-1673407376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70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84597008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673407376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Courbes_CV!$Q$34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Courbes_CV!$R$34:$AD$34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B02-4D8C-AB9A-FA9ECAA4F93D}"/>
            </c:ext>
          </c:extLst>
        </c:ser>
        <c:ser>
          <c:idx val="1"/>
          <c:order val="1"/>
          <c:tx>
            <c:strRef>
              <c:f>Courbes_CV!$Q$35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Courbes_CV!$R$35:$AD$35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B02-4D8C-AB9A-FA9ECAA4F93D}"/>
            </c:ext>
          </c:extLst>
        </c:ser>
        <c:ser>
          <c:idx val="2"/>
          <c:order val="2"/>
          <c:tx>
            <c:strRef>
              <c:f>Courbes_CV!$Q$36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Courbes_CV!$R$36:$AD$36</c:f>
              <c:numCache>
                <c:formatCode>0%</c:formatCode>
                <c:ptCount val="13"/>
                <c:pt idx="0">
                  <c:v>0</c:v>
                </c:pt>
                <c:pt idx="1">
                  <c:v>6.8881164196513703E-2</c:v>
                </c:pt>
                <c:pt idx="2">
                  <c:v>0.13193486572304047</c:v>
                </c:pt>
                <c:pt idx="3">
                  <c:v>0.1969487979411792</c:v>
                </c:pt>
                <c:pt idx="4">
                  <c:v>0.26320320672449388</c:v>
                </c:pt>
                <c:pt idx="5">
                  <c:v>0.33583125815798487</c:v>
                </c:pt>
                <c:pt idx="6">
                  <c:v>0.40813299019653221</c:v>
                </c:pt>
                <c:pt idx="7">
                  <c:v>0.48036529257658089</c:v>
                </c:pt>
                <c:pt idx="8">
                  <c:v>0.56035520213287915</c:v>
                </c:pt>
                <c:pt idx="9">
                  <c:v>0.63474213824833603</c:v>
                </c:pt>
                <c:pt idx="10">
                  <c:v>0.72454708719439376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B02-4D8C-AB9A-FA9ECAA4F9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1024"/>
        <c:axId val="-1384599184"/>
      </c:lineChart>
      <c:catAx>
        <c:axId val="-138459102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91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8459918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1024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Courbes_CV!$A$162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Courbes_CV!$B$162:$N$162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99-4D0F-B774-385D000A4951}"/>
            </c:ext>
          </c:extLst>
        </c:ser>
        <c:ser>
          <c:idx val="1"/>
          <c:order val="1"/>
          <c:tx>
            <c:strRef>
              <c:f>Courbes_CV!$A$163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Courbes_CV!$B$163:$N$163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A99-4D0F-B774-385D000A4951}"/>
            </c:ext>
          </c:extLst>
        </c:ser>
        <c:ser>
          <c:idx val="2"/>
          <c:order val="2"/>
          <c:tx>
            <c:strRef>
              <c:f>Courbes_CV!$A$164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Courbes_CV!$B$164:$N$164</c:f>
              <c:numCache>
                <c:formatCode>0%</c:formatCode>
                <c:ptCount val="13"/>
                <c:pt idx="0">
                  <c:v>0</c:v>
                </c:pt>
                <c:pt idx="1">
                  <c:v>5.6530503978779838E-2</c:v>
                </c:pt>
                <c:pt idx="2">
                  <c:v>0.10809814323607427</c:v>
                </c:pt>
                <c:pt idx="3">
                  <c:v>0.15814058355437666</c:v>
                </c:pt>
                <c:pt idx="4">
                  <c:v>0.22485145888594166</c:v>
                </c:pt>
                <c:pt idx="5">
                  <c:v>0.29254907161803712</c:v>
                </c:pt>
                <c:pt idx="6">
                  <c:v>0.36456498673740051</c:v>
                </c:pt>
                <c:pt idx="7">
                  <c:v>0.426631299734748</c:v>
                </c:pt>
                <c:pt idx="8">
                  <c:v>0.49511936339522544</c:v>
                </c:pt>
                <c:pt idx="9">
                  <c:v>0.5664190981432361</c:v>
                </c:pt>
                <c:pt idx="10">
                  <c:v>0.64562599469496018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A99-4D0F-B774-385D000A4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3200"/>
        <c:axId val="-1384601904"/>
      </c:lineChart>
      <c:catAx>
        <c:axId val="-1384593200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6019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84601904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3200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Courbes_CV!$Q$162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Courbes_CV!$R$162:$AD$162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AA0-48F1-8E01-B8E494C3F6AC}"/>
            </c:ext>
          </c:extLst>
        </c:ser>
        <c:ser>
          <c:idx val="1"/>
          <c:order val="1"/>
          <c:tx>
            <c:strRef>
              <c:f>Courbes_CV!$Q$163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Courbes_CV!$R$163:$AD$163</c:f>
              <c:numCache>
                <c:formatCode>0%</c:formatCode>
                <c:ptCount val="13"/>
                <c:pt idx="0">
                  <c:v>0</c:v>
                </c:pt>
                <c:pt idx="1">
                  <c:v>7.9166666666666663E-2</c:v>
                </c:pt>
                <c:pt idx="2">
                  <c:v>0.15833333333333333</c:v>
                </c:pt>
                <c:pt idx="3">
                  <c:v>0.23749999999999996</c:v>
                </c:pt>
                <c:pt idx="4">
                  <c:v>0.31666666666666665</c:v>
                </c:pt>
                <c:pt idx="5">
                  <c:v>0.39583333333333331</c:v>
                </c:pt>
                <c:pt idx="6">
                  <c:v>0.47499999999999992</c:v>
                </c:pt>
                <c:pt idx="7">
                  <c:v>0.55416666666666659</c:v>
                </c:pt>
                <c:pt idx="8">
                  <c:v>0.6333333333333333</c:v>
                </c:pt>
                <c:pt idx="9">
                  <c:v>0.71249999999999991</c:v>
                </c:pt>
                <c:pt idx="10">
                  <c:v>0.79166666666666663</c:v>
                </c:pt>
                <c:pt idx="11">
                  <c:v>0.87083333333333324</c:v>
                </c:pt>
                <c:pt idx="12">
                  <c:v>0.95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AA0-48F1-8E01-B8E494C3F6AC}"/>
            </c:ext>
          </c:extLst>
        </c:ser>
        <c:ser>
          <c:idx val="2"/>
          <c:order val="2"/>
          <c:tx>
            <c:strRef>
              <c:f>Courbes_CV!$Q$164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Courbes_CV!$R$164:$AD$164</c:f>
              <c:numCache>
                <c:formatCode>0%</c:formatCode>
                <c:ptCount val="13"/>
                <c:pt idx="0">
                  <c:v>0</c:v>
                </c:pt>
                <c:pt idx="1">
                  <c:v>3.1761273209549072E-2</c:v>
                </c:pt>
                <c:pt idx="2">
                  <c:v>6.321485411140583E-2</c:v>
                </c:pt>
                <c:pt idx="3">
                  <c:v>9.7633952254641915E-2</c:v>
                </c:pt>
                <c:pt idx="4">
                  <c:v>0.13343236074270556</c:v>
                </c:pt>
                <c:pt idx="5">
                  <c:v>0.17224137931034483</c:v>
                </c:pt>
                <c:pt idx="6">
                  <c:v>0.2156737400530504</c:v>
                </c:pt>
                <c:pt idx="7">
                  <c:v>0.25172944297082228</c:v>
                </c:pt>
                <c:pt idx="8">
                  <c:v>0.29242970822281167</c:v>
                </c:pt>
                <c:pt idx="9">
                  <c:v>0.33507692307692305</c:v>
                </c:pt>
                <c:pt idx="10">
                  <c:v>0.40745888594164459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AA0-48F1-8E01-B8E494C3F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7552"/>
        <c:axId val="-1384595376"/>
      </c:lineChart>
      <c:catAx>
        <c:axId val="-1384597552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53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84595376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97552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994111272022788E-2"/>
          <c:y val="3.6656918786593981E-2"/>
          <c:w val="0.88692681524083394"/>
          <c:h val="0.90322645312102867"/>
        </c:manualLayout>
      </c:layout>
      <c:lineChart>
        <c:grouping val="standard"/>
        <c:varyColors val="0"/>
        <c:ser>
          <c:idx val="0"/>
          <c:order val="0"/>
          <c:tx>
            <c:strRef>
              <c:f>Courbes_CV!$A$194</c:f>
              <c:strCache>
                <c:ptCount val="1"/>
                <c:pt idx="0">
                  <c:v>Couverture idéale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Courbes_CV!$B$194:$N$194</c:f>
              <c:numCache>
                <c:formatCode>0%</c:formatCode>
                <c:ptCount val="13"/>
                <c:pt idx="0">
                  <c:v>0</c:v>
                </c:pt>
                <c:pt idx="1">
                  <c:v>8.3299999999999999E-2</c:v>
                </c:pt>
                <c:pt idx="2">
                  <c:v>0.16669999999999999</c:v>
                </c:pt>
                <c:pt idx="3">
                  <c:v>0.25009999999999999</c:v>
                </c:pt>
                <c:pt idx="4">
                  <c:v>0.33350000000000002</c:v>
                </c:pt>
                <c:pt idx="5">
                  <c:v>0.41689999999999999</c:v>
                </c:pt>
                <c:pt idx="6">
                  <c:v>0.50029999999999997</c:v>
                </c:pt>
                <c:pt idx="7">
                  <c:v>0.5837</c:v>
                </c:pt>
                <c:pt idx="8">
                  <c:v>0.66710000000000003</c:v>
                </c:pt>
                <c:pt idx="9">
                  <c:v>0.75049999999999994</c:v>
                </c:pt>
                <c:pt idx="10">
                  <c:v>0.83389999999999997</c:v>
                </c:pt>
                <c:pt idx="11">
                  <c:v>0.9173</c:v>
                </c:pt>
                <c:pt idx="12">
                  <c:v>1.0006999999999999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A38-4CF1-A77F-CB82B69F7F35}"/>
            </c:ext>
          </c:extLst>
        </c:ser>
        <c:ser>
          <c:idx val="1"/>
          <c:order val="1"/>
          <c:tx>
            <c:strRef>
              <c:f>Courbes_CV!$A$195</c:f>
              <c:strCache>
                <c:ptCount val="1"/>
                <c:pt idx="0">
                  <c:v>Couverture poursuivie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Courbes_CV!$B$195:$N$195</c:f>
              <c:numCache>
                <c:formatCode>0%</c:formatCode>
                <c:ptCount val="13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0.22500000000000001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0.75</c:v>
                </c:pt>
                <c:pt idx="11">
                  <c:v>0.82500000000000007</c:v>
                </c:pt>
                <c:pt idx="12">
                  <c:v>0.9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A38-4CF1-A77F-CB82B69F7F35}"/>
            </c:ext>
          </c:extLst>
        </c:ser>
        <c:ser>
          <c:idx val="2"/>
          <c:order val="2"/>
          <c:tx>
            <c:strRef>
              <c:f>Courbes_CV!$A$196</c:f>
              <c:strCache>
                <c:ptCount val="1"/>
                <c:pt idx="0">
                  <c:v>Couverture vaccinale</c:v>
                </c:pt>
              </c:strCache>
            </c:strRef>
          </c:tx>
          <c:spPr>
            <a:ln w="38100">
              <a:solidFill>
                <a:srgbClr val="339966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9999FF"/>
                </a:solidFill>
                <a:prstDash val="solid"/>
              </a:ln>
            </c:spPr>
          </c:marker>
          <c:cat>
            <c:strRef>
              <c:f>[1]BCG!$B$29:$N$29</c:f>
              <c:strCache>
                <c:ptCount val="13"/>
                <c:pt idx="1">
                  <c:v>janvier</c:v>
                </c:pt>
                <c:pt idx="2">
                  <c:v>février</c:v>
                </c:pt>
                <c:pt idx="3">
                  <c:v>mars</c:v>
                </c:pt>
                <c:pt idx="4">
                  <c:v>avril</c:v>
                </c:pt>
                <c:pt idx="5">
                  <c:v>mai </c:v>
                </c:pt>
                <c:pt idx="6">
                  <c:v>juin</c:v>
                </c:pt>
                <c:pt idx="7">
                  <c:v>juillet</c:v>
                </c:pt>
                <c:pt idx="8">
                  <c:v>août</c:v>
                </c:pt>
                <c:pt idx="9">
                  <c:v>septembre</c:v>
                </c:pt>
                <c:pt idx="10">
                  <c:v>octobre</c:v>
                </c:pt>
                <c:pt idx="11">
                  <c:v>novembre</c:v>
                </c:pt>
                <c:pt idx="12">
                  <c:v>décembre</c:v>
                </c:pt>
              </c:strCache>
            </c:strRef>
          </c:cat>
          <c:val>
            <c:numRef>
              <c:f>Courbes_CV!$B$196:$N$196</c:f>
              <c:numCache>
                <c:formatCode>0%</c:formatCode>
                <c:ptCount val="13"/>
                <c:pt idx="0">
                  <c:v>0</c:v>
                </c:pt>
                <c:pt idx="1">
                  <c:v>7.2475306184793975E-2</c:v>
                </c:pt>
                <c:pt idx="2">
                  <c:v>0.13862557048036067</c:v>
                </c:pt>
                <c:pt idx="3">
                  <c:v>0.20430602742008647</c:v>
                </c:pt>
                <c:pt idx="4">
                  <c:v>0.27236329300241613</c:v>
                </c:pt>
                <c:pt idx="5">
                  <c:v>0.34178137989131946</c:v>
                </c:pt>
                <c:pt idx="6">
                  <c:v>0.4096234135323033</c:v>
                </c:pt>
                <c:pt idx="7">
                  <c:v>0.48141599474186053</c:v>
                </c:pt>
                <c:pt idx="8">
                  <c:v>0.55543495366727458</c:v>
                </c:pt>
                <c:pt idx="9">
                  <c:v>0.62794728900326779</c:v>
                </c:pt>
                <c:pt idx="10">
                  <c:v>0.70640974607259566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A38-4CF1-A77F-CB82B69F7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88304"/>
        <c:axId val="-1384601360"/>
      </c:lineChart>
      <c:catAx>
        <c:axId val="-1384588304"/>
        <c:scaling>
          <c:orientation val="minMax"/>
        </c:scaling>
        <c:delete val="0"/>
        <c:axPos val="b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6013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384601360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-1384588304"/>
        <c:crosses val="autoZero"/>
        <c:crossBetween val="midCat"/>
      </c:valAx>
      <c:spPr>
        <a:noFill/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-2" verticalDpi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GOMA - CV BCG_VPO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Analyses_CV_ZS!$D$60</c:f>
              <c:strCache>
                <c:ptCount val="1"/>
                <c:pt idx="0">
                  <c:v>BCG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Analyses_CV_ZS!$D$61:$D$94</c15:sqref>
                  </c15:fullRef>
                </c:ext>
              </c:extLst>
              <c:f>(Analyses_CV_ZS!$D$62,Analyses_CV_ZS!$D$65:$D$66,Analyses_CV_ZS!$D$68:$D$69,Analyses_CV_ZS!$D$72:$D$73,Analyses_CV_ZS!$D$76:$D$78,Analyses_CV_ZS!$D$84,Analyses_CV_ZS!$D$87:$D$88,Analyses_CV_ZS!$D$90:$D$92,Analyses_CV_ZS!$D$94)</c:f>
              <c:numCache>
                <c:formatCode>0%</c:formatCode>
                <c:ptCount val="17"/>
                <c:pt idx="0">
                  <c:v>1.0989852125606361</c:v>
                </c:pt>
                <c:pt idx="1">
                  <c:v>0.93421501124821027</c:v>
                </c:pt>
                <c:pt idx="2">
                  <c:v>0.88435797278132999</c:v>
                </c:pt>
                <c:pt idx="3">
                  <c:v>1.6521261519880801</c:v>
                </c:pt>
                <c:pt idx="4">
                  <c:v>0.92114049565951428</c:v>
                </c:pt>
                <c:pt idx="5">
                  <c:v>1.1826760906360576</c:v>
                </c:pt>
                <c:pt idx="6">
                  <c:v>0.99792506753317922</c:v>
                </c:pt>
                <c:pt idx="7">
                  <c:v>0.94183871872298719</c:v>
                </c:pt>
                <c:pt idx="8">
                  <c:v>0.79286941220830376</c:v>
                </c:pt>
                <c:pt idx="9">
                  <c:v>0.56666996893921284</c:v>
                </c:pt>
                <c:pt idx="10">
                  <c:v>1.022219207041517</c:v>
                </c:pt>
                <c:pt idx="11">
                  <c:v>0.80437668818385766</c:v>
                </c:pt>
                <c:pt idx="12">
                  <c:v>1.5179023421866593</c:v>
                </c:pt>
                <c:pt idx="13">
                  <c:v>1.0205389738873563</c:v>
                </c:pt>
                <c:pt idx="14">
                  <c:v>1.0422451618373358</c:v>
                </c:pt>
                <c:pt idx="15">
                  <c:v>0.81681099631914933</c:v>
                </c:pt>
                <c:pt idx="16">
                  <c:v>1.1683100427825044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"/>
        <c:overlap val="8"/>
        <c:axId val="-1384590480"/>
        <c:axId val="-138459972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(Analyses_CV_ZS!$F$62,Analyses_CV_ZS!$F$65:$F$66,Analyses_CV_ZS!$F$68:$F$69,Analyses_CV_ZS!$F$72:$F$73,Analyses_CV_ZS!$F$76:$F$78,Analyses_CV_ZS!$F$84,Analyses_CV_ZS!$F$87:$F$88,Analyses_CV_ZS!$F$90:$F$92,Analyses_CV_ZS!$F$94)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0.93907554960482376</c:v>
                      </c:pt>
                      <c:pt idx="1">
                        <c:v>1.0354174573555406</c:v>
                      </c:pt>
                      <c:pt idx="2">
                        <c:v>1.0178681557758884</c:v>
                      </c:pt>
                      <c:pt idx="3">
                        <c:v>1.5905522476388847</c:v>
                      </c:pt>
                      <c:pt idx="4">
                        <c:v>1.0000079061996916</c:v>
                      </c:pt>
                      <c:pt idx="5">
                        <c:v>1.1729496637185082</c:v>
                      </c:pt>
                      <c:pt idx="6">
                        <c:v>1.0479098844164911</c:v>
                      </c:pt>
                      <c:pt idx="7">
                        <c:v>0.92568230739124246</c:v>
                      </c:pt>
                      <c:pt idx="8">
                        <c:v>0.75747744883996115</c:v>
                      </c:pt>
                      <c:pt idx="9">
                        <c:v>0.58255360489190078</c:v>
                      </c:pt>
                      <c:pt idx="10">
                        <c:v>1.4187095475694942</c:v>
                      </c:pt>
                      <c:pt idx="11">
                        <c:v>1.0210925664225043</c:v>
                      </c:pt>
                      <c:pt idx="12">
                        <c:v>1.6319977391891942</c:v>
                      </c:pt>
                      <c:pt idx="13">
                        <c:v>1.0891813548441858</c:v>
                      </c:pt>
                      <c:pt idx="14">
                        <c:v>0.98641766012461007</c:v>
                      </c:pt>
                      <c:pt idx="15">
                        <c:v>1.0263562726983373</c:v>
                      </c:pt>
                      <c:pt idx="16">
                        <c:v>1.1640409793562176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(Analyses_CV_ZS!$G$62,Analyses_CV_ZS!$G$65:$G$66,Analyses_CV_ZS!$G$68:$G$69,Analyses_CV_ZS!$G$72:$G$73,Analyses_CV_ZS!$G$76:$G$78,Analyses_CV_ZS!$G$84,Analyses_CV_ZS!$G$87:$G$88,Analyses_CV_ZS!$G$90:$G$92,Analyses_CV_ZS!$G$94)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0.87642745585539605</c:v>
                      </c:pt>
                      <c:pt idx="1">
                        <c:v>1.0247913802199873</c:v>
                      </c:pt>
                      <c:pt idx="2">
                        <c:v>0.92733078654802892</c:v>
                      </c:pt>
                      <c:pt idx="3">
                        <c:v>1.4632579848391314</c:v>
                      </c:pt>
                      <c:pt idx="4">
                        <c:v>0.94325655498864769</c:v>
                      </c:pt>
                      <c:pt idx="5">
                        <c:v>1.0403247920739462</c:v>
                      </c:pt>
                      <c:pt idx="6">
                        <c:v>0.99675730805977281</c:v>
                      </c:pt>
                      <c:pt idx="7">
                        <c:v>0.88607964691319752</c:v>
                      </c:pt>
                      <c:pt idx="8">
                        <c:v>0.72314487350426726</c:v>
                      </c:pt>
                      <c:pt idx="9">
                        <c:v>0.51382537060690125</c:v>
                      </c:pt>
                      <c:pt idx="10">
                        <c:v>1.2863498311074839</c:v>
                      </c:pt>
                      <c:pt idx="11">
                        <c:v>0.9601602055407914</c:v>
                      </c:pt>
                      <c:pt idx="12">
                        <c:v>1.5293827372723394</c:v>
                      </c:pt>
                      <c:pt idx="13">
                        <c:v>0.98361700359022597</c:v>
                      </c:pt>
                      <c:pt idx="14">
                        <c:v>1.0214014403443556</c:v>
                      </c:pt>
                      <c:pt idx="15">
                        <c:v>0.9516621555529956</c:v>
                      </c:pt>
                      <c:pt idx="16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(Analyses_CV_ZS!$H$62,Analyses_CV_ZS!$H$65:$H$66,Analyses_CV_ZS!$H$68:$H$69,Analyses_CV_ZS!$H$72:$H$73,Analyses_CV_ZS!$H$76:$H$78,Analyses_CV_ZS!$H$84,Analyses_CV_ZS!$H$87:$H$88,Analyses_CV_ZS!$H$90:$H$92,Analyses_CV_ZS!$H$94)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0.89709486822634132</c:v>
                      </c:pt>
                      <c:pt idx="1">
                        <c:v>1.040886761763546</c:v>
                      </c:pt>
                      <c:pt idx="2">
                        <c:v>0.93816675514852865</c:v>
                      </c:pt>
                      <c:pt idx="3">
                        <c:v>1.4908036285925206</c:v>
                      </c:pt>
                      <c:pt idx="4">
                        <c:v>0.96491737606156514</c:v>
                      </c:pt>
                      <c:pt idx="5">
                        <c:v>1.0364483831209679</c:v>
                      </c:pt>
                      <c:pt idx="6">
                        <c:v>0.99819316985224205</c:v>
                      </c:pt>
                      <c:pt idx="7">
                        <c:v>0.88496407901240759</c:v>
                      </c:pt>
                      <c:pt idx="8">
                        <c:v>0.74283208453592386</c:v>
                      </c:pt>
                      <c:pt idx="9">
                        <c:v>0.50647832904096346</c:v>
                      </c:pt>
                      <c:pt idx="10">
                        <c:v>1.2706984263183434</c:v>
                      </c:pt>
                      <c:pt idx="11">
                        <c:v>0.95799576215102122</c:v>
                      </c:pt>
                      <c:pt idx="12">
                        <c:v>1.892545066436341</c:v>
                      </c:pt>
                      <c:pt idx="13">
                        <c:v>1.036479031222693</c:v>
                      </c:pt>
                      <c:pt idx="14">
                        <c:v>0.91905305952289773</c:v>
                      </c:pt>
                      <c:pt idx="15">
                        <c:v>0.96042572182107111</c:v>
                      </c:pt>
                      <c:pt idx="16">
                        <c:v>1.1285104174417646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(Analyses_CV_ZS!$I$62,Analyses_CV_ZS!$I$65:$I$66,Analyses_CV_ZS!$I$68:$I$69,Analyses_CV_ZS!$I$72:$I$73,Analyses_CV_ZS!$I$76:$I$78,Analyses_CV_ZS!$I$84,Analyses_CV_ZS!$I$87:$I$88,Analyses_CV_ZS!$I$90:$I$92,Analyses_CV_ZS!$I$94)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1.0130261344946121</c:v>
                      </c:pt>
                      <c:pt idx="1">
                        <c:v>1.0477624587336101</c:v>
                      </c:pt>
                      <c:pt idx="2">
                        <c:v>1.0358330510872433</c:v>
                      </c:pt>
                      <c:pt idx="3">
                        <c:v>1.5869003630503671</c:v>
                      </c:pt>
                      <c:pt idx="4">
                        <c:v>1.0524270931961519</c:v>
                      </c:pt>
                      <c:pt idx="5">
                        <c:v>1.172381123738738</c:v>
                      </c:pt>
                      <c:pt idx="6">
                        <c:v>1.1595481387809781</c:v>
                      </c:pt>
                      <c:pt idx="7">
                        <c:v>1.0326174590241122</c:v>
                      </c:pt>
                      <c:pt idx="8">
                        <c:v>0.96011166970237871</c:v>
                      </c:pt>
                      <c:pt idx="9">
                        <c:v>0.62383062023507829</c:v>
                      </c:pt>
                      <c:pt idx="10">
                        <c:v>1.3610702395479479</c:v>
                      </c:pt>
                      <c:pt idx="11">
                        <c:v>1.0406381461240657</c:v>
                      </c:pt>
                      <c:pt idx="12">
                        <c:v>1.5702100204506262</c:v>
                      </c:pt>
                      <c:pt idx="13">
                        <c:v>1.1163310367098034</c:v>
                      </c:pt>
                      <c:pt idx="14">
                        <c:v>1.0596128907629467</c:v>
                      </c:pt>
                      <c:pt idx="15">
                        <c:v>0.98661451869194805</c:v>
                      </c:pt>
                      <c:pt idx="16">
                        <c:v>1.164373040682521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(Analyses_CV_ZS!$J$62,Analyses_CV_ZS!$J$65:$J$66,Analyses_CV_ZS!$J$68:$J$69,Analyses_CV_ZS!$J$72:$J$73,Analyses_CV_ZS!$J$76:$J$78,Analyses_CV_ZS!$J$84,Analyses_CV_ZS!$J$87:$J$88,Analyses_CV_ZS!$J$90:$J$92,Analyses_CV_ZS!$J$94)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0.94924779163114836</c:v>
                      </c:pt>
                      <c:pt idx="1">
                        <c:v>1.0241663168590722</c:v>
                      </c:pt>
                      <c:pt idx="2">
                        <c:v>0.94928788081746263</c:v>
                      </c:pt>
                      <c:pt idx="3">
                        <c:v>1.4676402463453524</c:v>
                      </c:pt>
                      <c:pt idx="4">
                        <c:v>1.0157481028460116</c:v>
                      </c:pt>
                      <c:pt idx="5">
                        <c:v>1.01174273672732</c:v>
                      </c:pt>
                      <c:pt idx="6">
                        <c:v>1.1101903896648464</c:v>
                      </c:pt>
                      <c:pt idx="7">
                        <c:v>0.96879103841462733</c:v>
                      </c:pt>
                      <c:pt idx="8">
                        <c:v>0.89000599139452807</c:v>
                      </c:pt>
                      <c:pt idx="9">
                        <c:v>0.56164793207245967</c:v>
                      </c:pt>
                      <c:pt idx="10">
                        <c:v>1.2457163763664461</c:v>
                      </c:pt>
                      <c:pt idx="11">
                        <c:v>0.97465541733288885</c:v>
                      </c:pt>
                      <c:pt idx="12">
                        <c:v>1.4471813769446282</c:v>
                      </c:pt>
                      <c:pt idx="13">
                        <c:v>1.0540464724298573</c:v>
                      </c:pt>
                      <c:pt idx="14">
                        <c:v>1.0310844509408923</c:v>
                      </c:pt>
                      <c:pt idx="15">
                        <c:v>0.92007255621458373</c:v>
                      </c:pt>
                      <c:pt idx="16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(Analyses_CV_ZS!$K$62,Analyses_CV_ZS!$K$65:$K$66,Analyses_CV_ZS!$K$68:$K$69,Analyses_CV_ZS!$K$72:$K$73,Analyses_CV_ZS!$K$76:$K$78,Analyses_CV_ZS!$K$84,Analyses_CV_ZS!$K$87:$K$88,Analyses_CV_ZS!$K$90:$K$92,Analyses_CV_ZS!$K$94)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1.0524504339404717</c:v>
                      </c:pt>
                      <c:pt idx="2">
                        <c:v>0.95684454313096901</c:v>
                      </c:pt>
                      <c:pt idx="3">
                        <c:v>1.4903862703538329</c:v>
                      </c:pt>
                      <c:pt idx="4">
                        <c:v>1.0509830384579575</c:v>
                      </c:pt>
                      <c:pt idx="5">
                        <c:v>1.0340708522964746</c:v>
                      </c:pt>
                      <c:pt idx="6">
                        <c:v>1.1153953886625476</c:v>
                      </c:pt>
                      <c:pt idx="7">
                        <c:v>0.97022534000135729</c:v>
                      </c:pt>
                      <c:pt idx="8">
                        <c:v>0.90249056424387131</c:v>
                      </c:pt>
                      <c:pt idx="9">
                        <c:v>0.54748817923628867</c:v>
                      </c:pt>
                      <c:pt idx="10">
                        <c:v>1.2320966443143575</c:v>
                      </c:pt>
                      <c:pt idx="11">
                        <c:v>0.99603749445607337</c:v>
                      </c:pt>
                      <c:pt idx="12">
                        <c:v>1.717206466358163</c:v>
                      </c:pt>
                      <c:pt idx="13">
                        <c:v>1.0714542096260473</c:v>
                      </c:pt>
                      <c:pt idx="14">
                        <c:v>1.0057836813176835</c:v>
                      </c:pt>
                      <c:pt idx="15">
                        <c:v>0.95441350775343792</c:v>
                      </c:pt>
                      <c:pt idx="16">
                        <c:v>1.1326611840205558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(Analyses_CV_ZS!$L$62,Analyses_CV_ZS!$L$65:$L$66,Analyses_CV_ZS!$L$68:$L$69,Analyses_CV_ZS!$L$72:$L$73,Analyses_CV_ZS!$L$76:$L$78,Analyses_CV_ZS!$L$84,Analyses_CV_ZS!$L$87:$L$88,Analyses_CV_ZS!$L$90:$L$92,Analyses_CV_ZS!$L$94)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1.0118958853805762</c:v>
                      </c:pt>
                      <c:pt idx="1">
                        <c:v>1.0496376488163546</c:v>
                      </c:pt>
                      <c:pt idx="2">
                        <c:v>1.0372588364294144</c:v>
                      </c:pt>
                      <c:pt idx="3">
                        <c:v>1.5919086619146197</c:v>
                      </c:pt>
                      <c:pt idx="4">
                        <c:v>1.0408746552905959</c:v>
                      </c:pt>
                      <c:pt idx="5">
                        <c:v>1.2070103770520104</c:v>
                      </c:pt>
                      <c:pt idx="6">
                        <c:v>1.1625096037279461</c:v>
                      </c:pt>
                      <c:pt idx="7">
                        <c:v>1.0202665286939372</c:v>
                      </c:pt>
                      <c:pt idx="8">
                        <c:v>0.93082094109430413</c:v>
                      </c:pt>
                      <c:pt idx="9">
                        <c:v>0.61634999609521435</c:v>
                      </c:pt>
                      <c:pt idx="10">
                        <c:v>1.2939497920868261</c:v>
                      </c:pt>
                      <c:pt idx="11">
                        <c:v>1.0237161341676804</c:v>
                      </c:pt>
                      <c:pt idx="12">
                        <c:v>1.5715770053784706</c:v>
                      </c:pt>
                      <c:pt idx="13">
                        <c:v>1.1263923894011794</c:v>
                      </c:pt>
                      <c:pt idx="14">
                        <c:v>1.0625282057812588</c:v>
                      </c:pt>
                      <c:pt idx="15">
                        <c:v>0.97836046209062111</c:v>
                      </c:pt>
                      <c:pt idx="16">
                        <c:v>1.1632108260404594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(Analyses_CV_ZS!$M$62,Analyses_CV_ZS!$M$65:$M$66,Analyses_CV_ZS!$M$68:$M$69,Analyses_CV_ZS!$M$72:$M$73,Analyses_CV_ZS!$M$76:$M$78,Analyses_CV_ZS!$M$84,Analyses_CV_ZS!$M$87:$M$88,Analyses_CV_ZS!$M$90:$M$92,Analyses_CV_ZS!$M$94)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0.95070096906348045</c:v>
                      </c:pt>
                      <c:pt idx="1">
                        <c:v>1.0211972658947266</c:v>
                      </c:pt>
                      <c:pt idx="2">
                        <c:v>0.95000077348854817</c:v>
                      </c:pt>
                      <c:pt idx="3">
                        <c:v>1.4664925111889611</c:v>
                      </c:pt>
                      <c:pt idx="4">
                        <c:v>1.0186362123224006</c:v>
                      </c:pt>
                      <c:pt idx="5">
                        <c:v>1.0270416307284074</c:v>
                      </c:pt>
                      <c:pt idx="6">
                        <c:v>1.1012162534619134</c:v>
                      </c:pt>
                      <c:pt idx="7">
                        <c:v>0.95524485676217741</c:v>
                      </c:pt>
                      <c:pt idx="8">
                        <c:v>0.89720862957684155</c:v>
                      </c:pt>
                      <c:pt idx="9">
                        <c:v>0.5479557182450302</c:v>
                      </c:pt>
                      <c:pt idx="10">
                        <c:v>1.210049232760424</c:v>
                      </c:pt>
                      <c:pt idx="11">
                        <c:v>1.0076467817284773</c:v>
                      </c:pt>
                      <c:pt idx="12">
                        <c:v>1.4367011591644876</c:v>
                      </c:pt>
                      <c:pt idx="13">
                        <c:v>1.0230638943008585</c:v>
                      </c:pt>
                      <c:pt idx="14">
                        <c:v>1.0309803325473812</c:v>
                      </c:pt>
                      <c:pt idx="15">
                        <c:v>0.9025454236784326</c:v>
                      </c:pt>
                      <c:pt idx="16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(Analyses_CV_ZS!$N$62,Analyses_CV_ZS!$N$65:$N$66,Analyses_CV_ZS!$N$68:$N$69,Analyses_CV_ZS!$N$72:$N$73,Analyses_CV_ZS!$N$76:$N$78,Analyses_CV_ZS!$N$84,Analyses_CV_ZS!$N$87:$N$88,Analyses_CV_ZS!$N$90:$N$92,Analyses_CV_ZS!$N$94)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0.97120691727527764</c:v>
                      </c:pt>
                      <c:pt idx="1">
                        <c:v>1.0491688512956685</c:v>
                      </c:pt>
                      <c:pt idx="2">
                        <c:v>0.95827032847313998</c:v>
                      </c:pt>
                      <c:pt idx="3">
                        <c:v>1.4878821209217066</c:v>
                      </c:pt>
                      <c:pt idx="4">
                        <c:v>1.030333055701776</c:v>
                      </c:pt>
                      <c:pt idx="5">
                        <c:v>1.0635315603391091</c:v>
                      </c:pt>
                      <c:pt idx="6">
                        <c:v>1.1286771102428885</c:v>
                      </c:pt>
                      <c:pt idx="7">
                        <c:v>0.96719736998492734</c:v>
                      </c:pt>
                      <c:pt idx="8">
                        <c:v>0.90705223509266986</c:v>
                      </c:pt>
                      <c:pt idx="9">
                        <c:v>0.53706873847004977</c:v>
                      </c:pt>
                      <c:pt idx="10">
                        <c:v>1.1980849377533407</c:v>
                      </c:pt>
                      <c:pt idx="11">
                        <c:v>0.95897960005546223</c:v>
                      </c:pt>
                      <c:pt idx="12">
                        <c:v>1.7421767243734545</c:v>
                      </c:pt>
                      <c:pt idx="13">
                        <c:v>1.074169177812609</c:v>
                      </c:pt>
                      <c:pt idx="14">
                        <c:v>1.0084907595489734</c:v>
                      </c:pt>
                      <c:pt idx="15">
                        <c:v>0.93495023848364223</c:v>
                      </c:pt>
                      <c:pt idx="16">
                        <c:v>1.12402758953667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Analyses_CV_ZS!$E$60</c:f>
              <c:strCache>
                <c:ptCount val="1"/>
                <c:pt idx="0">
                  <c:v>VPO 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Analyses_CV_ZS!$E$61:$E$94</c15:sqref>
                  </c15:fullRef>
                </c:ext>
              </c:extLst>
              <c:f>(Analyses_CV_ZS!$E$62,Analyses_CV_ZS!$E$65:$E$66,Analyses_CV_ZS!$E$68:$E$69,Analyses_CV_ZS!$E$72:$E$73,Analyses_CV_ZS!$E$76:$E$78,Analyses_CV_ZS!$E$84,Analyses_CV_ZS!$E$87:$E$88,Analyses_CV_ZS!$E$90:$E$92,Analyses_CV_ZS!$E$94)</c:f>
              <c:numCache>
                <c:formatCode>0%</c:formatCode>
                <c:ptCount val="17"/>
                <c:pt idx="0">
                  <c:v>0.79198170062098705</c:v>
                </c:pt>
                <c:pt idx="1">
                  <c:v>0.61115570113454865</c:v>
                </c:pt>
                <c:pt idx="2">
                  <c:v>0.69179104802137703</c:v>
                </c:pt>
                <c:pt idx="3">
                  <c:v>0.88469512645828541</c:v>
                </c:pt>
                <c:pt idx="4">
                  <c:v>0.51624956890453388</c:v>
                </c:pt>
                <c:pt idx="5">
                  <c:v>0.57412200866243013</c:v>
                </c:pt>
                <c:pt idx="6">
                  <c:v>0.63931746309694981</c:v>
                </c:pt>
                <c:pt idx="7">
                  <c:v>0.67675129867210315</c:v>
                </c:pt>
                <c:pt idx="8">
                  <c:v>0.3610922608733127</c:v>
                </c:pt>
                <c:pt idx="9">
                  <c:v>0.30410072954285988</c:v>
                </c:pt>
                <c:pt idx="10">
                  <c:v>1.2725796047785767</c:v>
                </c:pt>
                <c:pt idx="11">
                  <c:v>0.9884947371886923</c:v>
                </c:pt>
                <c:pt idx="12">
                  <c:v>0.98796557351742531</c:v>
                </c:pt>
                <c:pt idx="13">
                  <c:v>1.126072981379231</c:v>
                </c:pt>
                <c:pt idx="14">
                  <c:v>0.62981216234893034</c:v>
                </c:pt>
                <c:pt idx="15">
                  <c:v>0.95798007542067798</c:v>
                </c:pt>
                <c:pt idx="16">
                  <c:v>1.1422909624833515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0480"/>
        <c:axId val="-1384599728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(Analyses_CV_ZS!$O$62,Analyses_CV_ZS!$O$65:$O$66,Analyses_CV_ZS!$O$68:$O$69,Analyses_CV_ZS!$O$72:$O$73,Analyses_CV_ZS!$O$76:$O$78,Analyses_CV_ZS!$O$84,Analyses_CV_ZS!$O$87:$O$88,Analyses_CV_ZS!$O$90:$O$92,Analyses_CV_ZS!$O$94)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1.0152866327226844</c:v>
                      </c:pt>
                      <c:pt idx="1">
                        <c:v>1.0135402397235189</c:v>
                      </c:pt>
                      <c:pt idx="2">
                        <c:v>0.98493251437173801</c:v>
                      </c:pt>
                      <c:pt idx="3">
                        <c:v>1.5850222509762724</c:v>
                      </c:pt>
                      <c:pt idx="4">
                        <c:v>1.0205134834820535</c:v>
                      </c:pt>
                      <c:pt idx="5">
                        <c:v>1.1062237442745761</c:v>
                      </c:pt>
                      <c:pt idx="6">
                        <c:v>1.2395974337111408</c:v>
                      </c:pt>
                      <c:pt idx="7">
                        <c:v>0.87388808342599256</c:v>
                      </c:pt>
                      <c:pt idx="8">
                        <c:v>0.94834736067126679</c:v>
                      </c:pt>
                      <c:pt idx="9">
                        <c:v>0.61768582183447585</c:v>
                      </c:pt>
                      <c:pt idx="10">
                        <c:v>1.2588093784496694</c:v>
                      </c:pt>
                      <c:pt idx="11">
                        <c:v>0.87627162688878835</c:v>
                      </c:pt>
                      <c:pt idx="12">
                        <c:v>1.5278334876874491</c:v>
                      </c:pt>
                      <c:pt idx="13">
                        <c:v>1.1235177172036432</c:v>
                      </c:pt>
                      <c:pt idx="14">
                        <c:v>1.0554481550225008</c:v>
                      </c:pt>
                      <c:pt idx="15">
                        <c:v>0.88980768200971805</c:v>
                      </c:pt>
                      <c:pt idx="16">
                        <c:v>1.1361478279467405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(Analyses_CV_ZS!$P$62,Analyses_CV_ZS!$P$65:$P$66,Analyses_CV_ZS!$P$68:$P$69,Analyses_CV_ZS!$P$72:$P$73,Analyses_CV_ZS!$P$76:$P$78,Analyses_CV_ZS!$P$84,Analyses_CV_ZS!$P$87:$P$88,Analyses_CV_ZS!$P$90:$P$92,Analyses_CV_ZS!$P$94)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0.94504972349330008</c:v>
                      </c:pt>
                      <c:pt idx="1">
                        <c:v>0.98541238848234813</c:v>
                      </c:pt>
                      <c:pt idx="2">
                        <c:v>0.90266470012847044</c:v>
                      </c:pt>
                      <c:pt idx="3">
                        <c:v>1.4556411969830805</c:v>
                      </c:pt>
                      <c:pt idx="4">
                        <c:v>0.9493215848890646</c:v>
                      </c:pt>
                      <c:pt idx="5">
                        <c:v>0.94961682257425539</c:v>
                      </c:pt>
                      <c:pt idx="6">
                        <c:v>1.163586500072298</c:v>
                      </c:pt>
                      <c:pt idx="7">
                        <c:v>0.82902631712993768</c:v>
                      </c:pt>
                      <c:pt idx="8">
                        <c:v>0.89912933309212506</c:v>
                      </c:pt>
                      <c:pt idx="9">
                        <c:v>0.54608556221006421</c:v>
                      </c:pt>
                      <c:pt idx="10">
                        <c:v>1.0980814908073422</c:v>
                      </c:pt>
                      <c:pt idx="11">
                        <c:v>0.82419380714704449</c:v>
                      </c:pt>
                      <c:pt idx="12">
                        <c:v>1.4096348575931681</c:v>
                      </c:pt>
                      <c:pt idx="13">
                        <c:v>1.0284938306739819</c:v>
                      </c:pt>
                      <c:pt idx="14">
                        <c:v>1.0199437828351996</c:v>
                      </c:pt>
                      <c:pt idx="15">
                        <c:v>0.81378883973083016</c:v>
                      </c:pt>
                      <c:pt idx="16">
                        <c:v>1.0747164825806301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(Analyses_CV_ZS!$Q$62,Analyses_CV_ZS!$Q$65:$Q$66,Analyses_CV_ZS!$Q$68:$Q$69,Analyses_CV_ZS!$Q$72:$Q$73,Analyses_CV_ZS!$Q$76:$Q$78,Analyses_CV_ZS!$Q$84,Analyses_CV_ZS!$Q$87:$Q$88,Analyses_CV_ZS!$Q$90:$Q$92,Analyses_CV_ZS!$Q$94)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1.0202596708533542</c:v>
                      </c:pt>
                      <c:pt idx="2">
                        <c:v>0.90965104830510835</c:v>
                      </c:pt>
                      <c:pt idx="3">
                        <c:v>1.4805783517446716</c:v>
                      </c:pt>
                      <c:pt idx="4">
                        <c:v>1.0036180430451778</c:v>
                      </c:pt>
                      <c:pt idx="5">
                        <c:v>0.96000559856823708</c:v>
                      </c:pt>
                      <c:pt idx="6">
                        <c:v>1.183688565166868</c:v>
                      </c:pt>
                      <c:pt idx="7">
                        <c:v>0.82026114076658774</c:v>
                      </c:pt>
                      <c:pt idx="8">
                        <c:v>0.91521522503262509</c:v>
                      </c:pt>
                      <c:pt idx="9">
                        <c:v>0.53913926836590487</c:v>
                      </c:pt>
                      <c:pt idx="10">
                        <c:v>1.0766360563606832</c:v>
                      </c:pt>
                      <c:pt idx="11">
                        <c:v>0.82419380714704449</c:v>
                      </c:pt>
                      <c:pt idx="12">
                        <c:v>1.7264108315389821</c:v>
                      </c:pt>
                      <c:pt idx="13">
                        <c:v>1.0720930256699441</c:v>
                      </c:pt>
                      <c:pt idx="14">
                        <c:v>0.99443477642496847</c:v>
                      </c:pt>
                      <c:pt idx="15">
                        <c:v>0.80135680386216479</c:v>
                      </c:pt>
                      <c:pt idx="16">
                        <c:v>1.1132355964318128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(Analyses_CV_ZS!$R$62,Analyses_CV_ZS!$R$65:$R$66,Analyses_CV_ZS!$R$68:$R$69,Analyses_CV_ZS!$R$72:$R$73,Analyses_CV_ZS!$R$76:$R$78,Analyses_CV_ZS!$R$84,Analyses_CV_ZS!$R$87:$R$88,Analyses_CV_ZS!$R$90:$R$92,Analyses_CV_ZS!$R$94)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0.97879573275523413</c:v>
                      </c:pt>
                      <c:pt idx="1">
                        <c:v>1.0413555592842321</c:v>
                      </c:pt>
                      <c:pt idx="2">
                        <c:v>0.90323501426533881</c:v>
                      </c:pt>
                      <c:pt idx="3">
                        <c:v>1.3907419908671408</c:v>
                      </c:pt>
                      <c:pt idx="4">
                        <c:v>0.97300408259545434</c:v>
                      </c:pt>
                      <c:pt idx="5">
                        <c:v>1.1690215693128236</c:v>
                      </c:pt>
                      <c:pt idx="6">
                        <c:v>1.1007675466517668</c:v>
                      </c:pt>
                      <c:pt idx="7">
                        <c:v>0.99460846697576721</c:v>
                      </c:pt>
                      <c:pt idx="8">
                        <c:v>0.86815798890817741</c:v>
                      </c:pt>
                      <c:pt idx="9">
                        <c:v>0.55383335149778046</c:v>
                      </c:pt>
                      <c:pt idx="10">
                        <c:v>1.40682049970082</c:v>
                      </c:pt>
                      <c:pt idx="11">
                        <c:v>0.88558529238416317</c:v>
                      </c:pt>
                      <c:pt idx="12">
                        <c:v>1.5390427640957733</c:v>
                      </c:pt>
                      <c:pt idx="13">
                        <c:v>1.0168354378728639</c:v>
                      </c:pt>
                      <c:pt idx="14">
                        <c:v>1.0568016941381457</c:v>
                      </c:pt>
                      <c:pt idx="15">
                        <c:v>0.9293456321494078</c:v>
                      </c:pt>
                      <c:pt idx="16">
                        <c:v>1.0097984932883348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(Analyses_CV_ZS!$S$62,Analyses_CV_ZS!$S$65:$S$66,Analyses_CV_ZS!$S$68:$S$69,Analyses_CV_ZS!$S$72:$S$73,Analyses_CV_ZS!$S$76:$S$78,Analyses_CV_ZS!$S$84,Analyses_CV_ZS!$S$87:$S$88,Analyses_CV_ZS!$S$90:$S$92,Analyses_CV_ZS!$S$94)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0.46372506507308353</c:v>
                      </c:pt>
                      <c:pt idx="1">
                        <c:v>0.74507552621056705</c:v>
                      </c:pt>
                      <c:pt idx="2">
                        <c:v>0.56789030178671573</c:v>
                      </c:pt>
                      <c:pt idx="3">
                        <c:v>0.5880577583109915</c:v>
                      </c:pt>
                      <c:pt idx="4">
                        <c:v>0.70007773707669374</c:v>
                      </c:pt>
                      <c:pt idx="5">
                        <c:v>0.40040720211629871</c:v>
                      </c:pt>
                      <c:pt idx="6">
                        <c:v>1.0637043641336532</c:v>
                      </c:pt>
                      <c:pt idx="7">
                        <c:v>0.71754921047242304</c:v>
                      </c:pt>
                      <c:pt idx="8">
                        <c:v>0.56372648173573026</c:v>
                      </c:pt>
                      <c:pt idx="9">
                        <c:v>0.27584801515748109</c:v>
                      </c:pt>
                      <c:pt idx="10">
                        <c:v>0.35629520036817408</c:v>
                      </c:pt>
                      <c:pt idx="11">
                        <c:v>0.80773091954606502</c:v>
                      </c:pt>
                      <c:pt idx="12">
                        <c:v>1.1335950344971177</c:v>
                      </c:pt>
                      <c:pt idx="13">
                        <c:v>0.57701059164985979</c:v>
                      </c:pt>
                      <c:pt idx="14">
                        <c:v>0.64584639494964713</c:v>
                      </c:pt>
                      <c:pt idx="15">
                        <c:v>0.5600530256900379</c:v>
                      </c:pt>
                      <c:pt idx="16">
                        <c:v>0.68255205621643289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(Analyses_CV_ZS!$T$62,Analyses_CV_ZS!$T$65:$T$66,Analyses_CV_ZS!$T$68:$T$69,Analyses_CV_ZS!$T$72:$T$73,Analyses_CV_ZS!$T$76:$T$78,Analyses_CV_ZS!$T$84,Analyses_CV_ZS!$T$87:$T$88,Analyses_CV_ZS!$T$90:$T$92,Analyses_CV_ZS!$T$94)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0.90177732884163353</c:v>
                      </c:pt>
                      <c:pt idx="1">
                        <c:v>1.0258852411015882</c:v>
                      </c:pt>
                      <c:pt idx="2">
                        <c:v>0.92134248811091068</c:v>
                      </c:pt>
                      <c:pt idx="3">
                        <c:v>1.3322074978911886</c:v>
                      </c:pt>
                      <c:pt idx="4">
                        <c:v>0.96766108006413476</c:v>
                      </c:pt>
                      <c:pt idx="5">
                        <c:v>0.982230343231979</c:v>
                      </c:pt>
                      <c:pt idx="6">
                        <c:v>1.0769860857139941</c:v>
                      </c:pt>
                      <c:pt idx="7">
                        <c:v>0.94392981091130745</c:v>
                      </c:pt>
                      <c:pt idx="8">
                        <c:v>0.95891123000532641</c:v>
                      </c:pt>
                      <c:pt idx="9">
                        <c:v>0.55202998674977755</c:v>
                      </c:pt>
                      <c:pt idx="10">
                        <c:v>1.2846191469240693</c:v>
                      </c:pt>
                      <c:pt idx="11">
                        <c:v>0.86623648026349009</c:v>
                      </c:pt>
                      <c:pt idx="12">
                        <c:v>1.4927475412061091</c:v>
                      </c:pt>
                      <c:pt idx="13">
                        <c:v>0.97802736320612815</c:v>
                      </c:pt>
                      <c:pt idx="14">
                        <c:v>1.0256702944783127</c:v>
                      </c:pt>
                      <c:pt idx="15">
                        <c:v>0.82143148473205885</c:v>
                      </c:pt>
                      <c:pt idx="16">
                        <c:v>1.0076400946673634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(Analyses_CV_ZS!$U$62,Analyses_CV_ZS!$U$65:$U$66,Analyses_CV_ZS!$U$68:$U$69,Analyses_CV_ZS!$U$72:$U$73,Analyses_CV_ZS!$U$76:$U$78,Analyses_CV_ZS!$U$84,Analyses_CV_ZS!$U$87:$U$88,Analyses_CV_ZS!$U$90:$U$92,Analyses_CV_ZS!$U$94)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0.92325206200831877</c:v>
                      </c:pt>
                      <c:pt idx="1">
                        <c:v>1.0572946749875622</c:v>
                      </c:pt>
                      <c:pt idx="2">
                        <c:v>0.91977412423452254</c:v>
                      </c:pt>
                      <c:pt idx="3">
                        <c:v>1.477030806715826</c:v>
                      </c:pt>
                      <c:pt idx="4">
                        <c:v>0.89155939536128459</c:v>
                      </c:pt>
                      <c:pt idx="5">
                        <c:v>1.1344956869049641</c:v>
                      </c:pt>
                      <c:pt idx="6">
                        <c:v>1.020718251721604</c:v>
                      </c:pt>
                      <c:pt idx="7">
                        <c:v>0.95787440967118231</c:v>
                      </c:pt>
                      <c:pt idx="8">
                        <c:v>0.86455666981702073</c:v>
                      </c:pt>
                      <c:pt idx="9">
                        <c:v>0.54354749330546759</c:v>
                      </c:pt>
                      <c:pt idx="10">
                        <c:v>1.1918394252653663</c:v>
                      </c:pt>
                      <c:pt idx="11">
                        <c:v>0.94494351261877052</c:v>
                      </c:pt>
                      <c:pt idx="12">
                        <c:v>1.4963928343470274</c:v>
                      </c:pt>
                      <c:pt idx="13">
                        <c:v>1.0029411889181066</c:v>
                      </c:pt>
                      <c:pt idx="14">
                        <c:v>0.96923812519527075</c:v>
                      </c:pt>
                      <c:pt idx="15">
                        <c:v>0.94096245255127542</c:v>
                      </c:pt>
                      <c:pt idx="16">
                        <c:v>1.1942585600498179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(Analyses_CV_ZS!$V$62,Analyses_CV_ZS!$V$65:$V$66,Analyses_CV_ZS!$V$68:$V$69,Analyses_CV_ZS!$V$72:$V$73,Analyses_CV_ZS!$V$76:$V$78,Analyses_CV_ZS!$V$84,Analyses_CV_ZS!$V$87:$V$88,Analyses_CV_ZS!$V$90:$V$92,Analyses_CV_ZS!$V$94)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0.44257326022469429</c:v>
                      </c:pt>
                      <c:pt idx="1">
                        <c:v>1.0086959986764283</c:v>
                      </c:pt>
                      <c:pt idx="2">
                        <c:v>0.73228335173903392</c:v>
                      </c:pt>
                      <c:pt idx="3">
                        <c:v>1.171733255115762</c:v>
                      </c:pt>
                      <c:pt idx="4">
                        <c:v>0.70267703560544392</c:v>
                      </c:pt>
                      <c:pt idx="5">
                        <c:v>0.6730479651424347</c:v>
                      </c:pt>
                      <c:pt idx="6">
                        <c:v>1.1980471830915609</c:v>
                      </c:pt>
                      <c:pt idx="7">
                        <c:v>0.8926136874749675</c:v>
                      </c:pt>
                      <c:pt idx="8">
                        <c:v>0.73010742374717019</c:v>
                      </c:pt>
                      <c:pt idx="9">
                        <c:v>0.37636890203690215</c:v>
                      </c:pt>
                      <c:pt idx="10">
                        <c:v>0.48090446157402339</c:v>
                      </c:pt>
                      <c:pt idx="11">
                        <c:v>0.73577957413461281</c:v>
                      </c:pt>
                      <c:pt idx="12">
                        <c:v>1.1621194533248047</c:v>
                      </c:pt>
                      <c:pt idx="13">
                        <c:v>0.64328775620416134</c:v>
                      </c:pt>
                      <c:pt idx="14">
                        <c:v>0.98006643812043015</c:v>
                      </c:pt>
                      <c:pt idx="15">
                        <c:v>0.7117850044477646</c:v>
                      </c:pt>
                      <c:pt idx="16">
                        <c:v>0.76291089718183147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(Analyses_CV_ZS!$W$62,Analyses_CV_ZS!$W$65:$W$66,Analyses_CV_ZS!$W$68:$W$69,Analyses_CV_ZS!$W$72:$W$73,Analyses_CV_ZS!$W$76:$W$78,Analyses_CV_ZS!$W$84,Analyses_CV_ZS!$W$87:$W$88,Analyses_CV_ZS!$W$90:$W$92,Analyses_CV_ZS!$W$94)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0.46038760090349423</c:v>
                      </c:pt>
                      <c:pt idx="1">
                        <c:v>0.2064217056377394</c:v>
                      </c:pt>
                      <c:pt idx="2">
                        <c:v>0.4921254944890901</c:v>
                      </c:pt>
                      <c:pt idx="3">
                        <c:v>0.41512537211073647</c:v>
                      </c:pt>
                      <c:pt idx="4">
                        <c:v>0.77851554133225809</c:v>
                      </c:pt>
                      <c:pt idx="5">
                        <c:v>0.41275963767222734</c:v>
                      </c:pt>
                      <c:pt idx="6">
                        <c:v>0.40104921113416586</c:v>
                      </c:pt>
                      <c:pt idx="7">
                        <c:v>0.74487783512202588</c:v>
                      </c:pt>
                      <c:pt idx="8">
                        <c:v>0.23796556202605895</c:v>
                      </c:pt>
                      <c:pt idx="9">
                        <c:v>0.22208754130268824</c:v>
                      </c:pt>
                      <c:pt idx="10">
                        <c:v>0.40219106373386854</c:v>
                      </c:pt>
                      <c:pt idx="11">
                        <c:v>0.33139907521860557</c:v>
                      </c:pt>
                      <c:pt idx="12">
                        <c:v>0.63721683448317901</c:v>
                      </c:pt>
                      <c:pt idx="13">
                        <c:v>0.61993144385920917</c:v>
                      </c:pt>
                      <c:pt idx="14">
                        <c:v>0.3560148861884877</c:v>
                      </c:pt>
                      <c:pt idx="15">
                        <c:v>0.54136956096520084</c:v>
                      </c:pt>
                      <c:pt idx="16">
                        <c:v>0.42154770297546035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(Analyses_CV_ZS!$X$62,Analyses_CV_ZS!$X$65:$X$66,Analyses_CV_ZS!$X$68:$X$69,Analyses_CV_ZS!$X$72:$X$73,Analyses_CV_ZS!$X$76:$X$78,Analyses_CV_ZS!$X$84,Analyses_CV_ZS!$X$87:$X$88,Analyses_CV_ZS!$X$90:$X$92,Analyses_CV_ZS!$X$94)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0.75932961103728092</c:v>
                      </c:pt>
                      <c:pt idx="1">
                        <c:v>0.68743608971300008</c:v>
                      </c:pt>
                      <c:pt idx="2">
                        <c:v>0.67511755778369364</c:v>
                      </c:pt>
                      <c:pt idx="3">
                        <c:v>0.99557260293925742</c:v>
                      </c:pt>
                      <c:pt idx="4">
                        <c:v>1.2354949665486523</c:v>
                      </c:pt>
                      <c:pt idx="5">
                        <c:v>0.87873203317830462</c:v>
                      </c:pt>
                      <c:pt idx="6">
                        <c:v>0.90279137141291144</c:v>
                      </c:pt>
                      <c:pt idx="7">
                        <c:v>1.8802012481836912</c:v>
                      </c:pt>
                      <c:pt idx="8">
                        <c:v>0.63387657631237182</c:v>
                      </c:pt>
                      <c:pt idx="9">
                        <c:v>0.37960594175956736</c:v>
                      </c:pt>
                      <c:pt idx="10">
                        <c:v>1.1001494702886769</c:v>
                      </c:pt>
                      <c:pt idx="11">
                        <c:v>0.91018861877947177</c:v>
                      </c:pt>
                      <c:pt idx="12">
                        <c:v>1.1064227915938902</c:v>
                      </c:pt>
                      <c:pt idx="13">
                        <c:v>1.6237494077975645</c:v>
                      </c:pt>
                      <c:pt idx="14">
                        <c:v>1.0606863514000466</c:v>
                      </c:pt>
                      <c:pt idx="15">
                        <c:v>0.99889752298308943</c:v>
                      </c:pt>
                      <c:pt idx="16">
                        <c:v>0.96448955546756532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9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9728"/>
        <c:crosses val="autoZero"/>
        <c:auto val="1"/>
        <c:lblAlgn val="ctr"/>
        <c:lblOffset val="100"/>
        <c:noMultiLvlLbl val="0"/>
      </c:catAx>
      <c:valAx>
        <c:axId val="-138459972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GOMA - CV VPO1_Penta 1_PCV-13 1_Rota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Analyses_CV_ZS!$F$60</c:f>
              <c:strCache>
                <c:ptCount val="1"/>
                <c:pt idx="0">
                  <c:v>VPO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Analyses_CV_ZS!$F$61:$F$94</c15:sqref>
                  </c15:fullRef>
                </c:ext>
              </c:extLst>
              <c:f>(Analyses_CV_ZS!$F$62,Analyses_CV_ZS!$F$65:$F$66,Analyses_CV_ZS!$F$68:$F$69,Analyses_CV_ZS!$F$72:$F$73,Analyses_CV_ZS!$F$76:$F$78,Analyses_CV_ZS!$F$84,Analyses_CV_ZS!$F$87:$F$88,Analyses_CV_ZS!$F$90:$F$92,Analyses_CV_ZS!$F$94)</c:f>
              <c:numCache>
                <c:formatCode>0%</c:formatCode>
                <c:ptCount val="17"/>
                <c:pt idx="0">
                  <c:v>0.93907554960482376</c:v>
                </c:pt>
                <c:pt idx="1">
                  <c:v>1.0354174573555406</c:v>
                </c:pt>
                <c:pt idx="2">
                  <c:v>1.0178681557758884</c:v>
                </c:pt>
                <c:pt idx="3">
                  <c:v>1.5905522476388847</c:v>
                </c:pt>
                <c:pt idx="4">
                  <c:v>1.0000079061996916</c:v>
                </c:pt>
                <c:pt idx="5">
                  <c:v>1.1729496637185082</c:v>
                </c:pt>
                <c:pt idx="6">
                  <c:v>1.0479098844164911</c:v>
                </c:pt>
                <c:pt idx="7">
                  <c:v>0.92568230739124246</c:v>
                </c:pt>
                <c:pt idx="8">
                  <c:v>0.75747744883996115</c:v>
                </c:pt>
                <c:pt idx="9">
                  <c:v>0.58255360489190078</c:v>
                </c:pt>
                <c:pt idx="10">
                  <c:v>1.4187095475694942</c:v>
                </c:pt>
                <c:pt idx="11">
                  <c:v>1.0210925664225043</c:v>
                </c:pt>
                <c:pt idx="12">
                  <c:v>1.6319977391891942</c:v>
                </c:pt>
                <c:pt idx="13">
                  <c:v>1.0891813548441858</c:v>
                </c:pt>
                <c:pt idx="14">
                  <c:v>0.98641766012461007</c:v>
                </c:pt>
                <c:pt idx="15">
                  <c:v>1.0263562726983373</c:v>
                </c:pt>
                <c:pt idx="16">
                  <c:v>1.1640409793562176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2-4B66-44F6-8968-A6990199EF46}"/>
            </c:ext>
          </c:extLst>
        </c:ser>
        <c:ser>
          <c:idx val="5"/>
          <c:order val="5"/>
          <c:tx>
            <c:strRef>
              <c:f>Analyses_CV_ZS!$I$60</c:f>
              <c:strCache>
                <c:ptCount val="1"/>
                <c:pt idx="0">
                  <c:v>Penta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Analyses_CV_ZS!$I$61:$I$94</c15:sqref>
                  </c15:fullRef>
                </c:ext>
              </c:extLst>
              <c:f>(Analyses_CV_ZS!$I$62,Analyses_CV_ZS!$I$65:$I$66,Analyses_CV_ZS!$I$68:$I$69,Analyses_CV_ZS!$I$72:$I$73,Analyses_CV_ZS!$I$76:$I$78,Analyses_CV_ZS!$I$84,Analyses_CV_ZS!$I$87:$I$88,Analyses_CV_ZS!$I$90:$I$92,Analyses_CV_ZS!$I$94)</c:f>
              <c:numCache>
                <c:formatCode>0%</c:formatCode>
                <c:ptCount val="17"/>
                <c:pt idx="0">
                  <c:v>1.0130261344946121</c:v>
                </c:pt>
                <c:pt idx="1">
                  <c:v>1.0477624587336101</c:v>
                </c:pt>
                <c:pt idx="2">
                  <c:v>1.0358330510872433</c:v>
                </c:pt>
                <c:pt idx="3">
                  <c:v>1.5869003630503671</c:v>
                </c:pt>
                <c:pt idx="4">
                  <c:v>1.0524270931961519</c:v>
                </c:pt>
                <c:pt idx="5">
                  <c:v>1.172381123738738</c:v>
                </c:pt>
                <c:pt idx="6">
                  <c:v>1.1595481387809781</c:v>
                </c:pt>
                <c:pt idx="7">
                  <c:v>1.0326174590241122</c:v>
                </c:pt>
                <c:pt idx="8">
                  <c:v>0.96011166970237871</c:v>
                </c:pt>
                <c:pt idx="9">
                  <c:v>0.62383062023507829</c:v>
                </c:pt>
                <c:pt idx="10">
                  <c:v>1.3610702395479479</c:v>
                </c:pt>
                <c:pt idx="11">
                  <c:v>1.0406381461240657</c:v>
                </c:pt>
                <c:pt idx="12">
                  <c:v>1.5702100204506262</c:v>
                </c:pt>
                <c:pt idx="13">
                  <c:v>1.1163310367098034</c:v>
                </c:pt>
                <c:pt idx="14">
                  <c:v>1.0596128907629467</c:v>
                </c:pt>
                <c:pt idx="15">
                  <c:v>0.98661451869194805</c:v>
                </c:pt>
                <c:pt idx="16">
                  <c:v>1.164373040682521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5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8"/>
        <c:axId val="-1384600816"/>
        <c:axId val="-138460353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(Analyses_CV_ZS!$D$62,Analyses_CV_ZS!$D$65:$D$66,Analyses_CV_ZS!$D$68:$D$69,Analyses_CV_ZS!$D$72:$D$73,Analyses_CV_ZS!$D$76:$D$78,Analyses_CV_ZS!$D$84,Analyses_CV_ZS!$D$87:$D$88,Analyses_CV_ZS!$D$90:$D$92,Analyses_CV_ZS!$D$94)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1.0989852125606361</c:v>
                      </c:pt>
                      <c:pt idx="1">
                        <c:v>0.93421501124821027</c:v>
                      </c:pt>
                      <c:pt idx="2">
                        <c:v>0.88435797278132999</c:v>
                      </c:pt>
                      <c:pt idx="3">
                        <c:v>1.6521261519880801</c:v>
                      </c:pt>
                      <c:pt idx="4">
                        <c:v>0.92114049565951428</c:v>
                      </c:pt>
                      <c:pt idx="5">
                        <c:v>1.1826760906360576</c:v>
                      </c:pt>
                      <c:pt idx="6">
                        <c:v>0.99792506753317922</c:v>
                      </c:pt>
                      <c:pt idx="7">
                        <c:v>0.94183871872298719</c:v>
                      </c:pt>
                      <c:pt idx="8">
                        <c:v>0.79286941220830376</c:v>
                      </c:pt>
                      <c:pt idx="9">
                        <c:v>0.56666996893921284</c:v>
                      </c:pt>
                      <c:pt idx="10">
                        <c:v>1.022219207041517</c:v>
                      </c:pt>
                      <c:pt idx="11">
                        <c:v>0.80437668818385766</c:v>
                      </c:pt>
                      <c:pt idx="12">
                        <c:v>1.5179023421866593</c:v>
                      </c:pt>
                      <c:pt idx="13">
                        <c:v>1.0205389738873563</c:v>
                      </c:pt>
                      <c:pt idx="14">
                        <c:v>1.0422451618373358</c:v>
                      </c:pt>
                      <c:pt idx="15">
                        <c:v>0.81681099631914933</c:v>
                      </c:pt>
                      <c:pt idx="16">
                        <c:v>1.1683100427825044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(Analyses_CV_ZS!$E$62,Analyses_CV_ZS!$E$65:$E$66,Analyses_CV_ZS!$E$68:$E$69,Analyses_CV_ZS!$E$72:$E$73,Analyses_CV_ZS!$E$76:$E$78,Analyses_CV_ZS!$E$84,Analyses_CV_ZS!$E$87:$E$88,Analyses_CV_ZS!$E$90:$E$92,Analyses_CV_ZS!$E$94)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0.79198170062098705</c:v>
                      </c:pt>
                      <c:pt idx="1">
                        <c:v>0.61115570113454865</c:v>
                      </c:pt>
                      <c:pt idx="2">
                        <c:v>0.69179104802137703</c:v>
                      </c:pt>
                      <c:pt idx="3">
                        <c:v>0.88469512645828541</c:v>
                      </c:pt>
                      <c:pt idx="4">
                        <c:v>0.51624956890453388</c:v>
                      </c:pt>
                      <c:pt idx="5">
                        <c:v>0.57412200866243013</c:v>
                      </c:pt>
                      <c:pt idx="6">
                        <c:v>0.63931746309694981</c:v>
                      </c:pt>
                      <c:pt idx="7">
                        <c:v>0.67675129867210315</c:v>
                      </c:pt>
                      <c:pt idx="8">
                        <c:v>0.3610922608733127</c:v>
                      </c:pt>
                      <c:pt idx="9">
                        <c:v>0.30410072954285988</c:v>
                      </c:pt>
                      <c:pt idx="10">
                        <c:v>1.2725796047785767</c:v>
                      </c:pt>
                      <c:pt idx="11">
                        <c:v>0.9884947371886923</c:v>
                      </c:pt>
                      <c:pt idx="12">
                        <c:v>0.98796557351742531</c:v>
                      </c:pt>
                      <c:pt idx="13">
                        <c:v>1.126072981379231</c:v>
                      </c:pt>
                      <c:pt idx="14">
                        <c:v>0.62981216234893034</c:v>
                      </c:pt>
                      <c:pt idx="15">
                        <c:v>0.95798007542067798</c:v>
                      </c:pt>
                      <c:pt idx="16">
                        <c:v>1.1422909624833515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(Analyses_CV_ZS!$G$62,Analyses_CV_ZS!$G$65:$G$66,Analyses_CV_ZS!$G$68:$G$69,Analyses_CV_ZS!$G$72:$G$73,Analyses_CV_ZS!$G$76:$G$78,Analyses_CV_ZS!$G$84,Analyses_CV_ZS!$G$87:$G$88,Analyses_CV_ZS!$G$90:$G$92,Analyses_CV_ZS!$G$94)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0.87642745585539605</c:v>
                      </c:pt>
                      <c:pt idx="1">
                        <c:v>1.0247913802199873</c:v>
                      </c:pt>
                      <c:pt idx="2">
                        <c:v>0.92733078654802892</c:v>
                      </c:pt>
                      <c:pt idx="3">
                        <c:v>1.4632579848391314</c:v>
                      </c:pt>
                      <c:pt idx="4">
                        <c:v>0.94325655498864769</c:v>
                      </c:pt>
                      <c:pt idx="5">
                        <c:v>1.0403247920739462</c:v>
                      </c:pt>
                      <c:pt idx="6">
                        <c:v>0.99675730805977281</c:v>
                      </c:pt>
                      <c:pt idx="7">
                        <c:v>0.88607964691319752</c:v>
                      </c:pt>
                      <c:pt idx="8">
                        <c:v>0.72314487350426726</c:v>
                      </c:pt>
                      <c:pt idx="9">
                        <c:v>0.51382537060690125</c:v>
                      </c:pt>
                      <c:pt idx="10">
                        <c:v>1.2863498311074839</c:v>
                      </c:pt>
                      <c:pt idx="11">
                        <c:v>0.9601602055407914</c:v>
                      </c:pt>
                      <c:pt idx="12">
                        <c:v>1.5293827372723394</c:v>
                      </c:pt>
                      <c:pt idx="13">
                        <c:v>0.98361700359022597</c:v>
                      </c:pt>
                      <c:pt idx="14">
                        <c:v>1.0214014403443556</c:v>
                      </c:pt>
                      <c:pt idx="15">
                        <c:v>0.9516621555529956</c:v>
                      </c:pt>
                      <c:pt idx="16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(Analyses_CV_ZS!$H$62,Analyses_CV_ZS!$H$65:$H$66,Analyses_CV_ZS!$H$68:$H$69,Analyses_CV_ZS!$H$72:$H$73,Analyses_CV_ZS!$H$76:$H$78,Analyses_CV_ZS!$H$84,Analyses_CV_ZS!$H$87:$H$88,Analyses_CV_ZS!$H$90:$H$92,Analyses_CV_ZS!$H$94)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0.89709486822634132</c:v>
                      </c:pt>
                      <c:pt idx="1">
                        <c:v>1.040886761763546</c:v>
                      </c:pt>
                      <c:pt idx="2">
                        <c:v>0.93816675514852865</c:v>
                      </c:pt>
                      <c:pt idx="3">
                        <c:v>1.4908036285925206</c:v>
                      </c:pt>
                      <c:pt idx="4">
                        <c:v>0.96491737606156514</c:v>
                      </c:pt>
                      <c:pt idx="5">
                        <c:v>1.0364483831209679</c:v>
                      </c:pt>
                      <c:pt idx="6">
                        <c:v>0.99819316985224205</c:v>
                      </c:pt>
                      <c:pt idx="7">
                        <c:v>0.88496407901240759</c:v>
                      </c:pt>
                      <c:pt idx="8">
                        <c:v>0.74283208453592386</c:v>
                      </c:pt>
                      <c:pt idx="9">
                        <c:v>0.50647832904096346</c:v>
                      </c:pt>
                      <c:pt idx="10">
                        <c:v>1.2706984263183434</c:v>
                      </c:pt>
                      <c:pt idx="11">
                        <c:v>0.95799576215102122</c:v>
                      </c:pt>
                      <c:pt idx="12">
                        <c:v>1.892545066436341</c:v>
                      </c:pt>
                      <c:pt idx="13">
                        <c:v>1.036479031222693</c:v>
                      </c:pt>
                      <c:pt idx="14">
                        <c:v>0.91905305952289773</c:v>
                      </c:pt>
                      <c:pt idx="15">
                        <c:v>0.96042572182107111</c:v>
                      </c:pt>
                      <c:pt idx="16">
                        <c:v>1.1285104174417646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(Analyses_CV_ZS!$J$62,Analyses_CV_ZS!$J$65:$J$66,Analyses_CV_ZS!$J$68:$J$69,Analyses_CV_ZS!$J$72:$J$73,Analyses_CV_ZS!$J$76:$J$78,Analyses_CV_ZS!$J$84,Analyses_CV_ZS!$J$87:$J$88,Analyses_CV_ZS!$J$90:$J$92,Analyses_CV_ZS!$J$94)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0.94924779163114836</c:v>
                      </c:pt>
                      <c:pt idx="1">
                        <c:v>1.0241663168590722</c:v>
                      </c:pt>
                      <c:pt idx="2">
                        <c:v>0.94928788081746263</c:v>
                      </c:pt>
                      <c:pt idx="3">
                        <c:v>1.4676402463453524</c:v>
                      </c:pt>
                      <c:pt idx="4">
                        <c:v>1.0157481028460116</c:v>
                      </c:pt>
                      <c:pt idx="5">
                        <c:v>1.01174273672732</c:v>
                      </c:pt>
                      <c:pt idx="6">
                        <c:v>1.1101903896648464</c:v>
                      </c:pt>
                      <c:pt idx="7">
                        <c:v>0.96879103841462733</c:v>
                      </c:pt>
                      <c:pt idx="8">
                        <c:v>0.89000599139452807</c:v>
                      </c:pt>
                      <c:pt idx="9">
                        <c:v>0.56164793207245967</c:v>
                      </c:pt>
                      <c:pt idx="10">
                        <c:v>1.2457163763664461</c:v>
                      </c:pt>
                      <c:pt idx="11">
                        <c:v>0.97465541733288885</c:v>
                      </c:pt>
                      <c:pt idx="12">
                        <c:v>1.4471813769446282</c:v>
                      </c:pt>
                      <c:pt idx="13">
                        <c:v>1.0540464724298573</c:v>
                      </c:pt>
                      <c:pt idx="14">
                        <c:v>1.0310844509408923</c:v>
                      </c:pt>
                      <c:pt idx="15">
                        <c:v>0.92007255621458373</c:v>
                      </c:pt>
                      <c:pt idx="16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(Analyses_CV_ZS!$K$62,Analyses_CV_ZS!$K$65:$K$66,Analyses_CV_ZS!$K$68:$K$69,Analyses_CV_ZS!$K$72:$K$73,Analyses_CV_ZS!$K$76:$K$78,Analyses_CV_ZS!$K$84,Analyses_CV_ZS!$K$87:$K$88,Analyses_CV_ZS!$K$90:$K$92,Analyses_CV_ZS!$K$94)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1.0524504339404717</c:v>
                      </c:pt>
                      <c:pt idx="2">
                        <c:v>0.95684454313096901</c:v>
                      </c:pt>
                      <c:pt idx="3">
                        <c:v>1.4903862703538329</c:v>
                      </c:pt>
                      <c:pt idx="4">
                        <c:v>1.0509830384579575</c:v>
                      </c:pt>
                      <c:pt idx="5">
                        <c:v>1.0340708522964746</c:v>
                      </c:pt>
                      <c:pt idx="6">
                        <c:v>1.1153953886625476</c:v>
                      </c:pt>
                      <c:pt idx="7">
                        <c:v>0.97022534000135729</c:v>
                      </c:pt>
                      <c:pt idx="8">
                        <c:v>0.90249056424387131</c:v>
                      </c:pt>
                      <c:pt idx="9">
                        <c:v>0.54748817923628867</c:v>
                      </c:pt>
                      <c:pt idx="10">
                        <c:v>1.2320966443143575</c:v>
                      </c:pt>
                      <c:pt idx="11">
                        <c:v>0.99603749445607337</c:v>
                      </c:pt>
                      <c:pt idx="12">
                        <c:v>1.717206466358163</c:v>
                      </c:pt>
                      <c:pt idx="13">
                        <c:v>1.0714542096260473</c:v>
                      </c:pt>
                      <c:pt idx="14">
                        <c:v>1.0057836813176835</c:v>
                      </c:pt>
                      <c:pt idx="15">
                        <c:v>0.95441350775343792</c:v>
                      </c:pt>
                      <c:pt idx="16">
                        <c:v>1.1326611840205558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(Analyses_CV_ZS!$M$62,Analyses_CV_ZS!$M$65:$M$66,Analyses_CV_ZS!$M$68:$M$69,Analyses_CV_ZS!$M$72:$M$73,Analyses_CV_ZS!$M$76:$M$78,Analyses_CV_ZS!$M$84,Analyses_CV_ZS!$M$87:$M$88,Analyses_CV_ZS!$M$90:$M$92,Analyses_CV_ZS!$M$94)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0.95070096906348045</c:v>
                      </c:pt>
                      <c:pt idx="1">
                        <c:v>1.0211972658947266</c:v>
                      </c:pt>
                      <c:pt idx="2">
                        <c:v>0.95000077348854817</c:v>
                      </c:pt>
                      <c:pt idx="3">
                        <c:v>1.4664925111889611</c:v>
                      </c:pt>
                      <c:pt idx="4">
                        <c:v>1.0186362123224006</c:v>
                      </c:pt>
                      <c:pt idx="5">
                        <c:v>1.0270416307284074</c:v>
                      </c:pt>
                      <c:pt idx="6">
                        <c:v>1.1012162534619134</c:v>
                      </c:pt>
                      <c:pt idx="7">
                        <c:v>0.95524485676217741</c:v>
                      </c:pt>
                      <c:pt idx="8">
                        <c:v>0.89720862957684155</c:v>
                      </c:pt>
                      <c:pt idx="9">
                        <c:v>0.5479557182450302</c:v>
                      </c:pt>
                      <c:pt idx="10">
                        <c:v>1.210049232760424</c:v>
                      </c:pt>
                      <c:pt idx="11">
                        <c:v>1.0076467817284773</c:v>
                      </c:pt>
                      <c:pt idx="12">
                        <c:v>1.4367011591644876</c:v>
                      </c:pt>
                      <c:pt idx="13">
                        <c:v>1.0230638943008585</c:v>
                      </c:pt>
                      <c:pt idx="14">
                        <c:v>1.0309803325473812</c:v>
                      </c:pt>
                      <c:pt idx="15">
                        <c:v>0.9025454236784326</c:v>
                      </c:pt>
                      <c:pt idx="16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(Analyses_CV_ZS!$N$62,Analyses_CV_ZS!$N$65:$N$66,Analyses_CV_ZS!$N$68:$N$69,Analyses_CV_ZS!$N$72:$N$73,Analyses_CV_ZS!$N$76:$N$78,Analyses_CV_ZS!$N$84,Analyses_CV_ZS!$N$87:$N$88,Analyses_CV_ZS!$N$90:$N$92,Analyses_CV_ZS!$N$94)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0.97120691727527764</c:v>
                      </c:pt>
                      <c:pt idx="1">
                        <c:v>1.0491688512956685</c:v>
                      </c:pt>
                      <c:pt idx="2">
                        <c:v>0.95827032847313998</c:v>
                      </c:pt>
                      <c:pt idx="3">
                        <c:v>1.4878821209217066</c:v>
                      </c:pt>
                      <c:pt idx="4">
                        <c:v>1.030333055701776</c:v>
                      </c:pt>
                      <c:pt idx="5">
                        <c:v>1.0635315603391091</c:v>
                      </c:pt>
                      <c:pt idx="6">
                        <c:v>1.1286771102428885</c:v>
                      </c:pt>
                      <c:pt idx="7">
                        <c:v>0.96719736998492734</c:v>
                      </c:pt>
                      <c:pt idx="8">
                        <c:v>0.90705223509266986</c:v>
                      </c:pt>
                      <c:pt idx="9">
                        <c:v>0.53706873847004977</c:v>
                      </c:pt>
                      <c:pt idx="10">
                        <c:v>1.1980849377533407</c:v>
                      </c:pt>
                      <c:pt idx="11">
                        <c:v>0.95897960005546223</c:v>
                      </c:pt>
                      <c:pt idx="12">
                        <c:v>1.7421767243734545</c:v>
                      </c:pt>
                      <c:pt idx="13">
                        <c:v>1.074169177812609</c:v>
                      </c:pt>
                      <c:pt idx="14">
                        <c:v>1.0084907595489734</c:v>
                      </c:pt>
                      <c:pt idx="15">
                        <c:v>0.93495023848364223</c:v>
                      </c:pt>
                      <c:pt idx="16">
                        <c:v>1.12402758953667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Analyses_CV_ZS!$L$60</c:f>
              <c:strCache>
                <c:ptCount val="1"/>
                <c:pt idx="0">
                  <c:v>PCV-13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Analyses_CV_ZS!$L$61:$L$94</c15:sqref>
                  </c15:fullRef>
                </c:ext>
              </c:extLst>
              <c:f>(Analyses_CV_ZS!$L$62,Analyses_CV_ZS!$L$65:$L$66,Analyses_CV_ZS!$L$68:$L$69,Analyses_CV_ZS!$L$72:$L$73,Analyses_CV_ZS!$L$76:$L$78,Analyses_CV_ZS!$L$84,Analyses_CV_ZS!$L$87:$L$88,Analyses_CV_ZS!$L$90:$L$92,Analyses_CV_ZS!$L$94)</c:f>
              <c:numCache>
                <c:formatCode>0%</c:formatCode>
                <c:ptCount val="17"/>
                <c:pt idx="0">
                  <c:v>1.0118958853805762</c:v>
                </c:pt>
                <c:pt idx="1">
                  <c:v>1.0496376488163546</c:v>
                </c:pt>
                <c:pt idx="2">
                  <c:v>1.0372588364294144</c:v>
                </c:pt>
                <c:pt idx="3">
                  <c:v>1.5919086619146197</c:v>
                </c:pt>
                <c:pt idx="4">
                  <c:v>1.0408746552905959</c:v>
                </c:pt>
                <c:pt idx="5">
                  <c:v>1.2070103770520104</c:v>
                </c:pt>
                <c:pt idx="6">
                  <c:v>1.1625096037279461</c:v>
                </c:pt>
                <c:pt idx="7">
                  <c:v>1.0202665286939372</c:v>
                </c:pt>
                <c:pt idx="8">
                  <c:v>0.93082094109430413</c:v>
                </c:pt>
                <c:pt idx="9">
                  <c:v>0.61634999609521435</c:v>
                </c:pt>
                <c:pt idx="10">
                  <c:v>1.2939497920868261</c:v>
                </c:pt>
                <c:pt idx="11">
                  <c:v>1.0237161341676804</c:v>
                </c:pt>
                <c:pt idx="12">
                  <c:v>1.5715770053784706</c:v>
                </c:pt>
                <c:pt idx="13">
                  <c:v>1.1263923894011794</c:v>
                </c:pt>
                <c:pt idx="14">
                  <c:v>1.0625282057812588</c:v>
                </c:pt>
                <c:pt idx="15">
                  <c:v>0.97836046209062111</c:v>
                </c:pt>
                <c:pt idx="16">
                  <c:v>1.1632108260404594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8-4B66-44F6-8968-A6990199EF46}"/>
            </c:ext>
          </c:extLst>
        </c:ser>
        <c:ser>
          <c:idx val="11"/>
          <c:order val="11"/>
          <c:tx>
            <c:strRef>
              <c:f>Analyses_CV_ZS!$O$60</c:f>
              <c:strCache>
                <c:ptCount val="1"/>
                <c:pt idx="0">
                  <c:v>Rota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Analyses_CV_ZS!$O$61:$O$94</c15:sqref>
                  </c15:fullRef>
                </c:ext>
              </c:extLst>
              <c:f>(Analyses_CV_ZS!$O$62,Analyses_CV_ZS!$O$65:$O$66,Analyses_CV_ZS!$O$68:$O$69,Analyses_CV_ZS!$O$72:$O$73,Analyses_CV_ZS!$O$76:$O$78,Analyses_CV_ZS!$O$84,Analyses_CV_ZS!$O$87:$O$88,Analyses_CV_ZS!$O$90:$O$92,Analyses_CV_ZS!$O$94)</c:f>
              <c:numCache>
                <c:formatCode>0%</c:formatCode>
                <c:ptCount val="17"/>
                <c:pt idx="0">
                  <c:v>1.0152866327226844</c:v>
                </c:pt>
                <c:pt idx="1">
                  <c:v>1.0135402397235189</c:v>
                </c:pt>
                <c:pt idx="2">
                  <c:v>0.98493251437173801</c:v>
                </c:pt>
                <c:pt idx="3">
                  <c:v>1.5850222509762724</c:v>
                </c:pt>
                <c:pt idx="4">
                  <c:v>1.0205134834820535</c:v>
                </c:pt>
                <c:pt idx="5">
                  <c:v>1.1062237442745761</c:v>
                </c:pt>
                <c:pt idx="6">
                  <c:v>1.2395974337111408</c:v>
                </c:pt>
                <c:pt idx="7">
                  <c:v>0.87388808342599256</c:v>
                </c:pt>
                <c:pt idx="8">
                  <c:v>0.94834736067126679</c:v>
                </c:pt>
                <c:pt idx="9">
                  <c:v>0.61768582183447585</c:v>
                </c:pt>
                <c:pt idx="10">
                  <c:v>1.2588093784496694</c:v>
                </c:pt>
                <c:pt idx="11">
                  <c:v>0.87627162688878835</c:v>
                </c:pt>
                <c:pt idx="12">
                  <c:v>1.5278334876874491</c:v>
                </c:pt>
                <c:pt idx="13">
                  <c:v>1.1235177172036432</c:v>
                </c:pt>
                <c:pt idx="14">
                  <c:v>1.0554481550225008</c:v>
                </c:pt>
                <c:pt idx="15">
                  <c:v>0.88980768200971805</c:v>
                </c:pt>
                <c:pt idx="16">
                  <c:v>1.1361478279467405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B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600816"/>
        <c:axId val="-1384603536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2"/>
                <c:order val="12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(Analyses_CV_ZS!$P$62,Analyses_CV_ZS!$P$65:$P$66,Analyses_CV_ZS!$P$68:$P$69,Analyses_CV_ZS!$P$72:$P$73,Analyses_CV_ZS!$P$76:$P$78,Analyses_CV_ZS!$P$84,Analyses_CV_ZS!$P$87:$P$88,Analyses_CV_ZS!$P$90:$P$92,Analyses_CV_ZS!$P$94)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0.94504972349330008</c:v>
                      </c:pt>
                      <c:pt idx="1">
                        <c:v>0.98541238848234813</c:v>
                      </c:pt>
                      <c:pt idx="2">
                        <c:v>0.90266470012847044</c:v>
                      </c:pt>
                      <c:pt idx="3">
                        <c:v>1.4556411969830805</c:v>
                      </c:pt>
                      <c:pt idx="4">
                        <c:v>0.9493215848890646</c:v>
                      </c:pt>
                      <c:pt idx="5">
                        <c:v>0.94961682257425539</c:v>
                      </c:pt>
                      <c:pt idx="6">
                        <c:v>1.163586500072298</c:v>
                      </c:pt>
                      <c:pt idx="7">
                        <c:v>0.82902631712993768</c:v>
                      </c:pt>
                      <c:pt idx="8">
                        <c:v>0.89912933309212506</c:v>
                      </c:pt>
                      <c:pt idx="9">
                        <c:v>0.54608556221006421</c:v>
                      </c:pt>
                      <c:pt idx="10">
                        <c:v>1.0980814908073422</c:v>
                      </c:pt>
                      <c:pt idx="11">
                        <c:v>0.82419380714704449</c:v>
                      </c:pt>
                      <c:pt idx="12">
                        <c:v>1.4096348575931681</c:v>
                      </c:pt>
                      <c:pt idx="13">
                        <c:v>1.0284938306739819</c:v>
                      </c:pt>
                      <c:pt idx="14">
                        <c:v>1.0199437828351996</c:v>
                      </c:pt>
                      <c:pt idx="15">
                        <c:v>0.81378883973083016</c:v>
                      </c:pt>
                      <c:pt idx="16">
                        <c:v>1.0747164825806301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(Analyses_CV_ZS!$Q$62,Analyses_CV_ZS!$Q$65:$Q$66,Analyses_CV_ZS!$Q$68:$Q$69,Analyses_CV_ZS!$Q$72:$Q$73,Analyses_CV_ZS!$Q$76:$Q$78,Analyses_CV_ZS!$Q$84,Analyses_CV_ZS!$Q$87:$Q$88,Analyses_CV_ZS!$Q$90:$Q$92,Analyses_CV_ZS!$Q$94)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1.0202596708533542</c:v>
                      </c:pt>
                      <c:pt idx="2">
                        <c:v>0.90965104830510835</c:v>
                      </c:pt>
                      <c:pt idx="3">
                        <c:v>1.4805783517446716</c:v>
                      </c:pt>
                      <c:pt idx="4">
                        <c:v>1.0036180430451778</c:v>
                      </c:pt>
                      <c:pt idx="5">
                        <c:v>0.96000559856823708</c:v>
                      </c:pt>
                      <c:pt idx="6">
                        <c:v>1.183688565166868</c:v>
                      </c:pt>
                      <c:pt idx="7">
                        <c:v>0.82026114076658774</c:v>
                      </c:pt>
                      <c:pt idx="8">
                        <c:v>0.91521522503262509</c:v>
                      </c:pt>
                      <c:pt idx="9">
                        <c:v>0.53913926836590487</c:v>
                      </c:pt>
                      <c:pt idx="10">
                        <c:v>1.0766360563606832</c:v>
                      </c:pt>
                      <c:pt idx="11">
                        <c:v>0.82419380714704449</c:v>
                      </c:pt>
                      <c:pt idx="12">
                        <c:v>1.7264108315389821</c:v>
                      </c:pt>
                      <c:pt idx="13">
                        <c:v>1.0720930256699441</c:v>
                      </c:pt>
                      <c:pt idx="14">
                        <c:v>0.99443477642496847</c:v>
                      </c:pt>
                      <c:pt idx="15">
                        <c:v>0.80135680386216479</c:v>
                      </c:pt>
                      <c:pt idx="16">
                        <c:v>1.1132355964318128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(Analyses_CV_ZS!$R$62,Analyses_CV_ZS!$R$65:$R$66,Analyses_CV_ZS!$R$68:$R$69,Analyses_CV_ZS!$R$72:$R$73,Analyses_CV_ZS!$R$76:$R$78,Analyses_CV_ZS!$R$84,Analyses_CV_ZS!$R$87:$R$88,Analyses_CV_ZS!$R$90:$R$92,Analyses_CV_ZS!$R$94)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0.97879573275523413</c:v>
                      </c:pt>
                      <c:pt idx="1">
                        <c:v>1.0413555592842321</c:v>
                      </c:pt>
                      <c:pt idx="2">
                        <c:v>0.90323501426533881</c:v>
                      </c:pt>
                      <c:pt idx="3">
                        <c:v>1.3907419908671408</c:v>
                      </c:pt>
                      <c:pt idx="4">
                        <c:v>0.97300408259545434</c:v>
                      </c:pt>
                      <c:pt idx="5">
                        <c:v>1.1690215693128236</c:v>
                      </c:pt>
                      <c:pt idx="6">
                        <c:v>1.1007675466517668</c:v>
                      </c:pt>
                      <c:pt idx="7">
                        <c:v>0.99460846697576721</c:v>
                      </c:pt>
                      <c:pt idx="8">
                        <c:v>0.86815798890817741</c:v>
                      </c:pt>
                      <c:pt idx="9">
                        <c:v>0.55383335149778046</c:v>
                      </c:pt>
                      <c:pt idx="10">
                        <c:v>1.40682049970082</c:v>
                      </c:pt>
                      <c:pt idx="11">
                        <c:v>0.88558529238416317</c:v>
                      </c:pt>
                      <c:pt idx="12">
                        <c:v>1.5390427640957733</c:v>
                      </c:pt>
                      <c:pt idx="13">
                        <c:v>1.0168354378728639</c:v>
                      </c:pt>
                      <c:pt idx="14">
                        <c:v>1.0568016941381457</c:v>
                      </c:pt>
                      <c:pt idx="15">
                        <c:v>0.9293456321494078</c:v>
                      </c:pt>
                      <c:pt idx="16">
                        <c:v>1.0097984932883348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(Analyses_CV_ZS!$S$62,Analyses_CV_ZS!$S$65:$S$66,Analyses_CV_ZS!$S$68:$S$69,Analyses_CV_ZS!$S$72:$S$73,Analyses_CV_ZS!$S$76:$S$78,Analyses_CV_ZS!$S$84,Analyses_CV_ZS!$S$87:$S$88,Analyses_CV_ZS!$S$90:$S$92,Analyses_CV_ZS!$S$94)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0.46372506507308353</c:v>
                      </c:pt>
                      <c:pt idx="1">
                        <c:v>0.74507552621056705</c:v>
                      </c:pt>
                      <c:pt idx="2">
                        <c:v>0.56789030178671573</c:v>
                      </c:pt>
                      <c:pt idx="3">
                        <c:v>0.5880577583109915</c:v>
                      </c:pt>
                      <c:pt idx="4">
                        <c:v>0.70007773707669374</c:v>
                      </c:pt>
                      <c:pt idx="5">
                        <c:v>0.40040720211629871</c:v>
                      </c:pt>
                      <c:pt idx="6">
                        <c:v>1.0637043641336532</c:v>
                      </c:pt>
                      <c:pt idx="7">
                        <c:v>0.71754921047242304</c:v>
                      </c:pt>
                      <c:pt idx="8">
                        <c:v>0.56372648173573026</c:v>
                      </c:pt>
                      <c:pt idx="9">
                        <c:v>0.27584801515748109</c:v>
                      </c:pt>
                      <c:pt idx="10">
                        <c:v>0.35629520036817408</c:v>
                      </c:pt>
                      <c:pt idx="11">
                        <c:v>0.80773091954606502</c:v>
                      </c:pt>
                      <c:pt idx="12">
                        <c:v>1.1335950344971177</c:v>
                      </c:pt>
                      <c:pt idx="13">
                        <c:v>0.57701059164985979</c:v>
                      </c:pt>
                      <c:pt idx="14">
                        <c:v>0.64584639494964713</c:v>
                      </c:pt>
                      <c:pt idx="15">
                        <c:v>0.5600530256900379</c:v>
                      </c:pt>
                      <c:pt idx="16">
                        <c:v>0.68255205621643289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(Analyses_CV_ZS!$T$62,Analyses_CV_ZS!$T$65:$T$66,Analyses_CV_ZS!$T$68:$T$69,Analyses_CV_ZS!$T$72:$T$73,Analyses_CV_ZS!$T$76:$T$78,Analyses_CV_ZS!$T$84,Analyses_CV_ZS!$T$87:$T$88,Analyses_CV_ZS!$T$90:$T$92,Analyses_CV_ZS!$T$94)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0.90177732884163353</c:v>
                      </c:pt>
                      <c:pt idx="1">
                        <c:v>1.0258852411015882</c:v>
                      </c:pt>
                      <c:pt idx="2">
                        <c:v>0.92134248811091068</c:v>
                      </c:pt>
                      <c:pt idx="3">
                        <c:v>1.3322074978911886</c:v>
                      </c:pt>
                      <c:pt idx="4">
                        <c:v>0.96766108006413476</c:v>
                      </c:pt>
                      <c:pt idx="5">
                        <c:v>0.982230343231979</c:v>
                      </c:pt>
                      <c:pt idx="6">
                        <c:v>1.0769860857139941</c:v>
                      </c:pt>
                      <c:pt idx="7">
                        <c:v>0.94392981091130745</c:v>
                      </c:pt>
                      <c:pt idx="8">
                        <c:v>0.95891123000532641</c:v>
                      </c:pt>
                      <c:pt idx="9">
                        <c:v>0.55202998674977755</c:v>
                      </c:pt>
                      <c:pt idx="10">
                        <c:v>1.2846191469240693</c:v>
                      </c:pt>
                      <c:pt idx="11">
                        <c:v>0.86623648026349009</c:v>
                      </c:pt>
                      <c:pt idx="12">
                        <c:v>1.4927475412061091</c:v>
                      </c:pt>
                      <c:pt idx="13">
                        <c:v>0.97802736320612815</c:v>
                      </c:pt>
                      <c:pt idx="14">
                        <c:v>1.0256702944783127</c:v>
                      </c:pt>
                      <c:pt idx="15">
                        <c:v>0.82143148473205885</c:v>
                      </c:pt>
                      <c:pt idx="16">
                        <c:v>1.0076400946673634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(Analyses_CV_ZS!$U$62,Analyses_CV_ZS!$U$65:$U$66,Analyses_CV_ZS!$U$68:$U$69,Analyses_CV_ZS!$U$72:$U$73,Analyses_CV_ZS!$U$76:$U$78,Analyses_CV_ZS!$U$84,Analyses_CV_ZS!$U$87:$U$88,Analyses_CV_ZS!$U$90:$U$92,Analyses_CV_ZS!$U$94)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0.92325206200831877</c:v>
                      </c:pt>
                      <c:pt idx="1">
                        <c:v>1.0572946749875622</c:v>
                      </c:pt>
                      <c:pt idx="2">
                        <c:v>0.91977412423452254</c:v>
                      </c:pt>
                      <c:pt idx="3">
                        <c:v>1.477030806715826</c:v>
                      </c:pt>
                      <c:pt idx="4">
                        <c:v>0.89155939536128459</c:v>
                      </c:pt>
                      <c:pt idx="5">
                        <c:v>1.1344956869049641</c:v>
                      </c:pt>
                      <c:pt idx="6">
                        <c:v>1.020718251721604</c:v>
                      </c:pt>
                      <c:pt idx="7">
                        <c:v>0.95787440967118231</c:v>
                      </c:pt>
                      <c:pt idx="8">
                        <c:v>0.86455666981702073</c:v>
                      </c:pt>
                      <c:pt idx="9">
                        <c:v>0.54354749330546759</c:v>
                      </c:pt>
                      <c:pt idx="10">
                        <c:v>1.1918394252653663</c:v>
                      </c:pt>
                      <c:pt idx="11">
                        <c:v>0.94494351261877052</c:v>
                      </c:pt>
                      <c:pt idx="12">
                        <c:v>1.4963928343470274</c:v>
                      </c:pt>
                      <c:pt idx="13">
                        <c:v>1.0029411889181066</c:v>
                      </c:pt>
                      <c:pt idx="14">
                        <c:v>0.96923812519527075</c:v>
                      </c:pt>
                      <c:pt idx="15">
                        <c:v>0.94096245255127542</c:v>
                      </c:pt>
                      <c:pt idx="16">
                        <c:v>1.1942585600498179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(Analyses_CV_ZS!$V$62,Analyses_CV_ZS!$V$65:$V$66,Analyses_CV_ZS!$V$68:$V$69,Analyses_CV_ZS!$V$72:$V$73,Analyses_CV_ZS!$V$76:$V$78,Analyses_CV_ZS!$V$84,Analyses_CV_ZS!$V$87:$V$88,Analyses_CV_ZS!$V$90:$V$92,Analyses_CV_ZS!$V$94)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0.44257326022469429</c:v>
                      </c:pt>
                      <c:pt idx="1">
                        <c:v>1.0086959986764283</c:v>
                      </c:pt>
                      <c:pt idx="2">
                        <c:v>0.73228335173903392</c:v>
                      </c:pt>
                      <c:pt idx="3">
                        <c:v>1.171733255115762</c:v>
                      </c:pt>
                      <c:pt idx="4">
                        <c:v>0.70267703560544392</c:v>
                      </c:pt>
                      <c:pt idx="5">
                        <c:v>0.6730479651424347</c:v>
                      </c:pt>
                      <c:pt idx="6">
                        <c:v>1.1980471830915609</c:v>
                      </c:pt>
                      <c:pt idx="7">
                        <c:v>0.8926136874749675</c:v>
                      </c:pt>
                      <c:pt idx="8">
                        <c:v>0.73010742374717019</c:v>
                      </c:pt>
                      <c:pt idx="9">
                        <c:v>0.37636890203690215</c:v>
                      </c:pt>
                      <c:pt idx="10">
                        <c:v>0.48090446157402339</c:v>
                      </c:pt>
                      <c:pt idx="11">
                        <c:v>0.73577957413461281</c:v>
                      </c:pt>
                      <c:pt idx="12">
                        <c:v>1.1621194533248047</c:v>
                      </c:pt>
                      <c:pt idx="13">
                        <c:v>0.64328775620416134</c:v>
                      </c:pt>
                      <c:pt idx="14">
                        <c:v>0.98006643812043015</c:v>
                      </c:pt>
                      <c:pt idx="15">
                        <c:v>0.7117850044477646</c:v>
                      </c:pt>
                      <c:pt idx="16">
                        <c:v>0.76291089718183147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(Analyses_CV_ZS!$W$62,Analyses_CV_ZS!$W$65:$W$66,Analyses_CV_ZS!$W$68:$W$69,Analyses_CV_ZS!$W$72:$W$73,Analyses_CV_ZS!$W$76:$W$78,Analyses_CV_ZS!$W$84,Analyses_CV_ZS!$W$87:$W$88,Analyses_CV_ZS!$W$90:$W$92,Analyses_CV_ZS!$W$94)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0.46038760090349423</c:v>
                      </c:pt>
                      <c:pt idx="1">
                        <c:v>0.2064217056377394</c:v>
                      </c:pt>
                      <c:pt idx="2">
                        <c:v>0.4921254944890901</c:v>
                      </c:pt>
                      <c:pt idx="3">
                        <c:v>0.41512537211073647</c:v>
                      </c:pt>
                      <c:pt idx="4">
                        <c:v>0.77851554133225809</c:v>
                      </c:pt>
                      <c:pt idx="5">
                        <c:v>0.41275963767222734</c:v>
                      </c:pt>
                      <c:pt idx="6">
                        <c:v>0.40104921113416586</c:v>
                      </c:pt>
                      <c:pt idx="7">
                        <c:v>0.74487783512202588</c:v>
                      </c:pt>
                      <c:pt idx="8">
                        <c:v>0.23796556202605895</c:v>
                      </c:pt>
                      <c:pt idx="9">
                        <c:v>0.22208754130268824</c:v>
                      </c:pt>
                      <c:pt idx="10">
                        <c:v>0.40219106373386854</c:v>
                      </c:pt>
                      <c:pt idx="11">
                        <c:v>0.33139907521860557</c:v>
                      </c:pt>
                      <c:pt idx="12">
                        <c:v>0.63721683448317901</c:v>
                      </c:pt>
                      <c:pt idx="13">
                        <c:v>0.61993144385920917</c:v>
                      </c:pt>
                      <c:pt idx="14">
                        <c:v>0.3560148861884877</c:v>
                      </c:pt>
                      <c:pt idx="15">
                        <c:v>0.54136956096520084</c:v>
                      </c:pt>
                      <c:pt idx="16">
                        <c:v>0.42154770297546035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(Analyses_CV_ZS!$X$62,Analyses_CV_ZS!$X$65:$X$66,Analyses_CV_ZS!$X$68:$X$69,Analyses_CV_ZS!$X$72:$X$73,Analyses_CV_ZS!$X$76:$X$78,Analyses_CV_ZS!$X$84,Analyses_CV_ZS!$X$87:$X$88,Analyses_CV_ZS!$X$90:$X$92,Analyses_CV_ZS!$X$94)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0.75932961103728092</c:v>
                      </c:pt>
                      <c:pt idx="1">
                        <c:v>0.68743608971300008</c:v>
                      </c:pt>
                      <c:pt idx="2">
                        <c:v>0.67511755778369364</c:v>
                      </c:pt>
                      <c:pt idx="3">
                        <c:v>0.99557260293925742</c:v>
                      </c:pt>
                      <c:pt idx="4">
                        <c:v>1.2354949665486523</c:v>
                      </c:pt>
                      <c:pt idx="5">
                        <c:v>0.87873203317830462</c:v>
                      </c:pt>
                      <c:pt idx="6">
                        <c:v>0.90279137141291144</c:v>
                      </c:pt>
                      <c:pt idx="7">
                        <c:v>1.8802012481836912</c:v>
                      </c:pt>
                      <c:pt idx="8">
                        <c:v>0.63387657631237182</c:v>
                      </c:pt>
                      <c:pt idx="9">
                        <c:v>0.37960594175956736</c:v>
                      </c:pt>
                      <c:pt idx="10">
                        <c:v>1.1001494702886769</c:v>
                      </c:pt>
                      <c:pt idx="11">
                        <c:v>0.91018861877947177</c:v>
                      </c:pt>
                      <c:pt idx="12">
                        <c:v>1.1064227915938902</c:v>
                      </c:pt>
                      <c:pt idx="13">
                        <c:v>1.6237494077975645</c:v>
                      </c:pt>
                      <c:pt idx="14">
                        <c:v>1.0606863514000466</c:v>
                      </c:pt>
                      <c:pt idx="15">
                        <c:v>0.99889752298308943</c:v>
                      </c:pt>
                      <c:pt idx="16">
                        <c:v>0.96448955546756532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60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603536"/>
        <c:crosses val="autoZero"/>
        <c:auto val="1"/>
        <c:lblAlgn val="ctr"/>
        <c:lblOffset val="100"/>
        <c:noMultiLvlLbl val="0"/>
      </c:catAx>
      <c:valAx>
        <c:axId val="-138460353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60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GOMA - CV VPO3_Penta 3_PCV-13 3_Rota 3_VPI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Analyses_CV_ZS!$H$60</c:f>
              <c:strCache>
                <c:ptCount val="1"/>
                <c:pt idx="0">
                  <c:v>VPO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Analyses_CV_ZS!$H$61:$H$94</c15:sqref>
                  </c15:fullRef>
                </c:ext>
              </c:extLst>
              <c:f>(Analyses_CV_ZS!$H$62,Analyses_CV_ZS!$H$65:$H$66,Analyses_CV_ZS!$H$68:$H$69,Analyses_CV_ZS!$H$72:$H$73,Analyses_CV_ZS!$H$76:$H$78,Analyses_CV_ZS!$H$84,Analyses_CV_ZS!$H$87:$H$88,Analyses_CV_ZS!$H$90:$H$92,Analyses_CV_ZS!$H$94)</c:f>
              <c:numCache>
                <c:formatCode>0%</c:formatCode>
                <c:ptCount val="17"/>
                <c:pt idx="0">
                  <c:v>0.89709486822634132</c:v>
                </c:pt>
                <c:pt idx="1">
                  <c:v>1.040886761763546</c:v>
                </c:pt>
                <c:pt idx="2">
                  <c:v>0.93816675514852865</c:v>
                </c:pt>
                <c:pt idx="3">
                  <c:v>1.4908036285925206</c:v>
                </c:pt>
                <c:pt idx="4">
                  <c:v>0.96491737606156514</c:v>
                </c:pt>
                <c:pt idx="5">
                  <c:v>1.0364483831209679</c:v>
                </c:pt>
                <c:pt idx="6">
                  <c:v>0.99819316985224205</c:v>
                </c:pt>
                <c:pt idx="7">
                  <c:v>0.88496407901240759</c:v>
                </c:pt>
                <c:pt idx="8">
                  <c:v>0.74283208453592386</c:v>
                </c:pt>
                <c:pt idx="9">
                  <c:v>0.50647832904096346</c:v>
                </c:pt>
                <c:pt idx="10">
                  <c:v>1.2706984263183434</c:v>
                </c:pt>
                <c:pt idx="11">
                  <c:v>0.95799576215102122</c:v>
                </c:pt>
                <c:pt idx="12">
                  <c:v>1.892545066436341</c:v>
                </c:pt>
                <c:pt idx="13">
                  <c:v>1.036479031222693</c:v>
                </c:pt>
                <c:pt idx="14">
                  <c:v>0.91905305952289773</c:v>
                </c:pt>
                <c:pt idx="15">
                  <c:v>0.96042572182107111</c:v>
                </c:pt>
                <c:pt idx="16">
                  <c:v>1.1285104174417646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4-4B66-44F6-8968-A6990199EF46}"/>
            </c:ext>
          </c:extLst>
        </c:ser>
        <c:ser>
          <c:idx val="7"/>
          <c:order val="7"/>
          <c:tx>
            <c:strRef>
              <c:f>Analyses_CV_ZS!$K$60</c:f>
              <c:strCache>
                <c:ptCount val="1"/>
                <c:pt idx="0">
                  <c:v>Penta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Analyses_CV_ZS!$K$61:$K$94</c15:sqref>
                  </c15:fullRef>
                </c:ext>
              </c:extLst>
              <c:f>(Analyses_CV_ZS!$K$62,Analyses_CV_ZS!$K$65:$K$66,Analyses_CV_ZS!$K$68:$K$69,Analyses_CV_ZS!$K$72:$K$73,Analyses_CV_ZS!$K$76:$K$78,Analyses_CV_ZS!$K$84,Analyses_CV_ZS!$K$87:$K$88,Analyses_CV_ZS!$K$90:$K$92,Analyses_CV_ZS!$K$94)</c:f>
              <c:numCache>
                <c:formatCode>0%</c:formatCode>
                <c:ptCount val="17"/>
                <c:pt idx="0">
                  <c:v>0.97104545311612966</c:v>
                </c:pt>
                <c:pt idx="1">
                  <c:v>1.0524504339404717</c:v>
                </c:pt>
                <c:pt idx="2">
                  <c:v>0.95684454313096901</c:v>
                </c:pt>
                <c:pt idx="3">
                  <c:v>1.4903862703538329</c:v>
                </c:pt>
                <c:pt idx="4">
                  <c:v>1.0509830384579575</c:v>
                </c:pt>
                <c:pt idx="5">
                  <c:v>1.0340708522964746</c:v>
                </c:pt>
                <c:pt idx="6">
                  <c:v>1.1153953886625476</c:v>
                </c:pt>
                <c:pt idx="7">
                  <c:v>0.97022534000135729</c:v>
                </c:pt>
                <c:pt idx="8">
                  <c:v>0.90249056424387131</c:v>
                </c:pt>
                <c:pt idx="9">
                  <c:v>0.54748817923628867</c:v>
                </c:pt>
                <c:pt idx="10">
                  <c:v>1.2320966443143575</c:v>
                </c:pt>
                <c:pt idx="11">
                  <c:v>0.99603749445607337</c:v>
                </c:pt>
                <c:pt idx="12">
                  <c:v>1.717206466358163</c:v>
                </c:pt>
                <c:pt idx="13">
                  <c:v>1.0714542096260473</c:v>
                </c:pt>
                <c:pt idx="14">
                  <c:v>1.0057836813176835</c:v>
                </c:pt>
                <c:pt idx="15">
                  <c:v>0.95441350775343792</c:v>
                </c:pt>
                <c:pt idx="16">
                  <c:v>1.1326611840205558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7-4B66-44F6-8968-A6990199EF46}"/>
            </c:ext>
          </c:extLst>
        </c:ser>
        <c:ser>
          <c:idx val="10"/>
          <c:order val="10"/>
          <c:tx>
            <c:strRef>
              <c:f>Analyses_CV_ZS!$N$60</c:f>
              <c:strCache>
                <c:ptCount val="1"/>
                <c:pt idx="0">
                  <c:v>PCV-13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Analyses_CV_ZS!$N$61:$N$94</c15:sqref>
                  </c15:fullRef>
                </c:ext>
              </c:extLst>
              <c:f>(Analyses_CV_ZS!$N$62,Analyses_CV_ZS!$N$65:$N$66,Analyses_CV_ZS!$N$68:$N$69,Analyses_CV_ZS!$N$72:$N$73,Analyses_CV_ZS!$N$76:$N$78,Analyses_CV_ZS!$N$84,Analyses_CV_ZS!$N$87:$N$88,Analyses_CV_ZS!$N$90:$N$92,Analyses_CV_ZS!$N$94)</c:f>
              <c:numCache>
                <c:formatCode>0%</c:formatCode>
                <c:ptCount val="17"/>
                <c:pt idx="0">
                  <c:v>0.97120691727527764</c:v>
                </c:pt>
                <c:pt idx="1">
                  <c:v>1.0491688512956685</c:v>
                </c:pt>
                <c:pt idx="2">
                  <c:v>0.95827032847313998</c:v>
                </c:pt>
                <c:pt idx="3">
                  <c:v>1.4878821209217066</c:v>
                </c:pt>
                <c:pt idx="4">
                  <c:v>1.030333055701776</c:v>
                </c:pt>
                <c:pt idx="5">
                  <c:v>1.0635315603391091</c:v>
                </c:pt>
                <c:pt idx="6">
                  <c:v>1.1286771102428885</c:v>
                </c:pt>
                <c:pt idx="7">
                  <c:v>0.96719736998492734</c:v>
                </c:pt>
                <c:pt idx="8">
                  <c:v>0.90705223509266986</c:v>
                </c:pt>
                <c:pt idx="9">
                  <c:v>0.53706873847004977</c:v>
                </c:pt>
                <c:pt idx="10">
                  <c:v>1.1980849377533407</c:v>
                </c:pt>
                <c:pt idx="11">
                  <c:v>0.95897960005546223</c:v>
                </c:pt>
                <c:pt idx="12">
                  <c:v>1.7421767243734545</c:v>
                </c:pt>
                <c:pt idx="13">
                  <c:v>1.074169177812609</c:v>
                </c:pt>
                <c:pt idx="14">
                  <c:v>1.0084907595489734</c:v>
                </c:pt>
                <c:pt idx="15">
                  <c:v>0.93495023848364223</c:v>
                </c:pt>
                <c:pt idx="16">
                  <c:v>1.12402758953667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8"/>
        <c:axId val="-1384602992"/>
        <c:axId val="-138459809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(Analyses_CV_ZS!$D$62,Analyses_CV_ZS!$D$65:$D$66,Analyses_CV_ZS!$D$68:$D$69,Analyses_CV_ZS!$D$72:$D$73,Analyses_CV_ZS!$D$76:$D$78,Analyses_CV_ZS!$D$84,Analyses_CV_ZS!$D$87:$D$88,Analyses_CV_ZS!$D$90:$D$92,Analyses_CV_ZS!$D$94)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1.0989852125606361</c:v>
                      </c:pt>
                      <c:pt idx="1">
                        <c:v>0.93421501124821027</c:v>
                      </c:pt>
                      <c:pt idx="2">
                        <c:v>0.88435797278132999</c:v>
                      </c:pt>
                      <c:pt idx="3">
                        <c:v>1.6521261519880801</c:v>
                      </c:pt>
                      <c:pt idx="4">
                        <c:v>0.92114049565951428</c:v>
                      </c:pt>
                      <c:pt idx="5">
                        <c:v>1.1826760906360576</c:v>
                      </c:pt>
                      <c:pt idx="6">
                        <c:v>0.99792506753317922</c:v>
                      </c:pt>
                      <c:pt idx="7">
                        <c:v>0.94183871872298719</c:v>
                      </c:pt>
                      <c:pt idx="8">
                        <c:v>0.79286941220830376</c:v>
                      </c:pt>
                      <c:pt idx="9">
                        <c:v>0.56666996893921284</c:v>
                      </c:pt>
                      <c:pt idx="10">
                        <c:v>1.022219207041517</c:v>
                      </c:pt>
                      <c:pt idx="11">
                        <c:v>0.80437668818385766</c:v>
                      </c:pt>
                      <c:pt idx="12">
                        <c:v>1.5179023421866593</c:v>
                      </c:pt>
                      <c:pt idx="13">
                        <c:v>1.0205389738873563</c:v>
                      </c:pt>
                      <c:pt idx="14">
                        <c:v>1.0422451618373358</c:v>
                      </c:pt>
                      <c:pt idx="15">
                        <c:v>0.81681099631914933</c:v>
                      </c:pt>
                      <c:pt idx="16">
                        <c:v>1.1683100427825044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(Analyses_CV_ZS!$E$62,Analyses_CV_ZS!$E$65:$E$66,Analyses_CV_ZS!$E$68:$E$69,Analyses_CV_ZS!$E$72:$E$73,Analyses_CV_ZS!$E$76:$E$78,Analyses_CV_ZS!$E$84,Analyses_CV_ZS!$E$87:$E$88,Analyses_CV_ZS!$E$90:$E$92,Analyses_CV_ZS!$E$94)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0.79198170062098705</c:v>
                      </c:pt>
                      <c:pt idx="1">
                        <c:v>0.61115570113454865</c:v>
                      </c:pt>
                      <c:pt idx="2">
                        <c:v>0.69179104802137703</c:v>
                      </c:pt>
                      <c:pt idx="3">
                        <c:v>0.88469512645828541</c:v>
                      </c:pt>
                      <c:pt idx="4">
                        <c:v>0.51624956890453388</c:v>
                      </c:pt>
                      <c:pt idx="5">
                        <c:v>0.57412200866243013</c:v>
                      </c:pt>
                      <c:pt idx="6">
                        <c:v>0.63931746309694981</c:v>
                      </c:pt>
                      <c:pt idx="7">
                        <c:v>0.67675129867210315</c:v>
                      </c:pt>
                      <c:pt idx="8">
                        <c:v>0.3610922608733127</c:v>
                      </c:pt>
                      <c:pt idx="9">
                        <c:v>0.30410072954285988</c:v>
                      </c:pt>
                      <c:pt idx="10">
                        <c:v>1.2725796047785767</c:v>
                      </c:pt>
                      <c:pt idx="11">
                        <c:v>0.9884947371886923</c:v>
                      </c:pt>
                      <c:pt idx="12">
                        <c:v>0.98796557351742531</c:v>
                      </c:pt>
                      <c:pt idx="13">
                        <c:v>1.126072981379231</c:v>
                      </c:pt>
                      <c:pt idx="14">
                        <c:v>0.62981216234893034</c:v>
                      </c:pt>
                      <c:pt idx="15">
                        <c:v>0.95798007542067798</c:v>
                      </c:pt>
                      <c:pt idx="16">
                        <c:v>1.1422909624833515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(Analyses_CV_ZS!$F$62,Analyses_CV_ZS!$F$65:$F$66,Analyses_CV_ZS!$F$68:$F$69,Analyses_CV_ZS!$F$72:$F$73,Analyses_CV_ZS!$F$76:$F$78,Analyses_CV_ZS!$F$84,Analyses_CV_ZS!$F$87:$F$88,Analyses_CV_ZS!$F$90:$F$92,Analyses_CV_ZS!$F$94)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0.93907554960482376</c:v>
                      </c:pt>
                      <c:pt idx="1">
                        <c:v>1.0354174573555406</c:v>
                      </c:pt>
                      <c:pt idx="2">
                        <c:v>1.0178681557758884</c:v>
                      </c:pt>
                      <c:pt idx="3">
                        <c:v>1.5905522476388847</c:v>
                      </c:pt>
                      <c:pt idx="4">
                        <c:v>1.0000079061996916</c:v>
                      </c:pt>
                      <c:pt idx="5">
                        <c:v>1.1729496637185082</c:v>
                      </c:pt>
                      <c:pt idx="6">
                        <c:v>1.0479098844164911</c:v>
                      </c:pt>
                      <c:pt idx="7">
                        <c:v>0.92568230739124246</c:v>
                      </c:pt>
                      <c:pt idx="8">
                        <c:v>0.75747744883996115</c:v>
                      </c:pt>
                      <c:pt idx="9">
                        <c:v>0.58255360489190078</c:v>
                      </c:pt>
                      <c:pt idx="10">
                        <c:v>1.4187095475694942</c:v>
                      </c:pt>
                      <c:pt idx="11">
                        <c:v>1.0210925664225043</c:v>
                      </c:pt>
                      <c:pt idx="12">
                        <c:v>1.6319977391891942</c:v>
                      </c:pt>
                      <c:pt idx="13">
                        <c:v>1.0891813548441858</c:v>
                      </c:pt>
                      <c:pt idx="14">
                        <c:v>0.98641766012461007</c:v>
                      </c:pt>
                      <c:pt idx="15">
                        <c:v>1.0263562726983373</c:v>
                      </c:pt>
                      <c:pt idx="16">
                        <c:v>1.1640409793562176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(Analyses_CV_ZS!$G$62,Analyses_CV_ZS!$G$65:$G$66,Analyses_CV_ZS!$G$68:$G$69,Analyses_CV_ZS!$G$72:$G$73,Analyses_CV_ZS!$G$76:$G$78,Analyses_CV_ZS!$G$84,Analyses_CV_ZS!$G$87:$G$88,Analyses_CV_ZS!$G$90:$G$92,Analyses_CV_ZS!$G$94)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0.87642745585539605</c:v>
                      </c:pt>
                      <c:pt idx="1">
                        <c:v>1.0247913802199873</c:v>
                      </c:pt>
                      <c:pt idx="2">
                        <c:v>0.92733078654802892</c:v>
                      </c:pt>
                      <c:pt idx="3">
                        <c:v>1.4632579848391314</c:v>
                      </c:pt>
                      <c:pt idx="4">
                        <c:v>0.94325655498864769</c:v>
                      </c:pt>
                      <c:pt idx="5">
                        <c:v>1.0403247920739462</c:v>
                      </c:pt>
                      <c:pt idx="6">
                        <c:v>0.99675730805977281</c:v>
                      </c:pt>
                      <c:pt idx="7">
                        <c:v>0.88607964691319752</c:v>
                      </c:pt>
                      <c:pt idx="8">
                        <c:v>0.72314487350426726</c:v>
                      </c:pt>
                      <c:pt idx="9">
                        <c:v>0.51382537060690125</c:v>
                      </c:pt>
                      <c:pt idx="10">
                        <c:v>1.2863498311074839</c:v>
                      </c:pt>
                      <c:pt idx="11">
                        <c:v>0.9601602055407914</c:v>
                      </c:pt>
                      <c:pt idx="12">
                        <c:v>1.5293827372723394</c:v>
                      </c:pt>
                      <c:pt idx="13">
                        <c:v>0.98361700359022597</c:v>
                      </c:pt>
                      <c:pt idx="14">
                        <c:v>1.0214014403443556</c:v>
                      </c:pt>
                      <c:pt idx="15">
                        <c:v>0.9516621555529956</c:v>
                      </c:pt>
                      <c:pt idx="16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(Analyses_CV_ZS!$I$62,Analyses_CV_ZS!$I$65:$I$66,Analyses_CV_ZS!$I$68:$I$69,Analyses_CV_ZS!$I$72:$I$73,Analyses_CV_ZS!$I$76:$I$78,Analyses_CV_ZS!$I$84,Analyses_CV_ZS!$I$87:$I$88,Analyses_CV_ZS!$I$90:$I$92,Analyses_CV_ZS!$I$94)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1.0130261344946121</c:v>
                      </c:pt>
                      <c:pt idx="1">
                        <c:v>1.0477624587336101</c:v>
                      </c:pt>
                      <c:pt idx="2">
                        <c:v>1.0358330510872433</c:v>
                      </c:pt>
                      <c:pt idx="3">
                        <c:v>1.5869003630503671</c:v>
                      </c:pt>
                      <c:pt idx="4">
                        <c:v>1.0524270931961519</c:v>
                      </c:pt>
                      <c:pt idx="5">
                        <c:v>1.172381123738738</c:v>
                      </c:pt>
                      <c:pt idx="6">
                        <c:v>1.1595481387809781</c:v>
                      </c:pt>
                      <c:pt idx="7">
                        <c:v>1.0326174590241122</c:v>
                      </c:pt>
                      <c:pt idx="8">
                        <c:v>0.96011166970237871</c:v>
                      </c:pt>
                      <c:pt idx="9">
                        <c:v>0.62383062023507829</c:v>
                      </c:pt>
                      <c:pt idx="10">
                        <c:v>1.3610702395479479</c:v>
                      </c:pt>
                      <c:pt idx="11">
                        <c:v>1.0406381461240657</c:v>
                      </c:pt>
                      <c:pt idx="12">
                        <c:v>1.5702100204506262</c:v>
                      </c:pt>
                      <c:pt idx="13">
                        <c:v>1.1163310367098034</c:v>
                      </c:pt>
                      <c:pt idx="14">
                        <c:v>1.0596128907629467</c:v>
                      </c:pt>
                      <c:pt idx="15">
                        <c:v>0.98661451869194805</c:v>
                      </c:pt>
                      <c:pt idx="16">
                        <c:v>1.164373040682521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(Analyses_CV_ZS!$J$62,Analyses_CV_ZS!$J$65:$J$66,Analyses_CV_ZS!$J$68:$J$69,Analyses_CV_ZS!$J$72:$J$73,Analyses_CV_ZS!$J$76:$J$78,Analyses_CV_ZS!$J$84,Analyses_CV_ZS!$J$87:$J$88,Analyses_CV_ZS!$J$90:$J$92,Analyses_CV_ZS!$J$94)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0.94924779163114836</c:v>
                      </c:pt>
                      <c:pt idx="1">
                        <c:v>1.0241663168590722</c:v>
                      </c:pt>
                      <c:pt idx="2">
                        <c:v>0.94928788081746263</c:v>
                      </c:pt>
                      <c:pt idx="3">
                        <c:v>1.4676402463453524</c:v>
                      </c:pt>
                      <c:pt idx="4">
                        <c:v>1.0157481028460116</c:v>
                      </c:pt>
                      <c:pt idx="5">
                        <c:v>1.01174273672732</c:v>
                      </c:pt>
                      <c:pt idx="6">
                        <c:v>1.1101903896648464</c:v>
                      </c:pt>
                      <c:pt idx="7">
                        <c:v>0.96879103841462733</c:v>
                      </c:pt>
                      <c:pt idx="8">
                        <c:v>0.89000599139452807</c:v>
                      </c:pt>
                      <c:pt idx="9">
                        <c:v>0.56164793207245967</c:v>
                      </c:pt>
                      <c:pt idx="10">
                        <c:v>1.2457163763664461</c:v>
                      </c:pt>
                      <c:pt idx="11">
                        <c:v>0.97465541733288885</c:v>
                      </c:pt>
                      <c:pt idx="12">
                        <c:v>1.4471813769446282</c:v>
                      </c:pt>
                      <c:pt idx="13">
                        <c:v>1.0540464724298573</c:v>
                      </c:pt>
                      <c:pt idx="14">
                        <c:v>1.0310844509408923</c:v>
                      </c:pt>
                      <c:pt idx="15">
                        <c:v>0.92007255621458373</c:v>
                      </c:pt>
                      <c:pt idx="16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(Analyses_CV_ZS!$L$62,Analyses_CV_ZS!$L$65:$L$66,Analyses_CV_ZS!$L$68:$L$69,Analyses_CV_ZS!$L$72:$L$73,Analyses_CV_ZS!$L$76:$L$78,Analyses_CV_ZS!$L$84,Analyses_CV_ZS!$L$87:$L$88,Analyses_CV_ZS!$L$90:$L$92,Analyses_CV_ZS!$L$94)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1.0118958853805762</c:v>
                      </c:pt>
                      <c:pt idx="1">
                        <c:v>1.0496376488163546</c:v>
                      </c:pt>
                      <c:pt idx="2">
                        <c:v>1.0372588364294144</c:v>
                      </c:pt>
                      <c:pt idx="3">
                        <c:v>1.5919086619146197</c:v>
                      </c:pt>
                      <c:pt idx="4">
                        <c:v>1.0408746552905959</c:v>
                      </c:pt>
                      <c:pt idx="5">
                        <c:v>1.2070103770520104</c:v>
                      </c:pt>
                      <c:pt idx="6">
                        <c:v>1.1625096037279461</c:v>
                      </c:pt>
                      <c:pt idx="7">
                        <c:v>1.0202665286939372</c:v>
                      </c:pt>
                      <c:pt idx="8">
                        <c:v>0.93082094109430413</c:v>
                      </c:pt>
                      <c:pt idx="9">
                        <c:v>0.61634999609521435</c:v>
                      </c:pt>
                      <c:pt idx="10">
                        <c:v>1.2939497920868261</c:v>
                      </c:pt>
                      <c:pt idx="11">
                        <c:v>1.0237161341676804</c:v>
                      </c:pt>
                      <c:pt idx="12">
                        <c:v>1.5715770053784706</c:v>
                      </c:pt>
                      <c:pt idx="13">
                        <c:v>1.1263923894011794</c:v>
                      </c:pt>
                      <c:pt idx="14">
                        <c:v>1.0625282057812588</c:v>
                      </c:pt>
                      <c:pt idx="15">
                        <c:v>0.97836046209062111</c:v>
                      </c:pt>
                      <c:pt idx="16">
                        <c:v>1.1632108260404594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(Analyses_CV_ZS!$M$62,Analyses_CV_ZS!$M$65:$M$66,Analyses_CV_ZS!$M$68:$M$69,Analyses_CV_ZS!$M$72:$M$73,Analyses_CV_ZS!$M$76:$M$78,Analyses_CV_ZS!$M$84,Analyses_CV_ZS!$M$87:$M$88,Analyses_CV_ZS!$M$90:$M$92,Analyses_CV_ZS!$M$94)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0.95070096906348045</c:v>
                      </c:pt>
                      <c:pt idx="1">
                        <c:v>1.0211972658947266</c:v>
                      </c:pt>
                      <c:pt idx="2">
                        <c:v>0.95000077348854817</c:v>
                      </c:pt>
                      <c:pt idx="3">
                        <c:v>1.4664925111889611</c:v>
                      </c:pt>
                      <c:pt idx="4">
                        <c:v>1.0186362123224006</c:v>
                      </c:pt>
                      <c:pt idx="5">
                        <c:v>1.0270416307284074</c:v>
                      </c:pt>
                      <c:pt idx="6">
                        <c:v>1.1012162534619134</c:v>
                      </c:pt>
                      <c:pt idx="7">
                        <c:v>0.95524485676217741</c:v>
                      </c:pt>
                      <c:pt idx="8">
                        <c:v>0.89720862957684155</c:v>
                      </c:pt>
                      <c:pt idx="9">
                        <c:v>0.5479557182450302</c:v>
                      </c:pt>
                      <c:pt idx="10">
                        <c:v>1.210049232760424</c:v>
                      </c:pt>
                      <c:pt idx="11">
                        <c:v>1.0076467817284773</c:v>
                      </c:pt>
                      <c:pt idx="12">
                        <c:v>1.4367011591644876</c:v>
                      </c:pt>
                      <c:pt idx="13">
                        <c:v>1.0230638943008585</c:v>
                      </c:pt>
                      <c:pt idx="14">
                        <c:v>1.0309803325473812</c:v>
                      </c:pt>
                      <c:pt idx="15">
                        <c:v>0.9025454236784326</c:v>
                      </c:pt>
                      <c:pt idx="16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3"/>
          <c:order val="13"/>
          <c:tx>
            <c:strRef>
              <c:f>Analyses_CV_ZS!$Q$60</c:f>
              <c:strCache>
                <c:ptCount val="1"/>
                <c:pt idx="0">
                  <c:v>Rota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Analyses_CV_ZS!$Q$61:$Q$94</c15:sqref>
                  </c15:fullRef>
                </c:ext>
              </c:extLst>
              <c:f>(Analyses_CV_ZS!$Q$62,Analyses_CV_ZS!$Q$65:$Q$66,Analyses_CV_ZS!$Q$68:$Q$69,Analyses_CV_ZS!$Q$72:$Q$73,Analyses_CV_ZS!$Q$76:$Q$78,Analyses_CV_ZS!$Q$84,Analyses_CV_ZS!$Q$87:$Q$88,Analyses_CV_ZS!$Q$90:$Q$92,Analyses_CV_ZS!$Q$94)</c:f>
              <c:numCache>
                <c:formatCode>0%</c:formatCode>
                <c:ptCount val="17"/>
                <c:pt idx="0">
                  <c:v>0.97104545311612966</c:v>
                </c:pt>
                <c:pt idx="1">
                  <c:v>1.0202596708533542</c:v>
                </c:pt>
                <c:pt idx="2">
                  <c:v>0.90965104830510835</c:v>
                </c:pt>
                <c:pt idx="3">
                  <c:v>1.4805783517446716</c:v>
                </c:pt>
                <c:pt idx="4">
                  <c:v>1.0036180430451778</c:v>
                </c:pt>
                <c:pt idx="5">
                  <c:v>0.96000559856823708</c:v>
                </c:pt>
                <c:pt idx="6">
                  <c:v>1.183688565166868</c:v>
                </c:pt>
                <c:pt idx="7">
                  <c:v>0.82026114076658774</c:v>
                </c:pt>
                <c:pt idx="8">
                  <c:v>0.91521522503262509</c:v>
                </c:pt>
                <c:pt idx="9">
                  <c:v>0.53913926836590487</c:v>
                </c:pt>
                <c:pt idx="10">
                  <c:v>1.0766360563606832</c:v>
                </c:pt>
                <c:pt idx="11">
                  <c:v>0.82419380714704449</c:v>
                </c:pt>
                <c:pt idx="12">
                  <c:v>1.7264108315389821</c:v>
                </c:pt>
                <c:pt idx="13">
                  <c:v>1.0720930256699441</c:v>
                </c:pt>
                <c:pt idx="14">
                  <c:v>0.99443477642496847</c:v>
                </c:pt>
                <c:pt idx="15">
                  <c:v>0.80135680386216479</c:v>
                </c:pt>
                <c:pt idx="16">
                  <c:v>1.1132355964318128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D-4B66-44F6-8968-A6990199EF46}"/>
            </c:ext>
          </c:extLst>
        </c:ser>
        <c:ser>
          <c:idx val="17"/>
          <c:order val="17"/>
          <c:tx>
            <c:strRef>
              <c:f>Analyses_CV_ZS!$U$60</c:f>
              <c:strCache>
                <c:ptCount val="1"/>
                <c:pt idx="0">
                  <c:v>VPI1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37F20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Analyses_CV_ZS!$U$61:$U$94</c15:sqref>
                  </c15:fullRef>
                </c:ext>
              </c:extLst>
              <c:f>(Analyses_CV_ZS!$U$62,Analyses_CV_ZS!$U$65:$U$66,Analyses_CV_ZS!$U$68:$U$69,Analyses_CV_ZS!$U$72:$U$73,Analyses_CV_ZS!$U$76:$U$78,Analyses_CV_ZS!$U$84,Analyses_CV_ZS!$U$87:$U$88,Analyses_CV_ZS!$U$90:$U$92,Analyses_CV_ZS!$U$94)</c:f>
              <c:numCache>
                <c:formatCode>0%</c:formatCode>
                <c:ptCount val="17"/>
                <c:pt idx="0">
                  <c:v>0.92325206200831877</c:v>
                </c:pt>
                <c:pt idx="1">
                  <c:v>1.0572946749875622</c:v>
                </c:pt>
                <c:pt idx="2">
                  <c:v>0.91977412423452254</c:v>
                </c:pt>
                <c:pt idx="3">
                  <c:v>1.477030806715826</c:v>
                </c:pt>
                <c:pt idx="4">
                  <c:v>0.89155939536128459</c:v>
                </c:pt>
                <c:pt idx="5">
                  <c:v>1.1344956869049641</c:v>
                </c:pt>
                <c:pt idx="6">
                  <c:v>1.020718251721604</c:v>
                </c:pt>
                <c:pt idx="7">
                  <c:v>0.95787440967118231</c:v>
                </c:pt>
                <c:pt idx="8">
                  <c:v>0.86455666981702073</c:v>
                </c:pt>
                <c:pt idx="9">
                  <c:v>0.54354749330546759</c:v>
                </c:pt>
                <c:pt idx="10">
                  <c:v>1.1918394252653663</c:v>
                </c:pt>
                <c:pt idx="11">
                  <c:v>0.94494351261877052</c:v>
                </c:pt>
                <c:pt idx="12">
                  <c:v>1.4963928343470274</c:v>
                </c:pt>
                <c:pt idx="13">
                  <c:v>1.0029411889181066</c:v>
                </c:pt>
                <c:pt idx="14">
                  <c:v>0.96923812519527075</c:v>
                </c:pt>
                <c:pt idx="15">
                  <c:v>0.94096245255127542</c:v>
                </c:pt>
                <c:pt idx="16">
                  <c:v>1.1942585600498179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1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602992"/>
        <c:axId val="-1384598096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(Analyses_CV_ZS!$O$62,Analyses_CV_ZS!$O$65:$O$66,Analyses_CV_ZS!$O$68:$O$69,Analyses_CV_ZS!$O$72:$O$73,Analyses_CV_ZS!$O$76:$O$78,Analyses_CV_ZS!$O$84,Analyses_CV_ZS!$O$87:$O$88,Analyses_CV_ZS!$O$90:$O$92,Analyses_CV_ZS!$O$94)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1.0152866327226844</c:v>
                      </c:pt>
                      <c:pt idx="1">
                        <c:v>1.0135402397235189</c:v>
                      </c:pt>
                      <c:pt idx="2">
                        <c:v>0.98493251437173801</c:v>
                      </c:pt>
                      <c:pt idx="3">
                        <c:v>1.5850222509762724</c:v>
                      </c:pt>
                      <c:pt idx="4">
                        <c:v>1.0205134834820535</c:v>
                      </c:pt>
                      <c:pt idx="5">
                        <c:v>1.1062237442745761</c:v>
                      </c:pt>
                      <c:pt idx="6">
                        <c:v>1.2395974337111408</c:v>
                      </c:pt>
                      <c:pt idx="7">
                        <c:v>0.87388808342599256</c:v>
                      </c:pt>
                      <c:pt idx="8">
                        <c:v>0.94834736067126679</c:v>
                      </c:pt>
                      <c:pt idx="9">
                        <c:v>0.61768582183447585</c:v>
                      </c:pt>
                      <c:pt idx="10">
                        <c:v>1.2588093784496694</c:v>
                      </c:pt>
                      <c:pt idx="11">
                        <c:v>0.87627162688878835</c:v>
                      </c:pt>
                      <c:pt idx="12">
                        <c:v>1.5278334876874491</c:v>
                      </c:pt>
                      <c:pt idx="13">
                        <c:v>1.1235177172036432</c:v>
                      </c:pt>
                      <c:pt idx="14">
                        <c:v>1.0554481550225008</c:v>
                      </c:pt>
                      <c:pt idx="15">
                        <c:v>0.88980768200971805</c:v>
                      </c:pt>
                      <c:pt idx="16">
                        <c:v>1.1361478279467405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(Analyses_CV_ZS!$P$62,Analyses_CV_ZS!$P$65:$P$66,Analyses_CV_ZS!$P$68:$P$69,Analyses_CV_ZS!$P$72:$P$73,Analyses_CV_ZS!$P$76:$P$78,Analyses_CV_ZS!$P$84,Analyses_CV_ZS!$P$87:$P$88,Analyses_CV_ZS!$P$90:$P$92,Analyses_CV_ZS!$P$94)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0.94504972349330008</c:v>
                      </c:pt>
                      <c:pt idx="1">
                        <c:v>0.98541238848234813</c:v>
                      </c:pt>
                      <c:pt idx="2">
                        <c:v>0.90266470012847044</c:v>
                      </c:pt>
                      <c:pt idx="3">
                        <c:v>1.4556411969830805</c:v>
                      </c:pt>
                      <c:pt idx="4">
                        <c:v>0.9493215848890646</c:v>
                      </c:pt>
                      <c:pt idx="5">
                        <c:v>0.94961682257425539</c:v>
                      </c:pt>
                      <c:pt idx="6">
                        <c:v>1.163586500072298</c:v>
                      </c:pt>
                      <c:pt idx="7">
                        <c:v>0.82902631712993768</c:v>
                      </c:pt>
                      <c:pt idx="8">
                        <c:v>0.89912933309212506</c:v>
                      </c:pt>
                      <c:pt idx="9">
                        <c:v>0.54608556221006421</c:v>
                      </c:pt>
                      <c:pt idx="10">
                        <c:v>1.0980814908073422</c:v>
                      </c:pt>
                      <c:pt idx="11">
                        <c:v>0.82419380714704449</c:v>
                      </c:pt>
                      <c:pt idx="12">
                        <c:v>1.4096348575931681</c:v>
                      </c:pt>
                      <c:pt idx="13">
                        <c:v>1.0284938306739819</c:v>
                      </c:pt>
                      <c:pt idx="14">
                        <c:v>1.0199437828351996</c:v>
                      </c:pt>
                      <c:pt idx="15">
                        <c:v>0.81378883973083016</c:v>
                      </c:pt>
                      <c:pt idx="16">
                        <c:v>1.0747164825806301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(Analyses_CV_ZS!$R$62,Analyses_CV_ZS!$R$65:$R$66,Analyses_CV_ZS!$R$68:$R$69,Analyses_CV_ZS!$R$72:$R$73,Analyses_CV_ZS!$R$76:$R$78,Analyses_CV_ZS!$R$84,Analyses_CV_ZS!$R$87:$R$88,Analyses_CV_ZS!$R$90:$R$92,Analyses_CV_ZS!$R$94)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0.97879573275523413</c:v>
                      </c:pt>
                      <c:pt idx="1">
                        <c:v>1.0413555592842321</c:v>
                      </c:pt>
                      <c:pt idx="2">
                        <c:v>0.90323501426533881</c:v>
                      </c:pt>
                      <c:pt idx="3">
                        <c:v>1.3907419908671408</c:v>
                      </c:pt>
                      <c:pt idx="4">
                        <c:v>0.97300408259545434</c:v>
                      </c:pt>
                      <c:pt idx="5">
                        <c:v>1.1690215693128236</c:v>
                      </c:pt>
                      <c:pt idx="6">
                        <c:v>1.1007675466517668</c:v>
                      </c:pt>
                      <c:pt idx="7">
                        <c:v>0.99460846697576721</c:v>
                      </c:pt>
                      <c:pt idx="8">
                        <c:v>0.86815798890817741</c:v>
                      </c:pt>
                      <c:pt idx="9">
                        <c:v>0.55383335149778046</c:v>
                      </c:pt>
                      <c:pt idx="10">
                        <c:v>1.40682049970082</c:v>
                      </c:pt>
                      <c:pt idx="11">
                        <c:v>0.88558529238416317</c:v>
                      </c:pt>
                      <c:pt idx="12">
                        <c:v>1.5390427640957733</c:v>
                      </c:pt>
                      <c:pt idx="13">
                        <c:v>1.0168354378728639</c:v>
                      </c:pt>
                      <c:pt idx="14">
                        <c:v>1.0568016941381457</c:v>
                      </c:pt>
                      <c:pt idx="15">
                        <c:v>0.9293456321494078</c:v>
                      </c:pt>
                      <c:pt idx="16">
                        <c:v>1.0097984932883348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(Analyses_CV_ZS!$S$62,Analyses_CV_ZS!$S$65:$S$66,Analyses_CV_ZS!$S$68:$S$69,Analyses_CV_ZS!$S$72:$S$73,Analyses_CV_ZS!$S$76:$S$78,Analyses_CV_ZS!$S$84,Analyses_CV_ZS!$S$87:$S$88,Analyses_CV_ZS!$S$90:$S$92,Analyses_CV_ZS!$S$94)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0.46372506507308353</c:v>
                      </c:pt>
                      <c:pt idx="1">
                        <c:v>0.74507552621056705</c:v>
                      </c:pt>
                      <c:pt idx="2">
                        <c:v>0.56789030178671573</c:v>
                      </c:pt>
                      <c:pt idx="3">
                        <c:v>0.5880577583109915</c:v>
                      </c:pt>
                      <c:pt idx="4">
                        <c:v>0.70007773707669374</c:v>
                      </c:pt>
                      <c:pt idx="5">
                        <c:v>0.40040720211629871</c:v>
                      </c:pt>
                      <c:pt idx="6">
                        <c:v>1.0637043641336532</c:v>
                      </c:pt>
                      <c:pt idx="7">
                        <c:v>0.71754921047242304</c:v>
                      </c:pt>
                      <c:pt idx="8">
                        <c:v>0.56372648173573026</c:v>
                      </c:pt>
                      <c:pt idx="9">
                        <c:v>0.27584801515748109</c:v>
                      </c:pt>
                      <c:pt idx="10">
                        <c:v>0.35629520036817408</c:v>
                      </c:pt>
                      <c:pt idx="11">
                        <c:v>0.80773091954606502</c:v>
                      </c:pt>
                      <c:pt idx="12">
                        <c:v>1.1335950344971177</c:v>
                      </c:pt>
                      <c:pt idx="13">
                        <c:v>0.57701059164985979</c:v>
                      </c:pt>
                      <c:pt idx="14">
                        <c:v>0.64584639494964713</c:v>
                      </c:pt>
                      <c:pt idx="15">
                        <c:v>0.5600530256900379</c:v>
                      </c:pt>
                      <c:pt idx="16">
                        <c:v>0.68255205621643289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(Analyses_CV_ZS!$T$62,Analyses_CV_ZS!$T$65:$T$66,Analyses_CV_ZS!$T$68:$T$69,Analyses_CV_ZS!$T$72:$T$73,Analyses_CV_ZS!$T$76:$T$78,Analyses_CV_ZS!$T$84,Analyses_CV_ZS!$T$87:$T$88,Analyses_CV_ZS!$T$90:$T$92,Analyses_CV_ZS!$T$94)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0.90177732884163353</c:v>
                      </c:pt>
                      <c:pt idx="1">
                        <c:v>1.0258852411015882</c:v>
                      </c:pt>
                      <c:pt idx="2">
                        <c:v>0.92134248811091068</c:v>
                      </c:pt>
                      <c:pt idx="3">
                        <c:v>1.3322074978911886</c:v>
                      </c:pt>
                      <c:pt idx="4">
                        <c:v>0.96766108006413476</c:v>
                      </c:pt>
                      <c:pt idx="5">
                        <c:v>0.982230343231979</c:v>
                      </c:pt>
                      <c:pt idx="6">
                        <c:v>1.0769860857139941</c:v>
                      </c:pt>
                      <c:pt idx="7">
                        <c:v>0.94392981091130745</c:v>
                      </c:pt>
                      <c:pt idx="8">
                        <c:v>0.95891123000532641</c:v>
                      </c:pt>
                      <c:pt idx="9">
                        <c:v>0.55202998674977755</c:v>
                      </c:pt>
                      <c:pt idx="10">
                        <c:v>1.2846191469240693</c:v>
                      </c:pt>
                      <c:pt idx="11">
                        <c:v>0.86623648026349009</c:v>
                      </c:pt>
                      <c:pt idx="12">
                        <c:v>1.4927475412061091</c:v>
                      </c:pt>
                      <c:pt idx="13">
                        <c:v>0.97802736320612815</c:v>
                      </c:pt>
                      <c:pt idx="14">
                        <c:v>1.0256702944783127</c:v>
                      </c:pt>
                      <c:pt idx="15">
                        <c:v>0.82143148473205885</c:v>
                      </c:pt>
                      <c:pt idx="16">
                        <c:v>1.0076400946673634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(Analyses_CV_ZS!$V$62,Analyses_CV_ZS!$V$65:$V$66,Analyses_CV_ZS!$V$68:$V$69,Analyses_CV_ZS!$V$72:$V$73,Analyses_CV_ZS!$V$76:$V$78,Analyses_CV_ZS!$V$84,Analyses_CV_ZS!$V$87:$V$88,Analyses_CV_ZS!$V$90:$V$92,Analyses_CV_ZS!$V$94)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0.44257326022469429</c:v>
                      </c:pt>
                      <c:pt idx="1">
                        <c:v>1.0086959986764283</c:v>
                      </c:pt>
                      <c:pt idx="2">
                        <c:v>0.73228335173903392</c:v>
                      </c:pt>
                      <c:pt idx="3">
                        <c:v>1.171733255115762</c:v>
                      </c:pt>
                      <c:pt idx="4">
                        <c:v>0.70267703560544392</c:v>
                      </c:pt>
                      <c:pt idx="5">
                        <c:v>0.6730479651424347</c:v>
                      </c:pt>
                      <c:pt idx="6">
                        <c:v>1.1980471830915609</c:v>
                      </c:pt>
                      <c:pt idx="7">
                        <c:v>0.8926136874749675</c:v>
                      </c:pt>
                      <c:pt idx="8">
                        <c:v>0.73010742374717019</c:v>
                      </c:pt>
                      <c:pt idx="9">
                        <c:v>0.37636890203690215</c:v>
                      </c:pt>
                      <c:pt idx="10">
                        <c:v>0.48090446157402339</c:v>
                      </c:pt>
                      <c:pt idx="11">
                        <c:v>0.73577957413461281</c:v>
                      </c:pt>
                      <c:pt idx="12">
                        <c:v>1.1621194533248047</c:v>
                      </c:pt>
                      <c:pt idx="13">
                        <c:v>0.64328775620416134</c:v>
                      </c:pt>
                      <c:pt idx="14">
                        <c:v>0.98006643812043015</c:v>
                      </c:pt>
                      <c:pt idx="15">
                        <c:v>0.7117850044477646</c:v>
                      </c:pt>
                      <c:pt idx="16">
                        <c:v>0.76291089718183147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(Analyses_CV_ZS!$W$62,Analyses_CV_ZS!$W$65:$W$66,Analyses_CV_ZS!$W$68:$W$69,Analyses_CV_ZS!$W$72:$W$73,Analyses_CV_ZS!$W$76:$W$78,Analyses_CV_ZS!$W$84,Analyses_CV_ZS!$W$87:$W$88,Analyses_CV_ZS!$W$90:$W$92,Analyses_CV_ZS!$W$94)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0.46038760090349423</c:v>
                      </c:pt>
                      <c:pt idx="1">
                        <c:v>0.2064217056377394</c:v>
                      </c:pt>
                      <c:pt idx="2">
                        <c:v>0.4921254944890901</c:v>
                      </c:pt>
                      <c:pt idx="3">
                        <c:v>0.41512537211073647</c:v>
                      </c:pt>
                      <c:pt idx="4">
                        <c:v>0.77851554133225809</c:v>
                      </c:pt>
                      <c:pt idx="5">
                        <c:v>0.41275963767222734</c:v>
                      </c:pt>
                      <c:pt idx="6">
                        <c:v>0.40104921113416586</c:v>
                      </c:pt>
                      <c:pt idx="7">
                        <c:v>0.74487783512202588</c:v>
                      </c:pt>
                      <c:pt idx="8">
                        <c:v>0.23796556202605895</c:v>
                      </c:pt>
                      <c:pt idx="9">
                        <c:v>0.22208754130268824</c:v>
                      </c:pt>
                      <c:pt idx="10">
                        <c:v>0.40219106373386854</c:v>
                      </c:pt>
                      <c:pt idx="11">
                        <c:v>0.33139907521860557</c:v>
                      </c:pt>
                      <c:pt idx="12">
                        <c:v>0.63721683448317901</c:v>
                      </c:pt>
                      <c:pt idx="13">
                        <c:v>0.61993144385920917</c:v>
                      </c:pt>
                      <c:pt idx="14">
                        <c:v>0.3560148861884877</c:v>
                      </c:pt>
                      <c:pt idx="15">
                        <c:v>0.54136956096520084</c:v>
                      </c:pt>
                      <c:pt idx="16">
                        <c:v>0.42154770297546035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(Analyses_CV_ZS!$X$62,Analyses_CV_ZS!$X$65:$X$66,Analyses_CV_ZS!$X$68:$X$69,Analyses_CV_ZS!$X$72:$X$73,Analyses_CV_ZS!$X$76:$X$78,Analyses_CV_ZS!$X$84,Analyses_CV_ZS!$X$87:$X$88,Analyses_CV_ZS!$X$90:$X$92,Analyses_CV_ZS!$X$94)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0.75932961103728092</c:v>
                      </c:pt>
                      <c:pt idx="1">
                        <c:v>0.68743608971300008</c:v>
                      </c:pt>
                      <c:pt idx="2">
                        <c:v>0.67511755778369364</c:v>
                      </c:pt>
                      <c:pt idx="3">
                        <c:v>0.99557260293925742</c:v>
                      </c:pt>
                      <c:pt idx="4">
                        <c:v>1.2354949665486523</c:v>
                      </c:pt>
                      <c:pt idx="5">
                        <c:v>0.87873203317830462</c:v>
                      </c:pt>
                      <c:pt idx="6">
                        <c:v>0.90279137141291144</c:v>
                      </c:pt>
                      <c:pt idx="7">
                        <c:v>1.8802012481836912</c:v>
                      </c:pt>
                      <c:pt idx="8">
                        <c:v>0.63387657631237182</c:v>
                      </c:pt>
                      <c:pt idx="9">
                        <c:v>0.37960594175956736</c:v>
                      </c:pt>
                      <c:pt idx="10">
                        <c:v>1.1001494702886769</c:v>
                      </c:pt>
                      <c:pt idx="11">
                        <c:v>0.91018861877947177</c:v>
                      </c:pt>
                      <c:pt idx="12">
                        <c:v>1.1064227915938902</c:v>
                      </c:pt>
                      <c:pt idx="13">
                        <c:v>1.6237494077975645</c:v>
                      </c:pt>
                      <c:pt idx="14">
                        <c:v>1.0606863514000466</c:v>
                      </c:pt>
                      <c:pt idx="15">
                        <c:v>0.99889752298308943</c:v>
                      </c:pt>
                      <c:pt idx="16">
                        <c:v>0.96448955546756532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6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8096"/>
        <c:crosses val="autoZero"/>
        <c:auto val="1"/>
        <c:lblAlgn val="ctr"/>
        <c:lblOffset val="100"/>
        <c:noMultiLvlLbl val="0"/>
      </c:catAx>
      <c:valAx>
        <c:axId val="-1384598096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60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GOMA - CV VAR 1_VAA_VPI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4"/>
          <c:order val="14"/>
          <c:tx>
            <c:strRef>
              <c:f>Analyses_CV_ZS!$R$60</c:f>
              <c:strCache>
                <c:ptCount val="1"/>
                <c:pt idx="0">
                  <c:v>VAR1/RR1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(Analyses_CV_ZS!$C$61:$C$62,Analyses_CV_ZS!$C$65:$C$66,Analyses_CV_ZS!$C$68:$C$69,Analyses_CV_ZS!$C$72:$C$73,Analyses_CV_ZS!$C$76:$C$78,Analyses_CV_ZS!$C$84,Analyses_CV_ZS!$C$87:$C$88,Analyses_CV_ZS!$C$90:$C$92,Analyses_CV_ZS!$C$94)</c:f>
              <c:strCache>
                <c:ptCount val="18"/>
                <c:pt idx="0">
                  <c:v> Alimbongo</c:v>
                </c:pt>
                <c:pt idx="1">
                  <c:v> Bambo</c:v>
                </c:pt>
                <c:pt idx="2">
                  <c:v> Binza</c:v>
                </c:pt>
                <c:pt idx="3">
                  <c:v> Birambizo</c:v>
                </c:pt>
                <c:pt idx="4">
                  <c:v> Goma</c:v>
                </c:pt>
                <c:pt idx="5">
                  <c:v> Itebero</c:v>
                </c:pt>
                <c:pt idx="6">
                  <c:v> Karisimbi</c:v>
                </c:pt>
                <c:pt idx="7">
                  <c:v> Katoyi</c:v>
                </c:pt>
                <c:pt idx="8">
                  <c:v> Kibirizi</c:v>
                </c:pt>
                <c:pt idx="9">
                  <c:v> Kibua</c:v>
                </c:pt>
                <c:pt idx="10">
                  <c:v> Kirotshe</c:v>
                </c:pt>
                <c:pt idx="11">
                  <c:v> Masisi</c:v>
                </c:pt>
                <c:pt idx="12">
                  <c:v> Mweso</c:v>
                </c:pt>
                <c:pt idx="13">
                  <c:v> Nyiragongo</c:v>
                </c:pt>
                <c:pt idx="14">
                  <c:v> Pinga</c:v>
                </c:pt>
                <c:pt idx="15">
                  <c:v> Rutshuru</c:v>
                </c:pt>
                <c:pt idx="16">
                  <c:v> Rwanguba</c:v>
                </c:pt>
                <c:pt idx="17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Analyses_CV_ZS!$R$61:$R$94</c15:sqref>
                  </c15:fullRef>
                </c:ext>
              </c:extLst>
              <c:f>(Analyses_CV_ZS!$R$61:$R$62,Analyses_CV_ZS!$R$65:$R$66,Analyses_CV_ZS!$R$68:$R$69,Analyses_CV_ZS!$R$72:$R$73,Analyses_CV_ZS!$R$76:$R$78,Analyses_CV_ZS!$R$84,Analyses_CV_ZS!$R$87:$R$88,Analyses_CV_ZS!$R$90:$R$92,Analyses_CV_ZS!$R$94)</c:f>
              <c:numCache>
                <c:formatCode>0%</c:formatCode>
                <c:ptCount val="18"/>
                <c:pt idx="0">
                  <c:v>1.0450669371939161</c:v>
                </c:pt>
                <c:pt idx="1">
                  <c:v>0.97879573275523413</c:v>
                </c:pt>
                <c:pt idx="2">
                  <c:v>1.0413555592842321</c:v>
                </c:pt>
                <c:pt idx="3">
                  <c:v>0.90323501426533881</c:v>
                </c:pt>
                <c:pt idx="4">
                  <c:v>1.3907419908671408</c:v>
                </c:pt>
                <c:pt idx="5">
                  <c:v>0.97300408259545434</c:v>
                </c:pt>
                <c:pt idx="6">
                  <c:v>1.1690215693128236</c:v>
                </c:pt>
                <c:pt idx="7">
                  <c:v>1.1007675466517668</c:v>
                </c:pt>
                <c:pt idx="8">
                  <c:v>0.99460846697576721</c:v>
                </c:pt>
                <c:pt idx="9">
                  <c:v>0.86815798890817741</c:v>
                </c:pt>
                <c:pt idx="10">
                  <c:v>0.55383335149778046</c:v>
                </c:pt>
                <c:pt idx="11">
                  <c:v>1.40682049970082</c:v>
                </c:pt>
                <c:pt idx="12">
                  <c:v>0.88558529238416317</c:v>
                </c:pt>
                <c:pt idx="13">
                  <c:v>1.5390427640957733</c:v>
                </c:pt>
                <c:pt idx="14">
                  <c:v>1.0168354378728639</c:v>
                </c:pt>
                <c:pt idx="15">
                  <c:v>1.0568016941381457</c:v>
                </c:pt>
                <c:pt idx="16">
                  <c:v>0.9293456321494078</c:v>
                </c:pt>
                <c:pt idx="17">
                  <c:v>1.0097984932883348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E-4B66-44F6-8968-A6990199EF46}"/>
            </c:ext>
          </c:extLst>
        </c:ser>
        <c:ser>
          <c:idx val="16"/>
          <c:order val="16"/>
          <c:tx>
            <c:strRef>
              <c:f>Analyses_CV_ZS!$T$60</c:f>
              <c:strCache>
                <c:ptCount val="1"/>
                <c:pt idx="0">
                  <c:v>VAA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(Analyses_CV_ZS!$C$61:$C$62,Analyses_CV_ZS!$C$65:$C$66,Analyses_CV_ZS!$C$68:$C$69,Analyses_CV_ZS!$C$72:$C$73,Analyses_CV_ZS!$C$76:$C$78,Analyses_CV_ZS!$C$84,Analyses_CV_ZS!$C$87:$C$88,Analyses_CV_ZS!$C$90:$C$92,Analyses_CV_ZS!$C$94)</c:f>
              <c:strCache>
                <c:ptCount val="18"/>
                <c:pt idx="0">
                  <c:v> Alimbongo</c:v>
                </c:pt>
                <c:pt idx="1">
                  <c:v> Bambo</c:v>
                </c:pt>
                <c:pt idx="2">
                  <c:v> Binza</c:v>
                </c:pt>
                <c:pt idx="3">
                  <c:v> Birambizo</c:v>
                </c:pt>
                <c:pt idx="4">
                  <c:v> Goma</c:v>
                </c:pt>
                <c:pt idx="5">
                  <c:v> Itebero</c:v>
                </c:pt>
                <c:pt idx="6">
                  <c:v> Karisimbi</c:v>
                </c:pt>
                <c:pt idx="7">
                  <c:v> Katoyi</c:v>
                </c:pt>
                <c:pt idx="8">
                  <c:v> Kibirizi</c:v>
                </c:pt>
                <c:pt idx="9">
                  <c:v> Kibua</c:v>
                </c:pt>
                <c:pt idx="10">
                  <c:v> Kirotshe</c:v>
                </c:pt>
                <c:pt idx="11">
                  <c:v> Masisi</c:v>
                </c:pt>
                <c:pt idx="12">
                  <c:v> Mweso</c:v>
                </c:pt>
                <c:pt idx="13">
                  <c:v> Nyiragongo</c:v>
                </c:pt>
                <c:pt idx="14">
                  <c:v> Pinga</c:v>
                </c:pt>
                <c:pt idx="15">
                  <c:v> Rutshuru</c:v>
                </c:pt>
                <c:pt idx="16">
                  <c:v> Rwanguba</c:v>
                </c:pt>
                <c:pt idx="17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Analyses_CV_ZS!$T$61:$T$94</c15:sqref>
                  </c15:fullRef>
                </c:ext>
              </c:extLst>
              <c:f>(Analyses_CV_ZS!$T$61:$T$62,Analyses_CV_ZS!$T$65:$T$66,Analyses_CV_ZS!$T$68:$T$69,Analyses_CV_ZS!$T$72:$T$73,Analyses_CV_ZS!$T$76:$T$78,Analyses_CV_ZS!$T$84,Analyses_CV_ZS!$T$87:$T$88,Analyses_CV_ZS!$T$90:$T$92,Analyses_CV_ZS!$T$94)</c:f>
              <c:numCache>
                <c:formatCode>0%</c:formatCode>
                <c:ptCount val="18"/>
                <c:pt idx="0">
                  <c:v>0.97810638939920747</c:v>
                </c:pt>
                <c:pt idx="1">
                  <c:v>0.90177732884163353</c:v>
                </c:pt>
                <c:pt idx="2">
                  <c:v>1.0258852411015882</c:v>
                </c:pt>
                <c:pt idx="3">
                  <c:v>0.92134248811091068</c:v>
                </c:pt>
                <c:pt idx="4">
                  <c:v>1.3322074978911886</c:v>
                </c:pt>
                <c:pt idx="5">
                  <c:v>0.96766108006413476</c:v>
                </c:pt>
                <c:pt idx="6">
                  <c:v>0.982230343231979</c:v>
                </c:pt>
                <c:pt idx="7">
                  <c:v>1.0769860857139941</c:v>
                </c:pt>
                <c:pt idx="8">
                  <c:v>0.94392981091130745</c:v>
                </c:pt>
                <c:pt idx="9">
                  <c:v>0.95891123000532641</c:v>
                </c:pt>
                <c:pt idx="10">
                  <c:v>0.55202998674977755</c:v>
                </c:pt>
                <c:pt idx="11">
                  <c:v>1.2846191469240693</c:v>
                </c:pt>
                <c:pt idx="12">
                  <c:v>0.86623648026349009</c:v>
                </c:pt>
                <c:pt idx="13">
                  <c:v>1.4927475412061091</c:v>
                </c:pt>
                <c:pt idx="14">
                  <c:v>0.97802736320612815</c:v>
                </c:pt>
                <c:pt idx="15">
                  <c:v>1.0256702944783127</c:v>
                </c:pt>
                <c:pt idx="16">
                  <c:v>0.82143148473205885</c:v>
                </c:pt>
                <c:pt idx="17">
                  <c:v>1.0076400946673634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0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6"/>
        <c:axId val="-1384596464"/>
        <c:axId val="-138459592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(Analyses_CV_ZS!$D$61:$D$62,Analyses_CV_ZS!$D$65:$D$66,Analyses_CV_ZS!$D$68:$D$69,Analyses_CV_ZS!$D$72:$D$73,Analyses_CV_ZS!$D$76:$D$78,Analyses_CV_ZS!$D$84,Analyses_CV_ZS!$D$87:$D$88,Analyses_CV_ZS!$D$90:$D$92,Analyses_CV_ZS!$D$94)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0.70478474653269563</c:v>
                      </c:pt>
                      <c:pt idx="1">
                        <c:v>1.0989852125606361</c:v>
                      </c:pt>
                      <c:pt idx="2">
                        <c:v>0.93421501124821027</c:v>
                      </c:pt>
                      <c:pt idx="3">
                        <c:v>0.88435797278132999</c:v>
                      </c:pt>
                      <c:pt idx="4">
                        <c:v>1.6521261519880801</c:v>
                      </c:pt>
                      <c:pt idx="5">
                        <c:v>0.92114049565951428</c:v>
                      </c:pt>
                      <c:pt idx="6">
                        <c:v>1.1826760906360576</c:v>
                      </c:pt>
                      <c:pt idx="7">
                        <c:v>0.99792506753317922</c:v>
                      </c:pt>
                      <c:pt idx="8">
                        <c:v>0.94183871872298719</c:v>
                      </c:pt>
                      <c:pt idx="9">
                        <c:v>0.79286941220830376</c:v>
                      </c:pt>
                      <c:pt idx="10">
                        <c:v>0.56666996893921284</c:v>
                      </c:pt>
                      <c:pt idx="11">
                        <c:v>1.022219207041517</c:v>
                      </c:pt>
                      <c:pt idx="12">
                        <c:v>0.80437668818385766</c:v>
                      </c:pt>
                      <c:pt idx="13">
                        <c:v>1.5179023421866593</c:v>
                      </c:pt>
                      <c:pt idx="14">
                        <c:v>1.0205389738873563</c:v>
                      </c:pt>
                      <c:pt idx="15">
                        <c:v>1.0422451618373358</c:v>
                      </c:pt>
                      <c:pt idx="16">
                        <c:v>0.81681099631914933</c:v>
                      </c:pt>
                      <c:pt idx="17">
                        <c:v>1.1683100427825044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(Analyses_CV_ZS!$E$61:$E$62,Analyses_CV_ZS!$E$65:$E$66,Analyses_CV_ZS!$E$68:$E$69,Analyses_CV_ZS!$E$72:$E$73,Analyses_CV_ZS!$E$76:$E$78,Analyses_CV_ZS!$E$84,Analyses_CV_ZS!$E$87:$E$88,Analyses_CV_ZS!$E$90:$E$92,Analyses_CV_ZS!$E$94)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0.74299791369463042</c:v>
                      </c:pt>
                      <c:pt idx="1">
                        <c:v>0.79198170062098705</c:v>
                      </c:pt>
                      <c:pt idx="2">
                        <c:v>0.61115570113454865</c:v>
                      </c:pt>
                      <c:pt idx="3">
                        <c:v>0.69179104802137703</c:v>
                      </c:pt>
                      <c:pt idx="4">
                        <c:v>0.88469512645828541</c:v>
                      </c:pt>
                      <c:pt idx="5">
                        <c:v>0.51624956890453388</c:v>
                      </c:pt>
                      <c:pt idx="6">
                        <c:v>0.57412200866243013</c:v>
                      </c:pt>
                      <c:pt idx="7">
                        <c:v>0.63931746309694981</c:v>
                      </c:pt>
                      <c:pt idx="8">
                        <c:v>0.67675129867210315</c:v>
                      </c:pt>
                      <c:pt idx="9">
                        <c:v>0.3610922608733127</c:v>
                      </c:pt>
                      <c:pt idx="10">
                        <c:v>0.30410072954285988</c:v>
                      </c:pt>
                      <c:pt idx="11">
                        <c:v>1.2725796047785767</c:v>
                      </c:pt>
                      <c:pt idx="12">
                        <c:v>0.9884947371886923</c:v>
                      </c:pt>
                      <c:pt idx="13">
                        <c:v>0.98796557351742531</c:v>
                      </c:pt>
                      <c:pt idx="14">
                        <c:v>1.126072981379231</c:v>
                      </c:pt>
                      <c:pt idx="15">
                        <c:v>0.62981216234893034</c:v>
                      </c:pt>
                      <c:pt idx="16">
                        <c:v>0.95798007542067798</c:v>
                      </c:pt>
                      <c:pt idx="17">
                        <c:v>1.1422909624833515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(Analyses_CV_ZS!$F$61:$F$62,Analyses_CV_ZS!$F$65:$F$66,Analyses_CV_ZS!$F$68:$F$69,Analyses_CV_ZS!$F$72:$F$73,Analyses_CV_ZS!$F$76:$F$78,Analyses_CV_ZS!$F$84,Analyses_CV_ZS!$F$87:$F$88,Analyses_CV_ZS!$F$90:$F$92,Analyses_CV_ZS!$F$94)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0.97132993602032613</c:v>
                      </c:pt>
                      <c:pt idx="1">
                        <c:v>0.93907554960482376</c:v>
                      </c:pt>
                      <c:pt idx="2">
                        <c:v>1.0354174573555406</c:v>
                      </c:pt>
                      <c:pt idx="3">
                        <c:v>1.0178681557758884</c:v>
                      </c:pt>
                      <c:pt idx="4">
                        <c:v>1.5905522476388847</c:v>
                      </c:pt>
                      <c:pt idx="5">
                        <c:v>1.0000079061996916</c:v>
                      </c:pt>
                      <c:pt idx="6">
                        <c:v>1.1729496637185082</c:v>
                      </c:pt>
                      <c:pt idx="7">
                        <c:v>1.0479098844164911</c:v>
                      </c:pt>
                      <c:pt idx="8">
                        <c:v>0.92568230739124246</c:v>
                      </c:pt>
                      <c:pt idx="9">
                        <c:v>0.75747744883996115</c:v>
                      </c:pt>
                      <c:pt idx="10">
                        <c:v>0.58255360489190078</c:v>
                      </c:pt>
                      <c:pt idx="11">
                        <c:v>1.4187095475694942</c:v>
                      </c:pt>
                      <c:pt idx="12">
                        <c:v>1.0210925664225043</c:v>
                      </c:pt>
                      <c:pt idx="13">
                        <c:v>1.6319977391891942</c:v>
                      </c:pt>
                      <c:pt idx="14">
                        <c:v>1.0891813548441858</c:v>
                      </c:pt>
                      <c:pt idx="15">
                        <c:v>0.98641766012461007</c:v>
                      </c:pt>
                      <c:pt idx="16">
                        <c:v>1.0263562726983373</c:v>
                      </c:pt>
                      <c:pt idx="17">
                        <c:v>1.1640409793562176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(Analyses_CV_ZS!$G$61:$G$62,Analyses_CV_ZS!$G$65:$G$66,Analyses_CV_ZS!$G$68:$G$69,Analyses_CV_ZS!$G$72:$G$73,Analyses_CV_ZS!$G$76:$G$78,Analyses_CV_ZS!$G$84,Analyses_CV_ZS!$G$87:$G$88,Analyses_CV_ZS!$G$90:$G$92,Analyses_CV_ZS!$G$94)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0.88346575237889902</c:v>
                      </c:pt>
                      <c:pt idx="1">
                        <c:v>0.87642745585539605</c:v>
                      </c:pt>
                      <c:pt idx="2">
                        <c:v>1.0247913802199873</c:v>
                      </c:pt>
                      <c:pt idx="3">
                        <c:v>0.92733078654802892</c:v>
                      </c:pt>
                      <c:pt idx="4">
                        <c:v>1.4632579848391314</c:v>
                      </c:pt>
                      <c:pt idx="5">
                        <c:v>0.94325655498864769</c:v>
                      </c:pt>
                      <c:pt idx="6">
                        <c:v>1.0403247920739462</c:v>
                      </c:pt>
                      <c:pt idx="7">
                        <c:v>0.99675730805977281</c:v>
                      </c:pt>
                      <c:pt idx="8">
                        <c:v>0.88607964691319752</c:v>
                      </c:pt>
                      <c:pt idx="9">
                        <c:v>0.72314487350426726</c:v>
                      </c:pt>
                      <c:pt idx="10">
                        <c:v>0.51382537060690125</c:v>
                      </c:pt>
                      <c:pt idx="11">
                        <c:v>1.2863498311074839</c:v>
                      </c:pt>
                      <c:pt idx="12">
                        <c:v>0.9601602055407914</c:v>
                      </c:pt>
                      <c:pt idx="13">
                        <c:v>1.5293827372723394</c:v>
                      </c:pt>
                      <c:pt idx="14">
                        <c:v>0.98361700359022597</c:v>
                      </c:pt>
                      <c:pt idx="15">
                        <c:v>1.0214014403443556</c:v>
                      </c:pt>
                      <c:pt idx="16">
                        <c:v>0.9516621555529956</c:v>
                      </c:pt>
                      <c:pt idx="17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(Analyses_CV_ZS!$H$61:$H$62,Analyses_CV_ZS!$H$65:$H$66,Analyses_CV_ZS!$H$68:$H$69,Analyses_CV_ZS!$H$72:$H$73,Analyses_CV_ZS!$H$76:$H$78,Analyses_CV_ZS!$H$84,Analyses_CV_ZS!$H$87:$H$88,Analyses_CV_ZS!$H$90:$H$92,Analyses_CV_ZS!$H$94)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0.90253170595337862</c:v>
                      </c:pt>
                      <c:pt idx="1">
                        <c:v>0.89709486822634132</c:v>
                      </c:pt>
                      <c:pt idx="2">
                        <c:v>1.040886761763546</c:v>
                      </c:pt>
                      <c:pt idx="3">
                        <c:v>0.93816675514852865</c:v>
                      </c:pt>
                      <c:pt idx="4">
                        <c:v>1.4908036285925206</c:v>
                      </c:pt>
                      <c:pt idx="5">
                        <c:v>0.96491737606156514</c:v>
                      </c:pt>
                      <c:pt idx="6">
                        <c:v>1.0364483831209679</c:v>
                      </c:pt>
                      <c:pt idx="7">
                        <c:v>0.99819316985224205</c:v>
                      </c:pt>
                      <c:pt idx="8">
                        <c:v>0.88496407901240759</c:v>
                      </c:pt>
                      <c:pt idx="9">
                        <c:v>0.74283208453592386</c:v>
                      </c:pt>
                      <c:pt idx="10">
                        <c:v>0.50647832904096346</c:v>
                      </c:pt>
                      <c:pt idx="11">
                        <c:v>1.2706984263183434</c:v>
                      </c:pt>
                      <c:pt idx="12">
                        <c:v>0.95799576215102122</c:v>
                      </c:pt>
                      <c:pt idx="13">
                        <c:v>1.892545066436341</c:v>
                      </c:pt>
                      <c:pt idx="14">
                        <c:v>1.036479031222693</c:v>
                      </c:pt>
                      <c:pt idx="15">
                        <c:v>0.91905305952289773</c:v>
                      </c:pt>
                      <c:pt idx="16">
                        <c:v>0.96042572182107111</c:v>
                      </c:pt>
                      <c:pt idx="17">
                        <c:v>1.1285104174417646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(Analyses_CV_ZS!$I$61:$I$62,Analyses_CV_ZS!$I$65:$I$66,Analyses_CV_ZS!$I$68:$I$69,Analyses_CV_ZS!$I$72:$I$73,Analyses_CV_ZS!$I$76:$I$78,Analyses_CV_ZS!$I$84,Analyses_CV_ZS!$I$87:$I$88,Analyses_CV_ZS!$I$90:$I$92,Analyses_CV_ZS!$I$94)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0.96179695923308628</c:v>
                      </c:pt>
                      <c:pt idx="1">
                        <c:v>1.0130261344946121</c:v>
                      </c:pt>
                      <c:pt idx="2">
                        <c:v>1.0477624587336101</c:v>
                      </c:pt>
                      <c:pt idx="3">
                        <c:v>1.0358330510872433</c:v>
                      </c:pt>
                      <c:pt idx="4">
                        <c:v>1.5869003630503671</c:v>
                      </c:pt>
                      <c:pt idx="5">
                        <c:v>1.0524270931961519</c:v>
                      </c:pt>
                      <c:pt idx="6">
                        <c:v>1.172381123738738</c:v>
                      </c:pt>
                      <c:pt idx="7">
                        <c:v>1.1595481387809781</c:v>
                      </c:pt>
                      <c:pt idx="8">
                        <c:v>1.0326174590241122</c:v>
                      </c:pt>
                      <c:pt idx="9">
                        <c:v>0.96011166970237871</c:v>
                      </c:pt>
                      <c:pt idx="10">
                        <c:v>0.62383062023507829</c:v>
                      </c:pt>
                      <c:pt idx="11">
                        <c:v>1.3610702395479479</c:v>
                      </c:pt>
                      <c:pt idx="12">
                        <c:v>1.0406381461240657</c:v>
                      </c:pt>
                      <c:pt idx="13">
                        <c:v>1.5702100204506262</c:v>
                      </c:pt>
                      <c:pt idx="14">
                        <c:v>1.1163310367098034</c:v>
                      </c:pt>
                      <c:pt idx="15">
                        <c:v>1.0596128907629467</c:v>
                      </c:pt>
                      <c:pt idx="16">
                        <c:v>0.98661451869194805</c:v>
                      </c:pt>
                      <c:pt idx="17">
                        <c:v>1.164373040682521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(Analyses_CV_ZS!$J$61:$J$62,Analyses_CV_ZS!$J$65:$J$66,Analyses_CV_ZS!$J$68:$J$69,Analyses_CV_ZS!$J$72:$J$73,Analyses_CV_ZS!$J$76:$J$78,Analyses_CV_ZS!$J$84,Analyses_CV_ZS!$J$87:$J$88,Analyses_CV_ZS!$J$90:$J$92,Analyses_CV_ZS!$J$94)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0.88622227578725743</c:v>
                      </c:pt>
                      <c:pt idx="1">
                        <c:v>0.94924779163114836</c:v>
                      </c:pt>
                      <c:pt idx="2">
                        <c:v>1.0241663168590722</c:v>
                      </c:pt>
                      <c:pt idx="3">
                        <c:v>0.94928788081746263</c:v>
                      </c:pt>
                      <c:pt idx="4">
                        <c:v>1.4676402463453524</c:v>
                      </c:pt>
                      <c:pt idx="5">
                        <c:v>1.0157481028460116</c:v>
                      </c:pt>
                      <c:pt idx="6">
                        <c:v>1.01174273672732</c:v>
                      </c:pt>
                      <c:pt idx="7">
                        <c:v>1.1101903896648464</c:v>
                      </c:pt>
                      <c:pt idx="8">
                        <c:v>0.96879103841462733</c:v>
                      </c:pt>
                      <c:pt idx="9">
                        <c:v>0.89000599139452807</c:v>
                      </c:pt>
                      <c:pt idx="10">
                        <c:v>0.56164793207245967</c:v>
                      </c:pt>
                      <c:pt idx="11">
                        <c:v>1.2457163763664461</c:v>
                      </c:pt>
                      <c:pt idx="12">
                        <c:v>0.97465541733288885</c:v>
                      </c:pt>
                      <c:pt idx="13">
                        <c:v>1.4471813769446282</c:v>
                      </c:pt>
                      <c:pt idx="14">
                        <c:v>1.0540464724298573</c:v>
                      </c:pt>
                      <c:pt idx="15">
                        <c:v>1.0310844509408923</c:v>
                      </c:pt>
                      <c:pt idx="16">
                        <c:v>0.92007255621458373</c:v>
                      </c:pt>
                      <c:pt idx="17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(Analyses_CV_ZS!$K$61:$K$62,Analyses_CV_ZS!$K$65:$K$66,Analyses_CV_ZS!$K$68:$K$69,Analyses_CV_ZS!$K$72:$K$73,Analyses_CV_ZS!$K$76:$K$78,Analyses_CV_ZS!$K$84,Analyses_CV_ZS!$K$87:$K$88,Analyses_CV_ZS!$K$90:$K$92,Analyses_CV_ZS!$K$94)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0.87680415414203261</c:v>
                      </c:pt>
                      <c:pt idx="1">
                        <c:v>0.97104545311612966</c:v>
                      </c:pt>
                      <c:pt idx="2">
                        <c:v>1.0524504339404717</c:v>
                      </c:pt>
                      <c:pt idx="3">
                        <c:v>0.95684454313096901</c:v>
                      </c:pt>
                      <c:pt idx="4">
                        <c:v>1.4903862703538329</c:v>
                      </c:pt>
                      <c:pt idx="5">
                        <c:v>1.0509830384579575</c:v>
                      </c:pt>
                      <c:pt idx="6">
                        <c:v>1.0340708522964746</c:v>
                      </c:pt>
                      <c:pt idx="7">
                        <c:v>1.1153953886625476</c:v>
                      </c:pt>
                      <c:pt idx="8">
                        <c:v>0.97022534000135729</c:v>
                      </c:pt>
                      <c:pt idx="9">
                        <c:v>0.90249056424387131</c:v>
                      </c:pt>
                      <c:pt idx="10">
                        <c:v>0.54748817923628867</c:v>
                      </c:pt>
                      <c:pt idx="11">
                        <c:v>1.2320966443143575</c:v>
                      </c:pt>
                      <c:pt idx="12">
                        <c:v>0.99603749445607337</c:v>
                      </c:pt>
                      <c:pt idx="13">
                        <c:v>1.717206466358163</c:v>
                      </c:pt>
                      <c:pt idx="14">
                        <c:v>1.0714542096260473</c:v>
                      </c:pt>
                      <c:pt idx="15">
                        <c:v>1.0057836813176835</c:v>
                      </c:pt>
                      <c:pt idx="16">
                        <c:v>0.95441350775343792</c:v>
                      </c:pt>
                      <c:pt idx="17">
                        <c:v>1.1326611840205558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(Analyses_CV_ZS!$L$61:$L$62,Analyses_CV_ZS!$L$65:$L$66,Analyses_CV_ZS!$L$68:$L$69,Analyses_CV_ZS!$L$72:$L$73,Analyses_CV_ZS!$L$76:$L$78,Analyses_CV_ZS!$L$84,Analyses_CV_ZS!$L$87:$L$88,Analyses_CV_ZS!$L$90:$L$92,Analyses_CV_ZS!$L$94)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0.91849657069345492</c:v>
                      </c:pt>
                      <c:pt idx="1">
                        <c:v>1.0118958853805762</c:v>
                      </c:pt>
                      <c:pt idx="2">
                        <c:v>1.0496376488163546</c:v>
                      </c:pt>
                      <c:pt idx="3">
                        <c:v>1.0372588364294144</c:v>
                      </c:pt>
                      <c:pt idx="4">
                        <c:v>1.5919086619146197</c:v>
                      </c:pt>
                      <c:pt idx="5">
                        <c:v>1.0408746552905959</c:v>
                      </c:pt>
                      <c:pt idx="6">
                        <c:v>1.2070103770520104</c:v>
                      </c:pt>
                      <c:pt idx="7">
                        <c:v>1.1625096037279461</c:v>
                      </c:pt>
                      <c:pt idx="8">
                        <c:v>1.0202665286939372</c:v>
                      </c:pt>
                      <c:pt idx="9">
                        <c:v>0.93082094109430413</c:v>
                      </c:pt>
                      <c:pt idx="10">
                        <c:v>0.61634999609521435</c:v>
                      </c:pt>
                      <c:pt idx="11">
                        <c:v>1.2939497920868261</c:v>
                      </c:pt>
                      <c:pt idx="12">
                        <c:v>1.0237161341676804</c:v>
                      </c:pt>
                      <c:pt idx="13">
                        <c:v>1.5715770053784706</c:v>
                      </c:pt>
                      <c:pt idx="14">
                        <c:v>1.1263923894011794</c:v>
                      </c:pt>
                      <c:pt idx="15">
                        <c:v>1.0625282057812588</c:v>
                      </c:pt>
                      <c:pt idx="16">
                        <c:v>0.97836046209062111</c:v>
                      </c:pt>
                      <c:pt idx="17">
                        <c:v>1.1632108260404594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(Analyses_CV_ZS!$M$61:$M$62,Analyses_CV_ZS!$M$65:$M$66,Analyses_CV_ZS!$M$68:$M$69,Analyses_CV_ZS!$M$72:$M$73,Analyses_CV_ZS!$M$76:$M$78,Analyses_CV_ZS!$M$84,Analyses_CV_ZS!$M$87:$M$88,Analyses_CV_ZS!$M$90:$M$92,Analyses_CV_ZS!$M$94)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0.84188819096949163</c:v>
                      </c:pt>
                      <c:pt idx="1">
                        <c:v>0.95070096906348045</c:v>
                      </c:pt>
                      <c:pt idx="2">
                        <c:v>1.0211972658947266</c:v>
                      </c:pt>
                      <c:pt idx="3">
                        <c:v>0.95000077348854817</c:v>
                      </c:pt>
                      <c:pt idx="4">
                        <c:v>1.4664925111889611</c:v>
                      </c:pt>
                      <c:pt idx="5">
                        <c:v>1.0186362123224006</c:v>
                      </c:pt>
                      <c:pt idx="6">
                        <c:v>1.0270416307284074</c:v>
                      </c:pt>
                      <c:pt idx="7">
                        <c:v>1.1012162534619134</c:v>
                      </c:pt>
                      <c:pt idx="8">
                        <c:v>0.95524485676217741</c:v>
                      </c:pt>
                      <c:pt idx="9">
                        <c:v>0.89720862957684155</c:v>
                      </c:pt>
                      <c:pt idx="10">
                        <c:v>0.5479557182450302</c:v>
                      </c:pt>
                      <c:pt idx="11">
                        <c:v>1.210049232760424</c:v>
                      </c:pt>
                      <c:pt idx="12">
                        <c:v>1.0076467817284773</c:v>
                      </c:pt>
                      <c:pt idx="13">
                        <c:v>1.4367011591644876</c:v>
                      </c:pt>
                      <c:pt idx="14">
                        <c:v>1.0230638943008585</c:v>
                      </c:pt>
                      <c:pt idx="15">
                        <c:v>1.0309803325473812</c:v>
                      </c:pt>
                      <c:pt idx="16">
                        <c:v>0.9025454236784326</c:v>
                      </c:pt>
                      <c:pt idx="17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(Analyses_CV_ZS!$N$61:$N$62,Analyses_CV_ZS!$N$65:$N$66,Analyses_CV_ZS!$N$68:$N$69,Analyses_CV_ZS!$N$72:$N$73,Analyses_CV_ZS!$N$76:$N$78,Analyses_CV_ZS!$N$84,Analyses_CV_ZS!$N$87:$N$88,Analyses_CV_ZS!$N$90:$N$92,Analyses_CV_ZS!$N$94)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0.83235521418225178</c:v>
                      </c:pt>
                      <c:pt idx="1">
                        <c:v>0.97120691727527764</c:v>
                      </c:pt>
                      <c:pt idx="2">
                        <c:v>1.0491688512956685</c:v>
                      </c:pt>
                      <c:pt idx="3">
                        <c:v>0.95827032847313998</c:v>
                      </c:pt>
                      <c:pt idx="4">
                        <c:v>1.4878821209217066</c:v>
                      </c:pt>
                      <c:pt idx="5">
                        <c:v>1.030333055701776</c:v>
                      </c:pt>
                      <c:pt idx="6">
                        <c:v>1.0635315603391091</c:v>
                      </c:pt>
                      <c:pt idx="7">
                        <c:v>1.1286771102428885</c:v>
                      </c:pt>
                      <c:pt idx="8">
                        <c:v>0.96719736998492734</c:v>
                      </c:pt>
                      <c:pt idx="9">
                        <c:v>0.90705223509266986</c:v>
                      </c:pt>
                      <c:pt idx="10">
                        <c:v>0.53706873847004977</c:v>
                      </c:pt>
                      <c:pt idx="11">
                        <c:v>1.1980849377533407</c:v>
                      </c:pt>
                      <c:pt idx="12">
                        <c:v>0.95897960005546223</c:v>
                      </c:pt>
                      <c:pt idx="13">
                        <c:v>1.7421767243734545</c:v>
                      </c:pt>
                      <c:pt idx="14">
                        <c:v>1.074169177812609</c:v>
                      </c:pt>
                      <c:pt idx="15">
                        <c:v>1.0084907595489734</c:v>
                      </c:pt>
                      <c:pt idx="16">
                        <c:v>0.93495023848364223</c:v>
                      </c:pt>
                      <c:pt idx="17">
                        <c:v>1.12402758953667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8"/>
          <c:order val="18"/>
          <c:tx>
            <c:strRef>
              <c:f>Analyses_CV_ZS!$V$60</c:f>
              <c:strCache>
                <c:ptCount val="1"/>
                <c:pt idx="0">
                  <c:v>VPI 2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37F20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(Analyses_CV_ZS!$C$61:$C$62,Analyses_CV_ZS!$C$65:$C$66,Analyses_CV_ZS!$C$68:$C$69,Analyses_CV_ZS!$C$72:$C$73,Analyses_CV_ZS!$C$76:$C$78,Analyses_CV_ZS!$C$84,Analyses_CV_ZS!$C$87:$C$88,Analyses_CV_ZS!$C$90:$C$92,Analyses_CV_ZS!$C$94)</c:f>
              <c:strCache>
                <c:ptCount val="18"/>
                <c:pt idx="0">
                  <c:v> Alimbongo</c:v>
                </c:pt>
                <c:pt idx="1">
                  <c:v> Bambo</c:v>
                </c:pt>
                <c:pt idx="2">
                  <c:v> Binza</c:v>
                </c:pt>
                <c:pt idx="3">
                  <c:v> Birambizo</c:v>
                </c:pt>
                <c:pt idx="4">
                  <c:v> Goma</c:v>
                </c:pt>
                <c:pt idx="5">
                  <c:v> Itebero</c:v>
                </c:pt>
                <c:pt idx="6">
                  <c:v> Karisimbi</c:v>
                </c:pt>
                <c:pt idx="7">
                  <c:v> Katoyi</c:v>
                </c:pt>
                <c:pt idx="8">
                  <c:v> Kibirizi</c:v>
                </c:pt>
                <c:pt idx="9">
                  <c:v> Kibua</c:v>
                </c:pt>
                <c:pt idx="10">
                  <c:v> Kirotshe</c:v>
                </c:pt>
                <c:pt idx="11">
                  <c:v> Masisi</c:v>
                </c:pt>
                <c:pt idx="12">
                  <c:v> Mweso</c:v>
                </c:pt>
                <c:pt idx="13">
                  <c:v> Nyiragongo</c:v>
                </c:pt>
                <c:pt idx="14">
                  <c:v> Pinga</c:v>
                </c:pt>
                <c:pt idx="15">
                  <c:v> Rutshuru</c:v>
                </c:pt>
                <c:pt idx="16">
                  <c:v> Rwanguba</c:v>
                </c:pt>
                <c:pt idx="17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Analyses_CV_ZS!$V$61:$V$94</c15:sqref>
                  </c15:fullRef>
                </c:ext>
              </c:extLst>
              <c:f>(Analyses_CV_ZS!$V$61:$V$62,Analyses_CV_ZS!$V$65:$V$66,Analyses_CV_ZS!$V$68:$V$69,Analyses_CV_ZS!$V$72:$V$73,Analyses_CV_ZS!$V$76:$V$78,Analyses_CV_ZS!$V$84,Analyses_CV_ZS!$V$87:$V$88,Analyses_CV_ZS!$V$90:$V$92,Analyses_CV_ZS!$V$94)</c:f>
              <c:numCache>
                <c:formatCode>0%</c:formatCode>
                <c:ptCount val="18"/>
                <c:pt idx="0">
                  <c:v>0.68074642672253438</c:v>
                </c:pt>
                <c:pt idx="1">
                  <c:v>0.44257326022469429</c:v>
                </c:pt>
                <c:pt idx="2">
                  <c:v>1.0086959986764283</c:v>
                </c:pt>
                <c:pt idx="3">
                  <c:v>0.73228335173903392</c:v>
                </c:pt>
                <c:pt idx="4">
                  <c:v>1.171733255115762</c:v>
                </c:pt>
                <c:pt idx="5">
                  <c:v>0.70267703560544392</c:v>
                </c:pt>
                <c:pt idx="6">
                  <c:v>0.6730479651424347</c:v>
                </c:pt>
                <c:pt idx="7">
                  <c:v>1.1980471830915609</c:v>
                </c:pt>
                <c:pt idx="8">
                  <c:v>0.8926136874749675</c:v>
                </c:pt>
                <c:pt idx="9">
                  <c:v>0.73010742374717019</c:v>
                </c:pt>
                <c:pt idx="10">
                  <c:v>0.37636890203690215</c:v>
                </c:pt>
                <c:pt idx="11">
                  <c:v>0.48090446157402339</c:v>
                </c:pt>
                <c:pt idx="12">
                  <c:v>0.73577957413461281</c:v>
                </c:pt>
                <c:pt idx="13">
                  <c:v>1.1621194533248047</c:v>
                </c:pt>
                <c:pt idx="14">
                  <c:v>0.64328775620416134</c:v>
                </c:pt>
                <c:pt idx="15">
                  <c:v>0.98006643812043015</c:v>
                </c:pt>
                <c:pt idx="16">
                  <c:v>0.7117850044477646</c:v>
                </c:pt>
                <c:pt idx="17">
                  <c:v>0.76291089718183147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2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6464"/>
        <c:axId val="-138459592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(Analyses_CV_ZS!$O$61:$O$62,Analyses_CV_ZS!$O$65:$O$66,Analyses_CV_ZS!$O$68:$O$69,Analyses_CV_ZS!$O$72:$O$73,Analyses_CV_ZS!$O$76:$O$78,Analyses_CV_ZS!$O$84,Analyses_CV_ZS!$O$87:$O$88,Analyses_CV_ZS!$O$90:$O$92,Analyses_CV_ZS!$O$94)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0.96420891721540003</c:v>
                      </c:pt>
                      <c:pt idx="1">
                        <c:v>1.0152866327226844</c:v>
                      </c:pt>
                      <c:pt idx="2">
                        <c:v>1.0135402397235189</c:v>
                      </c:pt>
                      <c:pt idx="3">
                        <c:v>0.98493251437173801</c:v>
                      </c:pt>
                      <c:pt idx="4">
                        <c:v>1.5850222509762724</c:v>
                      </c:pt>
                      <c:pt idx="5">
                        <c:v>1.0205134834820535</c:v>
                      </c:pt>
                      <c:pt idx="6">
                        <c:v>1.1062237442745761</c:v>
                      </c:pt>
                      <c:pt idx="7">
                        <c:v>1.2395974337111408</c:v>
                      </c:pt>
                      <c:pt idx="8">
                        <c:v>0.87388808342599256</c:v>
                      </c:pt>
                      <c:pt idx="9">
                        <c:v>0.94834736067126679</c:v>
                      </c:pt>
                      <c:pt idx="10">
                        <c:v>0.61768582183447585</c:v>
                      </c:pt>
                      <c:pt idx="11">
                        <c:v>1.2588093784496694</c:v>
                      </c:pt>
                      <c:pt idx="12">
                        <c:v>0.87627162688878835</c:v>
                      </c:pt>
                      <c:pt idx="13">
                        <c:v>1.5278334876874491</c:v>
                      </c:pt>
                      <c:pt idx="14">
                        <c:v>1.1235177172036432</c:v>
                      </c:pt>
                      <c:pt idx="15">
                        <c:v>1.0554481550225008</c:v>
                      </c:pt>
                      <c:pt idx="16">
                        <c:v>0.88980768200971805</c:v>
                      </c:pt>
                      <c:pt idx="17">
                        <c:v>1.1361478279467405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(Analyses_CV_ZS!$P$61:$P$62,Analyses_CV_ZS!$P$65:$P$66,Analyses_CV_ZS!$P$68:$P$69,Analyses_CV_ZS!$P$72:$P$73,Analyses_CV_ZS!$P$76:$P$78,Analyses_CV_ZS!$P$84,Analyses_CV_ZS!$P$87:$P$88,Analyses_CV_ZS!$P$90:$P$92,Analyses_CV_ZS!$P$94)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0.87002770076315128</c:v>
                      </c:pt>
                      <c:pt idx="1">
                        <c:v>0.94504972349330008</c:v>
                      </c:pt>
                      <c:pt idx="2">
                        <c:v>0.98541238848234813</c:v>
                      </c:pt>
                      <c:pt idx="3">
                        <c:v>0.90266470012847044</c:v>
                      </c:pt>
                      <c:pt idx="4">
                        <c:v>1.4556411969830805</c:v>
                      </c:pt>
                      <c:pt idx="5">
                        <c:v>0.9493215848890646</c:v>
                      </c:pt>
                      <c:pt idx="6">
                        <c:v>0.94961682257425539</c:v>
                      </c:pt>
                      <c:pt idx="7">
                        <c:v>1.163586500072298</c:v>
                      </c:pt>
                      <c:pt idx="8">
                        <c:v>0.82902631712993768</c:v>
                      </c:pt>
                      <c:pt idx="9">
                        <c:v>0.89912933309212506</c:v>
                      </c:pt>
                      <c:pt idx="10">
                        <c:v>0.54608556221006421</c:v>
                      </c:pt>
                      <c:pt idx="11">
                        <c:v>1.0980814908073422</c:v>
                      </c:pt>
                      <c:pt idx="12">
                        <c:v>0.82419380714704449</c:v>
                      </c:pt>
                      <c:pt idx="13">
                        <c:v>1.4096348575931681</c:v>
                      </c:pt>
                      <c:pt idx="14">
                        <c:v>1.0284938306739819</c:v>
                      </c:pt>
                      <c:pt idx="15">
                        <c:v>1.0199437828351996</c:v>
                      </c:pt>
                      <c:pt idx="16">
                        <c:v>0.81378883973083016</c:v>
                      </c:pt>
                      <c:pt idx="17">
                        <c:v>1.0747164825806301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(Analyses_CV_ZS!$Q$61:$Q$62,Analyses_CV_ZS!$Q$65:$Q$66,Analyses_CV_ZS!$Q$68:$Q$69,Analyses_CV_ZS!$Q$72:$Q$73,Analyses_CV_ZS!$Q$76:$Q$78,Analyses_CV_ZS!$Q$84,Analyses_CV_ZS!$Q$87:$Q$88,Analyses_CV_ZS!$Q$90:$Q$92,Analyses_CV_ZS!$Q$94)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0.87795270556218197</c:v>
                      </c:pt>
                      <c:pt idx="1">
                        <c:v>0.97104545311612966</c:v>
                      </c:pt>
                      <c:pt idx="2">
                        <c:v>1.0202596708533542</c:v>
                      </c:pt>
                      <c:pt idx="3">
                        <c:v>0.90965104830510835</c:v>
                      </c:pt>
                      <c:pt idx="4">
                        <c:v>1.4805783517446716</c:v>
                      </c:pt>
                      <c:pt idx="5">
                        <c:v>1.0036180430451778</c:v>
                      </c:pt>
                      <c:pt idx="6">
                        <c:v>0.96000559856823708</c:v>
                      </c:pt>
                      <c:pt idx="7">
                        <c:v>1.183688565166868</c:v>
                      </c:pt>
                      <c:pt idx="8">
                        <c:v>0.82026114076658774</c:v>
                      </c:pt>
                      <c:pt idx="9">
                        <c:v>0.91521522503262509</c:v>
                      </c:pt>
                      <c:pt idx="10">
                        <c:v>0.53913926836590487</c:v>
                      </c:pt>
                      <c:pt idx="11">
                        <c:v>1.0766360563606832</c:v>
                      </c:pt>
                      <c:pt idx="12">
                        <c:v>0.82419380714704449</c:v>
                      </c:pt>
                      <c:pt idx="13">
                        <c:v>1.7264108315389821</c:v>
                      </c:pt>
                      <c:pt idx="14">
                        <c:v>1.0720930256699441</c:v>
                      </c:pt>
                      <c:pt idx="15">
                        <c:v>0.99443477642496847</c:v>
                      </c:pt>
                      <c:pt idx="16">
                        <c:v>0.80135680386216479</c:v>
                      </c:pt>
                      <c:pt idx="17">
                        <c:v>1.1132355964318128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(Analyses_CV_ZS!$S$61:$S$62,Analyses_CV_ZS!$S$65:$S$66,Analyses_CV_ZS!$S$68:$S$69,Analyses_CV_ZS!$S$72:$S$73,Analyses_CV_ZS!$S$76:$S$78,Analyses_CV_ZS!$S$84,Analyses_CV_ZS!$S$87:$S$88,Analyses_CV_ZS!$S$90:$S$92,Analyses_CV_ZS!$S$94)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0.38510929117608533</c:v>
                      </c:pt>
                      <c:pt idx="1">
                        <c:v>0.46372506507308353</c:v>
                      </c:pt>
                      <c:pt idx="2">
                        <c:v>0.74507552621056705</c:v>
                      </c:pt>
                      <c:pt idx="3">
                        <c:v>0.56789030178671573</c:v>
                      </c:pt>
                      <c:pt idx="4">
                        <c:v>0.5880577583109915</c:v>
                      </c:pt>
                      <c:pt idx="5">
                        <c:v>0.70007773707669374</c:v>
                      </c:pt>
                      <c:pt idx="6">
                        <c:v>0.40040720211629871</c:v>
                      </c:pt>
                      <c:pt idx="7">
                        <c:v>1.0637043641336532</c:v>
                      </c:pt>
                      <c:pt idx="8">
                        <c:v>0.71754921047242304</c:v>
                      </c:pt>
                      <c:pt idx="9">
                        <c:v>0.56372648173573026</c:v>
                      </c:pt>
                      <c:pt idx="10">
                        <c:v>0.27584801515748109</c:v>
                      </c:pt>
                      <c:pt idx="11">
                        <c:v>0.35629520036817408</c:v>
                      </c:pt>
                      <c:pt idx="12">
                        <c:v>0.80773091954606502</c:v>
                      </c:pt>
                      <c:pt idx="13">
                        <c:v>1.1335950344971177</c:v>
                      </c:pt>
                      <c:pt idx="14">
                        <c:v>0.57701059164985979</c:v>
                      </c:pt>
                      <c:pt idx="15">
                        <c:v>0.64584639494964713</c:v>
                      </c:pt>
                      <c:pt idx="16">
                        <c:v>0.5600530256900379</c:v>
                      </c:pt>
                      <c:pt idx="17">
                        <c:v>0.68255205621643289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rgbClr val="37F20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(Analyses_CV_ZS!$U$61:$U$62,Analyses_CV_ZS!$U$65:$U$66,Analyses_CV_ZS!$U$68:$U$69,Analyses_CV_ZS!$U$72:$U$73,Analyses_CV_ZS!$U$76:$U$78,Analyses_CV_ZS!$U$84,Analyses_CV_ZS!$U$87:$U$88,Analyses_CV_ZS!$U$90:$U$92,Analyses_CV_ZS!$U$94)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0.92389476236815693</c:v>
                      </c:pt>
                      <c:pt idx="1">
                        <c:v>0.92325206200831877</c:v>
                      </c:pt>
                      <c:pt idx="2">
                        <c:v>1.0572946749875622</c:v>
                      </c:pt>
                      <c:pt idx="3">
                        <c:v>0.91977412423452254</c:v>
                      </c:pt>
                      <c:pt idx="4">
                        <c:v>1.477030806715826</c:v>
                      </c:pt>
                      <c:pt idx="5">
                        <c:v>0.89155939536128459</c:v>
                      </c:pt>
                      <c:pt idx="6">
                        <c:v>1.1344956869049641</c:v>
                      </c:pt>
                      <c:pt idx="7">
                        <c:v>1.020718251721604</c:v>
                      </c:pt>
                      <c:pt idx="8">
                        <c:v>0.95787440967118231</c:v>
                      </c:pt>
                      <c:pt idx="9">
                        <c:v>0.86455666981702073</c:v>
                      </c:pt>
                      <c:pt idx="10">
                        <c:v>0.54354749330546759</c:v>
                      </c:pt>
                      <c:pt idx="11">
                        <c:v>1.1918394252653663</c:v>
                      </c:pt>
                      <c:pt idx="12">
                        <c:v>0.94494351261877052</c:v>
                      </c:pt>
                      <c:pt idx="13">
                        <c:v>1.4963928343470274</c:v>
                      </c:pt>
                      <c:pt idx="14">
                        <c:v>1.0029411889181066</c:v>
                      </c:pt>
                      <c:pt idx="15">
                        <c:v>0.96923812519527075</c:v>
                      </c:pt>
                      <c:pt idx="16">
                        <c:v>0.94096245255127542</c:v>
                      </c:pt>
                      <c:pt idx="17">
                        <c:v>1.1942585600498179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(Analyses_CV_ZS!$W$61:$W$62,Analyses_CV_ZS!$W$65:$W$66,Analyses_CV_ZS!$W$68:$W$69,Analyses_CV_ZS!$W$72:$W$73,Analyses_CV_ZS!$W$76:$W$78,Analyses_CV_ZS!$W$84,Analyses_CV_ZS!$W$87:$W$88,Analyses_CV_ZS!$W$90:$W$92,Analyses_CV_ZS!$W$94)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0.44644050132278673</c:v>
                      </c:pt>
                      <c:pt idx="1">
                        <c:v>0.46038760090349423</c:v>
                      </c:pt>
                      <c:pt idx="2">
                        <c:v>0.2064217056377394</c:v>
                      </c:pt>
                      <c:pt idx="3">
                        <c:v>0.4921254944890901</c:v>
                      </c:pt>
                      <c:pt idx="4">
                        <c:v>0.41512537211073647</c:v>
                      </c:pt>
                      <c:pt idx="5">
                        <c:v>0.77851554133225809</c:v>
                      </c:pt>
                      <c:pt idx="6">
                        <c:v>0.41275963767222734</c:v>
                      </c:pt>
                      <c:pt idx="7">
                        <c:v>0.40104921113416586</c:v>
                      </c:pt>
                      <c:pt idx="8">
                        <c:v>0.74487783512202588</c:v>
                      </c:pt>
                      <c:pt idx="9">
                        <c:v>0.23796556202605895</c:v>
                      </c:pt>
                      <c:pt idx="10">
                        <c:v>0.22208754130268824</c:v>
                      </c:pt>
                      <c:pt idx="11">
                        <c:v>0.40219106373386854</c:v>
                      </c:pt>
                      <c:pt idx="12">
                        <c:v>0.33139907521860557</c:v>
                      </c:pt>
                      <c:pt idx="13">
                        <c:v>0.63721683448317901</c:v>
                      </c:pt>
                      <c:pt idx="14">
                        <c:v>0.61993144385920917</c:v>
                      </c:pt>
                      <c:pt idx="15">
                        <c:v>0.3560148861884877</c:v>
                      </c:pt>
                      <c:pt idx="16">
                        <c:v>0.54136956096520084</c:v>
                      </c:pt>
                      <c:pt idx="17">
                        <c:v>0.42154770297546035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(Analyses_CV_ZS!$C$61:$C$62,Analyses_CV_ZS!$C$65:$C$66,Analyses_CV_ZS!$C$68:$C$69,Analyses_CV_ZS!$C$72:$C$73,Analyses_CV_ZS!$C$76:$C$78,Analyses_CV_ZS!$C$84,Analyses_CV_ZS!$C$87:$C$88,Analyses_CV_ZS!$C$90:$C$92,Analyses_CV_ZS!$C$94)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Bambo</c:v>
                      </c:pt>
                      <c:pt idx="2">
                        <c:v> Binza</c:v>
                      </c:pt>
                      <c:pt idx="3">
                        <c:v> Birambizo</c:v>
                      </c:pt>
                      <c:pt idx="4">
                        <c:v> Goma</c:v>
                      </c:pt>
                      <c:pt idx="5">
                        <c:v> Itebero</c:v>
                      </c:pt>
                      <c:pt idx="6">
                        <c:v> Karisimbi</c:v>
                      </c:pt>
                      <c:pt idx="7">
                        <c:v> Katoyi</c:v>
                      </c:pt>
                      <c:pt idx="8">
                        <c:v> Kibirizi</c:v>
                      </c:pt>
                      <c:pt idx="9">
                        <c:v> Kibua</c:v>
                      </c:pt>
                      <c:pt idx="10">
                        <c:v> Kirotshe</c:v>
                      </c:pt>
                      <c:pt idx="11">
                        <c:v> Masisi</c:v>
                      </c:pt>
                      <c:pt idx="12">
                        <c:v> Mweso</c:v>
                      </c:pt>
                      <c:pt idx="13">
                        <c:v> Nyiragongo</c:v>
                      </c:pt>
                      <c:pt idx="14">
                        <c:v> Pinga</c:v>
                      </c:pt>
                      <c:pt idx="15">
                        <c:v> Rutshuru</c:v>
                      </c:pt>
                      <c:pt idx="16">
                        <c:v> Rwanguba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(Analyses_CV_ZS!$X$61:$X$62,Analyses_CV_ZS!$X$65:$X$66,Analyses_CV_ZS!$X$68:$X$69,Analyses_CV_ZS!$X$72:$X$73,Analyses_CV_ZS!$X$76:$X$78,Analyses_CV_ZS!$X$84,Analyses_CV_ZS!$X$87:$X$88,Analyses_CV_ZS!$X$90:$X$92,Analyses_CV_ZS!$X$94)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0.83676278025707496</c:v>
                      </c:pt>
                      <c:pt idx="1">
                        <c:v>0.75932961103728092</c:v>
                      </c:pt>
                      <c:pt idx="2">
                        <c:v>0.68743608971300008</c:v>
                      </c:pt>
                      <c:pt idx="3">
                        <c:v>0.67511755778369364</c:v>
                      </c:pt>
                      <c:pt idx="4">
                        <c:v>0.99557260293925742</c:v>
                      </c:pt>
                      <c:pt idx="5">
                        <c:v>1.2354949665486523</c:v>
                      </c:pt>
                      <c:pt idx="6">
                        <c:v>0.87873203317830462</c:v>
                      </c:pt>
                      <c:pt idx="7">
                        <c:v>0.90279137141291144</c:v>
                      </c:pt>
                      <c:pt idx="8">
                        <c:v>1.8802012481836912</c:v>
                      </c:pt>
                      <c:pt idx="9">
                        <c:v>0.63387657631237182</c:v>
                      </c:pt>
                      <c:pt idx="10">
                        <c:v>0.37960594175956736</c:v>
                      </c:pt>
                      <c:pt idx="11">
                        <c:v>1.1001494702886769</c:v>
                      </c:pt>
                      <c:pt idx="12">
                        <c:v>0.91018861877947177</c:v>
                      </c:pt>
                      <c:pt idx="13">
                        <c:v>1.1064227915938902</c:v>
                      </c:pt>
                      <c:pt idx="14">
                        <c:v>1.6237494077975645</c:v>
                      </c:pt>
                      <c:pt idx="15">
                        <c:v>1.0606863514000466</c:v>
                      </c:pt>
                      <c:pt idx="16">
                        <c:v>0.99889752298308943</c:v>
                      </c:pt>
                      <c:pt idx="17">
                        <c:v>0.96448955546756532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9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5920"/>
        <c:crosses val="autoZero"/>
        <c:auto val="1"/>
        <c:lblAlgn val="ctr"/>
        <c:lblOffset val="100"/>
        <c:noMultiLvlLbl val="0"/>
      </c:catAx>
      <c:valAx>
        <c:axId val="-138459592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BUT - CV VAR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5"/>
          <c:order val="15"/>
          <c:tx>
            <c:strRef>
              <c:f>Analyses_CV_ZS!$S$60</c:f>
              <c:strCache>
                <c:ptCount val="1"/>
                <c:pt idx="0">
                  <c:v>VAR2/RR2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(Analyses_CV_ZS!$C$63:$C$64,Analyses_CV_ZS!$C$67,Analyses_CV_ZS!$C$70:$C$71,Analyses_CV_ZS!$C$74:$C$75,Analyses_CV_ZS!$C$79:$C$83,Analyses_CV_ZS!$C$85:$C$86,Analyses_CV_ZS!$C$89,Analyses_CV_ZS!$C$93)</c:f>
              <c:strCache>
                <c:ptCount val="16"/>
                <c:pt idx="0">
                  <c:v> Beni</c:v>
                </c:pt>
                <c:pt idx="1">
                  <c:v> Biena</c:v>
                </c:pt>
                <c:pt idx="2">
                  <c:v> Butembo</c:v>
                </c:pt>
                <c:pt idx="3">
                  <c:v> Kalunguta</c:v>
                </c:pt>
                <c:pt idx="4">
                  <c:v> Kamango</c:v>
                </c:pt>
                <c:pt idx="5">
                  <c:v> Katwa</c:v>
                </c:pt>
                <c:pt idx="6">
                  <c:v> Kayna</c:v>
                </c:pt>
                <c:pt idx="7">
                  <c:v> Kyondo</c:v>
                </c:pt>
                <c:pt idx="8">
                  <c:v> Lubero</c:v>
                </c:pt>
                <c:pt idx="9">
                  <c:v> Mabalako</c:v>
                </c:pt>
                <c:pt idx="10">
                  <c:v> Manguredjipa</c:v>
                </c:pt>
                <c:pt idx="11">
                  <c:v> Masereka</c:v>
                </c:pt>
                <c:pt idx="12">
                  <c:v> Musienene</c:v>
                </c:pt>
                <c:pt idx="13">
                  <c:v> Mutwanga</c:v>
                </c:pt>
                <c:pt idx="14">
                  <c:v> Oicha</c:v>
                </c:pt>
                <c:pt idx="15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Analyses_CV_ZS!$S$61:$S$94</c15:sqref>
                  </c15:fullRef>
                </c:ext>
              </c:extLst>
              <c:f>(Analyses_CV_ZS!$S$63:$S$64,Analyses_CV_ZS!$S$67,Analyses_CV_ZS!$S$70:$S$71,Analyses_CV_ZS!$S$74:$S$75,Analyses_CV_ZS!$S$79:$S$83,Analyses_CV_ZS!$S$85:$S$86,Analyses_CV_ZS!$S$89,Analyses_CV_ZS!$S$93)</c:f>
              <c:numCache>
                <c:formatCode>0%</c:formatCode>
                <c:ptCount val="16"/>
                <c:pt idx="0">
                  <c:v>0.43431115453506908</c:v>
                </c:pt>
                <c:pt idx="1">
                  <c:v>0.26785045140851782</c:v>
                </c:pt>
                <c:pt idx="2">
                  <c:v>0.13585586473826458</c:v>
                </c:pt>
                <c:pt idx="3">
                  <c:v>0.53000120387153937</c:v>
                </c:pt>
                <c:pt idx="4">
                  <c:v>0.25084125623311587</c:v>
                </c:pt>
                <c:pt idx="5">
                  <c:v>0.28775524787130624</c:v>
                </c:pt>
                <c:pt idx="6">
                  <c:v>0.22974026036144163</c:v>
                </c:pt>
                <c:pt idx="7">
                  <c:v>0.22075756737309829</c:v>
                </c:pt>
                <c:pt idx="8">
                  <c:v>0.45047595966143272</c:v>
                </c:pt>
                <c:pt idx="9">
                  <c:v>0.25426827403081909</c:v>
                </c:pt>
                <c:pt idx="10">
                  <c:v>0.3115413301964074</c:v>
                </c:pt>
                <c:pt idx="11">
                  <c:v>0.31828626912854241</c:v>
                </c:pt>
                <c:pt idx="12">
                  <c:v>0.82863818924557231</c:v>
                </c:pt>
                <c:pt idx="13">
                  <c:v>9.2557766239081365E-2</c:v>
                </c:pt>
                <c:pt idx="14">
                  <c:v>0.19272880469661074</c:v>
                </c:pt>
                <c:pt idx="15">
                  <c:v>0.3583008353908701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F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-1384593744"/>
        <c:axId val="-138460244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(Analyses_CV_ZS!$D$63:$D$64,Analyses_CV_ZS!$D$67,Analyses_CV_ZS!$D$70:$D$71,Analyses_CV_ZS!$D$74:$D$75,Analyses_CV_ZS!$D$79:$D$83,Analyses_CV_ZS!$D$85:$D$86,Analyses_CV_ZS!$D$89,Analyses_CV_ZS!$D$93)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0.7954743450671371</c:v>
                      </c:pt>
                      <c:pt idx="1">
                        <c:v>0.51696070037502873</c:v>
                      </c:pt>
                      <c:pt idx="2">
                        <c:v>0.73109149815663044</c:v>
                      </c:pt>
                      <c:pt idx="3">
                        <c:v>0.89116626724094594</c:v>
                      </c:pt>
                      <c:pt idx="4">
                        <c:v>0.86421767597446308</c:v>
                      </c:pt>
                      <c:pt idx="5">
                        <c:v>0.90889528228701222</c:v>
                      </c:pt>
                      <c:pt idx="6">
                        <c:v>0.69205561991006037</c:v>
                      </c:pt>
                      <c:pt idx="7">
                        <c:v>0.79978799865560113</c:v>
                      </c:pt>
                      <c:pt idx="8">
                        <c:v>0.65548198669122648</c:v>
                      </c:pt>
                      <c:pt idx="9">
                        <c:v>0.62117739345729084</c:v>
                      </c:pt>
                      <c:pt idx="10">
                        <c:v>0.61796775019196315</c:v>
                      </c:pt>
                      <c:pt idx="11">
                        <c:v>0.79857862256752077</c:v>
                      </c:pt>
                      <c:pt idx="12">
                        <c:v>0.70131488790433372</c:v>
                      </c:pt>
                      <c:pt idx="13">
                        <c:v>0.62851940519944693</c:v>
                      </c:pt>
                      <c:pt idx="14">
                        <c:v>0.51941110461260342</c:v>
                      </c:pt>
                      <c:pt idx="15">
                        <c:v>0.87809896915375629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(Analyses_CV_ZS!$E$63:$E$64,Analyses_CV_ZS!$E$67,Analyses_CV_ZS!$E$70:$E$71,Analyses_CV_ZS!$E$74:$E$75,Analyses_CV_ZS!$E$79:$E$83,Analyses_CV_ZS!$E$85:$E$86,Analyses_CV_ZS!$E$89,Analyses_CV_ZS!$E$93)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0.46613401278786115</c:v>
                      </c:pt>
                      <c:pt idx="1">
                        <c:v>0.32506927848959438</c:v>
                      </c:pt>
                      <c:pt idx="2">
                        <c:v>0.180799699350075</c:v>
                      </c:pt>
                      <c:pt idx="3">
                        <c:v>0.73298345346517879</c:v>
                      </c:pt>
                      <c:pt idx="4">
                        <c:v>0.95590857105052274</c:v>
                      </c:pt>
                      <c:pt idx="5">
                        <c:v>0.69128410670552776</c:v>
                      </c:pt>
                      <c:pt idx="6">
                        <c:v>0.73798568802986486</c:v>
                      </c:pt>
                      <c:pt idx="7">
                        <c:v>0.43203293051003666</c:v>
                      </c:pt>
                      <c:pt idx="8">
                        <c:v>0.506773567455304</c:v>
                      </c:pt>
                      <c:pt idx="9">
                        <c:v>0.44911363098150753</c:v>
                      </c:pt>
                      <c:pt idx="10">
                        <c:v>0.35448827063026245</c:v>
                      </c:pt>
                      <c:pt idx="11">
                        <c:v>0.437214358331598</c:v>
                      </c:pt>
                      <c:pt idx="12">
                        <c:v>0.5054127949586078</c:v>
                      </c:pt>
                      <c:pt idx="13">
                        <c:v>0.38791172385168232</c:v>
                      </c:pt>
                      <c:pt idx="14">
                        <c:v>0.13874934417000134</c:v>
                      </c:pt>
                      <c:pt idx="15">
                        <c:v>0.7231780785199271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(Analyses_CV_ZS!$F$63:$F$64,Analyses_CV_ZS!$F$67,Analyses_CV_ZS!$F$70:$F$71,Analyses_CV_ZS!$F$74:$F$75,Analyses_CV_ZS!$F$79:$F$83,Analyses_CV_ZS!$F$85:$F$86,Analyses_CV_ZS!$F$89,Analyses_CV_ZS!$F$93)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1.1596661827262404</c:v>
                      </c:pt>
                      <c:pt idx="1">
                        <c:v>0.78489304104694146</c:v>
                      </c:pt>
                      <c:pt idx="2">
                        <c:v>0.89388293283489639</c:v>
                      </c:pt>
                      <c:pt idx="3">
                        <c:v>0.99964075935433871</c:v>
                      </c:pt>
                      <c:pt idx="4">
                        <c:v>1.156020514513288</c:v>
                      </c:pt>
                      <c:pt idx="5">
                        <c:v>1.0326981227084107</c:v>
                      </c:pt>
                      <c:pt idx="6">
                        <c:v>1.0950144710239971</c:v>
                      </c:pt>
                      <c:pt idx="7">
                        <c:v>0.95681367120501259</c:v>
                      </c:pt>
                      <c:pt idx="8">
                        <c:v>0.95886618139460122</c:v>
                      </c:pt>
                      <c:pt idx="9">
                        <c:v>0.9864485194720507</c:v>
                      </c:pt>
                      <c:pt idx="10">
                        <c:v>1.1067637764265592</c:v>
                      </c:pt>
                      <c:pt idx="11">
                        <c:v>1.0305896119085456</c:v>
                      </c:pt>
                      <c:pt idx="12">
                        <c:v>1.0821441218360741</c:v>
                      </c:pt>
                      <c:pt idx="13">
                        <c:v>0.82084632773197841</c:v>
                      </c:pt>
                      <c:pt idx="14">
                        <c:v>0.71077767363647704</c:v>
                      </c:pt>
                      <c:pt idx="15">
                        <c:v>0.97330834525165477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(Analyses_CV_ZS!$G$63:$G$64,Analyses_CV_ZS!$G$67,Analyses_CV_ZS!$G$70:$G$71,Analyses_CV_ZS!$G$74:$G$75,Analyses_CV_ZS!$G$79:$G$83,Analyses_CV_ZS!$G$85:$G$86,Analyses_CV_ZS!$G$89,Analyses_CV_ZS!$G$93)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1.1588287390880092</c:v>
                      </c:pt>
                      <c:pt idx="1">
                        <c:v>0.73762531432779133</c:v>
                      </c:pt>
                      <c:pt idx="2">
                        <c:v>0.81513518842958743</c:v>
                      </c:pt>
                      <c:pt idx="3">
                        <c:v>0.92487298963177034</c:v>
                      </c:pt>
                      <c:pt idx="4">
                        <c:v>1.0183266655651937</c:v>
                      </c:pt>
                      <c:pt idx="5">
                        <c:v>0.97493567126665548</c:v>
                      </c:pt>
                      <c:pt idx="6">
                        <c:v>1.0186110686823047</c:v>
                      </c:pt>
                      <c:pt idx="7">
                        <c:v>0.95266520685169265</c:v>
                      </c:pt>
                      <c:pt idx="8">
                        <c:v>0.92282430072926813</c:v>
                      </c:pt>
                      <c:pt idx="9">
                        <c:v>0.91002755755339559</c:v>
                      </c:pt>
                      <c:pt idx="10">
                        <c:v>0.9448326895448107</c:v>
                      </c:pt>
                      <c:pt idx="11">
                        <c:v>0.96642628110750506</c:v>
                      </c:pt>
                      <c:pt idx="12">
                        <c:v>1.0247908031928066</c:v>
                      </c:pt>
                      <c:pt idx="13">
                        <c:v>0.81166784360597344</c:v>
                      </c:pt>
                      <c:pt idx="14">
                        <c:v>0.69345806063328685</c:v>
                      </c:pt>
                      <c:pt idx="15">
                        <c:v>0.92273803747180416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(Analyses_CV_ZS!$H$63:$H$64,Analyses_CV_ZS!$H$67,Analyses_CV_ZS!$H$70:$H$71,Analyses_CV_ZS!$H$74:$H$75,Analyses_CV_ZS!$H$79:$H$83,Analyses_CV_ZS!$H$85:$H$86,Analyses_CV_ZS!$H$89,Analyses_CV_ZS!$H$93)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1.1715836498856869</c:v>
                      </c:pt>
                      <c:pt idx="1">
                        <c:v>0.71108904669598771</c:v>
                      </c:pt>
                      <c:pt idx="2">
                        <c:v>0.85431699296296071</c:v>
                      </c:pt>
                      <c:pt idx="3">
                        <c:v>0.95613427292617759</c:v>
                      </c:pt>
                      <c:pt idx="4">
                        <c:v>1.0524579082586092</c:v>
                      </c:pt>
                      <c:pt idx="5">
                        <c:v>0.97686315888204234</c:v>
                      </c:pt>
                      <c:pt idx="6">
                        <c:v>0.95553472165492148</c:v>
                      </c:pt>
                      <c:pt idx="7">
                        <c:v>0.94584987255695274</c:v>
                      </c:pt>
                      <c:pt idx="8">
                        <c:v>0.93442617260570782</c:v>
                      </c:pt>
                      <c:pt idx="9">
                        <c:v>0.9341900675717939</c:v>
                      </c:pt>
                      <c:pt idx="10">
                        <c:v>0.91631873728954627</c:v>
                      </c:pt>
                      <c:pt idx="11">
                        <c:v>0.9731137268529656</c:v>
                      </c:pt>
                      <c:pt idx="12">
                        <c:v>1.2443964470685147</c:v>
                      </c:pt>
                      <c:pt idx="13">
                        <c:v>0.75891571378703981</c:v>
                      </c:pt>
                      <c:pt idx="14">
                        <c:v>0.64188410191267609</c:v>
                      </c:pt>
                      <c:pt idx="15">
                        <c:v>0.96673193751346786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(Analyses_CV_ZS!$I$63:$I$64,Analyses_CV_ZS!$I$67,Analyses_CV_ZS!$I$70:$I$71,Analyses_CV_ZS!$I$74:$I$75,Analyses_CV_ZS!$I$79:$I$83,Analyses_CV_ZS!$I$85:$I$86,Analyses_CV_ZS!$I$89,Analyses_CV_ZS!$I$93)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1.0368196428718388</c:v>
                      </c:pt>
                      <c:pt idx="1">
                        <c:v>0.85019713717208323</c:v>
                      </c:pt>
                      <c:pt idx="2">
                        <c:v>0.86059120349281459</c:v>
                      </c:pt>
                      <c:pt idx="3">
                        <c:v>0.94417719221910013</c:v>
                      </c:pt>
                      <c:pt idx="4">
                        <c:v>1.1815020587159064</c:v>
                      </c:pt>
                      <c:pt idx="5">
                        <c:v>1.0640353407134104</c:v>
                      </c:pt>
                      <c:pt idx="6">
                        <c:v>0.872013460224905</c:v>
                      </c:pt>
                      <c:pt idx="7">
                        <c:v>0.92347779693726284</c:v>
                      </c:pt>
                      <c:pt idx="8">
                        <c:v>0.97322587527445692</c:v>
                      </c:pt>
                      <c:pt idx="9">
                        <c:v>0.88038633886803497</c:v>
                      </c:pt>
                      <c:pt idx="10">
                        <c:v>1.0032686904630068</c:v>
                      </c:pt>
                      <c:pt idx="11">
                        <c:v>1.0027553782652774</c:v>
                      </c:pt>
                      <c:pt idx="12">
                        <c:v>1.0220190814739871</c:v>
                      </c:pt>
                      <c:pt idx="13">
                        <c:v>0.78770716925598161</c:v>
                      </c:pt>
                      <c:pt idx="14">
                        <c:v>0.77360938080916142</c:v>
                      </c:pt>
                      <c:pt idx="15">
                        <c:v>0.90641040446665055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(Analyses_CV_ZS!$J$63:$J$64,Analyses_CV_ZS!$J$67,Analyses_CV_ZS!$J$70:$J$71,Analyses_CV_ZS!$J$74:$J$75,Analyses_CV_ZS!$J$79:$J$83,Analyses_CV_ZS!$J$85:$J$86,Analyses_CV_ZS!$J$89,Analyses_CV_ZS!$J$93)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1.0586575962072569</c:v>
                      </c:pt>
                      <c:pt idx="1">
                        <c:v>0.75483242537028894</c:v>
                      </c:pt>
                      <c:pt idx="2">
                        <c:v>0.75981969967659002</c:v>
                      </c:pt>
                      <c:pt idx="3">
                        <c:v>0.81437803900130801</c:v>
                      </c:pt>
                      <c:pt idx="4">
                        <c:v>1.0396002483398568</c:v>
                      </c:pt>
                      <c:pt idx="5">
                        <c:v>1.0057754731128457</c:v>
                      </c:pt>
                      <c:pt idx="6">
                        <c:v>0.83665133049886897</c:v>
                      </c:pt>
                      <c:pt idx="7">
                        <c:v>0.92051460811346286</c:v>
                      </c:pt>
                      <c:pt idx="8">
                        <c:v>0.94393590365196989</c:v>
                      </c:pt>
                      <c:pt idx="9">
                        <c:v>0.93742110088820763</c:v>
                      </c:pt>
                      <c:pt idx="10">
                        <c:v>0.87759608607869333</c:v>
                      </c:pt>
                      <c:pt idx="11">
                        <c:v>0.92431344708879382</c:v>
                      </c:pt>
                      <c:pt idx="12">
                        <c:v>0.9898244676630823</c:v>
                      </c:pt>
                      <c:pt idx="13">
                        <c:v>0.74519629540922194</c:v>
                      </c:pt>
                      <c:pt idx="14">
                        <c:v>0.73810417415262164</c:v>
                      </c:pt>
                      <c:pt idx="15">
                        <c:v>0.84563532605857894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(Analyses_CV_ZS!$K$63:$K$64,Analyses_CV_ZS!$K$67,Analyses_CV_ZS!$K$70:$K$71,Analyses_CV_ZS!$K$74:$K$75,Analyses_CV_ZS!$K$79:$K$83,Analyses_CV_ZS!$K$85:$K$86,Analyses_CV_ZS!$K$89,Analyses_CV_ZS!$K$93)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1.0995634969977892</c:v>
                      </c:pt>
                      <c:pt idx="1">
                        <c:v>0.74840567305321148</c:v>
                      </c:pt>
                      <c:pt idx="2">
                        <c:v>0.78069105307181819</c:v>
                      </c:pt>
                      <c:pt idx="3">
                        <c:v>0.92833045875188913</c:v>
                      </c:pt>
                      <c:pt idx="4">
                        <c:v>1.0756016961123636</c:v>
                      </c:pt>
                      <c:pt idx="5">
                        <c:v>1.0772790459417139</c:v>
                      </c:pt>
                      <c:pt idx="6">
                        <c:v>0.77130332631563758</c:v>
                      </c:pt>
                      <c:pt idx="7">
                        <c:v>0.904513388464943</c:v>
                      </c:pt>
                      <c:pt idx="8">
                        <c:v>0.9592465706364518</c:v>
                      </c:pt>
                      <c:pt idx="9">
                        <c:v>0.85903342303782249</c:v>
                      </c:pt>
                      <c:pt idx="10">
                        <c:v>0.81599186824324554</c:v>
                      </c:pt>
                      <c:pt idx="11">
                        <c:v>0.94654468564802763</c:v>
                      </c:pt>
                      <c:pt idx="12">
                        <c:v>0.99920567963447171</c:v>
                      </c:pt>
                      <c:pt idx="13">
                        <c:v>0.69582571237355328</c:v>
                      </c:pt>
                      <c:pt idx="14">
                        <c:v>0.75032412332709464</c:v>
                      </c:pt>
                      <c:pt idx="15">
                        <c:v>0.88940245341961555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(Analyses_CV_ZS!$L$63:$L$64,Analyses_CV_ZS!$L$67,Analyses_CV_ZS!$L$70:$L$71,Analyses_CV_ZS!$L$74:$L$75,Analyses_CV_ZS!$L$79:$L$83,Analyses_CV_ZS!$L$85:$L$86,Analyses_CV_ZS!$L$89,Analyses_CV_ZS!$L$93)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0.97549300105674153</c:v>
                      </c:pt>
                      <c:pt idx="1">
                        <c:v>0.69636971074397158</c:v>
                      </c:pt>
                      <c:pt idx="2">
                        <c:v>0.87339571477823064</c:v>
                      </c:pt>
                      <c:pt idx="3">
                        <c:v>0.90744158281783827</c:v>
                      </c:pt>
                      <c:pt idx="4">
                        <c:v>1.0725626128588404</c:v>
                      </c:pt>
                      <c:pt idx="5">
                        <c:v>1.0838076330260888</c:v>
                      </c:pt>
                      <c:pt idx="6">
                        <c:v>0.99983203619396022</c:v>
                      </c:pt>
                      <c:pt idx="7">
                        <c:v>0.93029313123200286</c:v>
                      </c:pt>
                      <c:pt idx="8">
                        <c:v>0.88944514475688841</c:v>
                      </c:pt>
                      <c:pt idx="9">
                        <c:v>0.86619788821769639</c:v>
                      </c:pt>
                      <c:pt idx="10">
                        <c:v>0.89730943578603661</c:v>
                      </c:pt>
                      <c:pt idx="11">
                        <c:v>0.94762913630945367</c:v>
                      </c:pt>
                      <c:pt idx="12">
                        <c:v>1.0108255899172156</c:v>
                      </c:pt>
                      <c:pt idx="13">
                        <c:v>0.82152263708863138</c:v>
                      </c:pt>
                      <c:pt idx="14">
                        <c:v>0.75888770975644981</c:v>
                      </c:pt>
                      <c:pt idx="15">
                        <c:v>0.89189695290651405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(Analyses_CV_ZS!$M$63:$M$64,Analyses_CV_ZS!$M$67,Analyses_CV_ZS!$M$70:$M$71,Analyses_CV_ZS!$M$74:$M$75,Analyses_CV_ZS!$M$79:$M$83,Analyses_CV_ZS!$M$85:$M$86,Analyses_CV_ZS!$M$89,Analyses_CV_ZS!$M$93)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0.90585634160073292</c:v>
                      </c:pt>
                      <c:pt idx="1">
                        <c:v>0.58773686512627554</c:v>
                      </c:pt>
                      <c:pt idx="2">
                        <c:v>0.78184345908750563</c:v>
                      </c:pt>
                      <c:pt idx="3">
                        <c:v>0.84117342468222855</c:v>
                      </c:pt>
                      <c:pt idx="4">
                        <c:v>0.9647920451762062</c:v>
                      </c:pt>
                      <c:pt idx="5">
                        <c:v>1.0167808056265062</c:v>
                      </c:pt>
                      <c:pt idx="6">
                        <c:v>0.86232105635995293</c:v>
                      </c:pt>
                      <c:pt idx="7">
                        <c:v>0.90377259125899301</c:v>
                      </c:pt>
                      <c:pt idx="8">
                        <c:v>0.81194083672985284</c:v>
                      </c:pt>
                      <c:pt idx="9">
                        <c:v>0.80199866101764983</c:v>
                      </c:pt>
                      <c:pt idx="10">
                        <c:v>0.71073666177010908</c:v>
                      </c:pt>
                      <c:pt idx="11">
                        <c:v>0.85689676430347506</c:v>
                      </c:pt>
                      <c:pt idx="12">
                        <c:v>0.91637384211436246</c:v>
                      </c:pt>
                      <c:pt idx="13">
                        <c:v>0.77466406023481671</c:v>
                      </c:pt>
                      <c:pt idx="14">
                        <c:v>0.71510757688727467</c:v>
                      </c:pt>
                      <c:pt idx="15">
                        <c:v>0.84767628018422314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(Analyses_CV_ZS!$N$63:$N$64,Analyses_CV_ZS!$N$67,Analyses_CV_ZS!$N$70:$N$71,Analyses_CV_ZS!$N$74:$N$75,Analyses_CV_ZS!$N$79:$N$83,Analyses_CV_ZS!$N$85:$N$86,Analyses_CV_ZS!$N$89,Analyses_CV_ZS!$N$93)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1.0706394821081056</c:v>
                      </c:pt>
                      <c:pt idx="1">
                        <c:v>0.54710320531507628</c:v>
                      </c:pt>
                      <c:pt idx="2">
                        <c:v>0.78927007563304696</c:v>
                      </c:pt>
                      <c:pt idx="3">
                        <c:v>0.86955348370987007</c:v>
                      </c:pt>
                      <c:pt idx="4">
                        <c:v>0.99424777517189367</c:v>
                      </c:pt>
                      <c:pt idx="5">
                        <c:v>1.0474340764131427</c:v>
                      </c:pt>
                      <c:pt idx="6">
                        <c:v>0.84702523151057552</c:v>
                      </c:pt>
                      <c:pt idx="7">
                        <c:v>0.91014344723016294</c:v>
                      </c:pt>
                      <c:pt idx="8">
                        <c:v>0.8152692425960445</c:v>
                      </c:pt>
                      <c:pt idx="9">
                        <c:v>0.80185818130824049</c:v>
                      </c:pt>
                      <c:pt idx="10">
                        <c:v>0.66145328750175081</c:v>
                      </c:pt>
                      <c:pt idx="11">
                        <c:v>0.87750132687056981</c:v>
                      </c:pt>
                      <c:pt idx="12">
                        <c:v>0.95080715423662154</c:v>
                      </c:pt>
                      <c:pt idx="13">
                        <c:v>0.72278147101729406</c:v>
                      </c:pt>
                      <c:pt idx="14">
                        <c:v>0.67450270640201759</c:v>
                      </c:pt>
                      <c:pt idx="15">
                        <c:v>0.88078509155578455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solidFill>
                      <a:srgbClr val="FF0000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(Analyses_CV_ZS!$O$63:$O$64,Analyses_CV_ZS!$O$67,Analyses_CV_ZS!$O$70:$O$71,Analyses_CV_ZS!$O$74:$O$75,Analyses_CV_ZS!$O$79:$O$83,Analyses_CV_ZS!$O$85:$O$86,Analyses_CV_ZS!$O$89,Analyses_CV_ZS!$O$93)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0.96808484579546394</c:v>
                      </c:pt>
                      <c:pt idx="1">
                        <c:v>0.75524705455203589</c:v>
                      </c:pt>
                      <c:pt idx="2">
                        <c:v>0.84676233130456513</c:v>
                      </c:pt>
                      <c:pt idx="3">
                        <c:v>0.91089905193795695</c:v>
                      </c:pt>
                      <c:pt idx="4">
                        <c:v>1.1160448809477121</c:v>
                      </c:pt>
                      <c:pt idx="5">
                        <c:v>1.0287809704577857</c:v>
                      </c:pt>
                      <c:pt idx="6">
                        <c:v>0.9753738608159952</c:v>
                      </c:pt>
                      <c:pt idx="7">
                        <c:v>0.93577503055603284</c:v>
                      </c:pt>
                      <c:pt idx="8">
                        <c:v>0.91369495892485664</c:v>
                      </c:pt>
                      <c:pt idx="9">
                        <c:v>0.82995412319009898</c:v>
                      </c:pt>
                      <c:pt idx="10">
                        <c:v>0.87442786916144177</c:v>
                      </c:pt>
                      <c:pt idx="11">
                        <c:v>1.0029361200421816</c:v>
                      </c:pt>
                      <c:pt idx="12">
                        <c:v>0.93780138309446792</c:v>
                      </c:pt>
                      <c:pt idx="13">
                        <c:v>0.87156952948095301</c:v>
                      </c:pt>
                      <c:pt idx="14">
                        <c:v>0.73088766873462574</c:v>
                      </c:pt>
                      <c:pt idx="15">
                        <c:v>0.84291405389105334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(Analyses_CV_ZS!$P$63:$P$64,Analyses_CV_ZS!$P$67,Analyses_CV_ZS!$P$70:$P$71,Analyses_CV_ZS!$P$74:$P$75,Analyses_CV_ZS!$P$79:$P$83,Analyses_CV_ZS!$P$85:$P$86,Analyses_CV_ZS!$P$89,Analyses_CV_ZS!$P$93)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0.91416635924164424</c:v>
                      </c:pt>
                      <c:pt idx="1">
                        <c:v>0.64226060252599704</c:v>
                      </c:pt>
                      <c:pt idx="2">
                        <c:v>0.83523827114769067</c:v>
                      </c:pt>
                      <c:pt idx="3">
                        <c:v>0.84852054656248088</c:v>
                      </c:pt>
                      <c:pt idx="4">
                        <c:v>0.99658553152075768</c:v>
                      </c:pt>
                      <c:pt idx="5">
                        <c:v>1.065838474289095</c:v>
                      </c:pt>
                      <c:pt idx="6">
                        <c:v>0.8158278065702611</c:v>
                      </c:pt>
                      <c:pt idx="7">
                        <c:v>0.94377564038029271</c:v>
                      </c:pt>
                      <c:pt idx="8">
                        <c:v>0.85644637802635915</c:v>
                      </c:pt>
                      <c:pt idx="9">
                        <c:v>0.77572895535811215</c:v>
                      </c:pt>
                      <c:pt idx="10">
                        <c:v>0.69876784230493638</c:v>
                      </c:pt>
                      <c:pt idx="11">
                        <c:v>0.95503954916253164</c:v>
                      </c:pt>
                      <c:pt idx="12">
                        <c:v>0.82437400198584976</c:v>
                      </c:pt>
                      <c:pt idx="13">
                        <c:v>0.7556307826261538</c:v>
                      </c:pt>
                      <c:pt idx="14">
                        <c:v>0.65198720949787037</c:v>
                      </c:pt>
                      <c:pt idx="15">
                        <c:v>0.79257051879182983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solidFill>
                      <a:srgbClr val="FF0000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(Analyses_CV_ZS!$Q$63:$Q$64,Analyses_CV_ZS!$Q$67,Analyses_CV_ZS!$Q$70:$Q$71,Analyses_CV_ZS!$Q$74:$Q$75,Analyses_CV_ZS!$Q$79:$Q$83,Analyses_CV_ZS!$Q$85:$Q$86,Analyses_CV_ZS!$Q$89,Analyses_CV_ZS!$Q$93)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0.85863740415276413</c:v>
                      </c:pt>
                      <c:pt idx="1">
                        <c:v>0.60204157189654472</c:v>
                      </c:pt>
                      <c:pt idx="2">
                        <c:v>0.7278084214630498</c:v>
                      </c:pt>
                      <c:pt idx="3">
                        <c:v>0.90700939917782342</c:v>
                      </c:pt>
                      <c:pt idx="4">
                        <c:v>0.98536430104621009</c:v>
                      </c:pt>
                      <c:pt idx="5">
                        <c:v>0.9628111523956735</c:v>
                      </c:pt>
                      <c:pt idx="6">
                        <c:v>0.75911209957925252</c:v>
                      </c:pt>
                      <c:pt idx="7">
                        <c:v>0.92495939134916283</c:v>
                      </c:pt>
                      <c:pt idx="8">
                        <c:v>0.82572994674693279</c:v>
                      </c:pt>
                      <c:pt idx="9">
                        <c:v>0.80199866101764983</c:v>
                      </c:pt>
                      <c:pt idx="10">
                        <c:v>0.66074923929791718</c:v>
                      </c:pt>
                      <c:pt idx="11">
                        <c:v>0.89015325125387357</c:v>
                      </c:pt>
                      <c:pt idx="12">
                        <c:v>0.79239259753793112</c:v>
                      </c:pt>
                      <c:pt idx="13">
                        <c:v>0.70123618722677716</c:v>
                      </c:pt>
                      <c:pt idx="14">
                        <c:v>0.59435138622614303</c:v>
                      </c:pt>
                      <c:pt idx="15">
                        <c:v>0.82930769305342533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(Analyses_CV_ZS!$R$63:$R$64,Analyses_CV_ZS!$R$67,Analyses_CV_ZS!$R$70:$R$71,Analyses_CV_ZS!$R$74:$R$75,Analyses_CV_ZS!$R$79:$R$83,Analyses_CV_ZS!$R$85:$R$86,Analyses_CV_ZS!$R$89,Analyses_CV_ZS!$R$93)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1.0573692213792085</c:v>
                      </c:pt>
                      <c:pt idx="1">
                        <c:v>0.83879483467404259</c:v>
                      </c:pt>
                      <c:pt idx="2">
                        <c:v>0.88440759448368844</c:v>
                      </c:pt>
                      <c:pt idx="3">
                        <c:v>0.96492200693981278</c:v>
                      </c:pt>
                      <c:pt idx="4">
                        <c:v>1.0957064007125947</c:v>
                      </c:pt>
                      <c:pt idx="5">
                        <c:v>1.0644705798523688</c:v>
                      </c:pt>
                      <c:pt idx="6">
                        <c:v>0.95349023021465817</c:v>
                      </c:pt>
                      <c:pt idx="7">
                        <c:v>0.94733146696885273</c:v>
                      </c:pt>
                      <c:pt idx="8">
                        <c:v>0.92215861955602985</c:v>
                      </c:pt>
                      <c:pt idx="9">
                        <c:v>0.92182785314377613</c:v>
                      </c:pt>
                      <c:pt idx="10">
                        <c:v>0.83922545896975731</c:v>
                      </c:pt>
                      <c:pt idx="11">
                        <c:v>0.98504268412865204</c:v>
                      </c:pt>
                      <c:pt idx="12">
                        <c:v>1.0291615951340223</c:v>
                      </c:pt>
                      <c:pt idx="13">
                        <c:v>0.74732183910155991</c:v>
                      </c:pt>
                      <c:pt idx="14">
                        <c:v>0.6851831344206516</c:v>
                      </c:pt>
                      <c:pt idx="15">
                        <c:v>0.97036030040350207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(Analyses_CV_ZS!$T$63:$T$64,Analyses_CV_ZS!$T$67,Analyses_CV_ZS!$T$70:$T$71,Analyses_CV_ZS!$T$74:$T$75,Analyses_CV_ZS!$T$79:$T$83,Analyses_CV_ZS!$T$85:$T$86,Analyses_CV_ZS!$T$89,Analyses_CV_ZS!$T$93)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0.91513264036268038</c:v>
                      </c:pt>
                      <c:pt idx="1">
                        <c:v>0.77908823250248449</c:v>
                      </c:pt>
                      <c:pt idx="2">
                        <c:v>0.79298338390581768</c:v>
                      </c:pt>
                      <c:pt idx="3">
                        <c:v>0.91522088833810544</c:v>
                      </c:pt>
                      <c:pt idx="4">
                        <c:v>0.97157153858791201</c:v>
                      </c:pt>
                      <c:pt idx="5">
                        <c:v>0.9993090630483219</c:v>
                      </c:pt>
                      <c:pt idx="6">
                        <c:v>0.84755528484693998</c:v>
                      </c:pt>
                      <c:pt idx="7">
                        <c:v>0.89532750311116305</c:v>
                      </c:pt>
                      <c:pt idx="8">
                        <c:v>0.92215861955602985</c:v>
                      </c:pt>
                      <c:pt idx="9">
                        <c:v>0.78415773792266974</c:v>
                      </c:pt>
                      <c:pt idx="10">
                        <c:v>0.74347490324837562</c:v>
                      </c:pt>
                      <c:pt idx="11">
                        <c:v>0.90605852762145556</c:v>
                      </c:pt>
                      <c:pt idx="12">
                        <c:v>0.99547451578221458</c:v>
                      </c:pt>
                      <c:pt idx="13">
                        <c:v>0.68249275648525132</c:v>
                      </c:pt>
                      <c:pt idx="14">
                        <c:v>0.66093567621618532</c:v>
                      </c:pt>
                      <c:pt idx="15">
                        <c:v>0.86513777659251234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solidFill>
                      <a:srgbClr val="37F204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(Analyses_CV_ZS!$U$63:$U$64,Analyses_CV_ZS!$U$67,Analyses_CV_ZS!$U$70:$U$71,Analyses_CV_ZS!$U$74:$U$75,Analyses_CV_ZS!$U$79:$U$83,Analyses_CV_ZS!$U$85:$U$86,Analyses_CV_ZS!$U$89,Analyses_CV_ZS!$U$93)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1.0900939420116345</c:v>
                      </c:pt>
                      <c:pt idx="1">
                        <c:v>0.74073503319089329</c:v>
                      </c:pt>
                      <c:pt idx="2">
                        <c:v>0.87838947417954294</c:v>
                      </c:pt>
                      <c:pt idx="3">
                        <c:v>0.93366072364540553</c:v>
                      </c:pt>
                      <c:pt idx="4">
                        <c:v>1.0421717803236072</c:v>
                      </c:pt>
                      <c:pt idx="5">
                        <c:v>1.1159531522891539</c:v>
                      </c:pt>
                      <c:pt idx="6">
                        <c:v>0.9663629540977976</c:v>
                      </c:pt>
                      <c:pt idx="7">
                        <c:v>1.0831936745400816</c:v>
                      </c:pt>
                      <c:pt idx="8">
                        <c:v>0.99100907233096691</c:v>
                      </c:pt>
                      <c:pt idx="9">
                        <c:v>0.94374268781162574</c:v>
                      </c:pt>
                      <c:pt idx="10">
                        <c:v>0.8751319173652754</c:v>
                      </c:pt>
                      <c:pt idx="11">
                        <c:v>0.94780987808635797</c:v>
                      </c:pt>
                      <c:pt idx="12">
                        <c:v>1.0543202999663848</c:v>
                      </c:pt>
                      <c:pt idx="13">
                        <c:v>0.83215035555032135</c:v>
                      </c:pt>
                      <c:pt idx="14">
                        <c:v>0.74031723581414033</c:v>
                      </c:pt>
                      <c:pt idx="15">
                        <c:v>0.96695871019409507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solidFill>
                      <a:srgbClr val="37F204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(Analyses_CV_ZS!$V$63:$V$64,Analyses_CV_ZS!$V$67,Analyses_CV_ZS!$V$70:$V$71,Analyses_CV_ZS!$V$74:$V$75,Analyses_CV_ZS!$V$79:$V$83,Analyses_CV_ZS!$V$85:$V$86,Analyses_CV_ZS!$V$89,Analyses_CV_ZS!$V$93)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0.95384830394553066</c:v>
                      </c:pt>
                      <c:pt idx="1">
                        <c:v>0.67999185806496787</c:v>
                      </c:pt>
                      <c:pt idx="2">
                        <c:v>0.83421391024485747</c:v>
                      </c:pt>
                      <c:pt idx="3">
                        <c:v>0.77850679688007585</c:v>
                      </c:pt>
                      <c:pt idx="4">
                        <c:v>0.51594282619430265</c:v>
                      </c:pt>
                      <c:pt idx="5">
                        <c:v>0.96660395060659599</c:v>
                      </c:pt>
                      <c:pt idx="6">
                        <c:v>0.78977947118320246</c:v>
                      </c:pt>
                      <c:pt idx="7">
                        <c:v>0.54196723587301587</c:v>
                      </c:pt>
                      <c:pt idx="8">
                        <c:v>0.81365258831817999</c:v>
                      </c:pt>
                      <c:pt idx="9">
                        <c:v>0.74805445260448156</c:v>
                      </c:pt>
                      <c:pt idx="10">
                        <c:v>0.72094536072569759</c:v>
                      </c:pt>
                      <c:pt idx="11">
                        <c:v>0.88726138282340417</c:v>
                      </c:pt>
                      <c:pt idx="12">
                        <c:v>0.99312921278936717</c:v>
                      </c:pt>
                      <c:pt idx="13">
                        <c:v>0.37767046787950842</c:v>
                      </c:pt>
                      <c:pt idx="14">
                        <c:v>0.55413139602984585</c:v>
                      </c:pt>
                      <c:pt idx="15">
                        <c:v>0.92727349108434676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(Analyses_CV_ZS!$W$63:$W$64,Analyses_CV_ZS!$W$67,Analyses_CV_ZS!$W$70:$W$71,Analyses_CV_ZS!$W$74:$W$75,Analyses_CV_ZS!$W$79:$W$83,Analyses_CV_ZS!$W$85:$W$86,Analyses_CV_ZS!$W$89,Analyses_CV_ZS!$W$93)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0.38596215131604822</c:v>
                      </c:pt>
                      <c:pt idx="1">
                        <c:v>0.24364802778347228</c:v>
                      </c:pt>
                      <c:pt idx="2">
                        <c:v>0.34443078985588194</c:v>
                      </c:pt>
                      <c:pt idx="3">
                        <c:v>0.47600093851078457</c:v>
                      </c:pt>
                      <c:pt idx="4">
                        <c:v>0.40039162094356173</c:v>
                      </c:pt>
                      <c:pt idx="5">
                        <c:v>0.438118556747637</c:v>
                      </c:pt>
                      <c:pt idx="6">
                        <c:v>0.47026748472742813</c:v>
                      </c:pt>
                      <c:pt idx="7">
                        <c:v>0.19248170842058995</c:v>
                      </c:pt>
                      <c:pt idx="8">
                        <c:v>0.24269427988251105</c:v>
                      </c:pt>
                      <c:pt idx="9">
                        <c:v>0.42911248115508588</c:v>
                      </c:pt>
                      <c:pt idx="10">
                        <c:v>0.27427693882774512</c:v>
                      </c:pt>
                      <c:pt idx="11">
                        <c:v>0.21068345966631274</c:v>
                      </c:pt>
                      <c:pt idx="12">
                        <c:v>0.2628535640872211</c:v>
                      </c:pt>
                      <c:pt idx="13">
                        <c:v>0.43741781029773741</c:v>
                      </c:pt>
                      <c:pt idx="14">
                        <c:v>0.37022837745944415</c:v>
                      </c:pt>
                      <c:pt idx="15">
                        <c:v>0.19390198057023009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6"/>
                      <c:pt idx="0">
                        <c:v> Beni</c:v>
                      </c:pt>
                      <c:pt idx="1">
                        <c:v> Biena</c:v>
                      </c:pt>
                      <c:pt idx="2">
                        <c:v> Butembo</c:v>
                      </c:pt>
                      <c:pt idx="3">
                        <c:v> Kalunguta</c:v>
                      </c:pt>
                      <c:pt idx="4">
                        <c:v> Kamango</c:v>
                      </c:pt>
                      <c:pt idx="5">
                        <c:v> Katwa</c:v>
                      </c:pt>
                      <c:pt idx="6">
                        <c:v> Kayna</c:v>
                      </c:pt>
                      <c:pt idx="7">
                        <c:v> Kyondo</c:v>
                      </c:pt>
                      <c:pt idx="8">
                        <c:v> Lubero</c:v>
                      </c:pt>
                      <c:pt idx="9">
                        <c:v> Mabalako</c:v>
                      </c:pt>
                      <c:pt idx="10">
                        <c:v> Manguredjipa</c:v>
                      </c:pt>
                      <c:pt idx="11">
                        <c:v> Masereka</c:v>
                      </c:pt>
                      <c:pt idx="12">
                        <c:v> Musienene</c:v>
                      </c:pt>
                      <c:pt idx="13">
                        <c:v> Mutwanga</c:v>
                      </c:pt>
                      <c:pt idx="14">
                        <c:v> Oicha</c:v>
                      </c:pt>
                      <c:pt idx="15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(Analyses_CV_ZS!$X$63:$X$64,Analyses_CV_ZS!$X$67,Analyses_CV_ZS!$X$70:$X$71,Analyses_CV_ZS!$X$74:$X$75,Analyses_CV_ZS!$X$79:$X$83,Analyses_CV_ZS!$X$85:$X$86,Analyses_CV_ZS!$X$89,Analyses_CV_ZS!$X$93)</c15:sqref>
                        </c15:formulaRef>
                      </c:ext>
                    </c:extLst>
                    <c:numCache>
                      <c:formatCode>0%</c:formatCode>
                      <c:ptCount val="16"/>
                      <c:pt idx="0">
                        <c:v>0.969823346579061</c:v>
                      </c:pt>
                      <c:pt idx="1">
                        <c:v>0.5005004401461528</c:v>
                      </c:pt>
                      <c:pt idx="2">
                        <c:v>0.48229248128700691</c:v>
                      </c:pt>
                      <c:pt idx="3">
                        <c:v>0.62922120364008116</c:v>
                      </c:pt>
                      <c:pt idx="4">
                        <c:v>0.69063985151039231</c:v>
                      </c:pt>
                      <c:pt idx="5">
                        <c:v>0.64985415939573354</c:v>
                      </c:pt>
                      <c:pt idx="6">
                        <c:v>0.68373113226245485</c:v>
                      </c:pt>
                      <c:pt idx="7">
                        <c:v>0.48294940406939157</c:v>
                      </c:pt>
                      <c:pt idx="8">
                        <c:v>0.61175553011068518</c:v>
                      </c:pt>
                      <c:pt idx="9">
                        <c:v>0.79461188669763549</c:v>
                      </c:pt>
                      <c:pt idx="10">
                        <c:v>0.5387253647299719</c:v>
                      </c:pt>
                      <c:pt idx="11">
                        <c:v>0.65128943744152068</c:v>
                      </c:pt>
                      <c:pt idx="12">
                        <c:v>0.88557281800227594</c:v>
                      </c:pt>
                      <c:pt idx="13">
                        <c:v>0.50409684054354786</c:v>
                      </c:pt>
                      <c:pt idx="14">
                        <c:v>0.62485483297747002</c:v>
                      </c:pt>
                      <c:pt idx="15">
                        <c:v>0.75503056924081435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BarSeries>
          </c:ext>
        </c:extLst>
      </c:barChart>
      <c:catAx>
        <c:axId val="-13845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602448"/>
        <c:crosses val="autoZero"/>
        <c:auto val="1"/>
        <c:lblAlgn val="ctr"/>
        <c:lblOffset val="100"/>
        <c:noMultiLvlLbl val="0"/>
      </c:catAx>
      <c:valAx>
        <c:axId val="-13846024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</a:t>
            </a:r>
            <a:r>
              <a:rPr lang="en-US" baseline="0"/>
              <a:t> BUT - </a:t>
            </a:r>
            <a:r>
              <a:rPr lang="en-US"/>
              <a:t>CV BCG_VPO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Analyses_CV_ZS!$D$60</c:f>
              <c:strCache>
                <c:ptCount val="1"/>
                <c:pt idx="0">
                  <c:v>BCG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(Analyses_CV_ZS!$C$61,Analyses_CV_ZS!$C$63:$C$64,Analyses_CV_ZS!$C$67,Analyses_CV_ZS!$C$70:$C$71,Analyses_CV_ZS!$C$74:$C$75,Analyses_CV_ZS!$C$79:$C$83,Analyses_CV_ZS!$C$85:$C$86,Analyses_CV_ZS!$C$89,Analyses_CV_ZS!$C$93:$C$94)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  <c:pt idx="17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Analyses_CV_ZS!$D$61:$D$94</c15:sqref>
                  </c15:fullRef>
                </c:ext>
              </c:extLst>
              <c:f>(Analyses_CV_ZS!$D$61,Analyses_CV_ZS!$D$63:$D$64,Analyses_CV_ZS!$D$67,Analyses_CV_ZS!$D$70:$D$71,Analyses_CV_ZS!$D$74:$D$75,Analyses_CV_ZS!$D$79:$D$83,Analyses_CV_ZS!$D$85:$D$86,Analyses_CV_ZS!$D$89,Analyses_CV_ZS!$D$93:$D$94)</c:f>
              <c:numCache>
                <c:formatCode>0%</c:formatCode>
                <c:ptCount val="18"/>
                <c:pt idx="0">
                  <c:v>0.70478474653269563</c:v>
                </c:pt>
                <c:pt idx="1">
                  <c:v>0.7954743450671371</c:v>
                </c:pt>
                <c:pt idx="2">
                  <c:v>0.51696070037502873</c:v>
                </c:pt>
                <c:pt idx="3">
                  <c:v>0.73109149815663044</c:v>
                </c:pt>
                <c:pt idx="4">
                  <c:v>0.89116626724094594</c:v>
                </c:pt>
                <c:pt idx="5">
                  <c:v>0.86421767597446308</c:v>
                </c:pt>
                <c:pt idx="6">
                  <c:v>0.90889528228701222</c:v>
                </c:pt>
                <c:pt idx="7">
                  <c:v>0.69205561991006037</c:v>
                </c:pt>
                <c:pt idx="8">
                  <c:v>0.79978799865560113</c:v>
                </c:pt>
                <c:pt idx="9">
                  <c:v>0.65548198669122648</c:v>
                </c:pt>
                <c:pt idx="10">
                  <c:v>0.62117739345729084</c:v>
                </c:pt>
                <c:pt idx="11">
                  <c:v>0.61796775019196315</c:v>
                </c:pt>
                <c:pt idx="12">
                  <c:v>0.79857862256752077</c:v>
                </c:pt>
                <c:pt idx="13">
                  <c:v>0.70131488790433372</c:v>
                </c:pt>
                <c:pt idx="14">
                  <c:v>0.62851940519944693</c:v>
                </c:pt>
                <c:pt idx="15">
                  <c:v>0.51941110461260342</c:v>
                </c:pt>
                <c:pt idx="16">
                  <c:v>0.87809896915375629</c:v>
                </c:pt>
                <c:pt idx="17">
                  <c:v>1.1683100427825044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"/>
        <c:overlap val="8"/>
        <c:axId val="-1384592656"/>
        <c:axId val="-138460027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(Analyses_CV_ZS!$F$61,Analyses_CV_ZS!$F$63:$F$64,Analyses_CV_ZS!$F$67,Analyses_CV_ZS!$F$70:$F$71,Analyses_CV_ZS!$F$74:$F$75,Analyses_CV_ZS!$F$79:$F$83,Analyses_CV_ZS!$F$85:$F$86,Analyses_CV_ZS!$F$89,Analyses_CV_ZS!$F$93:$F$94)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0.97132993602032613</c:v>
                      </c:pt>
                      <c:pt idx="1">
                        <c:v>1.1596661827262404</c:v>
                      </c:pt>
                      <c:pt idx="2">
                        <c:v>0.78489304104694146</c:v>
                      </c:pt>
                      <c:pt idx="3">
                        <c:v>0.89388293283489639</c:v>
                      </c:pt>
                      <c:pt idx="4">
                        <c:v>0.99964075935433871</c:v>
                      </c:pt>
                      <c:pt idx="5">
                        <c:v>1.156020514513288</c:v>
                      </c:pt>
                      <c:pt idx="6">
                        <c:v>1.0326981227084107</c:v>
                      </c:pt>
                      <c:pt idx="7">
                        <c:v>1.0950144710239971</c:v>
                      </c:pt>
                      <c:pt idx="8">
                        <c:v>0.95681367120501259</c:v>
                      </c:pt>
                      <c:pt idx="9">
                        <c:v>0.95886618139460122</c:v>
                      </c:pt>
                      <c:pt idx="10">
                        <c:v>0.9864485194720507</c:v>
                      </c:pt>
                      <c:pt idx="11">
                        <c:v>1.1067637764265592</c:v>
                      </c:pt>
                      <c:pt idx="12">
                        <c:v>1.0305896119085456</c:v>
                      </c:pt>
                      <c:pt idx="13">
                        <c:v>1.0821441218360741</c:v>
                      </c:pt>
                      <c:pt idx="14">
                        <c:v>0.82084632773197841</c:v>
                      </c:pt>
                      <c:pt idx="15">
                        <c:v>0.71077767363647704</c:v>
                      </c:pt>
                      <c:pt idx="16">
                        <c:v>0.97330834525165477</c:v>
                      </c:pt>
                      <c:pt idx="17">
                        <c:v>1.1640409793562176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(Analyses_CV_ZS!$G$61,Analyses_CV_ZS!$G$63:$G$64,Analyses_CV_ZS!$G$67,Analyses_CV_ZS!$G$70:$G$71,Analyses_CV_ZS!$G$74:$G$75,Analyses_CV_ZS!$G$79:$G$83,Analyses_CV_ZS!$G$85:$G$86,Analyses_CV_ZS!$G$89,Analyses_CV_ZS!$G$93:$G$94)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0.88346575237889902</c:v>
                      </c:pt>
                      <c:pt idx="1">
                        <c:v>1.1588287390880092</c:v>
                      </c:pt>
                      <c:pt idx="2">
                        <c:v>0.73762531432779133</c:v>
                      </c:pt>
                      <c:pt idx="3">
                        <c:v>0.81513518842958743</c:v>
                      </c:pt>
                      <c:pt idx="4">
                        <c:v>0.92487298963177034</c:v>
                      </c:pt>
                      <c:pt idx="5">
                        <c:v>1.0183266655651937</c:v>
                      </c:pt>
                      <c:pt idx="6">
                        <c:v>0.97493567126665548</c:v>
                      </c:pt>
                      <c:pt idx="7">
                        <c:v>1.0186110686823047</c:v>
                      </c:pt>
                      <c:pt idx="8">
                        <c:v>0.95266520685169265</c:v>
                      </c:pt>
                      <c:pt idx="9">
                        <c:v>0.92282430072926813</c:v>
                      </c:pt>
                      <c:pt idx="10">
                        <c:v>0.91002755755339559</c:v>
                      </c:pt>
                      <c:pt idx="11">
                        <c:v>0.9448326895448107</c:v>
                      </c:pt>
                      <c:pt idx="12">
                        <c:v>0.96642628110750506</c:v>
                      </c:pt>
                      <c:pt idx="13">
                        <c:v>1.0247908031928066</c:v>
                      </c:pt>
                      <c:pt idx="14">
                        <c:v>0.81166784360597344</c:v>
                      </c:pt>
                      <c:pt idx="15">
                        <c:v>0.69345806063328685</c:v>
                      </c:pt>
                      <c:pt idx="16">
                        <c:v>0.92273803747180416</c:v>
                      </c:pt>
                      <c:pt idx="17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(Analyses_CV_ZS!$H$61,Analyses_CV_ZS!$H$63:$H$64,Analyses_CV_ZS!$H$67,Analyses_CV_ZS!$H$70:$H$71,Analyses_CV_ZS!$H$74:$H$75,Analyses_CV_ZS!$H$79:$H$83,Analyses_CV_ZS!$H$85:$H$86,Analyses_CV_ZS!$H$89,Analyses_CV_ZS!$H$93:$H$94)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0.90253170595337862</c:v>
                      </c:pt>
                      <c:pt idx="1">
                        <c:v>1.1715836498856869</c:v>
                      </c:pt>
                      <c:pt idx="2">
                        <c:v>0.71108904669598771</c:v>
                      </c:pt>
                      <c:pt idx="3">
                        <c:v>0.85431699296296071</c:v>
                      </c:pt>
                      <c:pt idx="4">
                        <c:v>0.95613427292617759</c:v>
                      </c:pt>
                      <c:pt idx="5">
                        <c:v>1.0524579082586092</c:v>
                      </c:pt>
                      <c:pt idx="6">
                        <c:v>0.97686315888204234</c:v>
                      </c:pt>
                      <c:pt idx="7">
                        <c:v>0.95553472165492148</c:v>
                      </c:pt>
                      <c:pt idx="8">
                        <c:v>0.94584987255695274</c:v>
                      </c:pt>
                      <c:pt idx="9">
                        <c:v>0.93442617260570782</c:v>
                      </c:pt>
                      <c:pt idx="10">
                        <c:v>0.9341900675717939</c:v>
                      </c:pt>
                      <c:pt idx="11">
                        <c:v>0.91631873728954627</c:v>
                      </c:pt>
                      <c:pt idx="12">
                        <c:v>0.9731137268529656</c:v>
                      </c:pt>
                      <c:pt idx="13">
                        <c:v>1.2443964470685147</c:v>
                      </c:pt>
                      <c:pt idx="14">
                        <c:v>0.75891571378703981</c:v>
                      </c:pt>
                      <c:pt idx="15">
                        <c:v>0.64188410191267609</c:v>
                      </c:pt>
                      <c:pt idx="16">
                        <c:v>0.96673193751346786</c:v>
                      </c:pt>
                      <c:pt idx="17">
                        <c:v>1.1285104174417646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(Analyses_CV_ZS!$I$61,Analyses_CV_ZS!$I$63:$I$64,Analyses_CV_ZS!$I$67,Analyses_CV_ZS!$I$70:$I$71,Analyses_CV_ZS!$I$74:$I$75,Analyses_CV_ZS!$I$79:$I$83,Analyses_CV_ZS!$I$85:$I$86,Analyses_CV_ZS!$I$89,Analyses_CV_ZS!$I$93:$I$94)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0.96179695923308628</c:v>
                      </c:pt>
                      <c:pt idx="1">
                        <c:v>1.0368196428718388</c:v>
                      </c:pt>
                      <c:pt idx="2">
                        <c:v>0.85019713717208323</c:v>
                      </c:pt>
                      <c:pt idx="3">
                        <c:v>0.86059120349281459</c:v>
                      </c:pt>
                      <c:pt idx="4">
                        <c:v>0.94417719221910013</c:v>
                      </c:pt>
                      <c:pt idx="5">
                        <c:v>1.1815020587159064</c:v>
                      </c:pt>
                      <c:pt idx="6">
                        <c:v>1.0640353407134104</c:v>
                      </c:pt>
                      <c:pt idx="7">
                        <c:v>0.872013460224905</c:v>
                      </c:pt>
                      <c:pt idx="8">
                        <c:v>0.92347779693726284</c:v>
                      </c:pt>
                      <c:pt idx="9">
                        <c:v>0.97322587527445692</c:v>
                      </c:pt>
                      <c:pt idx="10">
                        <c:v>0.88038633886803497</c:v>
                      </c:pt>
                      <c:pt idx="11">
                        <c:v>1.0032686904630068</c:v>
                      </c:pt>
                      <c:pt idx="12">
                        <c:v>1.0027553782652774</c:v>
                      </c:pt>
                      <c:pt idx="13">
                        <c:v>1.0220190814739871</c:v>
                      </c:pt>
                      <c:pt idx="14">
                        <c:v>0.78770716925598161</c:v>
                      </c:pt>
                      <c:pt idx="15">
                        <c:v>0.77360938080916142</c:v>
                      </c:pt>
                      <c:pt idx="16">
                        <c:v>0.90641040446665055</c:v>
                      </c:pt>
                      <c:pt idx="17">
                        <c:v>1.164373040682521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(Analyses_CV_ZS!$J$61,Analyses_CV_ZS!$J$63:$J$64,Analyses_CV_ZS!$J$67,Analyses_CV_ZS!$J$70:$J$71,Analyses_CV_ZS!$J$74:$J$75,Analyses_CV_ZS!$J$79:$J$83,Analyses_CV_ZS!$J$85:$J$86,Analyses_CV_ZS!$J$89,Analyses_CV_ZS!$J$93:$J$94)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0.88622227578725743</c:v>
                      </c:pt>
                      <c:pt idx="1">
                        <c:v>1.0586575962072569</c:v>
                      </c:pt>
                      <c:pt idx="2">
                        <c:v>0.75483242537028894</c:v>
                      </c:pt>
                      <c:pt idx="3">
                        <c:v>0.75981969967659002</c:v>
                      </c:pt>
                      <c:pt idx="4">
                        <c:v>0.81437803900130801</c:v>
                      </c:pt>
                      <c:pt idx="5">
                        <c:v>1.0396002483398568</c:v>
                      </c:pt>
                      <c:pt idx="6">
                        <c:v>1.0057754731128457</c:v>
                      </c:pt>
                      <c:pt idx="7">
                        <c:v>0.83665133049886897</c:v>
                      </c:pt>
                      <c:pt idx="8">
                        <c:v>0.92051460811346286</c:v>
                      </c:pt>
                      <c:pt idx="9">
                        <c:v>0.94393590365196989</c:v>
                      </c:pt>
                      <c:pt idx="10">
                        <c:v>0.93742110088820763</c:v>
                      </c:pt>
                      <c:pt idx="11">
                        <c:v>0.87759608607869333</c:v>
                      </c:pt>
                      <c:pt idx="12">
                        <c:v>0.92431344708879382</c:v>
                      </c:pt>
                      <c:pt idx="13">
                        <c:v>0.9898244676630823</c:v>
                      </c:pt>
                      <c:pt idx="14">
                        <c:v>0.74519629540922194</c:v>
                      </c:pt>
                      <c:pt idx="15">
                        <c:v>0.73810417415262164</c:v>
                      </c:pt>
                      <c:pt idx="16">
                        <c:v>0.84563532605857894</c:v>
                      </c:pt>
                      <c:pt idx="17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(Analyses_CV_ZS!$K$61,Analyses_CV_ZS!$K$63:$K$64,Analyses_CV_ZS!$K$67,Analyses_CV_ZS!$K$70:$K$71,Analyses_CV_ZS!$K$74:$K$75,Analyses_CV_ZS!$K$79:$K$83,Analyses_CV_ZS!$K$85:$K$86,Analyses_CV_ZS!$K$89,Analyses_CV_ZS!$K$93:$K$94)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0.87680415414203261</c:v>
                      </c:pt>
                      <c:pt idx="1">
                        <c:v>1.0995634969977892</c:v>
                      </c:pt>
                      <c:pt idx="2">
                        <c:v>0.74840567305321148</c:v>
                      </c:pt>
                      <c:pt idx="3">
                        <c:v>0.78069105307181819</c:v>
                      </c:pt>
                      <c:pt idx="4">
                        <c:v>0.92833045875188913</c:v>
                      </c:pt>
                      <c:pt idx="5">
                        <c:v>1.0756016961123636</c:v>
                      </c:pt>
                      <c:pt idx="6">
                        <c:v>1.0772790459417139</c:v>
                      </c:pt>
                      <c:pt idx="7">
                        <c:v>0.77130332631563758</c:v>
                      </c:pt>
                      <c:pt idx="8">
                        <c:v>0.904513388464943</c:v>
                      </c:pt>
                      <c:pt idx="9">
                        <c:v>0.9592465706364518</c:v>
                      </c:pt>
                      <c:pt idx="10">
                        <c:v>0.85903342303782249</c:v>
                      </c:pt>
                      <c:pt idx="11">
                        <c:v>0.81599186824324554</c:v>
                      </c:pt>
                      <c:pt idx="12">
                        <c:v>0.94654468564802763</c:v>
                      </c:pt>
                      <c:pt idx="13">
                        <c:v>0.99920567963447171</c:v>
                      </c:pt>
                      <c:pt idx="14">
                        <c:v>0.69582571237355328</c:v>
                      </c:pt>
                      <c:pt idx="15">
                        <c:v>0.75032412332709464</c:v>
                      </c:pt>
                      <c:pt idx="16">
                        <c:v>0.88940245341961555</c:v>
                      </c:pt>
                      <c:pt idx="17">
                        <c:v>1.1326611840205558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(Analyses_CV_ZS!$L$61,Analyses_CV_ZS!$L$63:$L$64,Analyses_CV_ZS!$L$67,Analyses_CV_ZS!$L$70:$L$71,Analyses_CV_ZS!$L$74:$L$75,Analyses_CV_ZS!$L$79:$L$83,Analyses_CV_ZS!$L$85:$L$86,Analyses_CV_ZS!$L$89,Analyses_CV_ZS!$L$93:$L$94)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0.91849657069345492</c:v>
                      </c:pt>
                      <c:pt idx="1">
                        <c:v>0.97549300105674153</c:v>
                      </c:pt>
                      <c:pt idx="2">
                        <c:v>0.69636971074397158</c:v>
                      </c:pt>
                      <c:pt idx="3">
                        <c:v>0.87339571477823064</c:v>
                      </c:pt>
                      <c:pt idx="4">
                        <c:v>0.90744158281783827</c:v>
                      </c:pt>
                      <c:pt idx="5">
                        <c:v>1.0725626128588404</c:v>
                      </c:pt>
                      <c:pt idx="6">
                        <c:v>1.0838076330260888</c:v>
                      </c:pt>
                      <c:pt idx="7">
                        <c:v>0.99983203619396022</c:v>
                      </c:pt>
                      <c:pt idx="8">
                        <c:v>0.93029313123200286</c:v>
                      </c:pt>
                      <c:pt idx="9">
                        <c:v>0.88944514475688841</c:v>
                      </c:pt>
                      <c:pt idx="10">
                        <c:v>0.86619788821769639</c:v>
                      </c:pt>
                      <c:pt idx="11">
                        <c:v>0.89730943578603661</c:v>
                      </c:pt>
                      <c:pt idx="12">
                        <c:v>0.94762913630945367</c:v>
                      </c:pt>
                      <c:pt idx="13">
                        <c:v>1.0108255899172156</c:v>
                      </c:pt>
                      <c:pt idx="14">
                        <c:v>0.82152263708863138</c:v>
                      </c:pt>
                      <c:pt idx="15">
                        <c:v>0.75888770975644981</c:v>
                      </c:pt>
                      <c:pt idx="16">
                        <c:v>0.89189695290651405</c:v>
                      </c:pt>
                      <c:pt idx="17">
                        <c:v>1.1632108260404594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(Analyses_CV_ZS!$M$61,Analyses_CV_ZS!$M$63:$M$64,Analyses_CV_ZS!$M$67,Analyses_CV_ZS!$M$70:$M$71,Analyses_CV_ZS!$M$74:$M$75,Analyses_CV_ZS!$M$79:$M$83,Analyses_CV_ZS!$M$85:$M$86,Analyses_CV_ZS!$M$89,Analyses_CV_ZS!$M$93:$M$94)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0.84188819096949163</c:v>
                      </c:pt>
                      <c:pt idx="1">
                        <c:v>0.90585634160073292</c:v>
                      </c:pt>
                      <c:pt idx="2">
                        <c:v>0.58773686512627554</c:v>
                      </c:pt>
                      <c:pt idx="3">
                        <c:v>0.78184345908750563</c:v>
                      </c:pt>
                      <c:pt idx="4">
                        <c:v>0.84117342468222855</c:v>
                      </c:pt>
                      <c:pt idx="5">
                        <c:v>0.9647920451762062</c:v>
                      </c:pt>
                      <c:pt idx="6">
                        <c:v>1.0167808056265062</c:v>
                      </c:pt>
                      <c:pt idx="7">
                        <c:v>0.86232105635995293</c:v>
                      </c:pt>
                      <c:pt idx="8">
                        <c:v>0.90377259125899301</c:v>
                      </c:pt>
                      <c:pt idx="9">
                        <c:v>0.81194083672985284</c:v>
                      </c:pt>
                      <c:pt idx="10">
                        <c:v>0.80199866101764983</c:v>
                      </c:pt>
                      <c:pt idx="11">
                        <c:v>0.71073666177010908</c:v>
                      </c:pt>
                      <c:pt idx="12">
                        <c:v>0.85689676430347506</c:v>
                      </c:pt>
                      <c:pt idx="13">
                        <c:v>0.91637384211436246</c:v>
                      </c:pt>
                      <c:pt idx="14">
                        <c:v>0.77466406023481671</c:v>
                      </c:pt>
                      <c:pt idx="15">
                        <c:v>0.71510757688727467</c:v>
                      </c:pt>
                      <c:pt idx="16">
                        <c:v>0.84767628018422314</c:v>
                      </c:pt>
                      <c:pt idx="17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(Analyses_CV_ZS!$N$61,Analyses_CV_ZS!$N$63:$N$64,Analyses_CV_ZS!$N$67,Analyses_CV_ZS!$N$70:$N$71,Analyses_CV_ZS!$N$74:$N$75,Analyses_CV_ZS!$N$79:$N$83,Analyses_CV_ZS!$N$85:$N$86,Analyses_CV_ZS!$N$89,Analyses_CV_ZS!$N$93:$N$94)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0.83235521418225178</c:v>
                      </c:pt>
                      <c:pt idx="1">
                        <c:v>1.0706394821081056</c:v>
                      </c:pt>
                      <c:pt idx="2">
                        <c:v>0.54710320531507628</c:v>
                      </c:pt>
                      <c:pt idx="3">
                        <c:v>0.78927007563304696</c:v>
                      </c:pt>
                      <c:pt idx="4">
                        <c:v>0.86955348370987007</c:v>
                      </c:pt>
                      <c:pt idx="5">
                        <c:v>0.99424777517189367</c:v>
                      </c:pt>
                      <c:pt idx="6">
                        <c:v>1.0474340764131427</c:v>
                      </c:pt>
                      <c:pt idx="7">
                        <c:v>0.84702523151057552</c:v>
                      </c:pt>
                      <c:pt idx="8">
                        <c:v>0.91014344723016294</c:v>
                      </c:pt>
                      <c:pt idx="9">
                        <c:v>0.8152692425960445</c:v>
                      </c:pt>
                      <c:pt idx="10">
                        <c:v>0.80185818130824049</c:v>
                      </c:pt>
                      <c:pt idx="11">
                        <c:v>0.66145328750175081</c:v>
                      </c:pt>
                      <c:pt idx="12">
                        <c:v>0.87750132687056981</c:v>
                      </c:pt>
                      <c:pt idx="13">
                        <c:v>0.95080715423662154</c:v>
                      </c:pt>
                      <c:pt idx="14">
                        <c:v>0.72278147101729406</c:v>
                      </c:pt>
                      <c:pt idx="15">
                        <c:v>0.67450270640201759</c:v>
                      </c:pt>
                      <c:pt idx="16">
                        <c:v>0.88078509155578455</c:v>
                      </c:pt>
                      <c:pt idx="17">
                        <c:v>1.12402758953667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Analyses_CV_ZS!$E$60</c:f>
              <c:strCache>
                <c:ptCount val="1"/>
                <c:pt idx="0">
                  <c:v>VPO 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(Analyses_CV_ZS!$C$61,Analyses_CV_ZS!$C$63:$C$64,Analyses_CV_ZS!$C$67,Analyses_CV_ZS!$C$70:$C$71,Analyses_CV_ZS!$C$74:$C$75,Analyses_CV_ZS!$C$79:$C$83,Analyses_CV_ZS!$C$85:$C$86,Analyses_CV_ZS!$C$89,Analyses_CV_ZS!$C$93:$C$94)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  <c:pt idx="17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Analyses_CV_ZS!$E$61:$E$94</c15:sqref>
                  </c15:fullRef>
                </c:ext>
              </c:extLst>
              <c:f>(Analyses_CV_ZS!$E$61,Analyses_CV_ZS!$E$63:$E$64,Analyses_CV_ZS!$E$67,Analyses_CV_ZS!$E$70:$E$71,Analyses_CV_ZS!$E$74:$E$75,Analyses_CV_ZS!$E$79:$E$83,Analyses_CV_ZS!$E$85:$E$86,Analyses_CV_ZS!$E$89,Analyses_CV_ZS!$E$93:$E$94)</c:f>
              <c:numCache>
                <c:formatCode>0%</c:formatCode>
                <c:ptCount val="18"/>
                <c:pt idx="0">
                  <c:v>0.74299791369463042</c:v>
                </c:pt>
                <c:pt idx="1">
                  <c:v>0.46613401278786115</c:v>
                </c:pt>
                <c:pt idx="2">
                  <c:v>0.32506927848959438</c:v>
                </c:pt>
                <c:pt idx="3">
                  <c:v>0.180799699350075</c:v>
                </c:pt>
                <c:pt idx="4">
                  <c:v>0.73298345346517879</c:v>
                </c:pt>
                <c:pt idx="5">
                  <c:v>0.95590857105052274</c:v>
                </c:pt>
                <c:pt idx="6">
                  <c:v>0.69128410670552776</c:v>
                </c:pt>
                <c:pt idx="7">
                  <c:v>0.73798568802986486</c:v>
                </c:pt>
                <c:pt idx="8">
                  <c:v>0.43203293051003666</c:v>
                </c:pt>
                <c:pt idx="9">
                  <c:v>0.506773567455304</c:v>
                </c:pt>
                <c:pt idx="10">
                  <c:v>0.44911363098150753</c:v>
                </c:pt>
                <c:pt idx="11">
                  <c:v>0.35448827063026245</c:v>
                </c:pt>
                <c:pt idx="12">
                  <c:v>0.437214358331598</c:v>
                </c:pt>
                <c:pt idx="13">
                  <c:v>0.5054127949586078</c:v>
                </c:pt>
                <c:pt idx="14">
                  <c:v>0.38791172385168232</c:v>
                </c:pt>
                <c:pt idx="15">
                  <c:v>0.13874934417000134</c:v>
                </c:pt>
                <c:pt idx="16">
                  <c:v>0.7231780785199271</c:v>
                </c:pt>
                <c:pt idx="17">
                  <c:v>1.1422909624833515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2656"/>
        <c:axId val="-138460027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(Analyses_CV_ZS!$O$61,Analyses_CV_ZS!$O$63:$O$64,Analyses_CV_ZS!$O$67,Analyses_CV_ZS!$O$70:$O$71,Analyses_CV_ZS!$O$74:$O$75,Analyses_CV_ZS!$O$79:$O$83,Analyses_CV_ZS!$O$85:$O$86,Analyses_CV_ZS!$O$89,Analyses_CV_ZS!$O$93:$O$94)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0.96420891721540003</c:v>
                      </c:pt>
                      <c:pt idx="1">
                        <c:v>0.96808484579546394</c:v>
                      </c:pt>
                      <c:pt idx="2">
                        <c:v>0.75524705455203589</c:v>
                      </c:pt>
                      <c:pt idx="3">
                        <c:v>0.84676233130456513</c:v>
                      </c:pt>
                      <c:pt idx="4">
                        <c:v>0.91089905193795695</c:v>
                      </c:pt>
                      <c:pt idx="5">
                        <c:v>1.1160448809477121</c:v>
                      </c:pt>
                      <c:pt idx="6">
                        <c:v>1.0287809704577857</c:v>
                      </c:pt>
                      <c:pt idx="7">
                        <c:v>0.9753738608159952</c:v>
                      </c:pt>
                      <c:pt idx="8">
                        <c:v>0.93577503055603284</c:v>
                      </c:pt>
                      <c:pt idx="9">
                        <c:v>0.91369495892485664</c:v>
                      </c:pt>
                      <c:pt idx="10">
                        <c:v>0.82995412319009898</c:v>
                      </c:pt>
                      <c:pt idx="11">
                        <c:v>0.87442786916144177</c:v>
                      </c:pt>
                      <c:pt idx="12">
                        <c:v>1.0029361200421816</c:v>
                      </c:pt>
                      <c:pt idx="13">
                        <c:v>0.93780138309446792</c:v>
                      </c:pt>
                      <c:pt idx="14">
                        <c:v>0.87156952948095301</c:v>
                      </c:pt>
                      <c:pt idx="15">
                        <c:v>0.73088766873462574</c:v>
                      </c:pt>
                      <c:pt idx="16">
                        <c:v>0.84291405389105334</c:v>
                      </c:pt>
                      <c:pt idx="17">
                        <c:v>1.1361478279467405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(Analyses_CV_ZS!$P$61,Analyses_CV_ZS!$P$63:$P$64,Analyses_CV_ZS!$P$67,Analyses_CV_ZS!$P$70:$P$71,Analyses_CV_ZS!$P$74:$P$75,Analyses_CV_ZS!$P$79:$P$83,Analyses_CV_ZS!$P$85:$P$86,Analyses_CV_ZS!$P$89,Analyses_CV_ZS!$P$93:$P$94)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0.87002770076315128</c:v>
                      </c:pt>
                      <c:pt idx="1">
                        <c:v>0.91416635924164424</c:v>
                      </c:pt>
                      <c:pt idx="2">
                        <c:v>0.64226060252599704</c:v>
                      </c:pt>
                      <c:pt idx="3">
                        <c:v>0.83523827114769067</c:v>
                      </c:pt>
                      <c:pt idx="4">
                        <c:v>0.84852054656248088</c:v>
                      </c:pt>
                      <c:pt idx="5">
                        <c:v>0.99658553152075768</c:v>
                      </c:pt>
                      <c:pt idx="6">
                        <c:v>1.065838474289095</c:v>
                      </c:pt>
                      <c:pt idx="7">
                        <c:v>0.8158278065702611</c:v>
                      </c:pt>
                      <c:pt idx="8">
                        <c:v>0.94377564038029271</c:v>
                      </c:pt>
                      <c:pt idx="9">
                        <c:v>0.85644637802635915</c:v>
                      </c:pt>
                      <c:pt idx="10">
                        <c:v>0.77572895535811215</c:v>
                      </c:pt>
                      <c:pt idx="11">
                        <c:v>0.69876784230493638</c:v>
                      </c:pt>
                      <c:pt idx="12">
                        <c:v>0.95503954916253164</c:v>
                      </c:pt>
                      <c:pt idx="13">
                        <c:v>0.82437400198584976</c:v>
                      </c:pt>
                      <c:pt idx="14">
                        <c:v>0.7556307826261538</c:v>
                      </c:pt>
                      <c:pt idx="15">
                        <c:v>0.65198720949787037</c:v>
                      </c:pt>
                      <c:pt idx="16">
                        <c:v>0.79257051879182983</c:v>
                      </c:pt>
                      <c:pt idx="17">
                        <c:v>1.0747164825806301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(Analyses_CV_ZS!$Q$61,Analyses_CV_ZS!$Q$63:$Q$64,Analyses_CV_ZS!$Q$67,Analyses_CV_ZS!$Q$70:$Q$71,Analyses_CV_ZS!$Q$74:$Q$75,Analyses_CV_ZS!$Q$79:$Q$83,Analyses_CV_ZS!$Q$85:$Q$86,Analyses_CV_ZS!$Q$89,Analyses_CV_ZS!$Q$93:$Q$94)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0.87795270556218197</c:v>
                      </c:pt>
                      <c:pt idx="1">
                        <c:v>0.85863740415276413</c:v>
                      </c:pt>
                      <c:pt idx="2">
                        <c:v>0.60204157189654472</c:v>
                      </c:pt>
                      <c:pt idx="3">
                        <c:v>0.7278084214630498</c:v>
                      </c:pt>
                      <c:pt idx="4">
                        <c:v>0.90700939917782342</c:v>
                      </c:pt>
                      <c:pt idx="5">
                        <c:v>0.98536430104621009</c:v>
                      </c:pt>
                      <c:pt idx="6">
                        <c:v>0.9628111523956735</c:v>
                      </c:pt>
                      <c:pt idx="7">
                        <c:v>0.75911209957925252</c:v>
                      </c:pt>
                      <c:pt idx="8">
                        <c:v>0.92495939134916283</c:v>
                      </c:pt>
                      <c:pt idx="9">
                        <c:v>0.82572994674693279</c:v>
                      </c:pt>
                      <c:pt idx="10">
                        <c:v>0.80199866101764983</c:v>
                      </c:pt>
                      <c:pt idx="11">
                        <c:v>0.66074923929791718</c:v>
                      </c:pt>
                      <c:pt idx="12">
                        <c:v>0.89015325125387357</c:v>
                      </c:pt>
                      <c:pt idx="13">
                        <c:v>0.79239259753793112</c:v>
                      </c:pt>
                      <c:pt idx="14">
                        <c:v>0.70123618722677716</c:v>
                      </c:pt>
                      <c:pt idx="15">
                        <c:v>0.59435138622614303</c:v>
                      </c:pt>
                      <c:pt idx="16">
                        <c:v>0.82930769305342533</c:v>
                      </c:pt>
                      <c:pt idx="17">
                        <c:v>1.1132355964318128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(Analyses_CV_ZS!$R$61,Analyses_CV_ZS!$R$63:$R$64,Analyses_CV_ZS!$R$67,Analyses_CV_ZS!$R$70:$R$71,Analyses_CV_ZS!$R$74:$R$75,Analyses_CV_ZS!$R$79:$R$83,Analyses_CV_ZS!$R$85:$R$86,Analyses_CV_ZS!$R$89,Analyses_CV_ZS!$R$93:$R$94)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1.0450669371939161</c:v>
                      </c:pt>
                      <c:pt idx="1">
                        <c:v>1.0573692213792085</c:v>
                      </c:pt>
                      <c:pt idx="2">
                        <c:v>0.83879483467404259</c:v>
                      </c:pt>
                      <c:pt idx="3">
                        <c:v>0.88440759448368844</c:v>
                      </c:pt>
                      <c:pt idx="4">
                        <c:v>0.96492200693981278</c:v>
                      </c:pt>
                      <c:pt idx="5">
                        <c:v>1.0957064007125947</c:v>
                      </c:pt>
                      <c:pt idx="6">
                        <c:v>1.0644705798523688</c:v>
                      </c:pt>
                      <c:pt idx="7">
                        <c:v>0.95349023021465817</c:v>
                      </c:pt>
                      <c:pt idx="8">
                        <c:v>0.94733146696885273</c:v>
                      </c:pt>
                      <c:pt idx="9">
                        <c:v>0.92215861955602985</c:v>
                      </c:pt>
                      <c:pt idx="10">
                        <c:v>0.92182785314377613</c:v>
                      </c:pt>
                      <c:pt idx="11">
                        <c:v>0.83922545896975731</c:v>
                      </c:pt>
                      <c:pt idx="12">
                        <c:v>0.98504268412865204</c:v>
                      </c:pt>
                      <c:pt idx="13">
                        <c:v>1.0291615951340223</c:v>
                      </c:pt>
                      <c:pt idx="14">
                        <c:v>0.74732183910155991</c:v>
                      </c:pt>
                      <c:pt idx="15">
                        <c:v>0.6851831344206516</c:v>
                      </c:pt>
                      <c:pt idx="16">
                        <c:v>0.97036030040350207</c:v>
                      </c:pt>
                      <c:pt idx="17">
                        <c:v>1.0097984932883348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(Analyses_CV_ZS!$S$61,Analyses_CV_ZS!$S$63:$S$64,Analyses_CV_ZS!$S$67,Analyses_CV_ZS!$S$70:$S$71,Analyses_CV_ZS!$S$74:$S$75,Analyses_CV_ZS!$S$79:$S$83,Analyses_CV_ZS!$S$85:$S$86,Analyses_CV_ZS!$S$89,Analyses_CV_ZS!$S$93:$S$94)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0.38510929117608533</c:v>
                      </c:pt>
                      <c:pt idx="1">
                        <c:v>0.43431115453506908</c:v>
                      </c:pt>
                      <c:pt idx="2">
                        <c:v>0.26785045140851782</c:v>
                      </c:pt>
                      <c:pt idx="3">
                        <c:v>0.13585586473826458</c:v>
                      </c:pt>
                      <c:pt idx="4">
                        <c:v>0.53000120387153937</c:v>
                      </c:pt>
                      <c:pt idx="5">
                        <c:v>0.25084125623311587</c:v>
                      </c:pt>
                      <c:pt idx="6">
                        <c:v>0.28775524787130624</c:v>
                      </c:pt>
                      <c:pt idx="7">
                        <c:v>0.22974026036144163</c:v>
                      </c:pt>
                      <c:pt idx="8">
                        <c:v>0.22075756737309829</c:v>
                      </c:pt>
                      <c:pt idx="9">
                        <c:v>0.45047595966143272</c:v>
                      </c:pt>
                      <c:pt idx="10">
                        <c:v>0.25426827403081909</c:v>
                      </c:pt>
                      <c:pt idx="11">
                        <c:v>0.3115413301964074</c:v>
                      </c:pt>
                      <c:pt idx="12">
                        <c:v>0.31828626912854241</c:v>
                      </c:pt>
                      <c:pt idx="13">
                        <c:v>0.82863818924557231</c:v>
                      </c:pt>
                      <c:pt idx="14">
                        <c:v>9.2557766239081365E-2</c:v>
                      </c:pt>
                      <c:pt idx="15">
                        <c:v>0.19272880469661074</c:v>
                      </c:pt>
                      <c:pt idx="16">
                        <c:v>0.3583008353908701</c:v>
                      </c:pt>
                      <c:pt idx="17">
                        <c:v>0.68255205621643289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(Analyses_CV_ZS!$T$61,Analyses_CV_ZS!$T$63:$T$64,Analyses_CV_ZS!$T$67,Analyses_CV_ZS!$T$70:$T$71,Analyses_CV_ZS!$T$74:$T$75,Analyses_CV_ZS!$T$79:$T$83,Analyses_CV_ZS!$T$85:$T$86,Analyses_CV_ZS!$T$89,Analyses_CV_ZS!$T$93:$T$94)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0.97810638939920747</c:v>
                      </c:pt>
                      <c:pt idx="1">
                        <c:v>0.91513264036268038</c:v>
                      </c:pt>
                      <c:pt idx="2">
                        <c:v>0.77908823250248449</c:v>
                      </c:pt>
                      <c:pt idx="3">
                        <c:v>0.79298338390581768</c:v>
                      </c:pt>
                      <c:pt idx="4">
                        <c:v>0.91522088833810544</c:v>
                      </c:pt>
                      <c:pt idx="5">
                        <c:v>0.97157153858791201</c:v>
                      </c:pt>
                      <c:pt idx="6">
                        <c:v>0.9993090630483219</c:v>
                      </c:pt>
                      <c:pt idx="7">
                        <c:v>0.84755528484693998</c:v>
                      </c:pt>
                      <c:pt idx="8">
                        <c:v>0.89532750311116305</c:v>
                      </c:pt>
                      <c:pt idx="9">
                        <c:v>0.92215861955602985</c:v>
                      </c:pt>
                      <c:pt idx="10">
                        <c:v>0.78415773792266974</c:v>
                      </c:pt>
                      <c:pt idx="11">
                        <c:v>0.74347490324837562</c:v>
                      </c:pt>
                      <c:pt idx="12">
                        <c:v>0.90605852762145556</c:v>
                      </c:pt>
                      <c:pt idx="13">
                        <c:v>0.99547451578221458</c:v>
                      </c:pt>
                      <c:pt idx="14">
                        <c:v>0.68249275648525132</c:v>
                      </c:pt>
                      <c:pt idx="15">
                        <c:v>0.66093567621618532</c:v>
                      </c:pt>
                      <c:pt idx="16">
                        <c:v>0.86513777659251234</c:v>
                      </c:pt>
                      <c:pt idx="17">
                        <c:v>1.0076400946673634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(Analyses_CV_ZS!$U$61,Analyses_CV_ZS!$U$63:$U$64,Analyses_CV_ZS!$U$67,Analyses_CV_ZS!$U$70:$U$71,Analyses_CV_ZS!$U$74:$U$75,Analyses_CV_ZS!$U$79:$U$83,Analyses_CV_ZS!$U$85:$U$86,Analyses_CV_ZS!$U$89,Analyses_CV_ZS!$U$93:$U$94)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0.92389476236815693</c:v>
                      </c:pt>
                      <c:pt idx="1">
                        <c:v>1.0900939420116345</c:v>
                      </c:pt>
                      <c:pt idx="2">
                        <c:v>0.74073503319089329</c:v>
                      </c:pt>
                      <c:pt idx="3">
                        <c:v>0.87838947417954294</c:v>
                      </c:pt>
                      <c:pt idx="4">
                        <c:v>0.93366072364540553</c:v>
                      </c:pt>
                      <c:pt idx="5">
                        <c:v>1.0421717803236072</c:v>
                      </c:pt>
                      <c:pt idx="6">
                        <c:v>1.1159531522891539</c:v>
                      </c:pt>
                      <c:pt idx="7">
                        <c:v>0.9663629540977976</c:v>
                      </c:pt>
                      <c:pt idx="8">
                        <c:v>1.0831936745400816</c:v>
                      </c:pt>
                      <c:pt idx="9">
                        <c:v>0.99100907233096691</c:v>
                      </c:pt>
                      <c:pt idx="10">
                        <c:v>0.94374268781162574</c:v>
                      </c:pt>
                      <c:pt idx="11">
                        <c:v>0.8751319173652754</c:v>
                      </c:pt>
                      <c:pt idx="12">
                        <c:v>0.94780987808635797</c:v>
                      </c:pt>
                      <c:pt idx="13">
                        <c:v>1.0543202999663848</c:v>
                      </c:pt>
                      <c:pt idx="14">
                        <c:v>0.83215035555032135</c:v>
                      </c:pt>
                      <c:pt idx="15">
                        <c:v>0.74031723581414033</c:v>
                      </c:pt>
                      <c:pt idx="16">
                        <c:v>0.96695871019409507</c:v>
                      </c:pt>
                      <c:pt idx="17">
                        <c:v>1.1942585600498179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(Analyses_CV_ZS!$V$61,Analyses_CV_ZS!$V$63:$V$64,Analyses_CV_ZS!$V$67,Analyses_CV_ZS!$V$70:$V$71,Analyses_CV_ZS!$V$74:$V$75,Analyses_CV_ZS!$V$79:$V$83,Analyses_CV_ZS!$V$85:$V$86,Analyses_CV_ZS!$V$89,Analyses_CV_ZS!$V$93:$V$94)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0.68074642672253438</c:v>
                      </c:pt>
                      <c:pt idx="1">
                        <c:v>0.95384830394553066</c:v>
                      </c:pt>
                      <c:pt idx="2">
                        <c:v>0.67999185806496787</c:v>
                      </c:pt>
                      <c:pt idx="3">
                        <c:v>0.83421391024485747</c:v>
                      </c:pt>
                      <c:pt idx="4">
                        <c:v>0.77850679688007585</c:v>
                      </c:pt>
                      <c:pt idx="5">
                        <c:v>0.51594282619430265</c:v>
                      </c:pt>
                      <c:pt idx="6">
                        <c:v>0.96660395060659599</c:v>
                      </c:pt>
                      <c:pt idx="7">
                        <c:v>0.78977947118320246</c:v>
                      </c:pt>
                      <c:pt idx="8">
                        <c:v>0.54196723587301587</c:v>
                      </c:pt>
                      <c:pt idx="9">
                        <c:v>0.81365258831817999</c:v>
                      </c:pt>
                      <c:pt idx="10">
                        <c:v>0.74805445260448156</c:v>
                      </c:pt>
                      <c:pt idx="11">
                        <c:v>0.72094536072569759</c:v>
                      </c:pt>
                      <c:pt idx="12">
                        <c:v>0.88726138282340417</c:v>
                      </c:pt>
                      <c:pt idx="13">
                        <c:v>0.99312921278936717</c:v>
                      </c:pt>
                      <c:pt idx="14">
                        <c:v>0.37767046787950842</c:v>
                      </c:pt>
                      <c:pt idx="15">
                        <c:v>0.55413139602984585</c:v>
                      </c:pt>
                      <c:pt idx="16">
                        <c:v>0.92727349108434676</c:v>
                      </c:pt>
                      <c:pt idx="17">
                        <c:v>0.76291089718183147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(Analyses_CV_ZS!$W$61,Analyses_CV_ZS!$W$63:$W$64,Analyses_CV_ZS!$W$67,Analyses_CV_ZS!$W$70:$W$71,Analyses_CV_ZS!$W$74:$W$75,Analyses_CV_ZS!$W$79:$W$83,Analyses_CV_ZS!$W$85:$W$86,Analyses_CV_ZS!$W$89,Analyses_CV_ZS!$W$93:$W$94)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0.44644050132278673</c:v>
                      </c:pt>
                      <c:pt idx="1">
                        <c:v>0.38596215131604822</c:v>
                      </c:pt>
                      <c:pt idx="2">
                        <c:v>0.24364802778347228</c:v>
                      </c:pt>
                      <c:pt idx="3">
                        <c:v>0.34443078985588194</c:v>
                      </c:pt>
                      <c:pt idx="4">
                        <c:v>0.47600093851078457</c:v>
                      </c:pt>
                      <c:pt idx="5">
                        <c:v>0.40039162094356173</c:v>
                      </c:pt>
                      <c:pt idx="6">
                        <c:v>0.438118556747637</c:v>
                      </c:pt>
                      <c:pt idx="7">
                        <c:v>0.47026748472742813</c:v>
                      </c:pt>
                      <c:pt idx="8">
                        <c:v>0.19248170842058995</c:v>
                      </c:pt>
                      <c:pt idx="9">
                        <c:v>0.24269427988251105</c:v>
                      </c:pt>
                      <c:pt idx="10">
                        <c:v>0.42911248115508588</c:v>
                      </c:pt>
                      <c:pt idx="11">
                        <c:v>0.27427693882774512</c:v>
                      </c:pt>
                      <c:pt idx="12">
                        <c:v>0.21068345966631274</c:v>
                      </c:pt>
                      <c:pt idx="13">
                        <c:v>0.2628535640872211</c:v>
                      </c:pt>
                      <c:pt idx="14">
                        <c:v>0.43741781029773741</c:v>
                      </c:pt>
                      <c:pt idx="15">
                        <c:v>0.37022837745944415</c:v>
                      </c:pt>
                      <c:pt idx="16">
                        <c:v>0.19390198057023009</c:v>
                      </c:pt>
                      <c:pt idx="17">
                        <c:v>0.42154770297546035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(Analyses_CV_ZS!$C$61,Analyses_CV_ZS!$C$63:$C$64,Analyses_CV_ZS!$C$67,Analyses_CV_ZS!$C$70:$C$71,Analyses_CV_ZS!$C$74:$C$75,Analyses_CV_ZS!$C$79:$C$83,Analyses_CV_ZS!$C$85:$C$86,Analyses_CV_ZS!$C$89,Analyses_CV_ZS!$C$93:$C$94)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  <c:pt idx="17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(Analyses_CV_ZS!$X$61,Analyses_CV_ZS!$X$63:$X$64,Analyses_CV_ZS!$X$67,Analyses_CV_ZS!$X$70:$X$71,Analyses_CV_ZS!$X$74:$X$75,Analyses_CV_ZS!$X$79:$X$83,Analyses_CV_ZS!$X$85:$X$86,Analyses_CV_ZS!$X$89,Analyses_CV_ZS!$X$93:$X$94)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0.83676278025707496</c:v>
                      </c:pt>
                      <c:pt idx="1">
                        <c:v>0.969823346579061</c:v>
                      </c:pt>
                      <c:pt idx="2">
                        <c:v>0.5005004401461528</c:v>
                      </c:pt>
                      <c:pt idx="3">
                        <c:v>0.48229248128700691</c:v>
                      </c:pt>
                      <c:pt idx="4">
                        <c:v>0.62922120364008116</c:v>
                      </c:pt>
                      <c:pt idx="5">
                        <c:v>0.69063985151039231</c:v>
                      </c:pt>
                      <c:pt idx="6">
                        <c:v>0.64985415939573354</c:v>
                      </c:pt>
                      <c:pt idx="7">
                        <c:v>0.68373113226245485</c:v>
                      </c:pt>
                      <c:pt idx="8">
                        <c:v>0.48294940406939157</c:v>
                      </c:pt>
                      <c:pt idx="9">
                        <c:v>0.61175553011068518</c:v>
                      </c:pt>
                      <c:pt idx="10">
                        <c:v>0.79461188669763549</c:v>
                      </c:pt>
                      <c:pt idx="11">
                        <c:v>0.5387253647299719</c:v>
                      </c:pt>
                      <c:pt idx="12">
                        <c:v>0.65128943744152068</c:v>
                      </c:pt>
                      <c:pt idx="13">
                        <c:v>0.88557281800227594</c:v>
                      </c:pt>
                      <c:pt idx="14">
                        <c:v>0.50409684054354786</c:v>
                      </c:pt>
                      <c:pt idx="15">
                        <c:v>0.62485483297747002</c:v>
                      </c:pt>
                      <c:pt idx="16">
                        <c:v>0.75503056924081435</c:v>
                      </c:pt>
                      <c:pt idx="17">
                        <c:v>0.96448955546756532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9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600272"/>
        <c:crosses val="autoZero"/>
        <c:auto val="1"/>
        <c:lblAlgn val="ctr"/>
        <c:lblOffset val="100"/>
        <c:noMultiLvlLbl val="0"/>
      </c:catAx>
      <c:valAx>
        <c:axId val="-138460027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BUT - CV VPO1_Penta 1_PCV-13 1_Rota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Analyses_CV_ZS!$F$60</c:f>
              <c:strCache>
                <c:ptCount val="1"/>
                <c:pt idx="0">
                  <c:v>VPO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Analyses_CV_ZS!$F$61:$F$94</c15:sqref>
                  </c15:fullRef>
                </c:ext>
              </c:extLst>
              <c:f>(Analyses_CV_ZS!$F$61,Analyses_CV_ZS!$F$63:$F$64,Analyses_CV_ZS!$F$67,Analyses_CV_ZS!$F$70:$F$71,Analyses_CV_ZS!$F$74:$F$75,Analyses_CV_ZS!$F$79:$F$83,Analyses_CV_ZS!$F$85:$F$86,Analyses_CV_ZS!$F$89,Analyses_CV_ZS!$F$93)</c:f>
              <c:numCache>
                <c:formatCode>0%</c:formatCode>
                <c:ptCount val="17"/>
                <c:pt idx="0">
                  <c:v>0.97132993602032613</c:v>
                </c:pt>
                <c:pt idx="1">
                  <c:v>1.1596661827262404</c:v>
                </c:pt>
                <c:pt idx="2">
                  <c:v>0.78489304104694146</c:v>
                </c:pt>
                <c:pt idx="3">
                  <c:v>0.89388293283489639</c:v>
                </c:pt>
                <c:pt idx="4">
                  <c:v>0.99964075935433871</c:v>
                </c:pt>
                <c:pt idx="5">
                  <c:v>1.156020514513288</c:v>
                </c:pt>
                <c:pt idx="6">
                  <c:v>1.0326981227084107</c:v>
                </c:pt>
                <c:pt idx="7">
                  <c:v>1.0950144710239971</c:v>
                </c:pt>
                <c:pt idx="8">
                  <c:v>0.95681367120501259</c:v>
                </c:pt>
                <c:pt idx="9">
                  <c:v>0.95886618139460122</c:v>
                </c:pt>
                <c:pt idx="10">
                  <c:v>0.9864485194720507</c:v>
                </c:pt>
                <c:pt idx="11">
                  <c:v>1.1067637764265592</c:v>
                </c:pt>
                <c:pt idx="12">
                  <c:v>1.0305896119085456</c:v>
                </c:pt>
                <c:pt idx="13">
                  <c:v>1.0821441218360741</c:v>
                </c:pt>
                <c:pt idx="14">
                  <c:v>0.82084632773197841</c:v>
                </c:pt>
                <c:pt idx="15">
                  <c:v>0.71077767363647704</c:v>
                </c:pt>
                <c:pt idx="16">
                  <c:v>0.97330834525165477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2-4B66-44F6-8968-A6990199EF46}"/>
            </c:ext>
          </c:extLst>
        </c:ser>
        <c:ser>
          <c:idx val="5"/>
          <c:order val="5"/>
          <c:tx>
            <c:strRef>
              <c:f>Analyses_CV_ZS!$I$60</c:f>
              <c:strCache>
                <c:ptCount val="1"/>
                <c:pt idx="0">
                  <c:v>Penta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Analyses_CV_ZS!$I$61:$I$94</c15:sqref>
                  </c15:fullRef>
                </c:ext>
              </c:extLst>
              <c:f>(Analyses_CV_ZS!$I$61,Analyses_CV_ZS!$I$63:$I$64,Analyses_CV_ZS!$I$67,Analyses_CV_ZS!$I$70:$I$71,Analyses_CV_ZS!$I$74:$I$75,Analyses_CV_ZS!$I$79:$I$83,Analyses_CV_ZS!$I$85:$I$86,Analyses_CV_ZS!$I$89,Analyses_CV_ZS!$I$93)</c:f>
              <c:numCache>
                <c:formatCode>0%</c:formatCode>
                <c:ptCount val="17"/>
                <c:pt idx="0">
                  <c:v>0.96179695923308628</c:v>
                </c:pt>
                <c:pt idx="1">
                  <c:v>1.0368196428718388</c:v>
                </c:pt>
                <c:pt idx="2">
                  <c:v>0.85019713717208323</c:v>
                </c:pt>
                <c:pt idx="3">
                  <c:v>0.86059120349281459</c:v>
                </c:pt>
                <c:pt idx="4">
                  <c:v>0.94417719221910013</c:v>
                </c:pt>
                <c:pt idx="5">
                  <c:v>1.1815020587159064</c:v>
                </c:pt>
                <c:pt idx="6">
                  <c:v>1.0640353407134104</c:v>
                </c:pt>
                <c:pt idx="7">
                  <c:v>0.872013460224905</c:v>
                </c:pt>
                <c:pt idx="8">
                  <c:v>0.92347779693726284</c:v>
                </c:pt>
                <c:pt idx="9">
                  <c:v>0.97322587527445692</c:v>
                </c:pt>
                <c:pt idx="10">
                  <c:v>0.88038633886803497</c:v>
                </c:pt>
                <c:pt idx="11">
                  <c:v>1.0032686904630068</c:v>
                </c:pt>
                <c:pt idx="12">
                  <c:v>1.0027553782652774</c:v>
                </c:pt>
                <c:pt idx="13">
                  <c:v>1.0220190814739871</c:v>
                </c:pt>
                <c:pt idx="14">
                  <c:v>0.78770716925598161</c:v>
                </c:pt>
                <c:pt idx="15">
                  <c:v>0.77360938080916142</c:v>
                </c:pt>
                <c:pt idx="16">
                  <c:v>0.90641040446665055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5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3"/>
        <c:overlap val="8"/>
        <c:axId val="-1384591568"/>
        <c:axId val="-138459483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(Analyses_CV_ZS!$D$61,Analyses_CV_ZS!$D$63:$D$64,Analyses_CV_ZS!$D$67,Analyses_CV_ZS!$D$70:$D$71,Analyses_CV_ZS!$D$74:$D$75,Analyses_CV_ZS!$D$79:$D$83,Analyses_CV_ZS!$D$85:$D$86,Analyses_CV_ZS!$D$89,Analyses_CV_ZS!$D$93)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0.70478474653269563</c:v>
                      </c:pt>
                      <c:pt idx="1">
                        <c:v>0.7954743450671371</c:v>
                      </c:pt>
                      <c:pt idx="2">
                        <c:v>0.51696070037502873</c:v>
                      </c:pt>
                      <c:pt idx="3">
                        <c:v>0.73109149815663044</c:v>
                      </c:pt>
                      <c:pt idx="4">
                        <c:v>0.89116626724094594</c:v>
                      </c:pt>
                      <c:pt idx="5">
                        <c:v>0.86421767597446308</c:v>
                      </c:pt>
                      <c:pt idx="6">
                        <c:v>0.90889528228701222</c:v>
                      </c:pt>
                      <c:pt idx="7">
                        <c:v>0.69205561991006037</c:v>
                      </c:pt>
                      <c:pt idx="8">
                        <c:v>0.79978799865560113</c:v>
                      </c:pt>
                      <c:pt idx="9">
                        <c:v>0.65548198669122648</c:v>
                      </c:pt>
                      <c:pt idx="10">
                        <c:v>0.62117739345729084</c:v>
                      </c:pt>
                      <c:pt idx="11">
                        <c:v>0.61796775019196315</c:v>
                      </c:pt>
                      <c:pt idx="12">
                        <c:v>0.79857862256752077</c:v>
                      </c:pt>
                      <c:pt idx="13">
                        <c:v>0.70131488790433372</c:v>
                      </c:pt>
                      <c:pt idx="14">
                        <c:v>0.62851940519944693</c:v>
                      </c:pt>
                      <c:pt idx="15">
                        <c:v>0.51941110461260342</c:v>
                      </c:pt>
                      <c:pt idx="16">
                        <c:v>0.87809896915375629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(Analyses_CV_ZS!$E$61,Analyses_CV_ZS!$E$63:$E$64,Analyses_CV_ZS!$E$67,Analyses_CV_ZS!$E$70:$E$71,Analyses_CV_ZS!$E$74:$E$75,Analyses_CV_ZS!$E$79:$E$83,Analyses_CV_ZS!$E$85:$E$86,Analyses_CV_ZS!$E$89,Analyses_CV_ZS!$E$93)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0.74299791369463042</c:v>
                      </c:pt>
                      <c:pt idx="1">
                        <c:v>0.46613401278786115</c:v>
                      </c:pt>
                      <c:pt idx="2">
                        <c:v>0.32506927848959438</c:v>
                      </c:pt>
                      <c:pt idx="3">
                        <c:v>0.180799699350075</c:v>
                      </c:pt>
                      <c:pt idx="4">
                        <c:v>0.73298345346517879</c:v>
                      </c:pt>
                      <c:pt idx="5">
                        <c:v>0.95590857105052274</c:v>
                      </c:pt>
                      <c:pt idx="6">
                        <c:v>0.69128410670552776</c:v>
                      </c:pt>
                      <c:pt idx="7">
                        <c:v>0.73798568802986486</c:v>
                      </c:pt>
                      <c:pt idx="8">
                        <c:v>0.43203293051003666</c:v>
                      </c:pt>
                      <c:pt idx="9">
                        <c:v>0.506773567455304</c:v>
                      </c:pt>
                      <c:pt idx="10">
                        <c:v>0.44911363098150753</c:v>
                      </c:pt>
                      <c:pt idx="11">
                        <c:v>0.35448827063026245</c:v>
                      </c:pt>
                      <c:pt idx="12">
                        <c:v>0.437214358331598</c:v>
                      </c:pt>
                      <c:pt idx="13">
                        <c:v>0.5054127949586078</c:v>
                      </c:pt>
                      <c:pt idx="14">
                        <c:v>0.38791172385168232</c:v>
                      </c:pt>
                      <c:pt idx="15">
                        <c:v>0.13874934417000134</c:v>
                      </c:pt>
                      <c:pt idx="16">
                        <c:v>0.7231780785199271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(Analyses_CV_ZS!$G$61,Analyses_CV_ZS!$G$63:$G$64,Analyses_CV_ZS!$G$67,Analyses_CV_ZS!$G$70:$G$71,Analyses_CV_ZS!$G$74:$G$75,Analyses_CV_ZS!$G$79:$G$83,Analyses_CV_ZS!$G$85:$G$86,Analyses_CV_ZS!$G$89,Analyses_CV_ZS!$G$93)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0.88346575237889902</c:v>
                      </c:pt>
                      <c:pt idx="1">
                        <c:v>1.1588287390880092</c:v>
                      </c:pt>
                      <c:pt idx="2">
                        <c:v>0.73762531432779133</c:v>
                      </c:pt>
                      <c:pt idx="3">
                        <c:v>0.81513518842958743</c:v>
                      </c:pt>
                      <c:pt idx="4">
                        <c:v>0.92487298963177034</c:v>
                      </c:pt>
                      <c:pt idx="5">
                        <c:v>1.0183266655651937</c:v>
                      </c:pt>
                      <c:pt idx="6">
                        <c:v>0.97493567126665548</c:v>
                      </c:pt>
                      <c:pt idx="7">
                        <c:v>1.0186110686823047</c:v>
                      </c:pt>
                      <c:pt idx="8">
                        <c:v>0.95266520685169265</c:v>
                      </c:pt>
                      <c:pt idx="9">
                        <c:v>0.92282430072926813</c:v>
                      </c:pt>
                      <c:pt idx="10">
                        <c:v>0.91002755755339559</c:v>
                      </c:pt>
                      <c:pt idx="11">
                        <c:v>0.9448326895448107</c:v>
                      </c:pt>
                      <c:pt idx="12">
                        <c:v>0.96642628110750506</c:v>
                      </c:pt>
                      <c:pt idx="13">
                        <c:v>1.0247908031928066</c:v>
                      </c:pt>
                      <c:pt idx="14">
                        <c:v>0.81166784360597344</c:v>
                      </c:pt>
                      <c:pt idx="15">
                        <c:v>0.69345806063328685</c:v>
                      </c:pt>
                      <c:pt idx="16">
                        <c:v>0.92273803747180416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(Analyses_CV_ZS!$H$61,Analyses_CV_ZS!$H$63:$H$64,Analyses_CV_ZS!$H$67,Analyses_CV_ZS!$H$70:$H$71,Analyses_CV_ZS!$H$74:$H$75,Analyses_CV_ZS!$H$79:$H$83,Analyses_CV_ZS!$H$85:$H$86,Analyses_CV_ZS!$H$89,Analyses_CV_ZS!$H$93)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0.90253170595337862</c:v>
                      </c:pt>
                      <c:pt idx="1">
                        <c:v>1.1715836498856869</c:v>
                      </c:pt>
                      <c:pt idx="2">
                        <c:v>0.71108904669598771</c:v>
                      </c:pt>
                      <c:pt idx="3">
                        <c:v>0.85431699296296071</c:v>
                      </c:pt>
                      <c:pt idx="4">
                        <c:v>0.95613427292617759</c:v>
                      </c:pt>
                      <c:pt idx="5">
                        <c:v>1.0524579082586092</c:v>
                      </c:pt>
                      <c:pt idx="6">
                        <c:v>0.97686315888204234</c:v>
                      </c:pt>
                      <c:pt idx="7">
                        <c:v>0.95553472165492148</c:v>
                      </c:pt>
                      <c:pt idx="8">
                        <c:v>0.94584987255695274</c:v>
                      </c:pt>
                      <c:pt idx="9">
                        <c:v>0.93442617260570782</c:v>
                      </c:pt>
                      <c:pt idx="10">
                        <c:v>0.9341900675717939</c:v>
                      </c:pt>
                      <c:pt idx="11">
                        <c:v>0.91631873728954627</c:v>
                      </c:pt>
                      <c:pt idx="12">
                        <c:v>0.9731137268529656</c:v>
                      </c:pt>
                      <c:pt idx="13">
                        <c:v>1.2443964470685147</c:v>
                      </c:pt>
                      <c:pt idx="14">
                        <c:v>0.75891571378703981</c:v>
                      </c:pt>
                      <c:pt idx="15">
                        <c:v>0.64188410191267609</c:v>
                      </c:pt>
                      <c:pt idx="16">
                        <c:v>0.96673193751346786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(Analyses_CV_ZS!$J$61,Analyses_CV_ZS!$J$63:$J$64,Analyses_CV_ZS!$J$67,Analyses_CV_ZS!$J$70:$J$71,Analyses_CV_ZS!$J$74:$J$75,Analyses_CV_ZS!$J$79:$J$83,Analyses_CV_ZS!$J$85:$J$86,Analyses_CV_ZS!$J$89,Analyses_CV_ZS!$J$93)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0.88622227578725743</c:v>
                      </c:pt>
                      <c:pt idx="1">
                        <c:v>1.0586575962072569</c:v>
                      </c:pt>
                      <c:pt idx="2">
                        <c:v>0.75483242537028894</c:v>
                      </c:pt>
                      <c:pt idx="3">
                        <c:v>0.75981969967659002</c:v>
                      </c:pt>
                      <c:pt idx="4">
                        <c:v>0.81437803900130801</c:v>
                      </c:pt>
                      <c:pt idx="5">
                        <c:v>1.0396002483398568</c:v>
                      </c:pt>
                      <c:pt idx="6">
                        <c:v>1.0057754731128457</c:v>
                      </c:pt>
                      <c:pt idx="7">
                        <c:v>0.83665133049886897</c:v>
                      </c:pt>
                      <c:pt idx="8">
                        <c:v>0.92051460811346286</c:v>
                      </c:pt>
                      <c:pt idx="9">
                        <c:v>0.94393590365196989</c:v>
                      </c:pt>
                      <c:pt idx="10">
                        <c:v>0.93742110088820763</c:v>
                      </c:pt>
                      <c:pt idx="11">
                        <c:v>0.87759608607869333</c:v>
                      </c:pt>
                      <c:pt idx="12">
                        <c:v>0.92431344708879382</c:v>
                      </c:pt>
                      <c:pt idx="13">
                        <c:v>0.9898244676630823</c:v>
                      </c:pt>
                      <c:pt idx="14">
                        <c:v>0.74519629540922194</c:v>
                      </c:pt>
                      <c:pt idx="15">
                        <c:v>0.73810417415262164</c:v>
                      </c:pt>
                      <c:pt idx="16">
                        <c:v>0.84563532605857894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(Analyses_CV_ZS!$K$61,Analyses_CV_ZS!$K$63:$K$64,Analyses_CV_ZS!$K$67,Analyses_CV_ZS!$K$70:$K$71,Analyses_CV_ZS!$K$74:$K$75,Analyses_CV_ZS!$K$79:$K$83,Analyses_CV_ZS!$K$85:$K$86,Analyses_CV_ZS!$K$89,Analyses_CV_ZS!$K$93)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0.87680415414203261</c:v>
                      </c:pt>
                      <c:pt idx="1">
                        <c:v>1.0995634969977892</c:v>
                      </c:pt>
                      <c:pt idx="2">
                        <c:v>0.74840567305321148</c:v>
                      </c:pt>
                      <c:pt idx="3">
                        <c:v>0.78069105307181819</c:v>
                      </c:pt>
                      <c:pt idx="4">
                        <c:v>0.92833045875188913</c:v>
                      </c:pt>
                      <c:pt idx="5">
                        <c:v>1.0756016961123636</c:v>
                      </c:pt>
                      <c:pt idx="6">
                        <c:v>1.0772790459417139</c:v>
                      </c:pt>
                      <c:pt idx="7">
                        <c:v>0.77130332631563758</c:v>
                      </c:pt>
                      <c:pt idx="8">
                        <c:v>0.904513388464943</c:v>
                      </c:pt>
                      <c:pt idx="9">
                        <c:v>0.9592465706364518</c:v>
                      </c:pt>
                      <c:pt idx="10">
                        <c:v>0.85903342303782249</c:v>
                      </c:pt>
                      <c:pt idx="11">
                        <c:v>0.81599186824324554</c:v>
                      </c:pt>
                      <c:pt idx="12">
                        <c:v>0.94654468564802763</c:v>
                      </c:pt>
                      <c:pt idx="13">
                        <c:v>0.99920567963447171</c:v>
                      </c:pt>
                      <c:pt idx="14">
                        <c:v>0.69582571237355328</c:v>
                      </c:pt>
                      <c:pt idx="15">
                        <c:v>0.75032412332709464</c:v>
                      </c:pt>
                      <c:pt idx="16">
                        <c:v>0.88940245341961555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(Analyses_CV_ZS!$M$61,Analyses_CV_ZS!$M$63:$M$64,Analyses_CV_ZS!$M$67,Analyses_CV_ZS!$M$70:$M$71,Analyses_CV_ZS!$M$74:$M$75,Analyses_CV_ZS!$M$79:$M$83,Analyses_CV_ZS!$M$85:$M$86,Analyses_CV_ZS!$M$89,Analyses_CV_ZS!$M$93)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0.84188819096949163</c:v>
                      </c:pt>
                      <c:pt idx="1">
                        <c:v>0.90585634160073292</c:v>
                      </c:pt>
                      <c:pt idx="2">
                        <c:v>0.58773686512627554</c:v>
                      </c:pt>
                      <c:pt idx="3">
                        <c:v>0.78184345908750563</c:v>
                      </c:pt>
                      <c:pt idx="4">
                        <c:v>0.84117342468222855</c:v>
                      </c:pt>
                      <c:pt idx="5">
                        <c:v>0.9647920451762062</c:v>
                      </c:pt>
                      <c:pt idx="6">
                        <c:v>1.0167808056265062</c:v>
                      </c:pt>
                      <c:pt idx="7">
                        <c:v>0.86232105635995293</c:v>
                      </c:pt>
                      <c:pt idx="8">
                        <c:v>0.90377259125899301</c:v>
                      </c:pt>
                      <c:pt idx="9">
                        <c:v>0.81194083672985284</c:v>
                      </c:pt>
                      <c:pt idx="10">
                        <c:v>0.80199866101764983</c:v>
                      </c:pt>
                      <c:pt idx="11">
                        <c:v>0.71073666177010908</c:v>
                      </c:pt>
                      <c:pt idx="12">
                        <c:v>0.85689676430347506</c:v>
                      </c:pt>
                      <c:pt idx="13">
                        <c:v>0.91637384211436246</c:v>
                      </c:pt>
                      <c:pt idx="14">
                        <c:v>0.77466406023481671</c:v>
                      </c:pt>
                      <c:pt idx="15">
                        <c:v>0.71510757688727467</c:v>
                      </c:pt>
                      <c:pt idx="16">
                        <c:v>0.84767628018422314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(Analyses_CV_ZS!$N$61,Analyses_CV_ZS!$N$63:$N$64,Analyses_CV_ZS!$N$67,Analyses_CV_ZS!$N$70:$N$71,Analyses_CV_ZS!$N$74:$N$75,Analyses_CV_ZS!$N$79:$N$83,Analyses_CV_ZS!$N$85:$N$86,Analyses_CV_ZS!$N$89,Analyses_CV_ZS!$N$93)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0.83235521418225178</c:v>
                      </c:pt>
                      <c:pt idx="1">
                        <c:v>1.0706394821081056</c:v>
                      </c:pt>
                      <c:pt idx="2">
                        <c:v>0.54710320531507628</c:v>
                      </c:pt>
                      <c:pt idx="3">
                        <c:v>0.78927007563304696</c:v>
                      </c:pt>
                      <c:pt idx="4">
                        <c:v>0.86955348370987007</c:v>
                      </c:pt>
                      <c:pt idx="5">
                        <c:v>0.99424777517189367</c:v>
                      </c:pt>
                      <c:pt idx="6">
                        <c:v>1.0474340764131427</c:v>
                      </c:pt>
                      <c:pt idx="7">
                        <c:v>0.84702523151057552</c:v>
                      </c:pt>
                      <c:pt idx="8">
                        <c:v>0.91014344723016294</c:v>
                      </c:pt>
                      <c:pt idx="9">
                        <c:v>0.8152692425960445</c:v>
                      </c:pt>
                      <c:pt idx="10">
                        <c:v>0.80185818130824049</c:v>
                      </c:pt>
                      <c:pt idx="11">
                        <c:v>0.66145328750175081</c:v>
                      </c:pt>
                      <c:pt idx="12">
                        <c:v>0.87750132687056981</c:v>
                      </c:pt>
                      <c:pt idx="13">
                        <c:v>0.95080715423662154</c:v>
                      </c:pt>
                      <c:pt idx="14">
                        <c:v>0.72278147101729406</c:v>
                      </c:pt>
                      <c:pt idx="15">
                        <c:v>0.67450270640201759</c:v>
                      </c:pt>
                      <c:pt idx="16">
                        <c:v>0.88078509155578455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8"/>
          <c:order val="8"/>
          <c:tx>
            <c:strRef>
              <c:f>Analyses_CV_ZS!$L$60</c:f>
              <c:strCache>
                <c:ptCount val="1"/>
                <c:pt idx="0">
                  <c:v>PCV-13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Analyses_CV_ZS!$L$61:$L$94</c15:sqref>
                  </c15:fullRef>
                </c:ext>
              </c:extLst>
              <c:f>(Analyses_CV_ZS!$L$61,Analyses_CV_ZS!$L$63:$L$64,Analyses_CV_ZS!$L$67,Analyses_CV_ZS!$L$70:$L$71,Analyses_CV_ZS!$L$74:$L$75,Analyses_CV_ZS!$L$79:$L$83,Analyses_CV_ZS!$L$85:$L$86,Analyses_CV_ZS!$L$89,Analyses_CV_ZS!$L$93)</c:f>
              <c:numCache>
                <c:formatCode>0%</c:formatCode>
                <c:ptCount val="17"/>
                <c:pt idx="0">
                  <c:v>0.91849657069345492</c:v>
                </c:pt>
                <c:pt idx="1">
                  <c:v>0.97549300105674153</c:v>
                </c:pt>
                <c:pt idx="2">
                  <c:v>0.69636971074397158</c:v>
                </c:pt>
                <c:pt idx="3">
                  <c:v>0.87339571477823064</c:v>
                </c:pt>
                <c:pt idx="4">
                  <c:v>0.90744158281783827</c:v>
                </c:pt>
                <c:pt idx="5">
                  <c:v>1.0725626128588404</c:v>
                </c:pt>
                <c:pt idx="6">
                  <c:v>1.0838076330260888</c:v>
                </c:pt>
                <c:pt idx="7">
                  <c:v>0.99983203619396022</c:v>
                </c:pt>
                <c:pt idx="8">
                  <c:v>0.93029313123200286</c:v>
                </c:pt>
                <c:pt idx="9">
                  <c:v>0.88944514475688841</c:v>
                </c:pt>
                <c:pt idx="10">
                  <c:v>0.86619788821769639</c:v>
                </c:pt>
                <c:pt idx="11">
                  <c:v>0.89730943578603661</c:v>
                </c:pt>
                <c:pt idx="12">
                  <c:v>0.94762913630945367</c:v>
                </c:pt>
                <c:pt idx="13">
                  <c:v>1.0108255899172156</c:v>
                </c:pt>
                <c:pt idx="14">
                  <c:v>0.82152263708863138</c:v>
                </c:pt>
                <c:pt idx="15">
                  <c:v>0.75888770975644981</c:v>
                </c:pt>
                <c:pt idx="16">
                  <c:v>0.89189695290651405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8-4B66-44F6-8968-A6990199EF46}"/>
            </c:ext>
          </c:extLst>
        </c:ser>
        <c:ser>
          <c:idx val="11"/>
          <c:order val="11"/>
          <c:tx>
            <c:strRef>
              <c:f>Analyses_CV_ZS!$O$60</c:f>
              <c:strCache>
                <c:ptCount val="1"/>
                <c:pt idx="0">
                  <c:v>Rota 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Analyses_CV_ZS!$O$61:$O$94</c15:sqref>
                  </c15:fullRef>
                </c:ext>
              </c:extLst>
              <c:f>(Analyses_CV_ZS!$O$61,Analyses_CV_ZS!$O$63:$O$64,Analyses_CV_ZS!$O$67,Analyses_CV_ZS!$O$70:$O$71,Analyses_CV_ZS!$O$74:$O$75,Analyses_CV_ZS!$O$79:$O$83,Analyses_CV_ZS!$O$85:$O$86,Analyses_CV_ZS!$O$89,Analyses_CV_ZS!$O$93)</c:f>
              <c:numCache>
                <c:formatCode>0%</c:formatCode>
                <c:ptCount val="17"/>
                <c:pt idx="0">
                  <c:v>0.96420891721540003</c:v>
                </c:pt>
                <c:pt idx="1">
                  <c:v>0.96808484579546394</c:v>
                </c:pt>
                <c:pt idx="2">
                  <c:v>0.75524705455203589</c:v>
                </c:pt>
                <c:pt idx="3">
                  <c:v>0.84676233130456513</c:v>
                </c:pt>
                <c:pt idx="4">
                  <c:v>0.91089905193795695</c:v>
                </c:pt>
                <c:pt idx="5">
                  <c:v>1.1160448809477121</c:v>
                </c:pt>
                <c:pt idx="6">
                  <c:v>1.0287809704577857</c:v>
                </c:pt>
                <c:pt idx="7">
                  <c:v>0.9753738608159952</c:v>
                </c:pt>
                <c:pt idx="8">
                  <c:v>0.93577503055603284</c:v>
                </c:pt>
                <c:pt idx="9">
                  <c:v>0.91369495892485664</c:v>
                </c:pt>
                <c:pt idx="10">
                  <c:v>0.82995412319009898</c:v>
                </c:pt>
                <c:pt idx="11">
                  <c:v>0.87442786916144177</c:v>
                </c:pt>
                <c:pt idx="12">
                  <c:v>1.0029361200421816</c:v>
                </c:pt>
                <c:pt idx="13">
                  <c:v>0.93780138309446792</c:v>
                </c:pt>
                <c:pt idx="14">
                  <c:v>0.87156952948095301</c:v>
                </c:pt>
                <c:pt idx="15">
                  <c:v>0.73088766873462574</c:v>
                </c:pt>
                <c:pt idx="16">
                  <c:v>0.84291405389105334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B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1568"/>
        <c:axId val="-138459483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2"/>
                <c:order val="12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(Analyses_CV_ZS!$P$61,Analyses_CV_ZS!$P$63:$P$64,Analyses_CV_ZS!$P$67,Analyses_CV_ZS!$P$70:$P$71,Analyses_CV_ZS!$P$74:$P$75,Analyses_CV_ZS!$P$79:$P$83,Analyses_CV_ZS!$P$85:$P$86,Analyses_CV_ZS!$P$89,Analyses_CV_ZS!$P$93)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0.87002770076315128</c:v>
                      </c:pt>
                      <c:pt idx="1">
                        <c:v>0.91416635924164424</c:v>
                      </c:pt>
                      <c:pt idx="2">
                        <c:v>0.64226060252599704</c:v>
                      </c:pt>
                      <c:pt idx="3">
                        <c:v>0.83523827114769067</c:v>
                      </c:pt>
                      <c:pt idx="4">
                        <c:v>0.84852054656248088</c:v>
                      </c:pt>
                      <c:pt idx="5">
                        <c:v>0.99658553152075768</c:v>
                      </c:pt>
                      <c:pt idx="6">
                        <c:v>1.065838474289095</c:v>
                      </c:pt>
                      <c:pt idx="7">
                        <c:v>0.8158278065702611</c:v>
                      </c:pt>
                      <c:pt idx="8">
                        <c:v>0.94377564038029271</c:v>
                      </c:pt>
                      <c:pt idx="9">
                        <c:v>0.85644637802635915</c:v>
                      </c:pt>
                      <c:pt idx="10">
                        <c:v>0.77572895535811215</c:v>
                      </c:pt>
                      <c:pt idx="11">
                        <c:v>0.69876784230493638</c:v>
                      </c:pt>
                      <c:pt idx="12">
                        <c:v>0.95503954916253164</c:v>
                      </c:pt>
                      <c:pt idx="13">
                        <c:v>0.82437400198584976</c:v>
                      </c:pt>
                      <c:pt idx="14">
                        <c:v>0.7556307826261538</c:v>
                      </c:pt>
                      <c:pt idx="15">
                        <c:v>0.65198720949787037</c:v>
                      </c:pt>
                      <c:pt idx="16">
                        <c:v>0.79257051879182983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(Analyses_CV_ZS!$Q$61,Analyses_CV_ZS!$Q$63:$Q$64,Analyses_CV_ZS!$Q$67,Analyses_CV_ZS!$Q$70:$Q$71,Analyses_CV_ZS!$Q$74:$Q$75,Analyses_CV_ZS!$Q$79:$Q$83,Analyses_CV_ZS!$Q$85:$Q$86,Analyses_CV_ZS!$Q$89,Analyses_CV_ZS!$Q$93)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0.87795270556218197</c:v>
                      </c:pt>
                      <c:pt idx="1">
                        <c:v>0.85863740415276413</c:v>
                      </c:pt>
                      <c:pt idx="2">
                        <c:v>0.60204157189654472</c:v>
                      </c:pt>
                      <c:pt idx="3">
                        <c:v>0.7278084214630498</c:v>
                      </c:pt>
                      <c:pt idx="4">
                        <c:v>0.90700939917782342</c:v>
                      </c:pt>
                      <c:pt idx="5">
                        <c:v>0.98536430104621009</c:v>
                      </c:pt>
                      <c:pt idx="6">
                        <c:v>0.9628111523956735</c:v>
                      </c:pt>
                      <c:pt idx="7">
                        <c:v>0.75911209957925252</c:v>
                      </c:pt>
                      <c:pt idx="8">
                        <c:v>0.92495939134916283</c:v>
                      </c:pt>
                      <c:pt idx="9">
                        <c:v>0.82572994674693279</c:v>
                      </c:pt>
                      <c:pt idx="10">
                        <c:v>0.80199866101764983</c:v>
                      </c:pt>
                      <c:pt idx="11">
                        <c:v>0.66074923929791718</c:v>
                      </c:pt>
                      <c:pt idx="12">
                        <c:v>0.89015325125387357</c:v>
                      </c:pt>
                      <c:pt idx="13">
                        <c:v>0.79239259753793112</c:v>
                      </c:pt>
                      <c:pt idx="14">
                        <c:v>0.70123618722677716</c:v>
                      </c:pt>
                      <c:pt idx="15">
                        <c:v>0.59435138622614303</c:v>
                      </c:pt>
                      <c:pt idx="16">
                        <c:v>0.82930769305342533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(Analyses_CV_ZS!$R$61,Analyses_CV_ZS!$R$63:$R$64,Analyses_CV_ZS!$R$67,Analyses_CV_ZS!$R$70:$R$71,Analyses_CV_ZS!$R$74:$R$75,Analyses_CV_ZS!$R$79:$R$83,Analyses_CV_ZS!$R$85:$R$86,Analyses_CV_ZS!$R$89,Analyses_CV_ZS!$R$93)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1.0450669371939161</c:v>
                      </c:pt>
                      <c:pt idx="1">
                        <c:v>1.0573692213792085</c:v>
                      </c:pt>
                      <c:pt idx="2">
                        <c:v>0.83879483467404259</c:v>
                      </c:pt>
                      <c:pt idx="3">
                        <c:v>0.88440759448368844</c:v>
                      </c:pt>
                      <c:pt idx="4">
                        <c:v>0.96492200693981278</c:v>
                      </c:pt>
                      <c:pt idx="5">
                        <c:v>1.0957064007125947</c:v>
                      </c:pt>
                      <c:pt idx="6">
                        <c:v>1.0644705798523688</c:v>
                      </c:pt>
                      <c:pt idx="7">
                        <c:v>0.95349023021465817</c:v>
                      </c:pt>
                      <c:pt idx="8">
                        <c:v>0.94733146696885273</c:v>
                      </c:pt>
                      <c:pt idx="9">
                        <c:v>0.92215861955602985</c:v>
                      </c:pt>
                      <c:pt idx="10">
                        <c:v>0.92182785314377613</c:v>
                      </c:pt>
                      <c:pt idx="11">
                        <c:v>0.83922545896975731</c:v>
                      </c:pt>
                      <c:pt idx="12">
                        <c:v>0.98504268412865204</c:v>
                      </c:pt>
                      <c:pt idx="13">
                        <c:v>1.0291615951340223</c:v>
                      </c:pt>
                      <c:pt idx="14">
                        <c:v>0.74732183910155991</c:v>
                      </c:pt>
                      <c:pt idx="15">
                        <c:v>0.6851831344206516</c:v>
                      </c:pt>
                      <c:pt idx="16">
                        <c:v>0.97036030040350207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(Analyses_CV_ZS!$S$61,Analyses_CV_ZS!$S$63:$S$64,Analyses_CV_ZS!$S$67,Analyses_CV_ZS!$S$70:$S$71,Analyses_CV_ZS!$S$74:$S$75,Analyses_CV_ZS!$S$79:$S$83,Analyses_CV_ZS!$S$85:$S$86,Analyses_CV_ZS!$S$89,Analyses_CV_ZS!$S$93)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0.38510929117608533</c:v>
                      </c:pt>
                      <c:pt idx="1">
                        <c:v>0.43431115453506908</c:v>
                      </c:pt>
                      <c:pt idx="2">
                        <c:v>0.26785045140851782</c:v>
                      </c:pt>
                      <c:pt idx="3">
                        <c:v>0.13585586473826458</c:v>
                      </c:pt>
                      <c:pt idx="4">
                        <c:v>0.53000120387153937</c:v>
                      </c:pt>
                      <c:pt idx="5">
                        <c:v>0.25084125623311587</c:v>
                      </c:pt>
                      <c:pt idx="6">
                        <c:v>0.28775524787130624</c:v>
                      </c:pt>
                      <c:pt idx="7">
                        <c:v>0.22974026036144163</c:v>
                      </c:pt>
                      <c:pt idx="8">
                        <c:v>0.22075756737309829</c:v>
                      </c:pt>
                      <c:pt idx="9">
                        <c:v>0.45047595966143272</c:v>
                      </c:pt>
                      <c:pt idx="10">
                        <c:v>0.25426827403081909</c:v>
                      </c:pt>
                      <c:pt idx="11">
                        <c:v>0.3115413301964074</c:v>
                      </c:pt>
                      <c:pt idx="12">
                        <c:v>0.31828626912854241</c:v>
                      </c:pt>
                      <c:pt idx="13">
                        <c:v>0.82863818924557231</c:v>
                      </c:pt>
                      <c:pt idx="14">
                        <c:v>9.2557766239081365E-2</c:v>
                      </c:pt>
                      <c:pt idx="15">
                        <c:v>0.19272880469661074</c:v>
                      </c:pt>
                      <c:pt idx="16">
                        <c:v>0.3583008353908701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(Analyses_CV_ZS!$T$61,Analyses_CV_ZS!$T$63:$T$64,Analyses_CV_ZS!$T$67,Analyses_CV_ZS!$T$70:$T$71,Analyses_CV_ZS!$T$74:$T$75,Analyses_CV_ZS!$T$79:$T$83,Analyses_CV_ZS!$T$85:$T$86,Analyses_CV_ZS!$T$89,Analyses_CV_ZS!$T$93)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0.97810638939920747</c:v>
                      </c:pt>
                      <c:pt idx="1">
                        <c:v>0.91513264036268038</c:v>
                      </c:pt>
                      <c:pt idx="2">
                        <c:v>0.77908823250248449</c:v>
                      </c:pt>
                      <c:pt idx="3">
                        <c:v>0.79298338390581768</c:v>
                      </c:pt>
                      <c:pt idx="4">
                        <c:v>0.91522088833810544</c:v>
                      </c:pt>
                      <c:pt idx="5">
                        <c:v>0.97157153858791201</c:v>
                      </c:pt>
                      <c:pt idx="6">
                        <c:v>0.9993090630483219</c:v>
                      </c:pt>
                      <c:pt idx="7">
                        <c:v>0.84755528484693998</c:v>
                      </c:pt>
                      <c:pt idx="8">
                        <c:v>0.89532750311116305</c:v>
                      </c:pt>
                      <c:pt idx="9">
                        <c:v>0.92215861955602985</c:v>
                      </c:pt>
                      <c:pt idx="10">
                        <c:v>0.78415773792266974</c:v>
                      </c:pt>
                      <c:pt idx="11">
                        <c:v>0.74347490324837562</c:v>
                      </c:pt>
                      <c:pt idx="12">
                        <c:v>0.90605852762145556</c:v>
                      </c:pt>
                      <c:pt idx="13">
                        <c:v>0.99547451578221458</c:v>
                      </c:pt>
                      <c:pt idx="14">
                        <c:v>0.68249275648525132</c:v>
                      </c:pt>
                      <c:pt idx="15">
                        <c:v>0.66093567621618532</c:v>
                      </c:pt>
                      <c:pt idx="16">
                        <c:v>0.86513777659251234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(Analyses_CV_ZS!$U$61,Analyses_CV_ZS!$U$63:$U$64,Analyses_CV_ZS!$U$67,Analyses_CV_ZS!$U$70:$U$71,Analyses_CV_ZS!$U$74:$U$75,Analyses_CV_ZS!$U$79:$U$83,Analyses_CV_ZS!$U$85:$U$86,Analyses_CV_ZS!$U$89,Analyses_CV_ZS!$U$93)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0.92389476236815693</c:v>
                      </c:pt>
                      <c:pt idx="1">
                        <c:v>1.0900939420116345</c:v>
                      </c:pt>
                      <c:pt idx="2">
                        <c:v>0.74073503319089329</c:v>
                      </c:pt>
                      <c:pt idx="3">
                        <c:v>0.87838947417954294</c:v>
                      </c:pt>
                      <c:pt idx="4">
                        <c:v>0.93366072364540553</c:v>
                      </c:pt>
                      <c:pt idx="5">
                        <c:v>1.0421717803236072</c:v>
                      </c:pt>
                      <c:pt idx="6">
                        <c:v>1.1159531522891539</c:v>
                      </c:pt>
                      <c:pt idx="7">
                        <c:v>0.9663629540977976</c:v>
                      </c:pt>
                      <c:pt idx="8">
                        <c:v>1.0831936745400816</c:v>
                      </c:pt>
                      <c:pt idx="9">
                        <c:v>0.99100907233096691</c:v>
                      </c:pt>
                      <c:pt idx="10">
                        <c:v>0.94374268781162574</c:v>
                      </c:pt>
                      <c:pt idx="11">
                        <c:v>0.8751319173652754</c:v>
                      </c:pt>
                      <c:pt idx="12">
                        <c:v>0.94780987808635797</c:v>
                      </c:pt>
                      <c:pt idx="13">
                        <c:v>1.0543202999663848</c:v>
                      </c:pt>
                      <c:pt idx="14">
                        <c:v>0.83215035555032135</c:v>
                      </c:pt>
                      <c:pt idx="15">
                        <c:v>0.74031723581414033</c:v>
                      </c:pt>
                      <c:pt idx="16">
                        <c:v>0.96695871019409507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(Analyses_CV_ZS!$V$61,Analyses_CV_ZS!$V$63:$V$64,Analyses_CV_ZS!$V$67,Analyses_CV_ZS!$V$70:$V$71,Analyses_CV_ZS!$V$74:$V$75,Analyses_CV_ZS!$V$79:$V$83,Analyses_CV_ZS!$V$85:$V$86,Analyses_CV_ZS!$V$89,Analyses_CV_ZS!$V$93)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0.68074642672253438</c:v>
                      </c:pt>
                      <c:pt idx="1">
                        <c:v>0.95384830394553066</c:v>
                      </c:pt>
                      <c:pt idx="2">
                        <c:v>0.67999185806496787</c:v>
                      </c:pt>
                      <c:pt idx="3">
                        <c:v>0.83421391024485747</c:v>
                      </c:pt>
                      <c:pt idx="4">
                        <c:v>0.77850679688007585</c:v>
                      </c:pt>
                      <c:pt idx="5">
                        <c:v>0.51594282619430265</c:v>
                      </c:pt>
                      <c:pt idx="6">
                        <c:v>0.96660395060659599</c:v>
                      </c:pt>
                      <c:pt idx="7">
                        <c:v>0.78977947118320246</c:v>
                      </c:pt>
                      <c:pt idx="8">
                        <c:v>0.54196723587301587</c:v>
                      </c:pt>
                      <c:pt idx="9">
                        <c:v>0.81365258831817999</c:v>
                      </c:pt>
                      <c:pt idx="10">
                        <c:v>0.74805445260448156</c:v>
                      </c:pt>
                      <c:pt idx="11">
                        <c:v>0.72094536072569759</c:v>
                      </c:pt>
                      <c:pt idx="12">
                        <c:v>0.88726138282340417</c:v>
                      </c:pt>
                      <c:pt idx="13">
                        <c:v>0.99312921278936717</c:v>
                      </c:pt>
                      <c:pt idx="14">
                        <c:v>0.37767046787950842</c:v>
                      </c:pt>
                      <c:pt idx="15">
                        <c:v>0.55413139602984585</c:v>
                      </c:pt>
                      <c:pt idx="16">
                        <c:v>0.92727349108434676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(Analyses_CV_ZS!$W$61,Analyses_CV_ZS!$W$63:$W$64,Analyses_CV_ZS!$W$67,Analyses_CV_ZS!$W$70:$W$71,Analyses_CV_ZS!$W$74:$W$75,Analyses_CV_ZS!$W$79:$W$83,Analyses_CV_ZS!$W$85:$W$86,Analyses_CV_ZS!$W$89,Analyses_CV_ZS!$W$93)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0.44644050132278673</c:v>
                      </c:pt>
                      <c:pt idx="1">
                        <c:v>0.38596215131604822</c:v>
                      </c:pt>
                      <c:pt idx="2">
                        <c:v>0.24364802778347228</c:v>
                      </c:pt>
                      <c:pt idx="3">
                        <c:v>0.34443078985588194</c:v>
                      </c:pt>
                      <c:pt idx="4">
                        <c:v>0.47600093851078457</c:v>
                      </c:pt>
                      <c:pt idx="5">
                        <c:v>0.40039162094356173</c:v>
                      </c:pt>
                      <c:pt idx="6">
                        <c:v>0.438118556747637</c:v>
                      </c:pt>
                      <c:pt idx="7">
                        <c:v>0.47026748472742813</c:v>
                      </c:pt>
                      <c:pt idx="8">
                        <c:v>0.19248170842058995</c:v>
                      </c:pt>
                      <c:pt idx="9">
                        <c:v>0.24269427988251105</c:v>
                      </c:pt>
                      <c:pt idx="10">
                        <c:v>0.42911248115508588</c:v>
                      </c:pt>
                      <c:pt idx="11">
                        <c:v>0.27427693882774512</c:v>
                      </c:pt>
                      <c:pt idx="12">
                        <c:v>0.21068345966631274</c:v>
                      </c:pt>
                      <c:pt idx="13">
                        <c:v>0.2628535640872211</c:v>
                      </c:pt>
                      <c:pt idx="14">
                        <c:v>0.43741781029773741</c:v>
                      </c:pt>
                      <c:pt idx="15">
                        <c:v>0.37022837745944415</c:v>
                      </c:pt>
                      <c:pt idx="16">
                        <c:v>0.19390198057023009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(Analyses_CV_ZS!$X$61,Analyses_CV_ZS!$X$63:$X$64,Analyses_CV_ZS!$X$67,Analyses_CV_ZS!$X$70:$X$71,Analyses_CV_ZS!$X$74:$X$75,Analyses_CV_ZS!$X$79:$X$83,Analyses_CV_ZS!$X$85:$X$86,Analyses_CV_ZS!$X$89,Analyses_CV_ZS!$X$93)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0.83676278025707496</c:v>
                      </c:pt>
                      <c:pt idx="1">
                        <c:v>0.969823346579061</c:v>
                      </c:pt>
                      <c:pt idx="2">
                        <c:v>0.5005004401461528</c:v>
                      </c:pt>
                      <c:pt idx="3">
                        <c:v>0.48229248128700691</c:v>
                      </c:pt>
                      <c:pt idx="4">
                        <c:v>0.62922120364008116</c:v>
                      </c:pt>
                      <c:pt idx="5">
                        <c:v>0.69063985151039231</c:v>
                      </c:pt>
                      <c:pt idx="6">
                        <c:v>0.64985415939573354</c:v>
                      </c:pt>
                      <c:pt idx="7">
                        <c:v>0.68373113226245485</c:v>
                      </c:pt>
                      <c:pt idx="8">
                        <c:v>0.48294940406939157</c:v>
                      </c:pt>
                      <c:pt idx="9">
                        <c:v>0.61175553011068518</c:v>
                      </c:pt>
                      <c:pt idx="10">
                        <c:v>0.79461188669763549</c:v>
                      </c:pt>
                      <c:pt idx="11">
                        <c:v>0.5387253647299719</c:v>
                      </c:pt>
                      <c:pt idx="12">
                        <c:v>0.65128943744152068</c:v>
                      </c:pt>
                      <c:pt idx="13">
                        <c:v>0.88557281800227594</c:v>
                      </c:pt>
                      <c:pt idx="14">
                        <c:v>0.50409684054354786</c:v>
                      </c:pt>
                      <c:pt idx="15">
                        <c:v>0.62485483297747002</c:v>
                      </c:pt>
                      <c:pt idx="16">
                        <c:v>0.75503056924081435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9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4832"/>
        <c:crosses val="autoZero"/>
        <c:auto val="1"/>
        <c:lblAlgn val="ctr"/>
        <c:lblOffset val="100"/>
        <c:noMultiLvlLbl val="0"/>
      </c:catAx>
      <c:valAx>
        <c:axId val="-138459483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</a:t>
            </a:r>
            <a:r>
              <a:rPr lang="en-US" baseline="0"/>
              <a:t> BUT - </a:t>
            </a:r>
            <a:r>
              <a:rPr lang="en-US"/>
              <a:t>CV VPO3_Penta 3_PCV-13 3_Rota 3_VPI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Analyses_CV_ZS!$H$60</c:f>
              <c:strCache>
                <c:ptCount val="1"/>
                <c:pt idx="0">
                  <c:v>VPO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(Analyses_CV_ZS!$C$61,Analyses_CV_ZS!$C$63:$C$64,Analyses_CV_ZS!$C$66:$C$67,Analyses_CV_ZS!$C$70:$C$71,Analyses_CV_ZS!$C$74:$C$75,Analyses_CV_ZS!$C$79:$C$83,Analyses_CV_ZS!$C$85:$C$86,Analyses_CV_ZS!$C$89,Analyses_CV_ZS!$C$93)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Birambizo</c:v>
                </c:pt>
                <c:pt idx="4">
                  <c:v> Butembo</c:v>
                </c:pt>
                <c:pt idx="5">
                  <c:v> Kalunguta</c:v>
                </c:pt>
                <c:pt idx="6">
                  <c:v> Kamango</c:v>
                </c:pt>
                <c:pt idx="7">
                  <c:v> Katwa</c:v>
                </c:pt>
                <c:pt idx="8">
                  <c:v> Kayna</c:v>
                </c:pt>
                <c:pt idx="9">
                  <c:v> Kyondo</c:v>
                </c:pt>
                <c:pt idx="10">
                  <c:v> Lubero</c:v>
                </c:pt>
                <c:pt idx="11">
                  <c:v> Mabalako</c:v>
                </c:pt>
                <c:pt idx="12">
                  <c:v> Manguredjipa</c:v>
                </c:pt>
                <c:pt idx="13">
                  <c:v> Masereka</c:v>
                </c:pt>
                <c:pt idx="14">
                  <c:v> Musienene</c:v>
                </c:pt>
                <c:pt idx="15">
                  <c:v> Mutwanga</c:v>
                </c:pt>
                <c:pt idx="16">
                  <c:v> Oicha</c:v>
                </c:pt>
                <c:pt idx="17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Analyses_CV_ZS!$H$61:$H$94</c15:sqref>
                  </c15:fullRef>
                </c:ext>
              </c:extLst>
              <c:f>(Analyses_CV_ZS!$H$61,Analyses_CV_ZS!$H$63:$H$64,Analyses_CV_ZS!$H$66:$H$67,Analyses_CV_ZS!$H$70:$H$71,Analyses_CV_ZS!$H$74:$H$75,Analyses_CV_ZS!$H$79:$H$83,Analyses_CV_ZS!$H$85:$H$86,Analyses_CV_ZS!$H$89,Analyses_CV_ZS!$H$93)</c:f>
              <c:numCache>
                <c:formatCode>0%</c:formatCode>
                <c:ptCount val="18"/>
                <c:pt idx="0">
                  <c:v>0.90253170595337862</c:v>
                </c:pt>
                <c:pt idx="1">
                  <c:v>1.1715836498856869</c:v>
                </c:pt>
                <c:pt idx="2">
                  <c:v>0.71108904669598771</c:v>
                </c:pt>
                <c:pt idx="3">
                  <c:v>0.93816675514852865</c:v>
                </c:pt>
                <c:pt idx="4">
                  <c:v>0.85431699296296071</c:v>
                </c:pt>
                <c:pt idx="5">
                  <c:v>0.95613427292617759</c:v>
                </c:pt>
                <c:pt idx="6">
                  <c:v>1.0524579082586092</c:v>
                </c:pt>
                <c:pt idx="7">
                  <c:v>0.97686315888204234</c:v>
                </c:pt>
                <c:pt idx="8">
                  <c:v>0.95553472165492148</c:v>
                </c:pt>
                <c:pt idx="9">
                  <c:v>0.94584987255695274</c:v>
                </c:pt>
                <c:pt idx="10">
                  <c:v>0.93442617260570782</c:v>
                </c:pt>
                <c:pt idx="11">
                  <c:v>0.9341900675717939</c:v>
                </c:pt>
                <c:pt idx="12">
                  <c:v>0.91631873728954627</c:v>
                </c:pt>
                <c:pt idx="13">
                  <c:v>0.9731137268529656</c:v>
                </c:pt>
                <c:pt idx="14">
                  <c:v>1.2443964470685147</c:v>
                </c:pt>
                <c:pt idx="15">
                  <c:v>0.75891571378703981</c:v>
                </c:pt>
                <c:pt idx="16">
                  <c:v>0.64188410191267609</c:v>
                </c:pt>
                <c:pt idx="17">
                  <c:v>0.96673193751346786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4-4B66-44F6-8968-A6990199EF46}"/>
            </c:ext>
          </c:extLst>
        </c:ser>
        <c:ser>
          <c:idx val="7"/>
          <c:order val="7"/>
          <c:tx>
            <c:strRef>
              <c:f>Analyses_CV_ZS!$K$60</c:f>
              <c:strCache>
                <c:ptCount val="1"/>
                <c:pt idx="0">
                  <c:v>Penta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(Analyses_CV_ZS!$C$61,Analyses_CV_ZS!$C$63:$C$64,Analyses_CV_ZS!$C$66:$C$67,Analyses_CV_ZS!$C$70:$C$71,Analyses_CV_ZS!$C$74:$C$75,Analyses_CV_ZS!$C$79:$C$83,Analyses_CV_ZS!$C$85:$C$86,Analyses_CV_ZS!$C$89,Analyses_CV_ZS!$C$93)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Birambizo</c:v>
                </c:pt>
                <c:pt idx="4">
                  <c:v> Butembo</c:v>
                </c:pt>
                <c:pt idx="5">
                  <c:v> Kalunguta</c:v>
                </c:pt>
                <c:pt idx="6">
                  <c:v> Kamango</c:v>
                </c:pt>
                <c:pt idx="7">
                  <c:v> Katwa</c:v>
                </c:pt>
                <c:pt idx="8">
                  <c:v> Kayna</c:v>
                </c:pt>
                <c:pt idx="9">
                  <c:v> Kyondo</c:v>
                </c:pt>
                <c:pt idx="10">
                  <c:v> Lubero</c:v>
                </c:pt>
                <c:pt idx="11">
                  <c:v> Mabalako</c:v>
                </c:pt>
                <c:pt idx="12">
                  <c:v> Manguredjipa</c:v>
                </c:pt>
                <c:pt idx="13">
                  <c:v> Masereka</c:v>
                </c:pt>
                <c:pt idx="14">
                  <c:v> Musienene</c:v>
                </c:pt>
                <c:pt idx="15">
                  <c:v> Mutwanga</c:v>
                </c:pt>
                <c:pt idx="16">
                  <c:v> Oicha</c:v>
                </c:pt>
                <c:pt idx="17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Analyses_CV_ZS!$K$61:$K$94</c15:sqref>
                  </c15:fullRef>
                </c:ext>
              </c:extLst>
              <c:f>(Analyses_CV_ZS!$K$61,Analyses_CV_ZS!$K$63:$K$64,Analyses_CV_ZS!$K$66:$K$67,Analyses_CV_ZS!$K$70:$K$71,Analyses_CV_ZS!$K$74:$K$75,Analyses_CV_ZS!$K$79:$K$83,Analyses_CV_ZS!$K$85:$K$86,Analyses_CV_ZS!$K$89,Analyses_CV_ZS!$K$93)</c:f>
              <c:numCache>
                <c:formatCode>0%</c:formatCode>
                <c:ptCount val="18"/>
                <c:pt idx="0">
                  <c:v>0.87680415414203261</c:v>
                </c:pt>
                <c:pt idx="1">
                  <c:v>1.0995634969977892</c:v>
                </c:pt>
                <c:pt idx="2">
                  <c:v>0.74840567305321148</c:v>
                </c:pt>
                <c:pt idx="3">
                  <c:v>0.95684454313096901</c:v>
                </c:pt>
                <c:pt idx="4">
                  <c:v>0.78069105307181819</c:v>
                </c:pt>
                <c:pt idx="5">
                  <c:v>0.92833045875188913</c:v>
                </c:pt>
                <c:pt idx="6">
                  <c:v>1.0756016961123636</c:v>
                </c:pt>
                <c:pt idx="7">
                  <c:v>1.0772790459417139</c:v>
                </c:pt>
                <c:pt idx="8">
                  <c:v>0.77130332631563758</c:v>
                </c:pt>
                <c:pt idx="9">
                  <c:v>0.904513388464943</c:v>
                </c:pt>
                <c:pt idx="10">
                  <c:v>0.9592465706364518</c:v>
                </c:pt>
                <c:pt idx="11">
                  <c:v>0.85903342303782249</c:v>
                </c:pt>
                <c:pt idx="12">
                  <c:v>0.81599186824324554</c:v>
                </c:pt>
                <c:pt idx="13">
                  <c:v>0.94654468564802763</c:v>
                </c:pt>
                <c:pt idx="14">
                  <c:v>0.99920567963447171</c:v>
                </c:pt>
                <c:pt idx="15">
                  <c:v>0.69582571237355328</c:v>
                </c:pt>
                <c:pt idx="16">
                  <c:v>0.75032412332709464</c:v>
                </c:pt>
                <c:pt idx="17">
                  <c:v>0.88940245341961555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7-4B66-44F6-8968-A6990199EF46}"/>
            </c:ext>
          </c:extLst>
        </c:ser>
        <c:ser>
          <c:idx val="10"/>
          <c:order val="10"/>
          <c:tx>
            <c:strRef>
              <c:f>Analyses_CV_ZS!$N$60</c:f>
              <c:strCache>
                <c:ptCount val="1"/>
                <c:pt idx="0">
                  <c:v>PCV-13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(Analyses_CV_ZS!$C$61,Analyses_CV_ZS!$C$63:$C$64,Analyses_CV_ZS!$C$66:$C$67,Analyses_CV_ZS!$C$70:$C$71,Analyses_CV_ZS!$C$74:$C$75,Analyses_CV_ZS!$C$79:$C$83,Analyses_CV_ZS!$C$85:$C$86,Analyses_CV_ZS!$C$89,Analyses_CV_ZS!$C$93)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Birambizo</c:v>
                </c:pt>
                <c:pt idx="4">
                  <c:v> Butembo</c:v>
                </c:pt>
                <c:pt idx="5">
                  <c:v> Kalunguta</c:v>
                </c:pt>
                <c:pt idx="6">
                  <c:v> Kamango</c:v>
                </c:pt>
                <c:pt idx="7">
                  <c:v> Katwa</c:v>
                </c:pt>
                <c:pt idx="8">
                  <c:v> Kayna</c:v>
                </c:pt>
                <c:pt idx="9">
                  <c:v> Kyondo</c:v>
                </c:pt>
                <c:pt idx="10">
                  <c:v> Lubero</c:v>
                </c:pt>
                <c:pt idx="11">
                  <c:v> Mabalako</c:v>
                </c:pt>
                <c:pt idx="12">
                  <c:v> Manguredjipa</c:v>
                </c:pt>
                <c:pt idx="13">
                  <c:v> Masereka</c:v>
                </c:pt>
                <c:pt idx="14">
                  <c:v> Musienene</c:v>
                </c:pt>
                <c:pt idx="15">
                  <c:v> Mutwanga</c:v>
                </c:pt>
                <c:pt idx="16">
                  <c:v> Oicha</c:v>
                </c:pt>
                <c:pt idx="17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Analyses_CV_ZS!$N$61:$N$94</c15:sqref>
                  </c15:fullRef>
                </c:ext>
              </c:extLst>
              <c:f>(Analyses_CV_ZS!$N$61,Analyses_CV_ZS!$N$63:$N$64,Analyses_CV_ZS!$N$66:$N$67,Analyses_CV_ZS!$N$70:$N$71,Analyses_CV_ZS!$N$74:$N$75,Analyses_CV_ZS!$N$79:$N$83,Analyses_CV_ZS!$N$85:$N$86,Analyses_CV_ZS!$N$89,Analyses_CV_ZS!$N$93)</c:f>
              <c:numCache>
                <c:formatCode>0%</c:formatCode>
                <c:ptCount val="18"/>
                <c:pt idx="0">
                  <c:v>0.83235521418225178</c:v>
                </c:pt>
                <c:pt idx="1">
                  <c:v>1.0706394821081056</c:v>
                </c:pt>
                <c:pt idx="2">
                  <c:v>0.54710320531507628</c:v>
                </c:pt>
                <c:pt idx="3">
                  <c:v>0.95827032847313998</c:v>
                </c:pt>
                <c:pt idx="4">
                  <c:v>0.78927007563304696</c:v>
                </c:pt>
                <c:pt idx="5">
                  <c:v>0.86955348370987007</c:v>
                </c:pt>
                <c:pt idx="6">
                  <c:v>0.99424777517189367</c:v>
                </c:pt>
                <c:pt idx="7">
                  <c:v>1.0474340764131427</c:v>
                </c:pt>
                <c:pt idx="8">
                  <c:v>0.84702523151057552</c:v>
                </c:pt>
                <c:pt idx="9">
                  <c:v>0.91014344723016294</c:v>
                </c:pt>
                <c:pt idx="10">
                  <c:v>0.8152692425960445</c:v>
                </c:pt>
                <c:pt idx="11">
                  <c:v>0.80185818130824049</c:v>
                </c:pt>
                <c:pt idx="12">
                  <c:v>0.66145328750175081</c:v>
                </c:pt>
                <c:pt idx="13">
                  <c:v>0.87750132687056981</c:v>
                </c:pt>
                <c:pt idx="14">
                  <c:v>0.95080715423662154</c:v>
                </c:pt>
                <c:pt idx="15">
                  <c:v>0.72278147101729406</c:v>
                </c:pt>
                <c:pt idx="16">
                  <c:v>0.67450270640201759</c:v>
                </c:pt>
                <c:pt idx="17">
                  <c:v>0.88078509155578455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A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overlap val="8"/>
        <c:axId val="-1384594288"/>
        <c:axId val="-138459864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(Analyses_CV_ZS!$D$61,Analyses_CV_ZS!$D$63:$D$64,Analyses_CV_ZS!$D$66:$D$67,Analyses_CV_ZS!$D$70:$D$71,Analyses_CV_ZS!$D$74:$D$75,Analyses_CV_ZS!$D$79:$D$83,Analyses_CV_ZS!$D$85:$D$86,Analyses_CV_ZS!$D$89,Analyses_CV_ZS!$D$93)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0.70478474653269563</c:v>
                      </c:pt>
                      <c:pt idx="1">
                        <c:v>0.7954743450671371</c:v>
                      </c:pt>
                      <c:pt idx="2">
                        <c:v>0.51696070037502873</c:v>
                      </c:pt>
                      <c:pt idx="3">
                        <c:v>0.88435797278132999</c:v>
                      </c:pt>
                      <c:pt idx="4">
                        <c:v>0.73109149815663044</c:v>
                      </c:pt>
                      <c:pt idx="5">
                        <c:v>0.89116626724094594</c:v>
                      </c:pt>
                      <c:pt idx="6">
                        <c:v>0.86421767597446308</c:v>
                      </c:pt>
                      <c:pt idx="7">
                        <c:v>0.90889528228701222</c:v>
                      </c:pt>
                      <c:pt idx="8">
                        <c:v>0.69205561991006037</c:v>
                      </c:pt>
                      <c:pt idx="9">
                        <c:v>0.79978799865560113</c:v>
                      </c:pt>
                      <c:pt idx="10">
                        <c:v>0.65548198669122648</c:v>
                      </c:pt>
                      <c:pt idx="11">
                        <c:v>0.62117739345729084</c:v>
                      </c:pt>
                      <c:pt idx="12">
                        <c:v>0.61796775019196315</c:v>
                      </c:pt>
                      <c:pt idx="13">
                        <c:v>0.79857862256752077</c:v>
                      </c:pt>
                      <c:pt idx="14">
                        <c:v>0.70131488790433372</c:v>
                      </c:pt>
                      <c:pt idx="15">
                        <c:v>0.62851940519944693</c:v>
                      </c:pt>
                      <c:pt idx="16">
                        <c:v>0.51941110461260342</c:v>
                      </c:pt>
                      <c:pt idx="17">
                        <c:v>0.87809896915375629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(Analyses_CV_ZS!$E$61,Analyses_CV_ZS!$E$63:$E$64,Analyses_CV_ZS!$E$66:$E$67,Analyses_CV_ZS!$E$70:$E$71,Analyses_CV_ZS!$E$74:$E$75,Analyses_CV_ZS!$E$79:$E$83,Analyses_CV_ZS!$E$85:$E$86,Analyses_CV_ZS!$E$89,Analyses_CV_ZS!$E$93)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0.74299791369463042</c:v>
                      </c:pt>
                      <c:pt idx="1">
                        <c:v>0.46613401278786115</c:v>
                      </c:pt>
                      <c:pt idx="2">
                        <c:v>0.32506927848959438</c:v>
                      </c:pt>
                      <c:pt idx="3">
                        <c:v>0.69179104802137703</c:v>
                      </c:pt>
                      <c:pt idx="4">
                        <c:v>0.180799699350075</c:v>
                      </c:pt>
                      <c:pt idx="5">
                        <c:v>0.73298345346517879</c:v>
                      </c:pt>
                      <c:pt idx="6">
                        <c:v>0.95590857105052274</c:v>
                      </c:pt>
                      <c:pt idx="7">
                        <c:v>0.69128410670552776</c:v>
                      </c:pt>
                      <c:pt idx="8">
                        <c:v>0.73798568802986486</c:v>
                      </c:pt>
                      <c:pt idx="9">
                        <c:v>0.43203293051003666</c:v>
                      </c:pt>
                      <c:pt idx="10">
                        <c:v>0.506773567455304</c:v>
                      </c:pt>
                      <c:pt idx="11">
                        <c:v>0.44911363098150753</c:v>
                      </c:pt>
                      <c:pt idx="12">
                        <c:v>0.35448827063026245</c:v>
                      </c:pt>
                      <c:pt idx="13">
                        <c:v>0.437214358331598</c:v>
                      </c:pt>
                      <c:pt idx="14">
                        <c:v>0.5054127949586078</c:v>
                      </c:pt>
                      <c:pt idx="15">
                        <c:v>0.38791172385168232</c:v>
                      </c:pt>
                      <c:pt idx="16">
                        <c:v>0.13874934417000134</c:v>
                      </c:pt>
                      <c:pt idx="17">
                        <c:v>0.7231780785199271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(Analyses_CV_ZS!$F$61,Analyses_CV_ZS!$F$63:$F$64,Analyses_CV_ZS!$F$66:$F$67,Analyses_CV_ZS!$F$70:$F$71,Analyses_CV_ZS!$F$74:$F$75,Analyses_CV_ZS!$F$79:$F$83,Analyses_CV_ZS!$F$85:$F$86,Analyses_CV_ZS!$F$89,Analyses_CV_ZS!$F$93)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0.97132993602032613</c:v>
                      </c:pt>
                      <c:pt idx="1">
                        <c:v>1.1596661827262404</c:v>
                      </c:pt>
                      <c:pt idx="2">
                        <c:v>0.78489304104694146</c:v>
                      </c:pt>
                      <c:pt idx="3">
                        <c:v>1.0178681557758884</c:v>
                      </c:pt>
                      <c:pt idx="4">
                        <c:v>0.89388293283489639</c:v>
                      </c:pt>
                      <c:pt idx="5">
                        <c:v>0.99964075935433871</c:v>
                      </c:pt>
                      <c:pt idx="6">
                        <c:v>1.156020514513288</c:v>
                      </c:pt>
                      <c:pt idx="7">
                        <c:v>1.0326981227084107</c:v>
                      </c:pt>
                      <c:pt idx="8">
                        <c:v>1.0950144710239971</c:v>
                      </c:pt>
                      <c:pt idx="9">
                        <c:v>0.95681367120501259</c:v>
                      </c:pt>
                      <c:pt idx="10">
                        <c:v>0.95886618139460122</c:v>
                      </c:pt>
                      <c:pt idx="11">
                        <c:v>0.9864485194720507</c:v>
                      </c:pt>
                      <c:pt idx="12">
                        <c:v>1.1067637764265592</c:v>
                      </c:pt>
                      <c:pt idx="13">
                        <c:v>1.0305896119085456</c:v>
                      </c:pt>
                      <c:pt idx="14">
                        <c:v>1.0821441218360741</c:v>
                      </c:pt>
                      <c:pt idx="15">
                        <c:v>0.82084632773197841</c:v>
                      </c:pt>
                      <c:pt idx="16">
                        <c:v>0.71077767363647704</c:v>
                      </c:pt>
                      <c:pt idx="17">
                        <c:v>0.97330834525165477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(Analyses_CV_ZS!$G$61,Analyses_CV_ZS!$G$63:$G$64,Analyses_CV_ZS!$G$66:$G$67,Analyses_CV_ZS!$G$70:$G$71,Analyses_CV_ZS!$G$74:$G$75,Analyses_CV_ZS!$G$79:$G$83,Analyses_CV_ZS!$G$85:$G$86,Analyses_CV_ZS!$G$89,Analyses_CV_ZS!$G$93)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0.88346575237889902</c:v>
                      </c:pt>
                      <c:pt idx="1">
                        <c:v>1.1588287390880092</c:v>
                      </c:pt>
                      <c:pt idx="2">
                        <c:v>0.73762531432779133</c:v>
                      </c:pt>
                      <c:pt idx="3">
                        <c:v>0.92733078654802892</c:v>
                      </c:pt>
                      <c:pt idx="4">
                        <c:v>0.81513518842958743</c:v>
                      </c:pt>
                      <c:pt idx="5">
                        <c:v>0.92487298963177034</c:v>
                      </c:pt>
                      <c:pt idx="6">
                        <c:v>1.0183266655651937</c:v>
                      </c:pt>
                      <c:pt idx="7">
                        <c:v>0.97493567126665548</c:v>
                      </c:pt>
                      <c:pt idx="8">
                        <c:v>1.0186110686823047</c:v>
                      </c:pt>
                      <c:pt idx="9">
                        <c:v>0.95266520685169265</c:v>
                      </c:pt>
                      <c:pt idx="10">
                        <c:v>0.92282430072926813</c:v>
                      </c:pt>
                      <c:pt idx="11">
                        <c:v>0.91002755755339559</c:v>
                      </c:pt>
                      <c:pt idx="12">
                        <c:v>0.9448326895448107</c:v>
                      </c:pt>
                      <c:pt idx="13">
                        <c:v>0.96642628110750506</c:v>
                      </c:pt>
                      <c:pt idx="14">
                        <c:v>1.0247908031928066</c:v>
                      </c:pt>
                      <c:pt idx="15">
                        <c:v>0.81166784360597344</c:v>
                      </c:pt>
                      <c:pt idx="16">
                        <c:v>0.69345806063328685</c:v>
                      </c:pt>
                      <c:pt idx="17">
                        <c:v>0.92273803747180416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(Analyses_CV_ZS!$I$61,Analyses_CV_ZS!$I$63:$I$64,Analyses_CV_ZS!$I$66:$I$67,Analyses_CV_ZS!$I$70:$I$71,Analyses_CV_ZS!$I$74:$I$75,Analyses_CV_ZS!$I$79:$I$83,Analyses_CV_ZS!$I$85:$I$86,Analyses_CV_ZS!$I$89,Analyses_CV_ZS!$I$93)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0.96179695923308628</c:v>
                      </c:pt>
                      <c:pt idx="1">
                        <c:v>1.0368196428718388</c:v>
                      </c:pt>
                      <c:pt idx="2">
                        <c:v>0.85019713717208323</c:v>
                      </c:pt>
                      <c:pt idx="3">
                        <c:v>1.0358330510872433</c:v>
                      </c:pt>
                      <c:pt idx="4">
                        <c:v>0.86059120349281459</c:v>
                      </c:pt>
                      <c:pt idx="5">
                        <c:v>0.94417719221910013</c:v>
                      </c:pt>
                      <c:pt idx="6">
                        <c:v>1.1815020587159064</c:v>
                      </c:pt>
                      <c:pt idx="7">
                        <c:v>1.0640353407134104</c:v>
                      </c:pt>
                      <c:pt idx="8">
                        <c:v>0.872013460224905</c:v>
                      </c:pt>
                      <c:pt idx="9">
                        <c:v>0.92347779693726284</c:v>
                      </c:pt>
                      <c:pt idx="10">
                        <c:v>0.97322587527445692</c:v>
                      </c:pt>
                      <c:pt idx="11">
                        <c:v>0.88038633886803497</c:v>
                      </c:pt>
                      <c:pt idx="12">
                        <c:v>1.0032686904630068</c:v>
                      </c:pt>
                      <c:pt idx="13">
                        <c:v>1.0027553782652774</c:v>
                      </c:pt>
                      <c:pt idx="14">
                        <c:v>1.0220190814739871</c:v>
                      </c:pt>
                      <c:pt idx="15">
                        <c:v>0.78770716925598161</c:v>
                      </c:pt>
                      <c:pt idx="16">
                        <c:v>0.77360938080916142</c:v>
                      </c:pt>
                      <c:pt idx="17">
                        <c:v>0.90641040446665055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(Analyses_CV_ZS!$J$61,Analyses_CV_ZS!$J$63:$J$64,Analyses_CV_ZS!$J$66:$J$67,Analyses_CV_ZS!$J$70:$J$71,Analyses_CV_ZS!$J$74:$J$75,Analyses_CV_ZS!$J$79:$J$83,Analyses_CV_ZS!$J$85:$J$86,Analyses_CV_ZS!$J$89,Analyses_CV_ZS!$J$93)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0.88622227578725743</c:v>
                      </c:pt>
                      <c:pt idx="1">
                        <c:v>1.0586575962072569</c:v>
                      </c:pt>
                      <c:pt idx="2">
                        <c:v>0.75483242537028894</c:v>
                      </c:pt>
                      <c:pt idx="3">
                        <c:v>0.94928788081746263</c:v>
                      </c:pt>
                      <c:pt idx="4">
                        <c:v>0.75981969967659002</c:v>
                      </c:pt>
                      <c:pt idx="5">
                        <c:v>0.81437803900130801</c:v>
                      </c:pt>
                      <c:pt idx="6">
                        <c:v>1.0396002483398568</c:v>
                      </c:pt>
                      <c:pt idx="7">
                        <c:v>1.0057754731128457</c:v>
                      </c:pt>
                      <c:pt idx="8">
                        <c:v>0.83665133049886897</c:v>
                      </c:pt>
                      <c:pt idx="9">
                        <c:v>0.92051460811346286</c:v>
                      </c:pt>
                      <c:pt idx="10">
                        <c:v>0.94393590365196989</c:v>
                      </c:pt>
                      <c:pt idx="11">
                        <c:v>0.93742110088820763</c:v>
                      </c:pt>
                      <c:pt idx="12">
                        <c:v>0.87759608607869333</c:v>
                      </c:pt>
                      <c:pt idx="13">
                        <c:v>0.92431344708879382</c:v>
                      </c:pt>
                      <c:pt idx="14">
                        <c:v>0.9898244676630823</c:v>
                      </c:pt>
                      <c:pt idx="15">
                        <c:v>0.74519629540922194</c:v>
                      </c:pt>
                      <c:pt idx="16">
                        <c:v>0.73810417415262164</c:v>
                      </c:pt>
                      <c:pt idx="17">
                        <c:v>0.84563532605857894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(Analyses_CV_ZS!$L$61,Analyses_CV_ZS!$L$63:$L$64,Analyses_CV_ZS!$L$66:$L$67,Analyses_CV_ZS!$L$70:$L$71,Analyses_CV_ZS!$L$74:$L$75,Analyses_CV_ZS!$L$79:$L$83,Analyses_CV_ZS!$L$85:$L$86,Analyses_CV_ZS!$L$89,Analyses_CV_ZS!$L$93)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0.91849657069345492</c:v>
                      </c:pt>
                      <c:pt idx="1">
                        <c:v>0.97549300105674153</c:v>
                      </c:pt>
                      <c:pt idx="2">
                        <c:v>0.69636971074397158</c:v>
                      </c:pt>
                      <c:pt idx="3">
                        <c:v>1.0372588364294144</c:v>
                      </c:pt>
                      <c:pt idx="4">
                        <c:v>0.87339571477823064</c:v>
                      </c:pt>
                      <c:pt idx="5">
                        <c:v>0.90744158281783827</c:v>
                      </c:pt>
                      <c:pt idx="6">
                        <c:v>1.0725626128588404</c:v>
                      </c:pt>
                      <c:pt idx="7">
                        <c:v>1.0838076330260888</c:v>
                      </c:pt>
                      <c:pt idx="8">
                        <c:v>0.99983203619396022</c:v>
                      </c:pt>
                      <c:pt idx="9">
                        <c:v>0.93029313123200286</c:v>
                      </c:pt>
                      <c:pt idx="10">
                        <c:v>0.88944514475688841</c:v>
                      </c:pt>
                      <c:pt idx="11">
                        <c:v>0.86619788821769639</c:v>
                      </c:pt>
                      <c:pt idx="12">
                        <c:v>0.89730943578603661</c:v>
                      </c:pt>
                      <c:pt idx="13">
                        <c:v>0.94762913630945367</c:v>
                      </c:pt>
                      <c:pt idx="14">
                        <c:v>1.0108255899172156</c:v>
                      </c:pt>
                      <c:pt idx="15">
                        <c:v>0.82152263708863138</c:v>
                      </c:pt>
                      <c:pt idx="16">
                        <c:v>0.75888770975644981</c:v>
                      </c:pt>
                      <c:pt idx="17">
                        <c:v>0.89189695290651405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(Analyses_CV_ZS!$M$61,Analyses_CV_ZS!$M$63:$M$64,Analyses_CV_ZS!$M$66:$M$67,Analyses_CV_ZS!$M$70:$M$71,Analyses_CV_ZS!$M$74:$M$75,Analyses_CV_ZS!$M$79:$M$83,Analyses_CV_ZS!$M$85:$M$86,Analyses_CV_ZS!$M$89,Analyses_CV_ZS!$M$93)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0.84188819096949163</c:v>
                      </c:pt>
                      <c:pt idx="1">
                        <c:v>0.90585634160073292</c:v>
                      </c:pt>
                      <c:pt idx="2">
                        <c:v>0.58773686512627554</c:v>
                      </c:pt>
                      <c:pt idx="3">
                        <c:v>0.95000077348854817</c:v>
                      </c:pt>
                      <c:pt idx="4">
                        <c:v>0.78184345908750563</c:v>
                      </c:pt>
                      <c:pt idx="5">
                        <c:v>0.84117342468222855</c:v>
                      </c:pt>
                      <c:pt idx="6">
                        <c:v>0.9647920451762062</c:v>
                      </c:pt>
                      <c:pt idx="7">
                        <c:v>1.0167808056265062</c:v>
                      </c:pt>
                      <c:pt idx="8">
                        <c:v>0.86232105635995293</c:v>
                      </c:pt>
                      <c:pt idx="9">
                        <c:v>0.90377259125899301</c:v>
                      </c:pt>
                      <c:pt idx="10">
                        <c:v>0.81194083672985284</c:v>
                      </c:pt>
                      <c:pt idx="11">
                        <c:v>0.80199866101764983</c:v>
                      </c:pt>
                      <c:pt idx="12">
                        <c:v>0.71073666177010908</c:v>
                      </c:pt>
                      <c:pt idx="13">
                        <c:v>0.85689676430347506</c:v>
                      </c:pt>
                      <c:pt idx="14">
                        <c:v>0.91637384211436246</c:v>
                      </c:pt>
                      <c:pt idx="15">
                        <c:v>0.77466406023481671</c:v>
                      </c:pt>
                      <c:pt idx="16">
                        <c:v>0.71510757688727467</c:v>
                      </c:pt>
                      <c:pt idx="17">
                        <c:v>0.84767628018422314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3"/>
          <c:order val="13"/>
          <c:tx>
            <c:strRef>
              <c:f>Analyses_CV_ZS!$Q$60</c:f>
              <c:strCache>
                <c:ptCount val="1"/>
                <c:pt idx="0">
                  <c:v>Rota 3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(Analyses_CV_ZS!$C$61,Analyses_CV_ZS!$C$63:$C$64,Analyses_CV_ZS!$C$66:$C$67,Analyses_CV_ZS!$C$70:$C$71,Analyses_CV_ZS!$C$74:$C$75,Analyses_CV_ZS!$C$79:$C$83,Analyses_CV_ZS!$C$85:$C$86,Analyses_CV_ZS!$C$89,Analyses_CV_ZS!$C$93)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Birambizo</c:v>
                </c:pt>
                <c:pt idx="4">
                  <c:v> Butembo</c:v>
                </c:pt>
                <c:pt idx="5">
                  <c:v> Kalunguta</c:v>
                </c:pt>
                <c:pt idx="6">
                  <c:v> Kamango</c:v>
                </c:pt>
                <c:pt idx="7">
                  <c:v> Katwa</c:v>
                </c:pt>
                <c:pt idx="8">
                  <c:v> Kayna</c:v>
                </c:pt>
                <c:pt idx="9">
                  <c:v> Kyondo</c:v>
                </c:pt>
                <c:pt idx="10">
                  <c:v> Lubero</c:v>
                </c:pt>
                <c:pt idx="11">
                  <c:v> Mabalako</c:v>
                </c:pt>
                <c:pt idx="12">
                  <c:v> Manguredjipa</c:v>
                </c:pt>
                <c:pt idx="13">
                  <c:v> Masereka</c:v>
                </c:pt>
                <c:pt idx="14">
                  <c:v> Musienene</c:v>
                </c:pt>
                <c:pt idx="15">
                  <c:v> Mutwanga</c:v>
                </c:pt>
                <c:pt idx="16">
                  <c:v> Oicha</c:v>
                </c:pt>
                <c:pt idx="17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Analyses_CV_ZS!$Q$61:$Q$94</c15:sqref>
                  </c15:fullRef>
                </c:ext>
              </c:extLst>
              <c:f>(Analyses_CV_ZS!$Q$61,Analyses_CV_ZS!$Q$63:$Q$64,Analyses_CV_ZS!$Q$66:$Q$67,Analyses_CV_ZS!$Q$70:$Q$71,Analyses_CV_ZS!$Q$74:$Q$75,Analyses_CV_ZS!$Q$79:$Q$83,Analyses_CV_ZS!$Q$85:$Q$86,Analyses_CV_ZS!$Q$89,Analyses_CV_ZS!$Q$93)</c:f>
              <c:numCache>
                <c:formatCode>0%</c:formatCode>
                <c:ptCount val="18"/>
                <c:pt idx="0">
                  <c:v>0.87795270556218197</c:v>
                </c:pt>
                <c:pt idx="1">
                  <c:v>0.85863740415276413</c:v>
                </c:pt>
                <c:pt idx="2">
                  <c:v>0.60204157189654472</c:v>
                </c:pt>
                <c:pt idx="3">
                  <c:v>0.90965104830510835</c:v>
                </c:pt>
                <c:pt idx="4">
                  <c:v>0.7278084214630498</c:v>
                </c:pt>
                <c:pt idx="5">
                  <c:v>0.90700939917782342</c:v>
                </c:pt>
                <c:pt idx="6">
                  <c:v>0.98536430104621009</c:v>
                </c:pt>
                <c:pt idx="7">
                  <c:v>0.9628111523956735</c:v>
                </c:pt>
                <c:pt idx="8">
                  <c:v>0.75911209957925252</c:v>
                </c:pt>
                <c:pt idx="9">
                  <c:v>0.92495939134916283</c:v>
                </c:pt>
                <c:pt idx="10">
                  <c:v>0.82572994674693279</c:v>
                </c:pt>
                <c:pt idx="11">
                  <c:v>0.80199866101764983</c:v>
                </c:pt>
                <c:pt idx="12">
                  <c:v>0.66074923929791718</c:v>
                </c:pt>
                <c:pt idx="13">
                  <c:v>0.89015325125387357</c:v>
                </c:pt>
                <c:pt idx="14">
                  <c:v>0.79239259753793112</c:v>
                </c:pt>
                <c:pt idx="15">
                  <c:v>0.70123618722677716</c:v>
                </c:pt>
                <c:pt idx="16">
                  <c:v>0.59435138622614303</c:v>
                </c:pt>
                <c:pt idx="17">
                  <c:v>0.82930769305342533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D-4B66-44F6-8968-A6990199EF46}"/>
            </c:ext>
          </c:extLst>
        </c:ser>
        <c:ser>
          <c:idx val="17"/>
          <c:order val="17"/>
          <c:tx>
            <c:strRef>
              <c:f>Analyses_CV_ZS!$U$60</c:f>
              <c:strCache>
                <c:ptCount val="1"/>
                <c:pt idx="0">
                  <c:v>VPI1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37F204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(Analyses_CV_ZS!$C$61,Analyses_CV_ZS!$C$63:$C$64,Analyses_CV_ZS!$C$66:$C$67,Analyses_CV_ZS!$C$70:$C$71,Analyses_CV_ZS!$C$74:$C$75,Analyses_CV_ZS!$C$79:$C$83,Analyses_CV_ZS!$C$85:$C$86,Analyses_CV_ZS!$C$89,Analyses_CV_ZS!$C$93)</c:f>
              <c:strCache>
                <c:ptCount val="18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Birambizo</c:v>
                </c:pt>
                <c:pt idx="4">
                  <c:v> Butembo</c:v>
                </c:pt>
                <c:pt idx="5">
                  <c:v> Kalunguta</c:v>
                </c:pt>
                <c:pt idx="6">
                  <c:v> Kamango</c:v>
                </c:pt>
                <c:pt idx="7">
                  <c:v> Katwa</c:v>
                </c:pt>
                <c:pt idx="8">
                  <c:v> Kayna</c:v>
                </c:pt>
                <c:pt idx="9">
                  <c:v> Kyondo</c:v>
                </c:pt>
                <c:pt idx="10">
                  <c:v> Lubero</c:v>
                </c:pt>
                <c:pt idx="11">
                  <c:v> Mabalako</c:v>
                </c:pt>
                <c:pt idx="12">
                  <c:v> Manguredjipa</c:v>
                </c:pt>
                <c:pt idx="13">
                  <c:v> Masereka</c:v>
                </c:pt>
                <c:pt idx="14">
                  <c:v> Musienene</c:v>
                </c:pt>
                <c:pt idx="15">
                  <c:v> Mutwanga</c:v>
                </c:pt>
                <c:pt idx="16">
                  <c:v> Oicha</c:v>
                </c:pt>
                <c:pt idx="17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Analyses_CV_ZS!$U$61:$U$94</c15:sqref>
                  </c15:fullRef>
                </c:ext>
              </c:extLst>
              <c:f>(Analyses_CV_ZS!$U$61,Analyses_CV_ZS!$U$63:$U$64,Analyses_CV_ZS!$U$66:$U$67,Analyses_CV_ZS!$U$70:$U$71,Analyses_CV_ZS!$U$74:$U$75,Analyses_CV_ZS!$U$79:$U$83,Analyses_CV_ZS!$U$85:$U$86,Analyses_CV_ZS!$U$89,Analyses_CV_ZS!$U$93)</c:f>
              <c:numCache>
                <c:formatCode>0%</c:formatCode>
                <c:ptCount val="18"/>
                <c:pt idx="0">
                  <c:v>0.92389476236815693</c:v>
                </c:pt>
                <c:pt idx="1">
                  <c:v>1.0900939420116345</c:v>
                </c:pt>
                <c:pt idx="2">
                  <c:v>0.74073503319089329</c:v>
                </c:pt>
                <c:pt idx="3">
                  <c:v>0.91977412423452254</c:v>
                </c:pt>
                <c:pt idx="4">
                  <c:v>0.87838947417954294</c:v>
                </c:pt>
                <c:pt idx="5">
                  <c:v>0.93366072364540553</c:v>
                </c:pt>
                <c:pt idx="6">
                  <c:v>1.0421717803236072</c:v>
                </c:pt>
                <c:pt idx="7">
                  <c:v>1.1159531522891539</c:v>
                </c:pt>
                <c:pt idx="8">
                  <c:v>0.9663629540977976</c:v>
                </c:pt>
                <c:pt idx="9">
                  <c:v>1.0831936745400816</c:v>
                </c:pt>
                <c:pt idx="10">
                  <c:v>0.99100907233096691</c:v>
                </c:pt>
                <c:pt idx="11">
                  <c:v>0.94374268781162574</c:v>
                </c:pt>
                <c:pt idx="12">
                  <c:v>0.8751319173652754</c:v>
                </c:pt>
                <c:pt idx="13">
                  <c:v>0.94780987808635797</c:v>
                </c:pt>
                <c:pt idx="14">
                  <c:v>1.0543202999663848</c:v>
                </c:pt>
                <c:pt idx="15">
                  <c:v>0.83215035555032135</c:v>
                </c:pt>
                <c:pt idx="16">
                  <c:v>0.74031723581414033</c:v>
                </c:pt>
                <c:pt idx="17">
                  <c:v>0.96695871019409507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1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94288"/>
        <c:axId val="-138459864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(Analyses_CV_ZS!$O$61,Analyses_CV_ZS!$O$63:$O$64,Analyses_CV_ZS!$O$66:$O$67,Analyses_CV_ZS!$O$70:$O$71,Analyses_CV_ZS!$O$74:$O$75,Analyses_CV_ZS!$O$79:$O$83,Analyses_CV_ZS!$O$85:$O$86,Analyses_CV_ZS!$O$89,Analyses_CV_ZS!$O$93)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0.96420891721540003</c:v>
                      </c:pt>
                      <c:pt idx="1">
                        <c:v>0.96808484579546394</c:v>
                      </c:pt>
                      <c:pt idx="2">
                        <c:v>0.75524705455203589</c:v>
                      </c:pt>
                      <c:pt idx="3">
                        <c:v>0.98493251437173801</c:v>
                      </c:pt>
                      <c:pt idx="4">
                        <c:v>0.84676233130456513</c:v>
                      </c:pt>
                      <c:pt idx="5">
                        <c:v>0.91089905193795695</c:v>
                      </c:pt>
                      <c:pt idx="6">
                        <c:v>1.1160448809477121</c:v>
                      </c:pt>
                      <c:pt idx="7">
                        <c:v>1.0287809704577857</c:v>
                      </c:pt>
                      <c:pt idx="8">
                        <c:v>0.9753738608159952</c:v>
                      </c:pt>
                      <c:pt idx="9">
                        <c:v>0.93577503055603284</c:v>
                      </c:pt>
                      <c:pt idx="10">
                        <c:v>0.91369495892485664</c:v>
                      </c:pt>
                      <c:pt idx="11">
                        <c:v>0.82995412319009898</c:v>
                      </c:pt>
                      <c:pt idx="12">
                        <c:v>0.87442786916144177</c:v>
                      </c:pt>
                      <c:pt idx="13">
                        <c:v>1.0029361200421816</c:v>
                      </c:pt>
                      <c:pt idx="14">
                        <c:v>0.93780138309446792</c:v>
                      </c:pt>
                      <c:pt idx="15">
                        <c:v>0.87156952948095301</c:v>
                      </c:pt>
                      <c:pt idx="16">
                        <c:v>0.73088766873462574</c:v>
                      </c:pt>
                      <c:pt idx="17">
                        <c:v>0.84291405389105334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(Analyses_CV_ZS!$P$61,Analyses_CV_ZS!$P$63:$P$64,Analyses_CV_ZS!$P$66:$P$67,Analyses_CV_ZS!$P$70:$P$71,Analyses_CV_ZS!$P$74:$P$75,Analyses_CV_ZS!$P$79:$P$83,Analyses_CV_ZS!$P$85:$P$86,Analyses_CV_ZS!$P$89,Analyses_CV_ZS!$P$93)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0.87002770076315128</c:v>
                      </c:pt>
                      <c:pt idx="1">
                        <c:v>0.91416635924164424</c:v>
                      </c:pt>
                      <c:pt idx="2">
                        <c:v>0.64226060252599704</c:v>
                      </c:pt>
                      <c:pt idx="3">
                        <c:v>0.90266470012847044</c:v>
                      </c:pt>
                      <c:pt idx="4">
                        <c:v>0.83523827114769067</c:v>
                      </c:pt>
                      <c:pt idx="5">
                        <c:v>0.84852054656248088</c:v>
                      </c:pt>
                      <c:pt idx="6">
                        <c:v>0.99658553152075768</c:v>
                      </c:pt>
                      <c:pt idx="7">
                        <c:v>1.065838474289095</c:v>
                      </c:pt>
                      <c:pt idx="8">
                        <c:v>0.8158278065702611</c:v>
                      </c:pt>
                      <c:pt idx="9">
                        <c:v>0.94377564038029271</c:v>
                      </c:pt>
                      <c:pt idx="10">
                        <c:v>0.85644637802635915</c:v>
                      </c:pt>
                      <c:pt idx="11">
                        <c:v>0.77572895535811215</c:v>
                      </c:pt>
                      <c:pt idx="12">
                        <c:v>0.69876784230493638</c:v>
                      </c:pt>
                      <c:pt idx="13">
                        <c:v>0.95503954916253164</c:v>
                      </c:pt>
                      <c:pt idx="14">
                        <c:v>0.82437400198584976</c:v>
                      </c:pt>
                      <c:pt idx="15">
                        <c:v>0.7556307826261538</c:v>
                      </c:pt>
                      <c:pt idx="16">
                        <c:v>0.65198720949787037</c:v>
                      </c:pt>
                      <c:pt idx="17">
                        <c:v>0.79257051879182983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(Analyses_CV_ZS!$R$61,Analyses_CV_ZS!$R$63:$R$64,Analyses_CV_ZS!$R$66:$R$67,Analyses_CV_ZS!$R$70:$R$71,Analyses_CV_ZS!$R$74:$R$75,Analyses_CV_ZS!$R$79:$R$83,Analyses_CV_ZS!$R$85:$R$86,Analyses_CV_ZS!$R$89,Analyses_CV_ZS!$R$93)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1.0450669371939161</c:v>
                      </c:pt>
                      <c:pt idx="1">
                        <c:v>1.0573692213792085</c:v>
                      </c:pt>
                      <c:pt idx="2">
                        <c:v>0.83879483467404259</c:v>
                      </c:pt>
                      <c:pt idx="3">
                        <c:v>0.90323501426533881</c:v>
                      </c:pt>
                      <c:pt idx="4">
                        <c:v>0.88440759448368844</c:v>
                      </c:pt>
                      <c:pt idx="5">
                        <c:v>0.96492200693981278</c:v>
                      </c:pt>
                      <c:pt idx="6">
                        <c:v>1.0957064007125947</c:v>
                      </c:pt>
                      <c:pt idx="7">
                        <c:v>1.0644705798523688</c:v>
                      </c:pt>
                      <c:pt idx="8">
                        <c:v>0.95349023021465817</c:v>
                      </c:pt>
                      <c:pt idx="9">
                        <c:v>0.94733146696885273</c:v>
                      </c:pt>
                      <c:pt idx="10">
                        <c:v>0.92215861955602985</c:v>
                      </c:pt>
                      <c:pt idx="11">
                        <c:v>0.92182785314377613</c:v>
                      </c:pt>
                      <c:pt idx="12">
                        <c:v>0.83922545896975731</c:v>
                      </c:pt>
                      <c:pt idx="13">
                        <c:v>0.98504268412865204</c:v>
                      </c:pt>
                      <c:pt idx="14">
                        <c:v>1.0291615951340223</c:v>
                      </c:pt>
                      <c:pt idx="15">
                        <c:v>0.74732183910155991</c:v>
                      </c:pt>
                      <c:pt idx="16">
                        <c:v>0.6851831344206516</c:v>
                      </c:pt>
                      <c:pt idx="17">
                        <c:v>0.97036030040350207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(Analyses_CV_ZS!$S$61,Analyses_CV_ZS!$S$63:$S$64,Analyses_CV_ZS!$S$66:$S$67,Analyses_CV_ZS!$S$70:$S$71,Analyses_CV_ZS!$S$74:$S$75,Analyses_CV_ZS!$S$79:$S$83,Analyses_CV_ZS!$S$85:$S$86,Analyses_CV_ZS!$S$89,Analyses_CV_ZS!$S$93)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0.38510929117608533</c:v>
                      </c:pt>
                      <c:pt idx="1">
                        <c:v>0.43431115453506908</c:v>
                      </c:pt>
                      <c:pt idx="2">
                        <c:v>0.26785045140851782</c:v>
                      </c:pt>
                      <c:pt idx="3">
                        <c:v>0.56789030178671573</c:v>
                      </c:pt>
                      <c:pt idx="4">
                        <c:v>0.13585586473826458</c:v>
                      </c:pt>
                      <c:pt idx="5">
                        <c:v>0.53000120387153937</c:v>
                      </c:pt>
                      <c:pt idx="6">
                        <c:v>0.25084125623311587</c:v>
                      </c:pt>
                      <c:pt idx="7">
                        <c:v>0.28775524787130624</c:v>
                      </c:pt>
                      <c:pt idx="8">
                        <c:v>0.22974026036144163</c:v>
                      </c:pt>
                      <c:pt idx="9">
                        <c:v>0.22075756737309829</c:v>
                      </c:pt>
                      <c:pt idx="10">
                        <c:v>0.45047595966143272</c:v>
                      </c:pt>
                      <c:pt idx="11">
                        <c:v>0.25426827403081909</c:v>
                      </c:pt>
                      <c:pt idx="12">
                        <c:v>0.3115413301964074</c:v>
                      </c:pt>
                      <c:pt idx="13">
                        <c:v>0.31828626912854241</c:v>
                      </c:pt>
                      <c:pt idx="14">
                        <c:v>0.82863818924557231</c:v>
                      </c:pt>
                      <c:pt idx="15">
                        <c:v>9.2557766239081365E-2</c:v>
                      </c:pt>
                      <c:pt idx="16">
                        <c:v>0.19272880469661074</c:v>
                      </c:pt>
                      <c:pt idx="17">
                        <c:v>0.3583008353908701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(Analyses_CV_ZS!$T$61,Analyses_CV_ZS!$T$63:$T$64,Analyses_CV_ZS!$T$66:$T$67,Analyses_CV_ZS!$T$70:$T$71,Analyses_CV_ZS!$T$74:$T$75,Analyses_CV_ZS!$T$79:$T$83,Analyses_CV_ZS!$T$85:$T$86,Analyses_CV_ZS!$T$89,Analyses_CV_ZS!$T$93)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0.97810638939920747</c:v>
                      </c:pt>
                      <c:pt idx="1">
                        <c:v>0.91513264036268038</c:v>
                      </c:pt>
                      <c:pt idx="2">
                        <c:v>0.77908823250248449</c:v>
                      </c:pt>
                      <c:pt idx="3">
                        <c:v>0.92134248811091068</c:v>
                      </c:pt>
                      <c:pt idx="4">
                        <c:v>0.79298338390581768</c:v>
                      </c:pt>
                      <c:pt idx="5">
                        <c:v>0.91522088833810544</c:v>
                      </c:pt>
                      <c:pt idx="6">
                        <c:v>0.97157153858791201</c:v>
                      </c:pt>
                      <c:pt idx="7">
                        <c:v>0.9993090630483219</c:v>
                      </c:pt>
                      <c:pt idx="8">
                        <c:v>0.84755528484693998</c:v>
                      </c:pt>
                      <c:pt idx="9">
                        <c:v>0.89532750311116305</c:v>
                      </c:pt>
                      <c:pt idx="10">
                        <c:v>0.92215861955602985</c:v>
                      </c:pt>
                      <c:pt idx="11">
                        <c:v>0.78415773792266974</c:v>
                      </c:pt>
                      <c:pt idx="12">
                        <c:v>0.74347490324837562</c:v>
                      </c:pt>
                      <c:pt idx="13">
                        <c:v>0.90605852762145556</c:v>
                      </c:pt>
                      <c:pt idx="14">
                        <c:v>0.99547451578221458</c:v>
                      </c:pt>
                      <c:pt idx="15">
                        <c:v>0.68249275648525132</c:v>
                      </c:pt>
                      <c:pt idx="16">
                        <c:v>0.66093567621618532</c:v>
                      </c:pt>
                      <c:pt idx="17">
                        <c:v>0.86513777659251234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(Analyses_CV_ZS!$V$61,Analyses_CV_ZS!$V$63:$V$64,Analyses_CV_ZS!$V$66:$V$67,Analyses_CV_ZS!$V$70:$V$71,Analyses_CV_ZS!$V$74:$V$75,Analyses_CV_ZS!$V$79:$V$83,Analyses_CV_ZS!$V$85:$V$86,Analyses_CV_ZS!$V$89,Analyses_CV_ZS!$V$93)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0.68074642672253438</c:v>
                      </c:pt>
                      <c:pt idx="1">
                        <c:v>0.95384830394553066</c:v>
                      </c:pt>
                      <c:pt idx="2">
                        <c:v>0.67999185806496787</c:v>
                      </c:pt>
                      <c:pt idx="3">
                        <c:v>0.73228335173903392</c:v>
                      </c:pt>
                      <c:pt idx="4">
                        <c:v>0.83421391024485747</c:v>
                      </c:pt>
                      <c:pt idx="5">
                        <c:v>0.77850679688007585</c:v>
                      </c:pt>
                      <c:pt idx="6">
                        <c:v>0.51594282619430265</c:v>
                      </c:pt>
                      <c:pt idx="7">
                        <c:v>0.96660395060659599</c:v>
                      </c:pt>
                      <c:pt idx="8">
                        <c:v>0.78977947118320246</c:v>
                      </c:pt>
                      <c:pt idx="9">
                        <c:v>0.54196723587301587</c:v>
                      </c:pt>
                      <c:pt idx="10">
                        <c:v>0.81365258831817999</c:v>
                      </c:pt>
                      <c:pt idx="11">
                        <c:v>0.74805445260448156</c:v>
                      </c:pt>
                      <c:pt idx="12">
                        <c:v>0.72094536072569759</c:v>
                      </c:pt>
                      <c:pt idx="13">
                        <c:v>0.88726138282340417</c:v>
                      </c:pt>
                      <c:pt idx="14">
                        <c:v>0.99312921278936717</c:v>
                      </c:pt>
                      <c:pt idx="15">
                        <c:v>0.37767046787950842</c:v>
                      </c:pt>
                      <c:pt idx="16">
                        <c:v>0.55413139602984585</c:v>
                      </c:pt>
                      <c:pt idx="17">
                        <c:v>0.92727349108434676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(Analyses_CV_ZS!$W$61,Analyses_CV_ZS!$W$63:$W$64,Analyses_CV_ZS!$W$66:$W$67,Analyses_CV_ZS!$W$70:$W$71,Analyses_CV_ZS!$W$74:$W$75,Analyses_CV_ZS!$W$79:$W$83,Analyses_CV_ZS!$W$85:$W$86,Analyses_CV_ZS!$W$89,Analyses_CV_ZS!$W$93)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0.44644050132278673</c:v>
                      </c:pt>
                      <c:pt idx="1">
                        <c:v>0.38596215131604822</c:v>
                      </c:pt>
                      <c:pt idx="2">
                        <c:v>0.24364802778347228</c:v>
                      </c:pt>
                      <c:pt idx="3">
                        <c:v>0.4921254944890901</c:v>
                      </c:pt>
                      <c:pt idx="4">
                        <c:v>0.34443078985588194</c:v>
                      </c:pt>
                      <c:pt idx="5">
                        <c:v>0.47600093851078457</c:v>
                      </c:pt>
                      <c:pt idx="6">
                        <c:v>0.40039162094356173</c:v>
                      </c:pt>
                      <c:pt idx="7">
                        <c:v>0.438118556747637</c:v>
                      </c:pt>
                      <c:pt idx="8">
                        <c:v>0.47026748472742813</c:v>
                      </c:pt>
                      <c:pt idx="9">
                        <c:v>0.19248170842058995</c:v>
                      </c:pt>
                      <c:pt idx="10">
                        <c:v>0.24269427988251105</c:v>
                      </c:pt>
                      <c:pt idx="11">
                        <c:v>0.42911248115508588</c:v>
                      </c:pt>
                      <c:pt idx="12">
                        <c:v>0.27427693882774512</c:v>
                      </c:pt>
                      <c:pt idx="13">
                        <c:v>0.21068345966631274</c:v>
                      </c:pt>
                      <c:pt idx="14">
                        <c:v>0.2628535640872211</c:v>
                      </c:pt>
                      <c:pt idx="15">
                        <c:v>0.43741781029773741</c:v>
                      </c:pt>
                      <c:pt idx="16">
                        <c:v>0.37022837745944415</c:v>
                      </c:pt>
                      <c:pt idx="17">
                        <c:v>0.19390198057023009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(Analyses_CV_ZS!$C$61,Analyses_CV_ZS!$C$63:$C$64,Analyses_CV_ZS!$C$66:$C$67,Analyses_CV_ZS!$C$70:$C$71,Analyses_CV_ZS!$C$74:$C$75,Analyses_CV_ZS!$C$79:$C$83,Analyses_CV_ZS!$C$85:$C$86,Analyses_CV_ZS!$C$89,Analyses_CV_ZS!$C$93)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8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Birambizo</c:v>
                      </c:pt>
                      <c:pt idx="4">
                        <c:v> Butembo</c:v>
                      </c:pt>
                      <c:pt idx="5">
                        <c:v> Kalunguta</c:v>
                      </c:pt>
                      <c:pt idx="6">
                        <c:v> Kamango</c:v>
                      </c:pt>
                      <c:pt idx="7">
                        <c:v> Katwa</c:v>
                      </c:pt>
                      <c:pt idx="8">
                        <c:v> Kayna</c:v>
                      </c:pt>
                      <c:pt idx="9">
                        <c:v> Kyondo</c:v>
                      </c:pt>
                      <c:pt idx="10">
                        <c:v> Lubero</c:v>
                      </c:pt>
                      <c:pt idx="11">
                        <c:v> Mabalako</c:v>
                      </c:pt>
                      <c:pt idx="12">
                        <c:v> Manguredjipa</c:v>
                      </c:pt>
                      <c:pt idx="13">
                        <c:v> Masereka</c:v>
                      </c:pt>
                      <c:pt idx="14">
                        <c:v> Musienene</c:v>
                      </c:pt>
                      <c:pt idx="15">
                        <c:v> Mutwanga</c:v>
                      </c:pt>
                      <c:pt idx="16">
                        <c:v> Oicha</c:v>
                      </c:pt>
                      <c:pt idx="17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(Analyses_CV_ZS!$X$61,Analyses_CV_ZS!$X$63:$X$64,Analyses_CV_ZS!$X$66:$X$67,Analyses_CV_ZS!$X$70:$X$71,Analyses_CV_ZS!$X$74:$X$75,Analyses_CV_ZS!$X$79:$X$83,Analyses_CV_ZS!$X$85:$X$86,Analyses_CV_ZS!$X$89,Analyses_CV_ZS!$X$93)</c15:sqref>
                        </c15:formulaRef>
                      </c:ext>
                    </c:extLst>
                    <c:numCache>
                      <c:formatCode>0%</c:formatCode>
                      <c:ptCount val="18"/>
                      <c:pt idx="0">
                        <c:v>0.83676278025707496</c:v>
                      </c:pt>
                      <c:pt idx="1">
                        <c:v>0.969823346579061</c:v>
                      </c:pt>
                      <c:pt idx="2">
                        <c:v>0.5005004401461528</c:v>
                      </c:pt>
                      <c:pt idx="3">
                        <c:v>0.67511755778369364</c:v>
                      </c:pt>
                      <c:pt idx="4">
                        <c:v>0.48229248128700691</c:v>
                      </c:pt>
                      <c:pt idx="5">
                        <c:v>0.62922120364008116</c:v>
                      </c:pt>
                      <c:pt idx="6">
                        <c:v>0.69063985151039231</c:v>
                      </c:pt>
                      <c:pt idx="7">
                        <c:v>0.64985415939573354</c:v>
                      </c:pt>
                      <c:pt idx="8">
                        <c:v>0.68373113226245485</c:v>
                      </c:pt>
                      <c:pt idx="9">
                        <c:v>0.48294940406939157</c:v>
                      </c:pt>
                      <c:pt idx="10">
                        <c:v>0.61175553011068518</c:v>
                      </c:pt>
                      <c:pt idx="11">
                        <c:v>0.79461188669763549</c:v>
                      </c:pt>
                      <c:pt idx="12">
                        <c:v>0.5387253647299719</c:v>
                      </c:pt>
                      <c:pt idx="13">
                        <c:v>0.65128943744152068</c:v>
                      </c:pt>
                      <c:pt idx="14">
                        <c:v>0.88557281800227594</c:v>
                      </c:pt>
                      <c:pt idx="15">
                        <c:v>0.50409684054354786</c:v>
                      </c:pt>
                      <c:pt idx="16">
                        <c:v>0.62485483297747002</c:v>
                      </c:pt>
                      <c:pt idx="17">
                        <c:v>0.75503056924081435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9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8640"/>
        <c:crosses val="autoZero"/>
        <c:auto val="1"/>
        <c:lblAlgn val="ctr"/>
        <c:lblOffset val="100"/>
        <c:noMultiLvlLbl val="0"/>
      </c:catAx>
      <c:valAx>
        <c:axId val="-13845986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</a:t>
            </a:r>
            <a:r>
              <a:rPr lang="en-US" baseline="0"/>
              <a:t> BUT - </a:t>
            </a:r>
            <a:r>
              <a:rPr lang="en-US"/>
              <a:t>CV VAR 1_VAA_VPI</a:t>
            </a:r>
            <a:r>
              <a:rPr lang="en-US" baseline="0"/>
              <a:t>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4"/>
          <c:order val="14"/>
          <c:tx>
            <c:strRef>
              <c:f>Analyses_CV_ZS!$R$60</c:f>
              <c:strCache>
                <c:ptCount val="1"/>
                <c:pt idx="0">
                  <c:v>VAR1/RR1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Analyses_CV_ZS!$R$61:$R$94</c15:sqref>
                  </c15:fullRef>
                </c:ext>
              </c:extLst>
              <c:f>(Analyses_CV_ZS!$R$61,Analyses_CV_ZS!$R$63:$R$64,Analyses_CV_ZS!$R$67,Analyses_CV_ZS!$R$70:$R$71,Analyses_CV_ZS!$R$74:$R$75,Analyses_CV_ZS!$R$79:$R$83,Analyses_CV_ZS!$R$85:$R$86,Analyses_CV_ZS!$R$89,Analyses_CV_ZS!$R$93)</c:f>
              <c:numCache>
                <c:formatCode>0%</c:formatCode>
                <c:ptCount val="17"/>
                <c:pt idx="0">
                  <c:v>1.0450669371939161</c:v>
                </c:pt>
                <c:pt idx="1">
                  <c:v>1.0573692213792085</c:v>
                </c:pt>
                <c:pt idx="2">
                  <c:v>0.83879483467404259</c:v>
                </c:pt>
                <c:pt idx="3">
                  <c:v>0.88440759448368844</c:v>
                </c:pt>
                <c:pt idx="4">
                  <c:v>0.96492200693981278</c:v>
                </c:pt>
                <c:pt idx="5">
                  <c:v>1.0957064007125947</c:v>
                </c:pt>
                <c:pt idx="6">
                  <c:v>1.0644705798523688</c:v>
                </c:pt>
                <c:pt idx="7">
                  <c:v>0.95349023021465817</c:v>
                </c:pt>
                <c:pt idx="8">
                  <c:v>0.94733146696885273</c:v>
                </c:pt>
                <c:pt idx="9">
                  <c:v>0.92215861955602985</c:v>
                </c:pt>
                <c:pt idx="10">
                  <c:v>0.92182785314377613</c:v>
                </c:pt>
                <c:pt idx="11">
                  <c:v>0.83922545896975731</c:v>
                </c:pt>
                <c:pt idx="12">
                  <c:v>0.98504268412865204</c:v>
                </c:pt>
                <c:pt idx="13">
                  <c:v>1.0291615951340223</c:v>
                </c:pt>
                <c:pt idx="14">
                  <c:v>0.74732183910155991</c:v>
                </c:pt>
                <c:pt idx="15">
                  <c:v>0.6851831344206516</c:v>
                </c:pt>
                <c:pt idx="16">
                  <c:v>0.97036030040350207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E-4B66-44F6-8968-A6990199EF46}"/>
            </c:ext>
          </c:extLst>
        </c:ser>
        <c:ser>
          <c:idx val="16"/>
          <c:order val="16"/>
          <c:tx>
            <c:strRef>
              <c:f>Analyses_CV_ZS!$T$60</c:f>
              <c:strCache>
                <c:ptCount val="1"/>
                <c:pt idx="0">
                  <c:v>VAA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Analyses_CV_ZS!$T$61:$T$94</c15:sqref>
                  </c15:fullRef>
                </c:ext>
              </c:extLst>
              <c:f>(Analyses_CV_ZS!$T$61,Analyses_CV_ZS!$T$63:$T$64,Analyses_CV_ZS!$T$67,Analyses_CV_ZS!$T$70:$T$71,Analyses_CV_ZS!$T$74:$T$75,Analyses_CV_ZS!$T$79:$T$83,Analyses_CV_ZS!$T$85:$T$86,Analyses_CV_ZS!$T$89,Analyses_CV_ZS!$T$93)</c:f>
              <c:numCache>
                <c:formatCode>0%</c:formatCode>
                <c:ptCount val="17"/>
                <c:pt idx="0">
                  <c:v>0.97810638939920747</c:v>
                </c:pt>
                <c:pt idx="1">
                  <c:v>0.91513264036268038</c:v>
                </c:pt>
                <c:pt idx="2">
                  <c:v>0.77908823250248449</c:v>
                </c:pt>
                <c:pt idx="3">
                  <c:v>0.79298338390581768</c:v>
                </c:pt>
                <c:pt idx="4">
                  <c:v>0.91522088833810544</c:v>
                </c:pt>
                <c:pt idx="5">
                  <c:v>0.97157153858791201</c:v>
                </c:pt>
                <c:pt idx="6">
                  <c:v>0.9993090630483219</c:v>
                </c:pt>
                <c:pt idx="7">
                  <c:v>0.84755528484693998</c:v>
                </c:pt>
                <c:pt idx="8">
                  <c:v>0.89532750311116305</c:v>
                </c:pt>
                <c:pt idx="9">
                  <c:v>0.92215861955602985</c:v>
                </c:pt>
                <c:pt idx="10">
                  <c:v>0.78415773792266974</c:v>
                </c:pt>
                <c:pt idx="11">
                  <c:v>0.74347490324837562</c:v>
                </c:pt>
                <c:pt idx="12">
                  <c:v>0.90605852762145556</c:v>
                </c:pt>
                <c:pt idx="13">
                  <c:v>0.99547451578221458</c:v>
                </c:pt>
                <c:pt idx="14">
                  <c:v>0.68249275648525132</c:v>
                </c:pt>
                <c:pt idx="15">
                  <c:v>0.66093567621618532</c:v>
                </c:pt>
                <c:pt idx="16">
                  <c:v>0.86513777659251234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0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-1384589392"/>
        <c:axId val="-13845921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(Analyses_CV_ZS!$D$61,Analyses_CV_ZS!$D$63:$D$64,Analyses_CV_ZS!$D$67,Analyses_CV_ZS!$D$70:$D$71,Analyses_CV_ZS!$D$74:$D$75,Analyses_CV_ZS!$D$79:$D$83,Analyses_CV_ZS!$D$85:$D$86,Analyses_CV_ZS!$D$89,Analyses_CV_ZS!$D$93)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0.70478474653269563</c:v>
                      </c:pt>
                      <c:pt idx="1">
                        <c:v>0.7954743450671371</c:v>
                      </c:pt>
                      <c:pt idx="2">
                        <c:v>0.51696070037502873</c:v>
                      </c:pt>
                      <c:pt idx="3">
                        <c:v>0.73109149815663044</c:v>
                      </c:pt>
                      <c:pt idx="4">
                        <c:v>0.89116626724094594</c:v>
                      </c:pt>
                      <c:pt idx="5">
                        <c:v>0.86421767597446308</c:v>
                      </c:pt>
                      <c:pt idx="6">
                        <c:v>0.90889528228701222</c:v>
                      </c:pt>
                      <c:pt idx="7">
                        <c:v>0.69205561991006037</c:v>
                      </c:pt>
                      <c:pt idx="8">
                        <c:v>0.79978799865560113</c:v>
                      </c:pt>
                      <c:pt idx="9">
                        <c:v>0.65548198669122648</c:v>
                      </c:pt>
                      <c:pt idx="10">
                        <c:v>0.62117739345729084</c:v>
                      </c:pt>
                      <c:pt idx="11">
                        <c:v>0.61796775019196315</c:v>
                      </c:pt>
                      <c:pt idx="12">
                        <c:v>0.79857862256752077</c:v>
                      </c:pt>
                      <c:pt idx="13">
                        <c:v>0.70131488790433372</c:v>
                      </c:pt>
                      <c:pt idx="14">
                        <c:v>0.62851940519944693</c:v>
                      </c:pt>
                      <c:pt idx="15">
                        <c:v>0.51941110461260342</c:v>
                      </c:pt>
                      <c:pt idx="16">
                        <c:v>0.87809896915375629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(Analyses_CV_ZS!$E$61,Analyses_CV_ZS!$E$63:$E$64,Analyses_CV_ZS!$E$67,Analyses_CV_ZS!$E$70:$E$71,Analyses_CV_ZS!$E$74:$E$75,Analyses_CV_ZS!$E$79:$E$83,Analyses_CV_ZS!$E$85:$E$86,Analyses_CV_ZS!$E$89,Analyses_CV_ZS!$E$93)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0.74299791369463042</c:v>
                      </c:pt>
                      <c:pt idx="1">
                        <c:v>0.46613401278786115</c:v>
                      </c:pt>
                      <c:pt idx="2">
                        <c:v>0.32506927848959438</c:v>
                      </c:pt>
                      <c:pt idx="3">
                        <c:v>0.180799699350075</c:v>
                      </c:pt>
                      <c:pt idx="4">
                        <c:v>0.73298345346517879</c:v>
                      </c:pt>
                      <c:pt idx="5">
                        <c:v>0.95590857105052274</c:v>
                      </c:pt>
                      <c:pt idx="6">
                        <c:v>0.69128410670552776</c:v>
                      </c:pt>
                      <c:pt idx="7">
                        <c:v>0.73798568802986486</c:v>
                      </c:pt>
                      <c:pt idx="8">
                        <c:v>0.43203293051003666</c:v>
                      </c:pt>
                      <c:pt idx="9">
                        <c:v>0.506773567455304</c:v>
                      </c:pt>
                      <c:pt idx="10">
                        <c:v>0.44911363098150753</c:v>
                      </c:pt>
                      <c:pt idx="11">
                        <c:v>0.35448827063026245</c:v>
                      </c:pt>
                      <c:pt idx="12">
                        <c:v>0.437214358331598</c:v>
                      </c:pt>
                      <c:pt idx="13">
                        <c:v>0.5054127949586078</c:v>
                      </c:pt>
                      <c:pt idx="14">
                        <c:v>0.38791172385168232</c:v>
                      </c:pt>
                      <c:pt idx="15">
                        <c:v>0.13874934417000134</c:v>
                      </c:pt>
                      <c:pt idx="16">
                        <c:v>0.7231780785199271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(Analyses_CV_ZS!$F$61,Analyses_CV_ZS!$F$63:$F$64,Analyses_CV_ZS!$F$67,Analyses_CV_ZS!$F$70:$F$71,Analyses_CV_ZS!$F$74:$F$75,Analyses_CV_ZS!$F$79:$F$83,Analyses_CV_ZS!$F$85:$F$86,Analyses_CV_ZS!$F$89,Analyses_CV_ZS!$F$93)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0.97132993602032613</c:v>
                      </c:pt>
                      <c:pt idx="1">
                        <c:v>1.1596661827262404</c:v>
                      </c:pt>
                      <c:pt idx="2">
                        <c:v>0.78489304104694146</c:v>
                      </c:pt>
                      <c:pt idx="3">
                        <c:v>0.89388293283489639</c:v>
                      </c:pt>
                      <c:pt idx="4">
                        <c:v>0.99964075935433871</c:v>
                      </c:pt>
                      <c:pt idx="5">
                        <c:v>1.156020514513288</c:v>
                      </c:pt>
                      <c:pt idx="6">
                        <c:v>1.0326981227084107</c:v>
                      </c:pt>
                      <c:pt idx="7">
                        <c:v>1.0950144710239971</c:v>
                      </c:pt>
                      <c:pt idx="8">
                        <c:v>0.95681367120501259</c:v>
                      </c:pt>
                      <c:pt idx="9">
                        <c:v>0.95886618139460122</c:v>
                      </c:pt>
                      <c:pt idx="10">
                        <c:v>0.9864485194720507</c:v>
                      </c:pt>
                      <c:pt idx="11">
                        <c:v>1.1067637764265592</c:v>
                      </c:pt>
                      <c:pt idx="12">
                        <c:v>1.0305896119085456</c:v>
                      </c:pt>
                      <c:pt idx="13">
                        <c:v>1.0821441218360741</c:v>
                      </c:pt>
                      <c:pt idx="14">
                        <c:v>0.82084632773197841</c:v>
                      </c:pt>
                      <c:pt idx="15">
                        <c:v>0.71077767363647704</c:v>
                      </c:pt>
                      <c:pt idx="16">
                        <c:v>0.97330834525165477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(Analyses_CV_ZS!$G$61,Analyses_CV_ZS!$G$63:$G$64,Analyses_CV_ZS!$G$67,Analyses_CV_ZS!$G$70:$G$71,Analyses_CV_ZS!$G$74:$G$75,Analyses_CV_ZS!$G$79:$G$83,Analyses_CV_ZS!$G$85:$G$86,Analyses_CV_ZS!$G$89,Analyses_CV_ZS!$G$93)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0.88346575237889902</c:v>
                      </c:pt>
                      <c:pt idx="1">
                        <c:v>1.1588287390880092</c:v>
                      </c:pt>
                      <c:pt idx="2">
                        <c:v>0.73762531432779133</c:v>
                      </c:pt>
                      <c:pt idx="3">
                        <c:v>0.81513518842958743</c:v>
                      </c:pt>
                      <c:pt idx="4">
                        <c:v>0.92487298963177034</c:v>
                      </c:pt>
                      <c:pt idx="5">
                        <c:v>1.0183266655651937</c:v>
                      </c:pt>
                      <c:pt idx="6">
                        <c:v>0.97493567126665548</c:v>
                      </c:pt>
                      <c:pt idx="7">
                        <c:v>1.0186110686823047</c:v>
                      </c:pt>
                      <c:pt idx="8">
                        <c:v>0.95266520685169265</c:v>
                      </c:pt>
                      <c:pt idx="9">
                        <c:v>0.92282430072926813</c:v>
                      </c:pt>
                      <c:pt idx="10">
                        <c:v>0.91002755755339559</c:v>
                      </c:pt>
                      <c:pt idx="11">
                        <c:v>0.9448326895448107</c:v>
                      </c:pt>
                      <c:pt idx="12">
                        <c:v>0.96642628110750506</c:v>
                      </c:pt>
                      <c:pt idx="13">
                        <c:v>1.0247908031928066</c:v>
                      </c:pt>
                      <c:pt idx="14">
                        <c:v>0.81166784360597344</c:v>
                      </c:pt>
                      <c:pt idx="15">
                        <c:v>0.69345806063328685</c:v>
                      </c:pt>
                      <c:pt idx="16">
                        <c:v>0.92273803747180416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(Analyses_CV_ZS!$H$61,Analyses_CV_ZS!$H$63:$H$64,Analyses_CV_ZS!$H$67,Analyses_CV_ZS!$H$70:$H$71,Analyses_CV_ZS!$H$74:$H$75,Analyses_CV_ZS!$H$79:$H$83,Analyses_CV_ZS!$H$85:$H$86,Analyses_CV_ZS!$H$89,Analyses_CV_ZS!$H$93)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0.90253170595337862</c:v>
                      </c:pt>
                      <c:pt idx="1">
                        <c:v>1.1715836498856869</c:v>
                      </c:pt>
                      <c:pt idx="2">
                        <c:v>0.71108904669598771</c:v>
                      </c:pt>
                      <c:pt idx="3">
                        <c:v>0.85431699296296071</c:v>
                      </c:pt>
                      <c:pt idx="4">
                        <c:v>0.95613427292617759</c:v>
                      </c:pt>
                      <c:pt idx="5">
                        <c:v>1.0524579082586092</c:v>
                      </c:pt>
                      <c:pt idx="6">
                        <c:v>0.97686315888204234</c:v>
                      </c:pt>
                      <c:pt idx="7">
                        <c:v>0.95553472165492148</c:v>
                      </c:pt>
                      <c:pt idx="8">
                        <c:v>0.94584987255695274</c:v>
                      </c:pt>
                      <c:pt idx="9">
                        <c:v>0.93442617260570782</c:v>
                      </c:pt>
                      <c:pt idx="10">
                        <c:v>0.9341900675717939</c:v>
                      </c:pt>
                      <c:pt idx="11">
                        <c:v>0.91631873728954627</c:v>
                      </c:pt>
                      <c:pt idx="12">
                        <c:v>0.9731137268529656</c:v>
                      </c:pt>
                      <c:pt idx="13">
                        <c:v>1.2443964470685147</c:v>
                      </c:pt>
                      <c:pt idx="14">
                        <c:v>0.75891571378703981</c:v>
                      </c:pt>
                      <c:pt idx="15">
                        <c:v>0.64188410191267609</c:v>
                      </c:pt>
                      <c:pt idx="16">
                        <c:v>0.96673193751346786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(Analyses_CV_ZS!$I$61,Analyses_CV_ZS!$I$63:$I$64,Analyses_CV_ZS!$I$67,Analyses_CV_ZS!$I$70:$I$71,Analyses_CV_ZS!$I$74:$I$75,Analyses_CV_ZS!$I$79:$I$83,Analyses_CV_ZS!$I$85:$I$86,Analyses_CV_ZS!$I$89,Analyses_CV_ZS!$I$93)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0.96179695923308628</c:v>
                      </c:pt>
                      <c:pt idx="1">
                        <c:v>1.0368196428718388</c:v>
                      </c:pt>
                      <c:pt idx="2">
                        <c:v>0.85019713717208323</c:v>
                      </c:pt>
                      <c:pt idx="3">
                        <c:v>0.86059120349281459</c:v>
                      </c:pt>
                      <c:pt idx="4">
                        <c:v>0.94417719221910013</c:v>
                      </c:pt>
                      <c:pt idx="5">
                        <c:v>1.1815020587159064</c:v>
                      </c:pt>
                      <c:pt idx="6">
                        <c:v>1.0640353407134104</c:v>
                      </c:pt>
                      <c:pt idx="7">
                        <c:v>0.872013460224905</c:v>
                      </c:pt>
                      <c:pt idx="8">
                        <c:v>0.92347779693726284</c:v>
                      </c:pt>
                      <c:pt idx="9">
                        <c:v>0.97322587527445692</c:v>
                      </c:pt>
                      <c:pt idx="10">
                        <c:v>0.88038633886803497</c:v>
                      </c:pt>
                      <c:pt idx="11">
                        <c:v>1.0032686904630068</c:v>
                      </c:pt>
                      <c:pt idx="12">
                        <c:v>1.0027553782652774</c:v>
                      </c:pt>
                      <c:pt idx="13">
                        <c:v>1.0220190814739871</c:v>
                      </c:pt>
                      <c:pt idx="14">
                        <c:v>0.78770716925598161</c:v>
                      </c:pt>
                      <c:pt idx="15">
                        <c:v>0.77360938080916142</c:v>
                      </c:pt>
                      <c:pt idx="16">
                        <c:v>0.90641040446665055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(Analyses_CV_ZS!$J$61,Analyses_CV_ZS!$J$63:$J$64,Analyses_CV_ZS!$J$67,Analyses_CV_ZS!$J$70:$J$71,Analyses_CV_ZS!$J$74:$J$75,Analyses_CV_ZS!$J$79:$J$83,Analyses_CV_ZS!$J$85:$J$86,Analyses_CV_ZS!$J$89,Analyses_CV_ZS!$J$93)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0.88622227578725743</c:v>
                      </c:pt>
                      <c:pt idx="1">
                        <c:v>1.0586575962072569</c:v>
                      </c:pt>
                      <c:pt idx="2">
                        <c:v>0.75483242537028894</c:v>
                      </c:pt>
                      <c:pt idx="3">
                        <c:v>0.75981969967659002</c:v>
                      </c:pt>
                      <c:pt idx="4">
                        <c:v>0.81437803900130801</c:v>
                      </c:pt>
                      <c:pt idx="5">
                        <c:v>1.0396002483398568</c:v>
                      </c:pt>
                      <c:pt idx="6">
                        <c:v>1.0057754731128457</c:v>
                      </c:pt>
                      <c:pt idx="7">
                        <c:v>0.83665133049886897</c:v>
                      </c:pt>
                      <c:pt idx="8">
                        <c:v>0.92051460811346286</c:v>
                      </c:pt>
                      <c:pt idx="9">
                        <c:v>0.94393590365196989</c:v>
                      </c:pt>
                      <c:pt idx="10">
                        <c:v>0.93742110088820763</c:v>
                      </c:pt>
                      <c:pt idx="11">
                        <c:v>0.87759608607869333</c:v>
                      </c:pt>
                      <c:pt idx="12">
                        <c:v>0.92431344708879382</c:v>
                      </c:pt>
                      <c:pt idx="13">
                        <c:v>0.9898244676630823</c:v>
                      </c:pt>
                      <c:pt idx="14">
                        <c:v>0.74519629540922194</c:v>
                      </c:pt>
                      <c:pt idx="15">
                        <c:v>0.73810417415262164</c:v>
                      </c:pt>
                      <c:pt idx="16">
                        <c:v>0.84563532605857894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(Analyses_CV_ZS!$K$61,Analyses_CV_ZS!$K$63:$K$64,Analyses_CV_ZS!$K$67,Analyses_CV_ZS!$K$70:$K$71,Analyses_CV_ZS!$K$74:$K$75,Analyses_CV_ZS!$K$79:$K$83,Analyses_CV_ZS!$K$85:$K$86,Analyses_CV_ZS!$K$89,Analyses_CV_ZS!$K$93)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0.87680415414203261</c:v>
                      </c:pt>
                      <c:pt idx="1">
                        <c:v>1.0995634969977892</c:v>
                      </c:pt>
                      <c:pt idx="2">
                        <c:v>0.74840567305321148</c:v>
                      </c:pt>
                      <c:pt idx="3">
                        <c:v>0.78069105307181819</c:v>
                      </c:pt>
                      <c:pt idx="4">
                        <c:v>0.92833045875188913</c:v>
                      </c:pt>
                      <c:pt idx="5">
                        <c:v>1.0756016961123636</c:v>
                      </c:pt>
                      <c:pt idx="6">
                        <c:v>1.0772790459417139</c:v>
                      </c:pt>
                      <c:pt idx="7">
                        <c:v>0.77130332631563758</c:v>
                      </c:pt>
                      <c:pt idx="8">
                        <c:v>0.904513388464943</c:v>
                      </c:pt>
                      <c:pt idx="9">
                        <c:v>0.9592465706364518</c:v>
                      </c:pt>
                      <c:pt idx="10">
                        <c:v>0.85903342303782249</c:v>
                      </c:pt>
                      <c:pt idx="11">
                        <c:v>0.81599186824324554</c:v>
                      </c:pt>
                      <c:pt idx="12">
                        <c:v>0.94654468564802763</c:v>
                      </c:pt>
                      <c:pt idx="13">
                        <c:v>0.99920567963447171</c:v>
                      </c:pt>
                      <c:pt idx="14">
                        <c:v>0.69582571237355328</c:v>
                      </c:pt>
                      <c:pt idx="15">
                        <c:v>0.75032412332709464</c:v>
                      </c:pt>
                      <c:pt idx="16">
                        <c:v>0.88940245341961555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(Analyses_CV_ZS!$L$61,Analyses_CV_ZS!$L$63:$L$64,Analyses_CV_ZS!$L$67,Analyses_CV_ZS!$L$70:$L$71,Analyses_CV_ZS!$L$74:$L$75,Analyses_CV_ZS!$L$79:$L$83,Analyses_CV_ZS!$L$85:$L$86,Analyses_CV_ZS!$L$89,Analyses_CV_ZS!$L$93)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0.91849657069345492</c:v>
                      </c:pt>
                      <c:pt idx="1">
                        <c:v>0.97549300105674153</c:v>
                      </c:pt>
                      <c:pt idx="2">
                        <c:v>0.69636971074397158</c:v>
                      </c:pt>
                      <c:pt idx="3">
                        <c:v>0.87339571477823064</c:v>
                      </c:pt>
                      <c:pt idx="4">
                        <c:v>0.90744158281783827</c:v>
                      </c:pt>
                      <c:pt idx="5">
                        <c:v>1.0725626128588404</c:v>
                      </c:pt>
                      <c:pt idx="6">
                        <c:v>1.0838076330260888</c:v>
                      </c:pt>
                      <c:pt idx="7">
                        <c:v>0.99983203619396022</c:v>
                      </c:pt>
                      <c:pt idx="8">
                        <c:v>0.93029313123200286</c:v>
                      </c:pt>
                      <c:pt idx="9">
                        <c:v>0.88944514475688841</c:v>
                      </c:pt>
                      <c:pt idx="10">
                        <c:v>0.86619788821769639</c:v>
                      </c:pt>
                      <c:pt idx="11">
                        <c:v>0.89730943578603661</c:v>
                      </c:pt>
                      <c:pt idx="12">
                        <c:v>0.94762913630945367</c:v>
                      </c:pt>
                      <c:pt idx="13">
                        <c:v>1.0108255899172156</c:v>
                      </c:pt>
                      <c:pt idx="14">
                        <c:v>0.82152263708863138</c:v>
                      </c:pt>
                      <c:pt idx="15">
                        <c:v>0.75888770975644981</c:v>
                      </c:pt>
                      <c:pt idx="16">
                        <c:v>0.89189695290651405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(Analyses_CV_ZS!$M$61,Analyses_CV_ZS!$M$63:$M$64,Analyses_CV_ZS!$M$67,Analyses_CV_ZS!$M$70:$M$71,Analyses_CV_ZS!$M$74:$M$75,Analyses_CV_ZS!$M$79:$M$83,Analyses_CV_ZS!$M$85:$M$86,Analyses_CV_ZS!$M$89,Analyses_CV_ZS!$M$93)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0.84188819096949163</c:v>
                      </c:pt>
                      <c:pt idx="1">
                        <c:v>0.90585634160073292</c:v>
                      </c:pt>
                      <c:pt idx="2">
                        <c:v>0.58773686512627554</c:v>
                      </c:pt>
                      <c:pt idx="3">
                        <c:v>0.78184345908750563</c:v>
                      </c:pt>
                      <c:pt idx="4">
                        <c:v>0.84117342468222855</c:v>
                      </c:pt>
                      <c:pt idx="5">
                        <c:v>0.9647920451762062</c:v>
                      </c:pt>
                      <c:pt idx="6">
                        <c:v>1.0167808056265062</c:v>
                      </c:pt>
                      <c:pt idx="7">
                        <c:v>0.86232105635995293</c:v>
                      </c:pt>
                      <c:pt idx="8">
                        <c:v>0.90377259125899301</c:v>
                      </c:pt>
                      <c:pt idx="9">
                        <c:v>0.81194083672985284</c:v>
                      </c:pt>
                      <c:pt idx="10">
                        <c:v>0.80199866101764983</c:v>
                      </c:pt>
                      <c:pt idx="11">
                        <c:v>0.71073666177010908</c:v>
                      </c:pt>
                      <c:pt idx="12">
                        <c:v>0.85689676430347506</c:v>
                      </c:pt>
                      <c:pt idx="13">
                        <c:v>0.91637384211436246</c:v>
                      </c:pt>
                      <c:pt idx="14">
                        <c:v>0.77466406023481671</c:v>
                      </c:pt>
                      <c:pt idx="15">
                        <c:v>0.71510757688727467</c:v>
                      </c:pt>
                      <c:pt idx="16">
                        <c:v>0.84767628018422314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(Analyses_CV_ZS!$N$61,Analyses_CV_ZS!$N$63:$N$64,Analyses_CV_ZS!$N$67,Analyses_CV_ZS!$N$70:$N$71,Analyses_CV_ZS!$N$74:$N$75,Analyses_CV_ZS!$N$79:$N$83,Analyses_CV_ZS!$N$85:$N$86,Analyses_CV_ZS!$N$89,Analyses_CV_ZS!$N$93)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0.83235521418225178</c:v>
                      </c:pt>
                      <c:pt idx="1">
                        <c:v>1.0706394821081056</c:v>
                      </c:pt>
                      <c:pt idx="2">
                        <c:v>0.54710320531507628</c:v>
                      </c:pt>
                      <c:pt idx="3">
                        <c:v>0.78927007563304696</c:v>
                      </c:pt>
                      <c:pt idx="4">
                        <c:v>0.86955348370987007</c:v>
                      </c:pt>
                      <c:pt idx="5">
                        <c:v>0.99424777517189367</c:v>
                      </c:pt>
                      <c:pt idx="6">
                        <c:v>1.0474340764131427</c:v>
                      </c:pt>
                      <c:pt idx="7">
                        <c:v>0.84702523151057552</c:v>
                      </c:pt>
                      <c:pt idx="8">
                        <c:v>0.91014344723016294</c:v>
                      </c:pt>
                      <c:pt idx="9">
                        <c:v>0.8152692425960445</c:v>
                      </c:pt>
                      <c:pt idx="10">
                        <c:v>0.80185818130824049</c:v>
                      </c:pt>
                      <c:pt idx="11">
                        <c:v>0.66145328750175081</c:v>
                      </c:pt>
                      <c:pt idx="12">
                        <c:v>0.87750132687056981</c:v>
                      </c:pt>
                      <c:pt idx="13">
                        <c:v>0.95080715423662154</c:v>
                      </c:pt>
                      <c:pt idx="14">
                        <c:v>0.72278147101729406</c:v>
                      </c:pt>
                      <c:pt idx="15">
                        <c:v>0.67450270640201759</c:v>
                      </c:pt>
                      <c:pt idx="16">
                        <c:v>0.88078509155578455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8"/>
          <c:order val="18"/>
          <c:tx>
            <c:strRef>
              <c:f>Analyses_CV_ZS!$V$60</c:f>
              <c:strCache>
                <c:ptCount val="1"/>
                <c:pt idx="0">
                  <c:v>VPI 2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ln w="28575" cap="rnd">
              <a:solidFill>
                <a:srgbClr val="FE000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(Analyses_CV_ZS!$C$61,Analyses_CV_ZS!$C$63:$C$64,Analyses_CV_ZS!$C$67,Analyses_CV_ZS!$C$70:$C$71,Analyses_CV_ZS!$C$74:$C$75,Analyses_CV_ZS!$C$79:$C$83,Analyses_CV_ZS!$C$85:$C$86,Analyses_CV_ZS!$C$89,Analyses_CV_ZS!$C$93)</c:f>
              <c:strCache>
                <c:ptCount val="17"/>
                <c:pt idx="0">
                  <c:v> Alimbongo</c:v>
                </c:pt>
                <c:pt idx="1">
                  <c:v> Beni</c:v>
                </c:pt>
                <c:pt idx="2">
                  <c:v> Biena</c:v>
                </c:pt>
                <c:pt idx="3">
                  <c:v> Butembo</c:v>
                </c:pt>
                <c:pt idx="4">
                  <c:v> Kalunguta</c:v>
                </c:pt>
                <c:pt idx="5">
                  <c:v> Kamango</c:v>
                </c:pt>
                <c:pt idx="6">
                  <c:v> Katwa</c:v>
                </c:pt>
                <c:pt idx="7">
                  <c:v> Kayna</c:v>
                </c:pt>
                <c:pt idx="8">
                  <c:v> Kyondo</c:v>
                </c:pt>
                <c:pt idx="9">
                  <c:v> Lubero</c:v>
                </c:pt>
                <c:pt idx="10">
                  <c:v> Mabalako</c:v>
                </c:pt>
                <c:pt idx="11">
                  <c:v> Manguredjipa</c:v>
                </c:pt>
                <c:pt idx="12">
                  <c:v> Masereka</c:v>
                </c:pt>
                <c:pt idx="13">
                  <c:v> Musienene</c:v>
                </c:pt>
                <c:pt idx="14">
                  <c:v> Mutwanga</c:v>
                </c:pt>
                <c:pt idx="15">
                  <c:v> Oicha</c:v>
                </c:pt>
                <c:pt idx="16">
                  <c:v> Vuhovi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Analyses_CV_ZS!$V$61:$V$94</c15:sqref>
                  </c15:fullRef>
                </c:ext>
              </c:extLst>
              <c:f>(Analyses_CV_ZS!$V$61,Analyses_CV_ZS!$V$63:$V$64,Analyses_CV_ZS!$V$67,Analyses_CV_ZS!$V$70:$V$71,Analyses_CV_ZS!$V$74:$V$75,Analyses_CV_ZS!$V$79:$V$83,Analyses_CV_ZS!$V$85:$V$86,Analyses_CV_ZS!$V$89,Analyses_CV_ZS!$V$93)</c:f>
              <c:numCache>
                <c:formatCode>0%</c:formatCode>
                <c:ptCount val="17"/>
                <c:pt idx="0">
                  <c:v>0.68074642672253438</c:v>
                </c:pt>
                <c:pt idx="1">
                  <c:v>0.95384830394553066</c:v>
                </c:pt>
                <c:pt idx="2">
                  <c:v>0.67999185806496787</c:v>
                </c:pt>
                <c:pt idx="3">
                  <c:v>0.83421391024485747</c:v>
                </c:pt>
                <c:pt idx="4">
                  <c:v>0.77850679688007585</c:v>
                </c:pt>
                <c:pt idx="5">
                  <c:v>0.51594282619430265</c:v>
                </c:pt>
                <c:pt idx="6">
                  <c:v>0.96660395060659599</c:v>
                </c:pt>
                <c:pt idx="7">
                  <c:v>0.78977947118320246</c:v>
                </c:pt>
                <c:pt idx="8">
                  <c:v>0.54196723587301587</c:v>
                </c:pt>
                <c:pt idx="9">
                  <c:v>0.81365258831817999</c:v>
                </c:pt>
                <c:pt idx="10">
                  <c:v>0.74805445260448156</c:v>
                </c:pt>
                <c:pt idx="11">
                  <c:v>0.72094536072569759</c:v>
                </c:pt>
                <c:pt idx="12">
                  <c:v>0.88726138282340417</c:v>
                </c:pt>
                <c:pt idx="13">
                  <c:v>0.99312921278936717</c:v>
                </c:pt>
                <c:pt idx="14">
                  <c:v>0.37767046787950842</c:v>
                </c:pt>
                <c:pt idx="15">
                  <c:v>0.55413139602984585</c:v>
                </c:pt>
                <c:pt idx="16">
                  <c:v>0.92727349108434676</c:v>
                </c:pt>
              </c:numCache>
            </c:numRef>
          </c:val>
          <c:smooth val="0"/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12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84589392"/>
        <c:axId val="-1384592112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11"/>
                <c:order val="11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(Analyses_CV_ZS!$O$61,Analyses_CV_ZS!$O$63:$O$64,Analyses_CV_ZS!$O$67,Analyses_CV_ZS!$O$70:$O$71,Analyses_CV_ZS!$O$74:$O$75,Analyses_CV_ZS!$O$79:$O$83,Analyses_CV_ZS!$O$85:$O$86,Analyses_CV_ZS!$O$89,Analyses_CV_ZS!$O$93)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0.96420891721540003</c:v>
                      </c:pt>
                      <c:pt idx="1">
                        <c:v>0.96808484579546394</c:v>
                      </c:pt>
                      <c:pt idx="2">
                        <c:v>0.75524705455203589</c:v>
                      </c:pt>
                      <c:pt idx="3">
                        <c:v>0.84676233130456513</c:v>
                      </c:pt>
                      <c:pt idx="4">
                        <c:v>0.91089905193795695</c:v>
                      </c:pt>
                      <c:pt idx="5">
                        <c:v>1.1160448809477121</c:v>
                      </c:pt>
                      <c:pt idx="6">
                        <c:v>1.0287809704577857</c:v>
                      </c:pt>
                      <c:pt idx="7">
                        <c:v>0.9753738608159952</c:v>
                      </c:pt>
                      <c:pt idx="8">
                        <c:v>0.93577503055603284</c:v>
                      </c:pt>
                      <c:pt idx="9">
                        <c:v>0.91369495892485664</c:v>
                      </c:pt>
                      <c:pt idx="10">
                        <c:v>0.82995412319009898</c:v>
                      </c:pt>
                      <c:pt idx="11">
                        <c:v>0.87442786916144177</c:v>
                      </c:pt>
                      <c:pt idx="12">
                        <c:v>1.0029361200421816</c:v>
                      </c:pt>
                      <c:pt idx="13">
                        <c:v>0.93780138309446792</c:v>
                      </c:pt>
                      <c:pt idx="14">
                        <c:v>0.87156952948095301</c:v>
                      </c:pt>
                      <c:pt idx="15">
                        <c:v>0.73088766873462574</c:v>
                      </c:pt>
                      <c:pt idx="16">
                        <c:v>0.84291405389105334</c:v>
                      </c:pt>
                    </c:numCache>
                  </c:numRef>
                </c:val>
                <c:smooth val="0"/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(Analyses_CV_ZS!$P$61,Analyses_CV_ZS!$P$63:$P$64,Analyses_CV_ZS!$P$67,Analyses_CV_ZS!$P$70:$P$71,Analyses_CV_ZS!$P$74:$P$75,Analyses_CV_ZS!$P$79:$P$83,Analyses_CV_ZS!$P$85:$P$86,Analyses_CV_ZS!$P$89,Analyses_CV_ZS!$P$93)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0.87002770076315128</c:v>
                      </c:pt>
                      <c:pt idx="1">
                        <c:v>0.91416635924164424</c:v>
                      </c:pt>
                      <c:pt idx="2">
                        <c:v>0.64226060252599704</c:v>
                      </c:pt>
                      <c:pt idx="3">
                        <c:v>0.83523827114769067</c:v>
                      </c:pt>
                      <c:pt idx="4">
                        <c:v>0.84852054656248088</c:v>
                      </c:pt>
                      <c:pt idx="5">
                        <c:v>0.99658553152075768</c:v>
                      </c:pt>
                      <c:pt idx="6">
                        <c:v>1.065838474289095</c:v>
                      </c:pt>
                      <c:pt idx="7">
                        <c:v>0.8158278065702611</c:v>
                      </c:pt>
                      <c:pt idx="8">
                        <c:v>0.94377564038029271</c:v>
                      </c:pt>
                      <c:pt idx="9">
                        <c:v>0.85644637802635915</c:v>
                      </c:pt>
                      <c:pt idx="10">
                        <c:v>0.77572895535811215</c:v>
                      </c:pt>
                      <c:pt idx="11">
                        <c:v>0.69876784230493638</c:v>
                      </c:pt>
                      <c:pt idx="12">
                        <c:v>0.95503954916253164</c:v>
                      </c:pt>
                      <c:pt idx="13">
                        <c:v>0.82437400198584976</c:v>
                      </c:pt>
                      <c:pt idx="14">
                        <c:v>0.7556307826261538</c:v>
                      </c:pt>
                      <c:pt idx="15">
                        <c:v>0.65198720949787037</c:v>
                      </c:pt>
                      <c:pt idx="16">
                        <c:v>0.79257051879182983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(Analyses_CV_ZS!$Q$61,Analyses_CV_ZS!$Q$63:$Q$64,Analyses_CV_ZS!$Q$67,Analyses_CV_ZS!$Q$70:$Q$71,Analyses_CV_ZS!$Q$74:$Q$75,Analyses_CV_ZS!$Q$79:$Q$83,Analyses_CV_ZS!$Q$85:$Q$86,Analyses_CV_ZS!$Q$89,Analyses_CV_ZS!$Q$93)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0.87795270556218197</c:v>
                      </c:pt>
                      <c:pt idx="1">
                        <c:v>0.85863740415276413</c:v>
                      </c:pt>
                      <c:pt idx="2">
                        <c:v>0.60204157189654472</c:v>
                      </c:pt>
                      <c:pt idx="3">
                        <c:v>0.7278084214630498</c:v>
                      </c:pt>
                      <c:pt idx="4">
                        <c:v>0.90700939917782342</c:v>
                      </c:pt>
                      <c:pt idx="5">
                        <c:v>0.98536430104621009</c:v>
                      </c:pt>
                      <c:pt idx="6">
                        <c:v>0.9628111523956735</c:v>
                      </c:pt>
                      <c:pt idx="7">
                        <c:v>0.75911209957925252</c:v>
                      </c:pt>
                      <c:pt idx="8">
                        <c:v>0.92495939134916283</c:v>
                      </c:pt>
                      <c:pt idx="9">
                        <c:v>0.82572994674693279</c:v>
                      </c:pt>
                      <c:pt idx="10">
                        <c:v>0.80199866101764983</c:v>
                      </c:pt>
                      <c:pt idx="11">
                        <c:v>0.66074923929791718</c:v>
                      </c:pt>
                      <c:pt idx="12">
                        <c:v>0.89015325125387357</c:v>
                      </c:pt>
                      <c:pt idx="13">
                        <c:v>0.79239259753793112</c:v>
                      </c:pt>
                      <c:pt idx="14">
                        <c:v>0.70123618722677716</c:v>
                      </c:pt>
                      <c:pt idx="15">
                        <c:v>0.59435138622614303</c:v>
                      </c:pt>
                      <c:pt idx="16">
                        <c:v>0.82930769305342533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Analyses_CV_ZS!$S$60</c15:sqref>
                        </c15:formulaRef>
                      </c:ext>
                    </c:extLst>
                    <c:strCache>
                      <c:ptCount val="1"/>
                      <c:pt idx="0">
                        <c:v>VAR2/RR2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Analyses_CV_ZS!$S$61:$S$94</c15:sqref>
                        </c15:fullRef>
                        <c15:formulaRef>
                          <c15:sqref>(Analyses_CV_ZS!$S$61,Analyses_CV_ZS!$S$63:$S$64,Analyses_CV_ZS!$S$67,Analyses_CV_ZS!$S$70:$S$71,Analyses_CV_ZS!$S$74:$S$75,Analyses_CV_ZS!$S$79:$S$83,Analyses_CV_ZS!$S$85:$S$86,Analyses_CV_ZS!$S$89,Analyses_CV_ZS!$S$93)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0.38510929117608533</c:v>
                      </c:pt>
                      <c:pt idx="1">
                        <c:v>0.43431115453506908</c:v>
                      </c:pt>
                      <c:pt idx="2">
                        <c:v>0.26785045140851782</c:v>
                      </c:pt>
                      <c:pt idx="3">
                        <c:v>0.13585586473826458</c:v>
                      </c:pt>
                      <c:pt idx="4">
                        <c:v>0.53000120387153937</c:v>
                      </c:pt>
                      <c:pt idx="5">
                        <c:v>0.25084125623311587</c:v>
                      </c:pt>
                      <c:pt idx="6">
                        <c:v>0.28775524787130624</c:v>
                      </c:pt>
                      <c:pt idx="7">
                        <c:v>0.22974026036144163</c:v>
                      </c:pt>
                      <c:pt idx="8">
                        <c:v>0.22075756737309829</c:v>
                      </c:pt>
                      <c:pt idx="9">
                        <c:v>0.45047595966143272</c:v>
                      </c:pt>
                      <c:pt idx="10">
                        <c:v>0.25426827403081909</c:v>
                      </c:pt>
                      <c:pt idx="11">
                        <c:v>0.3115413301964074</c:v>
                      </c:pt>
                      <c:pt idx="12">
                        <c:v>0.31828626912854241</c:v>
                      </c:pt>
                      <c:pt idx="13">
                        <c:v>0.82863818924557231</c:v>
                      </c:pt>
                      <c:pt idx="14">
                        <c:v>9.2557766239081365E-2</c:v>
                      </c:pt>
                      <c:pt idx="15">
                        <c:v>0.19272880469661074</c:v>
                      </c:pt>
                      <c:pt idx="16">
                        <c:v>0.3583008353908701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F-4B66-44F6-8968-A6990199EF46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ln w="28575" cap="rnd">
                    <a:solidFill>
                      <a:srgbClr val="37F20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(Analyses_CV_ZS!$U$61,Analyses_CV_ZS!$U$63:$U$64,Analyses_CV_ZS!$U$67,Analyses_CV_ZS!$U$70:$U$71,Analyses_CV_ZS!$U$74:$U$75,Analyses_CV_ZS!$U$79:$U$83,Analyses_CV_ZS!$U$85:$U$86,Analyses_CV_ZS!$U$89,Analyses_CV_ZS!$U$93)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0.92389476236815693</c:v>
                      </c:pt>
                      <c:pt idx="1">
                        <c:v>1.0900939420116345</c:v>
                      </c:pt>
                      <c:pt idx="2">
                        <c:v>0.74073503319089329</c:v>
                      </c:pt>
                      <c:pt idx="3">
                        <c:v>0.87838947417954294</c:v>
                      </c:pt>
                      <c:pt idx="4">
                        <c:v>0.93366072364540553</c:v>
                      </c:pt>
                      <c:pt idx="5">
                        <c:v>1.0421717803236072</c:v>
                      </c:pt>
                      <c:pt idx="6">
                        <c:v>1.1159531522891539</c:v>
                      </c:pt>
                      <c:pt idx="7">
                        <c:v>0.9663629540977976</c:v>
                      </c:pt>
                      <c:pt idx="8">
                        <c:v>1.0831936745400816</c:v>
                      </c:pt>
                      <c:pt idx="9">
                        <c:v>0.99100907233096691</c:v>
                      </c:pt>
                      <c:pt idx="10">
                        <c:v>0.94374268781162574</c:v>
                      </c:pt>
                      <c:pt idx="11">
                        <c:v>0.8751319173652754</c:v>
                      </c:pt>
                      <c:pt idx="12">
                        <c:v>0.94780987808635797</c:v>
                      </c:pt>
                      <c:pt idx="13">
                        <c:v>1.0543202999663848</c:v>
                      </c:pt>
                      <c:pt idx="14">
                        <c:v>0.83215035555032135</c:v>
                      </c:pt>
                      <c:pt idx="15">
                        <c:v>0.74031723581414033</c:v>
                      </c:pt>
                      <c:pt idx="16">
                        <c:v>0.96695871019409507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(Analyses_CV_ZS!$W$61,Analyses_CV_ZS!$W$63:$W$64,Analyses_CV_ZS!$W$67,Analyses_CV_ZS!$W$70:$W$71,Analyses_CV_ZS!$W$74:$W$75,Analyses_CV_ZS!$W$79:$W$83,Analyses_CV_ZS!$W$85:$W$86,Analyses_CV_ZS!$W$89,Analyses_CV_ZS!$W$93)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0.44644050132278673</c:v>
                      </c:pt>
                      <c:pt idx="1">
                        <c:v>0.38596215131604822</c:v>
                      </c:pt>
                      <c:pt idx="2">
                        <c:v>0.24364802778347228</c:v>
                      </c:pt>
                      <c:pt idx="3">
                        <c:v>0.34443078985588194</c:v>
                      </c:pt>
                      <c:pt idx="4">
                        <c:v>0.47600093851078457</c:v>
                      </c:pt>
                      <c:pt idx="5">
                        <c:v>0.40039162094356173</c:v>
                      </c:pt>
                      <c:pt idx="6">
                        <c:v>0.438118556747637</c:v>
                      </c:pt>
                      <c:pt idx="7">
                        <c:v>0.47026748472742813</c:v>
                      </c:pt>
                      <c:pt idx="8">
                        <c:v>0.19248170842058995</c:v>
                      </c:pt>
                      <c:pt idx="9">
                        <c:v>0.24269427988251105</c:v>
                      </c:pt>
                      <c:pt idx="10">
                        <c:v>0.42911248115508588</c:v>
                      </c:pt>
                      <c:pt idx="11">
                        <c:v>0.27427693882774512</c:v>
                      </c:pt>
                      <c:pt idx="12">
                        <c:v>0.21068345966631274</c:v>
                      </c:pt>
                      <c:pt idx="13">
                        <c:v>0.2628535640872211</c:v>
                      </c:pt>
                      <c:pt idx="14">
                        <c:v>0.43741781029773741</c:v>
                      </c:pt>
                      <c:pt idx="15">
                        <c:v>0.37022837745944415</c:v>
                      </c:pt>
                      <c:pt idx="16">
                        <c:v>0.19390198057023009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LineSeries>
            <c15:filteredLine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(Analyses_CV_ZS!$C$61,Analyses_CV_ZS!$C$63:$C$64,Analyses_CV_ZS!$C$67,Analyses_CV_ZS!$C$70:$C$71,Analyses_CV_ZS!$C$74:$C$75,Analyses_CV_ZS!$C$79:$C$83,Analyses_CV_ZS!$C$85:$C$86,Analyses_CV_ZS!$C$89,Analyses_CV_ZS!$C$93)</c15:sqref>
                        </c15:formulaRef>
                      </c:ext>
                    </c:extLst>
                    <c:strCache>
                      <c:ptCount val="17"/>
                      <c:pt idx="0">
                        <c:v> Alimbongo</c:v>
                      </c:pt>
                      <c:pt idx="1">
                        <c:v> Beni</c:v>
                      </c:pt>
                      <c:pt idx="2">
                        <c:v> Biena</c:v>
                      </c:pt>
                      <c:pt idx="3">
                        <c:v> Butembo</c:v>
                      </c:pt>
                      <c:pt idx="4">
                        <c:v> Kalunguta</c:v>
                      </c:pt>
                      <c:pt idx="5">
                        <c:v> Kamango</c:v>
                      </c:pt>
                      <c:pt idx="6">
                        <c:v> Katwa</c:v>
                      </c:pt>
                      <c:pt idx="7">
                        <c:v> Kayna</c:v>
                      </c:pt>
                      <c:pt idx="8">
                        <c:v> Kyondo</c:v>
                      </c:pt>
                      <c:pt idx="9">
                        <c:v> Lubero</c:v>
                      </c:pt>
                      <c:pt idx="10">
                        <c:v> Mabalako</c:v>
                      </c:pt>
                      <c:pt idx="11">
                        <c:v> Manguredjipa</c:v>
                      </c:pt>
                      <c:pt idx="12">
                        <c:v> Masereka</c:v>
                      </c:pt>
                      <c:pt idx="13">
                        <c:v> Musienene</c:v>
                      </c:pt>
                      <c:pt idx="14">
                        <c:v> Mutwanga</c:v>
                      </c:pt>
                      <c:pt idx="15">
                        <c:v> Oicha</c:v>
                      </c:pt>
                      <c:pt idx="16">
                        <c:v> Vuhovi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(Analyses_CV_ZS!$X$61,Analyses_CV_ZS!$X$63:$X$64,Analyses_CV_ZS!$X$67,Analyses_CV_ZS!$X$70:$X$71,Analyses_CV_ZS!$X$74:$X$75,Analyses_CV_ZS!$X$79:$X$83,Analyses_CV_ZS!$X$85:$X$86,Analyses_CV_ZS!$X$89,Analyses_CV_ZS!$X$93)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0.83676278025707496</c:v>
                      </c:pt>
                      <c:pt idx="1">
                        <c:v>0.969823346579061</c:v>
                      </c:pt>
                      <c:pt idx="2">
                        <c:v>0.5005004401461528</c:v>
                      </c:pt>
                      <c:pt idx="3">
                        <c:v>0.48229248128700691</c:v>
                      </c:pt>
                      <c:pt idx="4">
                        <c:v>0.62922120364008116</c:v>
                      </c:pt>
                      <c:pt idx="5">
                        <c:v>0.69063985151039231</c:v>
                      </c:pt>
                      <c:pt idx="6">
                        <c:v>0.64985415939573354</c:v>
                      </c:pt>
                      <c:pt idx="7">
                        <c:v>0.68373113226245485</c:v>
                      </c:pt>
                      <c:pt idx="8">
                        <c:v>0.48294940406939157</c:v>
                      </c:pt>
                      <c:pt idx="9">
                        <c:v>0.61175553011068518</c:v>
                      </c:pt>
                      <c:pt idx="10">
                        <c:v>0.79461188669763549</c:v>
                      </c:pt>
                      <c:pt idx="11">
                        <c:v>0.5387253647299719</c:v>
                      </c:pt>
                      <c:pt idx="12">
                        <c:v>0.65128943744152068</c:v>
                      </c:pt>
                      <c:pt idx="13">
                        <c:v>0.88557281800227594</c:v>
                      </c:pt>
                      <c:pt idx="14">
                        <c:v>0.50409684054354786</c:v>
                      </c:pt>
                      <c:pt idx="15">
                        <c:v>0.62485483297747002</c:v>
                      </c:pt>
                      <c:pt idx="16">
                        <c:v>0.75503056924081435</c:v>
                      </c:pt>
                    </c:numCache>
                  </c:numRef>
                </c:val>
                <c:smooth val="0"/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LineSeries>
          </c:ext>
        </c:extLst>
      </c:lineChart>
      <c:catAx>
        <c:axId val="-138458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92112"/>
        <c:crosses val="autoZero"/>
        <c:auto val="1"/>
        <c:lblAlgn val="ctr"/>
        <c:lblOffset val="100"/>
        <c:noMultiLvlLbl val="0"/>
      </c:catAx>
      <c:valAx>
        <c:axId val="-1384592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89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ANT. GOMA - CV VAR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15"/>
          <c:order val="15"/>
          <c:tx>
            <c:strRef>
              <c:f>Analyses_CV_ZS!$S$60</c:f>
              <c:strCache>
                <c:ptCount val="1"/>
                <c:pt idx="0">
                  <c:v>VAR2/RR2</c:v>
                </c:pt>
              </c:strCache>
              <c:extLst xmlns:c15="http://schemas.microsoft.com/office/drawing/2012/chart" xmlns:c16r2="http://schemas.microsoft.com/office/drawing/2015/06/chart"/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Analyses_CV_ZS!$C$61:$C$94</c15:sqref>
                  </c15:fullRef>
                </c:ext>
              </c:extLst>
              <c:f>(Analyses_CV_ZS!$C$62,Analyses_CV_ZS!$C$65:$C$66,Analyses_CV_ZS!$C$68:$C$69,Analyses_CV_ZS!$C$72:$C$73,Analyses_CV_ZS!$C$76:$C$78,Analyses_CV_ZS!$C$84,Analyses_CV_ZS!$C$87:$C$88,Analyses_CV_ZS!$C$90:$C$92,Analyses_CV_ZS!$C$94)</c:f>
              <c:strCache>
                <c:ptCount val="17"/>
                <c:pt idx="0">
                  <c:v> Bambo</c:v>
                </c:pt>
                <c:pt idx="1">
                  <c:v> Binza</c:v>
                </c:pt>
                <c:pt idx="2">
                  <c:v> Birambizo</c:v>
                </c:pt>
                <c:pt idx="3">
                  <c:v> Goma</c:v>
                </c:pt>
                <c:pt idx="4">
                  <c:v> Itebero</c:v>
                </c:pt>
                <c:pt idx="5">
                  <c:v> Karisimbi</c:v>
                </c:pt>
                <c:pt idx="6">
                  <c:v> Katoyi</c:v>
                </c:pt>
                <c:pt idx="7">
                  <c:v> Kibirizi</c:v>
                </c:pt>
                <c:pt idx="8">
                  <c:v> Kibua</c:v>
                </c:pt>
                <c:pt idx="9">
                  <c:v> Kirotshe</c:v>
                </c:pt>
                <c:pt idx="10">
                  <c:v> Masisi</c:v>
                </c:pt>
                <c:pt idx="11">
                  <c:v> Mweso</c:v>
                </c:pt>
                <c:pt idx="12">
                  <c:v> Nyiragongo</c:v>
                </c:pt>
                <c:pt idx="13">
                  <c:v> Pinga</c:v>
                </c:pt>
                <c:pt idx="14">
                  <c:v> Rutshuru</c:v>
                </c:pt>
                <c:pt idx="15">
                  <c:v> Rwanguba</c:v>
                </c:pt>
                <c:pt idx="16">
                  <c:v> Walikale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Analyses_CV_ZS!$S$61:$S$94</c15:sqref>
                  </c15:fullRef>
                </c:ext>
              </c:extLst>
              <c:f>(Analyses_CV_ZS!$S$62,Analyses_CV_ZS!$S$65:$S$66,Analyses_CV_ZS!$S$68:$S$69,Analyses_CV_ZS!$S$72:$S$73,Analyses_CV_ZS!$S$76:$S$78,Analyses_CV_ZS!$S$84,Analyses_CV_ZS!$S$87:$S$88,Analyses_CV_ZS!$S$90:$S$92,Analyses_CV_ZS!$S$94)</c:f>
              <c:numCache>
                <c:formatCode>0%</c:formatCode>
                <c:ptCount val="17"/>
                <c:pt idx="0">
                  <c:v>0.46372506507308353</c:v>
                </c:pt>
                <c:pt idx="1">
                  <c:v>0.74507552621056705</c:v>
                </c:pt>
                <c:pt idx="2">
                  <c:v>0.56789030178671573</c:v>
                </c:pt>
                <c:pt idx="3">
                  <c:v>0.5880577583109915</c:v>
                </c:pt>
                <c:pt idx="4">
                  <c:v>0.70007773707669374</c:v>
                </c:pt>
                <c:pt idx="5">
                  <c:v>0.40040720211629871</c:v>
                </c:pt>
                <c:pt idx="6">
                  <c:v>1.0637043641336532</c:v>
                </c:pt>
                <c:pt idx="7">
                  <c:v>0.71754921047242304</c:v>
                </c:pt>
                <c:pt idx="8">
                  <c:v>0.56372648173573026</c:v>
                </c:pt>
                <c:pt idx="9">
                  <c:v>0.27584801515748109</c:v>
                </c:pt>
                <c:pt idx="10">
                  <c:v>0.35629520036817408</c:v>
                </c:pt>
                <c:pt idx="11">
                  <c:v>0.80773091954606502</c:v>
                </c:pt>
                <c:pt idx="12">
                  <c:v>1.1335950344971177</c:v>
                </c:pt>
                <c:pt idx="13">
                  <c:v>0.57701059164985979</c:v>
                </c:pt>
                <c:pt idx="14">
                  <c:v>0.64584639494964713</c:v>
                </c:pt>
                <c:pt idx="15">
                  <c:v>0.5600530256900379</c:v>
                </c:pt>
                <c:pt idx="16">
                  <c:v>0.68255205621643289</c:v>
                </c:pt>
              </c:numCache>
            </c:numRef>
          </c:val>
          <c:extLst xmlns:c15="http://schemas.microsoft.com/office/drawing/2012/chart" xmlns:c16r2="http://schemas.microsoft.com/office/drawing/2015/06/chart">
            <c:ext xmlns:c16="http://schemas.microsoft.com/office/drawing/2014/chart" uri="{C3380CC4-5D6E-409C-BE32-E72D297353CC}">
              <c16:uniqueId val="{0000000F-4B66-44F6-8968-A6990199E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9"/>
        <c:axId val="-1384589936"/>
        <c:axId val="-1384588848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Analyses_CV_ZS!$D$60</c15:sqref>
                        </c15:formulaRef>
                      </c:ext>
                    </c:extLst>
                    <c:strCache>
                      <c:ptCount val="1"/>
                      <c:pt idx="0">
                        <c:v>BCG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Analyses_CV_ZS!$D$61:$D$94</c15:sqref>
                        </c15:fullRef>
                        <c15:formulaRef>
                          <c15:sqref>(Analyses_CV_ZS!$D$62,Analyses_CV_ZS!$D$65:$D$66,Analyses_CV_ZS!$D$68:$D$69,Analyses_CV_ZS!$D$72:$D$73,Analyses_CV_ZS!$D$76:$D$78,Analyses_CV_ZS!$D$84,Analyses_CV_ZS!$D$87:$D$88,Analyses_CV_ZS!$D$90:$D$92,Analyses_CV_ZS!$D$94)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1.0989852125606361</c:v>
                      </c:pt>
                      <c:pt idx="1">
                        <c:v>0.93421501124821027</c:v>
                      </c:pt>
                      <c:pt idx="2">
                        <c:v>0.88435797278132999</c:v>
                      </c:pt>
                      <c:pt idx="3">
                        <c:v>1.6521261519880801</c:v>
                      </c:pt>
                      <c:pt idx="4">
                        <c:v>0.92114049565951428</c:v>
                      </c:pt>
                      <c:pt idx="5">
                        <c:v>1.1826760906360576</c:v>
                      </c:pt>
                      <c:pt idx="6">
                        <c:v>0.99792506753317922</c:v>
                      </c:pt>
                      <c:pt idx="7">
                        <c:v>0.94183871872298719</c:v>
                      </c:pt>
                      <c:pt idx="8">
                        <c:v>0.79286941220830376</c:v>
                      </c:pt>
                      <c:pt idx="9">
                        <c:v>0.56666996893921284</c:v>
                      </c:pt>
                      <c:pt idx="10">
                        <c:v>1.022219207041517</c:v>
                      </c:pt>
                      <c:pt idx="11">
                        <c:v>0.80437668818385766</c:v>
                      </c:pt>
                      <c:pt idx="12">
                        <c:v>1.5179023421866593</c:v>
                      </c:pt>
                      <c:pt idx="13">
                        <c:v>1.0205389738873563</c:v>
                      </c:pt>
                      <c:pt idx="14">
                        <c:v>1.0422451618373358</c:v>
                      </c:pt>
                      <c:pt idx="15">
                        <c:v>0.81681099631914933</c:v>
                      </c:pt>
                      <c:pt idx="16">
                        <c:v>1.1683100427825044</c:v>
                      </c:pt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4B66-44F6-8968-A6990199EF4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Analyses_CV_ZS!$E$60</c15:sqref>
                        </c15:formulaRef>
                      </c:ext>
                    </c:extLst>
                    <c:strCache>
                      <c:ptCount val="1"/>
                      <c:pt idx="0">
                        <c:v>VPO 0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Analyses_CV_ZS!$E$61:$E$94</c15:sqref>
                        </c15:fullRef>
                        <c15:formulaRef>
                          <c15:sqref>(Analyses_CV_ZS!$E$62,Analyses_CV_ZS!$E$65:$E$66,Analyses_CV_ZS!$E$68:$E$69,Analyses_CV_ZS!$E$72:$E$73,Analyses_CV_ZS!$E$76:$E$78,Analyses_CV_ZS!$E$84,Analyses_CV_ZS!$E$87:$E$88,Analyses_CV_ZS!$E$90:$E$92,Analyses_CV_ZS!$E$94)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0.79198170062098705</c:v>
                      </c:pt>
                      <c:pt idx="1">
                        <c:v>0.61115570113454865</c:v>
                      </c:pt>
                      <c:pt idx="2">
                        <c:v>0.69179104802137703</c:v>
                      </c:pt>
                      <c:pt idx="3">
                        <c:v>0.88469512645828541</c:v>
                      </c:pt>
                      <c:pt idx="4">
                        <c:v>0.51624956890453388</c:v>
                      </c:pt>
                      <c:pt idx="5">
                        <c:v>0.57412200866243013</c:v>
                      </c:pt>
                      <c:pt idx="6">
                        <c:v>0.63931746309694981</c:v>
                      </c:pt>
                      <c:pt idx="7">
                        <c:v>0.67675129867210315</c:v>
                      </c:pt>
                      <c:pt idx="8">
                        <c:v>0.3610922608733127</c:v>
                      </c:pt>
                      <c:pt idx="9">
                        <c:v>0.30410072954285988</c:v>
                      </c:pt>
                      <c:pt idx="10">
                        <c:v>1.2725796047785767</c:v>
                      </c:pt>
                      <c:pt idx="11">
                        <c:v>0.9884947371886923</c:v>
                      </c:pt>
                      <c:pt idx="12">
                        <c:v>0.98796557351742531</c:v>
                      </c:pt>
                      <c:pt idx="13">
                        <c:v>1.126072981379231</c:v>
                      </c:pt>
                      <c:pt idx="14">
                        <c:v>0.62981216234893034</c:v>
                      </c:pt>
                      <c:pt idx="15">
                        <c:v>0.95798007542067798</c:v>
                      </c:pt>
                      <c:pt idx="16">
                        <c:v>1.1422909624833515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1-4B66-44F6-8968-A6990199EF4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Analyses_CV_ZS!$F$60</c15:sqref>
                        </c15:formulaRef>
                      </c:ext>
                    </c:extLst>
                    <c:strCache>
                      <c:ptCount val="1"/>
                      <c:pt idx="0">
                        <c:v>VPO 1</c:v>
                      </c:pt>
                    </c:strCache>
                  </c:strRef>
                </c:tx>
                <c:spPr>
                  <a:solidFill>
                    <a:schemeClr val="tx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Analyses_CV_ZS!$F$61:$F$94</c15:sqref>
                        </c15:fullRef>
                        <c15:formulaRef>
                          <c15:sqref>(Analyses_CV_ZS!$F$62,Analyses_CV_ZS!$F$65:$F$66,Analyses_CV_ZS!$F$68:$F$69,Analyses_CV_ZS!$F$72:$F$73,Analyses_CV_ZS!$F$76:$F$78,Analyses_CV_ZS!$F$84,Analyses_CV_ZS!$F$87:$F$88,Analyses_CV_ZS!$F$90:$F$92,Analyses_CV_ZS!$F$94)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0.93907554960482376</c:v>
                      </c:pt>
                      <c:pt idx="1">
                        <c:v>1.0354174573555406</c:v>
                      </c:pt>
                      <c:pt idx="2">
                        <c:v>1.0178681557758884</c:v>
                      </c:pt>
                      <c:pt idx="3">
                        <c:v>1.5905522476388847</c:v>
                      </c:pt>
                      <c:pt idx="4">
                        <c:v>1.0000079061996916</c:v>
                      </c:pt>
                      <c:pt idx="5">
                        <c:v>1.1729496637185082</c:v>
                      </c:pt>
                      <c:pt idx="6">
                        <c:v>1.0479098844164911</c:v>
                      </c:pt>
                      <c:pt idx="7">
                        <c:v>0.92568230739124246</c:v>
                      </c:pt>
                      <c:pt idx="8">
                        <c:v>0.75747744883996115</c:v>
                      </c:pt>
                      <c:pt idx="9">
                        <c:v>0.58255360489190078</c:v>
                      </c:pt>
                      <c:pt idx="10">
                        <c:v>1.4187095475694942</c:v>
                      </c:pt>
                      <c:pt idx="11">
                        <c:v>1.0210925664225043</c:v>
                      </c:pt>
                      <c:pt idx="12">
                        <c:v>1.6319977391891942</c:v>
                      </c:pt>
                      <c:pt idx="13">
                        <c:v>1.0891813548441858</c:v>
                      </c:pt>
                      <c:pt idx="14">
                        <c:v>0.98641766012461007</c:v>
                      </c:pt>
                      <c:pt idx="15">
                        <c:v>1.0263562726983373</c:v>
                      </c:pt>
                      <c:pt idx="16">
                        <c:v>1.1640409793562176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2-4B66-44F6-8968-A6990199EF4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Analyses_CV_ZS!$G$60</c15:sqref>
                        </c15:formulaRef>
                      </c:ext>
                    </c:extLst>
                    <c:strCache>
                      <c:ptCount val="1"/>
                      <c:pt idx="0">
                        <c:v>VPO 2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Analyses_CV_ZS!$G$61:$G$94</c15:sqref>
                        </c15:fullRef>
                        <c15:formulaRef>
                          <c15:sqref>(Analyses_CV_ZS!$G$62,Analyses_CV_ZS!$G$65:$G$66,Analyses_CV_ZS!$G$68:$G$69,Analyses_CV_ZS!$G$72:$G$73,Analyses_CV_ZS!$G$76:$G$78,Analyses_CV_ZS!$G$84,Analyses_CV_ZS!$G$87:$G$88,Analyses_CV_ZS!$G$90:$G$92,Analyses_CV_ZS!$G$94)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0.87642745585539605</c:v>
                      </c:pt>
                      <c:pt idx="1">
                        <c:v>1.0247913802199873</c:v>
                      </c:pt>
                      <c:pt idx="2">
                        <c:v>0.92733078654802892</c:v>
                      </c:pt>
                      <c:pt idx="3">
                        <c:v>1.4632579848391314</c:v>
                      </c:pt>
                      <c:pt idx="4">
                        <c:v>0.94325655498864769</c:v>
                      </c:pt>
                      <c:pt idx="5">
                        <c:v>1.0403247920739462</c:v>
                      </c:pt>
                      <c:pt idx="6">
                        <c:v>0.99675730805977281</c:v>
                      </c:pt>
                      <c:pt idx="7">
                        <c:v>0.88607964691319752</c:v>
                      </c:pt>
                      <c:pt idx="8">
                        <c:v>0.72314487350426726</c:v>
                      </c:pt>
                      <c:pt idx="9">
                        <c:v>0.51382537060690125</c:v>
                      </c:pt>
                      <c:pt idx="10">
                        <c:v>1.2863498311074839</c:v>
                      </c:pt>
                      <c:pt idx="11">
                        <c:v>0.9601602055407914</c:v>
                      </c:pt>
                      <c:pt idx="12">
                        <c:v>1.5293827372723394</c:v>
                      </c:pt>
                      <c:pt idx="13">
                        <c:v>0.98361700359022597</c:v>
                      </c:pt>
                      <c:pt idx="14">
                        <c:v>1.0214014403443556</c:v>
                      </c:pt>
                      <c:pt idx="15">
                        <c:v>0.9516621555529956</c:v>
                      </c:pt>
                      <c:pt idx="16">
                        <c:v>1.138804318557167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3-4B66-44F6-8968-A6990199EF4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Analyses_CV_ZS!$H$60</c15:sqref>
                        </c15:formulaRef>
                      </c:ext>
                    </c:extLst>
                    <c:strCache>
                      <c:ptCount val="1"/>
                      <c:pt idx="0">
                        <c:v>VPO 3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Analyses_CV_ZS!$H$61:$H$94</c15:sqref>
                        </c15:fullRef>
                        <c15:formulaRef>
                          <c15:sqref>(Analyses_CV_ZS!$H$62,Analyses_CV_ZS!$H$65:$H$66,Analyses_CV_ZS!$H$68:$H$69,Analyses_CV_ZS!$H$72:$H$73,Analyses_CV_ZS!$H$76:$H$78,Analyses_CV_ZS!$H$84,Analyses_CV_ZS!$H$87:$H$88,Analyses_CV_ZS!$H$90:$H$92,Analyses_CV_ZS!$H$94)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0.89709486822634132</c:v>
                      </c:pt>
                      <c:pt idx="1">
                        <c:v>1.040886761763546</c:v>
                      </c:pt>
                      <c:pt idx="2">
                        <c:v>0.93816675514852865</c:v>
                      </c:pt>
                      <c:pt idx="3">
                        <c:v>1.4908036285925206</c:v>
                      </c:pt>
                      <c:pt idx="4">
                        <c:v>0.96491737606156514</c:v>
                      </c:pt>
                      <c:pt idx="5">
                        <c:v>1.0364483831209679</c:v>
                      </c:pt>
                      <c:pt idx="6">
                        <c:v>0.99819316985224205</c:v>
                      </c:pt>
                      <c:pt idx="7">
                        <c:v>0.88496407901240759</c:v>
                      </c:pt>
                      <c:pt idx="8">
                        <c:v>0.74283208453592386</c:v>
                      </c:pt>
                      <c:pt idx="9">
                        <c:v>0.50647832904096346</c:v>
                      </c:pt>
                      <c:pt idx="10">
                        <c:v>1.2706984263183434</c:v>
                      </c:pt>
                      <c:pt idx="11">
                        <c:v>0.95799576215102122</c:v>
                      </c:pt>
                      <c:pt idx="12">
                        <c:v>1.892545066436341</c:v>
                      </c:pt>
                      <c:pt idx="13">
                        <c:v>1.036479031222693</c:v>
                      </c:pt>
                      <c:pt idx="14">
                        <c:v>0.91905305952289773</c:v>
                      </c:pt>
                      <c:pt idx="15">
                        <c:v>0.96042572182107111</c:v>
                      </c:pt>
                      <c:pt idx="16">
                        <c:v>1.1285104174417646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4-4B66-44F6-8968-A6990199EF4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Analyses_CV_ZS!$I$60</c15:sqref>
                        </c15:formulaRef>
                      </c:ext>
                    </c:extLst>
                    <c:strCache>
                      <c:ptCount val="1"/>
                      <c:pt idx="0">
                        <c:v>Penta 1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Analyses_CV_ZS!$I$61:$I$94</c15:sqref>
                        </c15:fullRef>
                        <c15:formulaRef>
                          <c15:sqref>(Analyses_CV_ZS!$I$62,Analyses_CV_ZS!$I$65:$I$66,Analyses_CV_ZS!$I$68:$I$69,Analyses_CV_ZS!$I$72:$I$73,Analyses_CV_ZS!$I$76:$I$78,Analyses_CV_ZS!$I$84,Analyses_CV_ZS!$I$87:$I$88,Analyses_CV_ZS!$I$90:$I$92,Analyses_CV_ZS!$I$94)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1.0130261344946121</c:v>
                      </c:pt>
                      <c:pt idx="1">
                        <c:v>1.0477624587336101</c:v>
                      </c:pt>
                      <c:pt idx="2">
                        <c:v>1.0358330510872433</c:v>
                      </c:pt>
                      <c:pt idx="3">
                        <c:v>1.5869003630503671</c:v>
                      </c:pt>
                      <c:pt idx="4">
                        <c:v>1.0524270931961519</c:v>
                      </c:pt>
                      <c:pt idx="5">
                        <c:v>1.172381123738738</c:v>
                      </c:pt>
                      <c:pt idx="6">
                        <c:v>1.1595481387809781</c:v>
                      </c:pt>
                      <c:pt idx="7">
                        <c:v>1.0326174590241122</c:v>
                      </c:pt>
                      <c:pt idx="8">
                        <c:v>0.96011166970237871</c:v>
                      </c:pt>
                      <c:pt idx="9">
                        <c:v>0.62383062023507829</c:v>
                      </c:pt>
                      <c:pt idx="10">
                        <c:v>1.3610702395479479</c:v>
                      </c:pt>
                      <c:pt idx="11">
                        <c:v>1.0406381461240657</c:v>
                      </c:pt>
                      <c:pt idx="12">
                        <c:v>1.5702100204506262</c:v>
                      </c:pt>
                      <c:pt idx="13">
                        <c:v>1.1163310367098034</c:v>
                      </c:pt>
                      <c:pt idx="14">
                        <c:v>1.0596128907629467</c:v>
                      </c:pt>
                      <c:pt idx="15">
                        <c:v>0.98661451869194805</c:v>
                      </c:pt>
                      <c:pt idx="16">
                        <c:v>1.164373040682521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5-4B66-44F6-8968-A6990199EF4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Analyses_CV_ZS!$J$60</c15:sqref>
                        </c15:formulaRef>
                      </c:ext>
                    </c:extLst>
                    <c:strCache>
                      <c:ptCount val="1"/>
                      <c:pt idx="0">
                        <c:v>Penta 2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Analyses_CV_ZS!$J$61:$J$94</c15:sqref>
                        </c15:fullRef>
                        <c15:formulaRef>
                          <c15:sqref>(Analyses_CV_ZS!$J$62,Analyses_CV_ZS!$J$65:$J$66,Analyses_CV_ZS!$J$68:$J$69,Analyses_CV_ZS!$J$72:$J$73,Analyses_CV_ZS!$J$76:$J$78,Analyses_CV_ZS!$J$84,Analyses_CV_ZS!$J$87:$J$88,Analyses_CV_ZS!$J$90:$J$92,Analyses_CV_ZS!$J$94)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0.94924779163114836</c:v>
                      </c:pt>
                      <c:pt idx="1">
                        <c:v>1.0241663168590722</c:v>
                      </c:pt>
                      <c:pt idx="2">
                        <c:v>0.94928788081746263</c:v>
                      </c:pt>
                      <c:pt idx="3">
                        <c:v>1.4676402463453524</c:v>
                      </c:pt>
                      <c:pt idx="4">
                        <c:v>1.0157481028460116</c:v>
                      </c:pt>
                      <c:pt idx="5">
                        <c:v>1.01174273672732</c:v>
                      </c:pt>
                      <c:pt idx="6">
                        <c:v>1.1101903896648464</c:v>
                      </c:pt>
                      <c:pt idx="7">
                        <c:v>0.96879103841462733</c:v>
                      </c:pt>
                      <c:pt idx="8">
                        <c:v>0.89000599139452807</c:v>
                      </c:pt>
                      <c:pt idx="9">
                        <c:v>0.56164793207245967</c:v>
                      </c:pt>
                      <c:pt idx="10">
                        <c:v>1.2457163763664461</c:v>
                      </c:pt>
                      <c:pt idx="11">
                        <c:v>0.97465541733288885</c:v>
                      </c:pt>
                      <c:pt idx="12">
                        <c:v>1.4471813769446282</c:v>
                      </c:pt>
                      <c:pt idx="13">
                        <c:v>1.0540464724298573</c:v>
                      </c:pt>
                      <c:pt idx="14">
                        <c:v>1.0310844509408923</c:v>
                      </c:pt>
                      <c:pt idx="15">
                        <c:v>0.92007255621458373</c:v>
                      </c:pt>
                      <c:pt idx="16">
                        <c:v>1.1200428536210305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6-4B66-44F6-8968-A6990199EF4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Analyses_CV_ZS!$K$60</c15:sqref>
                        </c15:formulaRef>
                      </c:ext>
                    </c:extLst>
                    <c:strCache>
                      <c:ptCount val="1"/>
                      <c:pt idx="0">
                        <c:v>Penta 3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Analyses_CV_ZS!$K$61:$K$94</c15:sqref>
                        </c15:fullRef>
                        <c15:formulaRef>
                          <c15:sqref>(Analyses_CV_ZS!$K$62,Analyses_CV_ZS!$K$65:$K$66,Analyses_CV_ZS!$K$68:$K$69,Analyses_CV_ZS!$K$72:$K$73,Analyses_CV_ZS!$K$76:$K$78,Analyses_CV_ZS!$K$84,Analyses_CV_ZS!$K$87:$K$88,Analyses_CV_ZS!$K$90:$K$92,Analyses_CV_ZS!$K$94)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1.0524504339404717</c:v>
                      </c:pt>
                      <c:pt idx="2">
                        <c:v>0.95684454313096901</c:v>
                      </c:pt>
                      <c:pt idx="3">
                        <c:v>1.4903862703538329</c:v>
                      </c:pt>
                      <c:pt idx="4">
                        <c:v>1.0509830384579575</c:v>
                      </c:pt>
                      <c:pt idx="5">
                        <c:v>1.0340708522964746</c:v>
                      </c:pt>
                      <c:pt idx="6">
                        <c:v>1.1153953886625476</c:v>
                      </c:pt>
                      <c:pt idx="7">
                        <c:v>0.97022534000135729</c:v>
                      </c:pt>
                      <c:pt idx="8">
                        <c:v>0.90249056424387131</c:v>
                      </c:pt>
                      <c:pt idx="9">
                        <c:v>0.54748817923628867</c:v>
                      </c:pt>
                      <c:pt idx="10">
                        <c:v>1.2320966443143575</c:v>
                      </c:pt>
                      <c:pt idx="11">
                        <c:v>0.99603749445607337</c:v>
                      </c:pt>
                      <c:pt idx="12">
                        <c:v>1.717206466358163</c:v>
                      </c:pt>
                      <c:pt idx="13">
                        <c:v>1.0714542096260473</c:v>
                      </c:pt>
                      <c:pt idx="14">
                        <c:v>1.0057836813176835</c:v>
                      </c:pt>
                      <c:pt idx="15">
                        <c:v>0.95441350775343792</c:v>
                      </c:pt>
                      <c:pt idx="16">
                        <c:v>1.1326611840205558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7-4B66-44F6-8968-A6990199EF4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Analyses_CV_ZS!$L$60</c15:sqref>
                        </c15:formulaRef>
                      </c:ext>
                    </c:extLst>
                    <c:strCache>
                      <c:ptCount val="1"/>
                      <c:pt idx="0">
                        <c:v>PCV-13 1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Analyses_CV_ZS!$L$61:$L$94</c15:sqref>
                        </c15:fullRef>
                        <c15:formulaRef>
                          <c15:sqref>(Analyses_CV_ZS!$L$62,Analyses_CV_ZS!$L$65:$L$66,Analyses_CV_ZS!$L$68:$L$69,Analyses_CV_ZS!$L$72:$L$73,Analyses_CV_ZS!$L$76:$L$78,Analyses_CV_ZS!$L$84,Analyses_CV_ZS!$L$87:$L$88,Analyses_CV_ZS!$L$90:$L$92,Analyses_CV_ZS!$L$94)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1.0118958853805762</c:v>
                      </c:pt>
                      <c:pt idx="1">
                        <c:v>1.0496376488163546</c:v>
                      </c:pt>
                      <c:pt idx="2">
                        <c:v>1.0372588364294144</c:v>
                      </c:pt>
                      <c:pt idx="3">
                        <c:v>1.5919086619146197</c:v>
                      </c:pt>
                      <c:pt idx="4">
                        <c:v>1.0408746552905959</c:v>
                      </c:pt>
                      <c:pt idx="5">
                        <c:v>1.2070103770520104</c:v>
                      </c:pt>
                      <c:pt idx="6">
                        <c:v>1.1625096037279461</c:v>
                      </c:pt>
                      <c:pt idx="7">
                        <c:v>1.0202665286939372</c:v>
                      </c:pt>
                      <c:pt idx="8">
                        <c:v>0.93082094109430413</c:v>
                      </c:pt>
                      <c:pt idx="9">
                        <c:v>0.61634999609521435</c:v>
                      </c:pt>
                      <c:pt idx="10">
                        <c:v>1.2939497920868261</c:v>
                      </c:pt>
                      <c:pt idx="11">
                        <c:v>1.0237161341676804</c:v>
                      </c:pt>
                      <c:pt idx="12">
                        <c:v>1.5715770053784706</c:v>
                      </c:pt>
                      <c:pt idx="13">
                        <c:v>1.1263923894011794</c:v>
                      </c:pt>
                      <c:pt idx="14">
                        <c:v>1.0625282057812588</c:v>
                      </c:pt>
                      <c:pt idx="15">
                        <c:v>0.97836046209062111</c:v>
                      </c:pt>
                      <c:pt idx="16">
                        <c:v>1.1632108260404594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8-4B66-44F6-8968-A6990199EF4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Analyses_CV_ZS!$M$60</c15:sqref>
                        </c15:formulaRef>
                      </c:ext>
                    </c:extLst>
                    <c:strCache>
                      <c:ptCount val="1"/>
                      <c:pt idx="0">
                        <c:v>PCV-13 2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Analyses_CV_ZS!$M$61:$M$94</c15:sqref>
                        </c15:fullRef>
                        <c15:formulaRef>
                          <c15:sqref>(Analyses_CV_ZS!$M$62,Analyses_CV_ZS!$M$65:$M$66,Analyses_CV_ZS!$M$68:$M$69,Analyses_CV_ZS!$M$72:$M$73,Analyses_CV_ZS!$M$76:$M$78,Analyses_CV_ZS!$M$84,Analyses_CV_ZS!$M$87:$M$88,Analyses_CV_ZS!$M$90:$M$92,Analyses_CV_ZS!$M$94)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0.95070096906348045</c:v>
                      </c:pt>
                      <c:pt idx="1">
                        <c:v>1.0211972658947266</c:v>
                      </c:pt>
                      <c:pt idx="2">
                        <c:v>0.95000077348854817</c:v>
                      </c:pt>
                      <c:pt idx="3">
                        <c:v>1.4664925111889611</c:v>
                      </c:pt>
                      <c:pt idx="4">
                        <c:v>1.0186362123224006</c:v>
                      </c:pt>
                      <c:pt idx="5">
                        <c:v>1.0270416307284074</c:v>
                      </c:pt>
                      <c:pt idx="6">
                        <c:v>1.1012162534619134</c:v>
                      </c:pt>
                      <c:pt idx="7">
                        <c:v>0.95524485676217741</c:v>
                      </c:pt>
                      <c:pt idx="8">
                        <c:v>0.89720862957684155</c:v>
                      </c:pt>
                      <c:pt idx="9">
                        <c:v>0.5479557182450302</c:v>
                      </c:pt>
                      <c:pt idx="10">
                        <c:v>1.210049232760424</c:v>
                      </c:pt>
                      <c:pt idx="11">
                        <c:v>1.0076467817284773</c:v>
                      </c:pt>
                      <c:pt idx="12">
                        <c:v>1.4367011591644876</c:v>
                      </c:pt>
                      <c:pt idx="13">
                        <c:v>1.0230638943008585</c:v>
                      </c:pt>
                      <c:pt idx="14">
                        <c:v>1.0309803325473812</c:v>
                      </c:pt>
                      <c:pt idx="15">
                        <c:v>0.9025454236784326</c:v>
                      </c:pt>
                      <c:pt idx="16">
                        <c:v>1.1213710989262438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9-4B66-44F6-8968-A6990199EF4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Analyses_CV_ZS!$N$60</c15:sqref>
                        </c15:formulaRef>
                      </c:ext>
                    </c:extLst>
                    <c:strCache>
                      <c:ptCount val="1"/>
                      <c:pt idx="0">
                        <c:v>PCV-13 3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Analyses_CV_ZS!$N$61:$N$94</c15:sqref>
                        </c15:fullRef>
                        <c15:formulaRef>
                          <c15:sqref>(Analyses_CV_ZS!$N$62,Analyses_CV_ZS!$N$65:$N$66,Analyses_CV_ZS!$N$68:$N$69,Analyses_CV_ZS!$N$72:$N$73,Analyses_CV_ZS!$N$76:$N$78,Analyses_CV_ZS!$N$84,Analyses_CV_ZS!$N$87:$N$88,Analyses_CV_ZS!$N$90:$N$92,Analyses_CV_ZS!$N$94)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0.97120691727527764</c:v>
                      </c:pt>
                      <c:pt idx="1">
                        <c:v>1.0491688512956685</c:v>
                      </c:pt>
                      <c:pt idx="2">
                        <c:v>0.95827032847313998</c:v>
                      </c:pt>
                      <c:pt idx="3">
                        <c:v>1.4878821209217066</c:v>
                      </c:pt>
                      <c:pt idx="4">
                        <c:v>1.030333055701776</c:v>
                      </c:pt>
                      <c:pt idx="5">
                        <c:v>1.0635315603391091</c:v>
                      </c:pt>
                      <c:pt idx="6">
                        <c:v>1.1286771102428885</c:v>
                      </c:pt>
                      <c:pt idx="7">
                        <c:v>0.96719736998492734</c:v>
                      </c:pt>
                      <c:pt idx="8">
                        <c:v>0.90705223509266986</c:v>
                      </c:pt>
                      <c:pt idx="9">
                        <c:v>0.53706873847004977</c:v>
                      </c:pt>
                      <c:pt idx="10">
                        <c:v>1.1980849377533407</c:v>
                      </c:pt>
                      <c:pt idx="11">
                        <c:v>0.95897960005546223</c:v>
                      </c:pt>
                      <c:pt idx="12">
                        <c:v>1.7421767243734545</c:v>
                      </c:pt>
                      <c:pt idx="13">
                        <c:v>1.074169177812609</c:v>
                      </c:pt>
                      <c:pt idx="14">
                        <c:v>1.0084907595489734</c:v>
                      </c:pt>
                      <c:pt idx="15">
                        <c:v>0.93495023848364223</c:v>
                      </c:pt>
                      <c:pt idx="16">
                        <c:v>1.12402758953667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A-4B66-44F6-8968-A6990199EF4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Analyses_CV_ZS!$O$60</c15:sqref>
                        </c15:formulaRef>
                      </c:ext>
                    </c:extLst>
                    <c:strCache>
                      <c:ptCount val="1"/>
                      <c:pt idx="0">
                        <c:v>Rota 1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solidFill>
                      <a:srgbClr val="FF0000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Analyses_CV_ZS!$O$61:$O$94</c15:sqref>
                        </c15:fullRef>
                        <c15:formulaRef>
                          <c15:sqref>(Analyses_CV_ZS!$O$62,Analyses_CV_ZS!$O$65:$O$66,Analyses_CV_ZS!$O$68:$O$69,Analyses_CV_ZS!$O$72:$O$73,Analyses_CV_ZS!$O$76:$O$78,Analyses_CV_ZS!$O$84,Analyses_CV_ZS!$O$87:$O$88,Analyses_CV_ZS!$O$90:$O$92,Analyses_CV_ZS!$O$94)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1.0152866327226844</c:v>
                      </c:pt>
                      <c:pt idx="1">
                        <c:v>1.0135402397235189</c:v>
                      </c:pt>
                      <c:pt idx="2">
                        <c:v>0.98493251437173801</c:v>
                      </c:pt>
                      <c:pt idx="3">
                        <c:v>1.5850222509762724</c:v>
                      </c:pt>
                      <c:pt idx="4">
                        <c:v>1.0205134834820535</c:v>
                      </c:pt>
                      <c:pt idx="5">
                        <c:v>1.1062237442745761</c:v>
                      </c:pt>
                      <c:pt idx="6">
                        <c:v>1.2395974337111408</c:v>
                      </c:pt>
                      <c:pt idx="7">
                        <c:v>0.87388808342599256</c:v>
                      </c:pt>
                      <c:pt idx="8">
                        <c:v>0.94834736067126679</c:v>
                      </c:pt>
                      <c:pt idx="9">
                        <c:v>0.61768582183447585</c:v>
                      </c:pt>
                      <c:pt idx="10">
                        <c:v>1.2588093784496694</c:v>
                      </c:pt>
                      <c:pt idx="11">
                        <c:v>0.87627162688878835</c:v>
                      </c:pt>
                      <c:pt idx="12">
                        <c:v>1.5278334876874491</c:v>
                      </c:pt>
                      <c:pt idx="13">
                        <c:v>1.1235177172036432</c:v>
                      </c:pt>
                      <c:pt idx="14">
                        <c:v>1.0554481550225008</c:v>
                      </c:pt>
                      <c:pt idx="15">
                        <c:v>0.88980768200971805</c:v>
                      </c:pt>
                      <c:pt idx="16">
                        <c:v>1.1361478279467405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B-4B66-44F6-8968-A6990199EF46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Analyses_CV_ZS!$P$60</c15:sqref>
                        </c15:formulaRef>
                      </c:ext>
                    </c:extLst>
                    <c:strCache>
                      <c:ptCount val="1"/>
                      <c:pt idx="0">
                        <c:v>Rota 2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Analyses_CV_ZS!$P$61:$P$94</c15:sqref>
                        </c15:fullRef>
                        <c15:formulaRef>
                          <c15:sqref>(Analyses_CV_ZS!$P$62,Analyses_CV_ZS!$P$65:$P$66,Analyses_CV_ZS!$P$68:$P$69,Analyses_CV_ZS!$P$72:$P$73,Analyses_CV_ZS!$P$76:$P$78,Analyses_CV_ZS!$P$84,Analyses_CV_ZS!$P$87:$P$88,Analyses_CV_ZS!$P$90:$P$92,Analyses_CV_ZS!$P$94)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0.94504972349330008</c:v>
                      </c:pt>
                      <c:pt idx="1">
                        <c:v>0.98541238848234813</c:v>
                      </c:pt>
                      <c:pt idx="2">
                        <c:v>0.90266470012847044</c:v>
                      </c:pt>
                      <c:pt idx="3">
                        <c:v>1.4556411969830805</c:v>
                      </c:pt>
                      <c:pt idx="4">
                        <c:v>0.9493215848890646</c:v>
                      </c:pt>
                      <c:pt idx="5">
                        <c:v>0.94961682257425539</c:v>
                      </c:pt>
                      <c:pt idx="6">
                        <c:v>1.163586500072298</c:v>
                      </c:pt>
                      <c:pt idx="7">
                        <c:v>0.82902631712993768</c:v>
                      </c:pt>
                      <c:pt idx="8">
                        <c:v>0.89912933309212506</c:v>
                      </c:pt>
                      <c:pt idx="9">
                        <c:v>0.54608556221006421</c:v>
                      </c:pt>
                      <c:pt idx="10">
                        <c:v>1.0980814908073422</c:v>
                      </c:pt>
                      <c:pt idx="11">
                        <c:v>0.82419380714704449</c:v>
                      </c:pt>
                      <c:pt idx="12">
                        <c:v>1.4096348575931681</c:v>
                      </c:pt>
                      <c:pt idx="13">
                        <c:v>1.0284938306739819</c:v>
                      </c:pt>
                      <c:pt idx="14">
                        <c:v>1.0199437828351996</c:v>
                      </c:pt>
                      <c:pt idx="15">
                        <c:v>0.81378883973083016</c:v>
                      </c:pt>
                      <c:pt idx="16">
                        <c:v>1.0747164825806301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C-4B66-44F6-8968-A6990199EF46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Analyses_CV_ZS!$Q$60</c15:sqref>
                        </c15:formulaRef>
                      </c:ext>
                    </c:extLst>
                    <c:strCache>
                      <c:ptCount val="1"/>
                      <c:pt idx="0">
                        <c:v>Rota 3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solidFill>
                      <a:srgbClr val="FF0000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Analyses_CV_ZS!$Q$61:$Q$94</c15:sqref>
                        </c15:fullRef>
                        <c15:formulaRef>
                          <c15:sqref>(Analyses_CV_ZS!$Q$62,Analyses_CV_ZS!$Q$65:$Q$66,Analyses_CV_ZS!$Q$68:$Q$69,Analyses_CV_ZS!$Q$72:$Q$73,Analyses_CV_ZS!$Q$76:$Q$78,Analyses_CV_ZS!$Q$84,Analyses_CV_ZS!$Q$87:$Q$88,Analyses_CV_ZS!$Q$90:$Q$92,Analyses_CV_ZS!$Q$94)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0.97104545311612966</c:v>
                      </c:pt>
                      <c:pt idx="1">
                        <c:v>1.0202596708533542</c:v>
                      </c:pt>
                      <c:pt idx="2">
                        <c:v>0.90965104830510835</c:v>
                      </c:pt>
                      <c:pt idx="3">
                        <c:v>1.4805783517446716</c:v>
                      </c:pt>
                      <c:pt idx="4">
                        <c:v>1.0036180430451778</c:v>
                      </c:pt>
                      <c:pt idx="5">
                        <c:v>0.96000559856823708</c:v>
                      </c:pt>
                      <c:pt idx="6">
                        <c:v>1.183688565166868</c:v>
                      </c:pt>
                      <c:pt idx="7">
                        <c:v>0.82026114076658774</c:v>
                      </c:pt>
                      <c:pt idx="8">
                        <c:v>0.91521522503262509</c:v>
                      </c:pt>
                      <c:pt idx="9">
                        <c:v>0.53913926836590487</c:v>
                      </c:pt>
                      <c:pt idx="10">
                        <c:v>1.0766360563606832</c:v>
                      </c:pt>
                      <c:pt idx="11">
                        <c:v>0.82419380714704449</c:v>
                      </c:pt>
                      <c:pt idx="12">
                        <c:v>1.7264108315389821</c:v>
                      </c:pt>
                      <c:pt idx="13">
                        <c:v>1.0720930256699441</c:v>
                      </c:pt>
                      <c:pt idx="14">
                        <c:v>0.99443477642496847</c:v>
                      </c:pt>
                      <c:pt idx="15">
                        <c:v>0.80135680386216479</c:v>
                      </c:pt>
                      <c:pt idx="16">
                        <c:v>1.1132355964318128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D-4B66-44F6-8968-A6990199EF46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Analyses_CV_ZS!$R$60</c15:sqref>
                        </c15:formulaRef>
                      </c:ext>
                    </c:extLst>
                    <c:strCache>
                      <c:ptCount val="1"/>
                      <c:pt idx="0">
                        <c:v>VAR1/RR1</c:v>
                      </c:pt>
                    </c:strCache>
                  </c:strRef>
                </c:tx>
                <c:spPr>
                  <a:solidFill>
                    <a:schemeClr val="accent2">
                      <a:lumMod val="5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Analyses_CV_ZS!$R$61:$R$94</c15:sqref>
                        </c15:fullRef>
                        <c15:formulaRef>
                          <c15:sqref>(Analyses_CV_ZS!$R$62,Analyses_CV_ZS!$R$65:$R$66,Analyses_CV_ZS!$R$68:$R$69,Analyses_CV_ZS!$R$72:$R$73,Analyses_CV_ZS!$R$76:$R$78,Analyses_CV_ZS!$R$84,Analyses_CV_ZS!$R$87:$R$88,Analyses_CV_ZS!$R$90:$R$92,Analyses_CV_ZS!$R$94)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0.97879573275523413</c:v>
                      </c:pt>
                      <c:pt idx="1">
                        <c:v>1.0413555592842321</c:v>
                      </c:pt>
                      <c:pt idx="2">
                        <c:v>0.90323501426533881</c:v>
                      </c:pt>
                      <c:pt idx="3">
                        <c:v>1.3907419908671408</c:v>
                      </c:pt>
                      <c:pt idx="4">
                        <c:v>0.97300408259545434</c:v>
                      </c:pt>
                      <c:pt idx="5">
                        <c:v>1.1690215693128236</c:v>
                      </c:pt>
                      <c:pt idx="6">
                        <c:v>1.1007675466517668</c:v>
                      </c:pt>
                      <c:pt idx="7">
                        <c:v>0.99460846697576721</c:v>
                      </c:pt>
                      <c:pt idx="8">
                        <c:v>0.86815798890817741</c:v>
                      </c:pt>
                      <c:pt idx="9">
                        <c:v>0.55383335149778046</c:v>
                      </c:pt>
                      <c:pt idx="10">
                        <c:v>1.40682049970082</c:v>
                      </c:pt>
                      <c:pt idx="11">
                        <c:v>0.88558529238416317</c:v>
                      </c:pt>
                      <c:pt idx="12">
                        <c:v>1.5390427640957733</c:v>
                      </c:pt>
                      <c:pt idx="13">
                        <c:v>1.0168354378728639</c:v>
                      </c:pt>
                      <c:pt idx="14">
                        <c:v>1.0568016941381457</c:v>
                      </c:pt>
                      <c:pt idx="15">
                        <c:v>0.9293456321494078</c:v>
                      </c:pt>
                      <c:pt idx="16">
                        <c:v>1.0097984932883348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0E-4B66-44F6-8968-A6990199EF46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Analyses_CV_ZS!$T$60</c15:sqref>
                        </c15:formulaRef>
                      </c:ext>
                    </c:extLst>
                    <c:strCache>
                      <c:ptCount val="1"/>
                      <c:pt idx="0">
                        <c:v>VAA</c:v>
                      </c:pt>
                    </c:strCache>
                  </c:strRef>
                </c:tx>
                <c:spPr>
                  <a:solidFill>
                    <a:srgbClr val="0070C0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Analyses_CV_ZS!$T$61:$T$94</c15:sqref>
                        </c15:fullRef>
                        <c15:formulaRef>
                          <c15:sqref>(Analyses_CV_ZS!$T$62,Analyses_CV_ZS!$T$65:$T$66,Analyses_CV_ZS!$T$68:$T$69,Analyses_CV_ZS!$T$72:$T$73,Analyses_CV_ZS!$T$76:$T$78,Analyses_CV_ZS!$T$84,Analyses_CV_ZS!$T$87:$T$88,Analyses_CV_ZS!$T$90:$T$92,Analyses_CV_ZS!$T$94)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0.90177732884163353</c:v>
                      </c:pt>
                      <c:pt idx="1">
                        <c:v>1.0258852411015882</c:v>
                      </c:pt>
                      <c:pt idx="2">
                        <c:v>0.92134248811091068</c:v>
                      </c:pt>
                      <c:pt idx="3">
                        <c:v>1.3322074978911886</c:v>
                      </c:pt>
                      <c:pt idx="4">
                        <c:v>0.96766108006413476</c:v>
                      </c:pt>
                      <c:pt idx="5">
                        <c:v>0.982230343231979</c:v>
                      </c:pt>
                      <c:pt idx="6">
                        <c:v>1.0769860857139941</c:v>
                      </c:pt>
                      <c:pt idx="7">
                        <c:v>0.94392981091130745</c:v>
                      </c:pt>
                      <c:pt idx="8">
                        <c:v>0.95891123000532641</c:v>
                      </c:pt>
                      <c:pt idx="9">
                        <c:v>0.55202998674977755</c:v>
                      </c:pt>
                      <c:pt idx="10">
                        <c:v>1.2846191469240693</c:v>
                      </c:pt>
                      <c:pt idx="11">
                        <c:v>0.86623648026349009</c:v>
                      </c:pt>
                      <c:pt idx="12">
                        <c:v>1.4927475412061091</c:v>
                      </c:pt>
                      <c:pt idx="13">
                        <c:v>0.97802736320612815</c:v>
                      </c:pt>
                      <c:pt idx="14">
                        <c:v>1.0256702944783127</c:v>
                      </c:pt>
                      <c:pt idx="15">
                        <c:v>0.82143148473205885</c:v>
                      </c:pt>
                      <c:pt idx="16">
                        <c:v>1.0076400946673634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0-4B66-44F6-8968-A6990199EF46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Analyses_CV_ZS!$U$60</c15:sqref>
                        </c15:formulaRef>
                      </c:ext>
                    </c:extLst>
                    <c:strCache>
                      <c:ptCount val="1"/>
                      <c:pt idx="0">
                        <c:v>VPI1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solidFill>
                      <a:srgbClr val="37F204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Analyses_CV_ZS!$U$61:$U$94</c15:sqref>
                        </c15:fullRef>
                        <c15:formulaRef>
                          <c15:sqref>(Analyses_CV_ZS!$U$62,Analyses_CV_ZS!$U$65:$U$66,Analyses_CV_ZS!$U$68:$U$69,Analyses_CV_ZS!$U$72:$U$73,Analyses_CV_ZS!$U$76:$U$78,Analyses_CV_ZS!$U$84,Analyses_CV_ZS!$U$87:$U$88,Analyses_CV_ZS!$U$90:$U$92,Analyses_CV_ZS!$U$94)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0.92325206200831877</c:v>
                      </c:pt>
                      <c:pt idx="1">
                        <c:v>1.0572946749875622</c:v>
                      </c:pt>
                      <c:pt idx="2">
                        <c:v>0.91977412423452254</c:v>
                      </c:pt>
                      <c:pt idx="3">
                        <c:v>1.477030806715826</c:v>
                      </c:pt>
                      <c:pt idx="4">
                        <c:v>0.89155939536128459</c:v>
                      </c:pt>
                      <c:pt idx="5">
                        <c:v>1.1344956869049641</c:v>
                      </c:pt>
                      <c:pt idx="6">
                        <c:v>1.020718251721604</c:v>
                      </c:pt>
                      <c:pt idx="7">
                        <c:v>0.95787440967118231</c:v>
                      </c:pt>
                      <c:pt idx="8">
                        <c:v>0.86455666981702073</c:v>
                      </c:pt>
                      <c:pt idx="9">
                        <c:v>0.54354749330546759</c:v>
                      </c:pt>
                      <c:pt idx="10">
                        <c:v>1.1918394252653663</c:v>
                      </c:pt>
                      <c:pt idx="11">
                        <c:v>0.94494351261877052</c:v>
                      </c:pt>
                      <c:pt idx="12">
                        <c:v>1.4963928343470274</c:v>
                      </c:pt>
                      <c:pt idx="13">
                        <c:v>1.0029411889181066</c:v>
                      </c:pt>
                      <c:pt idx="14">
                        <c:v>0.96923812519527075</c:v>
                      </c:pt>
                      <c:pt idx="15">
                        <c:v>0.94096245255127542</c:v>
                      </c:pt>
                      <c:pt idx="16">
                        <c:v>1.1942585600498179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1-4B66-44F6-8968-A6990199EF46}"/>
                  </c:ext>
                </c:extLst>
              </c15:ser>
            </c15:filteredBarSeries>
            <c15:filteredBarSeries>
              <c15:ser>
                <c:idx val="18"/>
                <c:order val="18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Analyses_CV_ZS!$V$60</c15:sqref>
                        </c15:formulaRef>
                      </c:ext>
                    </c:extLst>
                    <c:strCache>
                      <c:ptCount val="1"/>
                      <c:pt idx="0">
                        <c:v>VPI 2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</a:schemeClr>
                  </a:solidFill>
                  <a:ln>
                    <a:solidFill>
                      <a:srgbClr val="37F204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Analyses_CV_ZS!$V$61:$V$94</c15:sqref>
                        </c15:fullRef>
                        <c15:formulaRef>
                          <c15:sqref>(Analyses_CV_ZS!$V$62,Analyses_CV_ZS!$V$65:$V$66,Analyses_CV_ZS!$V$68:$V$69,Analyses_CV_ZS!$V$72:$V$73,Analyses_CV_ZS!$V$76:$V$78,Analyses_CV_ZS!$V$84,Analyses_CV_ZS!$V$87:$V$88,Analyses_CV_ZS!$V$90:$V$92,Analyses_CV_ZS!$V$94)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0.44257326022469429</c:v>
                      </c:pt>
                      <c:pt idx="1">
                        <c:v>1.0086959986764283</c:v>
                      </c:pt>
                      <c:pt idx="2">
                        <c:v>0.73228335173903392</c:v>
                      </c:pt>
                      <c:pt idx="3">
                        <c:v>1.171733255115762</c:v>
                      </c:pt>
                      <c:pt idx="4">
                        <c:v>0.70267703560544392</c:v>
                      </c:pt>
                      <c:pt idx="5">
                        <c:v>0.6730479651424347</c:v>
                      </c:pt>
                      <c:pt idx="6">
                        <c:v>1.1980471830915609</c:v>
                      </c:pt>
                      <c:pt idx="7">
                        <c:v>0.8926136874749675</c:v>
                      </c:pt>
                      <c:pt idx="8">
                        <c:v>0.73010742374717019</c:v>
                      </c:pt>
                      <c:pt idx="9">
                        <c:v>0.37636890203690215</c:v>
                      </c:pt>
                      <c:pt idx="10">
                        <c:v>0.48090446157402339</c:v>
                      </c:pt>
                      <c:pt idx="11">
                        <c:v>0.73577957413461281</c:v>
                      </c:pt>
                      <c:pt idx="12">
                        <c:v>1.1621194533248047</c:v>
                      </c:pt>
                      <c:pt idx="13">
                        <c:v>0.64328775620416134</c:v>
                      </c:pt>
                      <c:pt idx="14">
                        <c:v>0.98006643812043015</c:v>
                      </c:pt>
                      <c:pt idx="15">
                        <c:v>0.7117850044477646</c:v>
                      </c:pt>
                      <c:pt idx="16">
                        <c:v>0.76291089718183147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2-4B66-44F6-8968-A6990199EF46}"/>
                  </c:ext>
                </c:extLst>
              </c15:ser>
            </c15:filteredBarSeries>
            <c15:filteredBarSeries>
              <c15:ser>
                <c:idx val="19"/>
                <c:order val="19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Analyses_CV_ZS!$W$60</c15:sqref>
                        </c15:formulaRef>
                      </c:ext>
                    </c:extLst>
                    <c:strCache>
                      <c:ptCount val="1"/>
                      <c:pt idx="0">
                        <c:v>Td 1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Analyses_CV_ZS!$W$61:$W$94</c15:sqref>
                        </c15:fullRef>
                        <c15:formulaRef>
                          <c15:sqref>(Analyses_CV_ZS!$W$62,Analyses_CV_ZS!$W$65:$W$66,Analyses_CV_ZS!$W$68:$W$69,Analyses_CV_ZS!$W$72:$W$73,Analyses_CV_ZS!$W$76:$W$78,Analyses_CV_ZS!$W$84,Analyses_CV_ZS!$W$87:$W$88,Analyses_CV_ZS!$W$90:$W$92,Analyses_CV_ZS!$W$94)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0.46038760090349423</c:v>
                      </c:pt>
                      <c:pt idx="1">
                        <c:v>0.2064217056377394</c:v>
                      </c:pt>
                      <c:pt idx="2">
                        <c:v>0.4921254944890901</c:v>
                      </c:pt>
                      <c:pt idx="3">
                        <c:v>0.41512537211073647</c:v>
                      </c:pt>
                      <c:pt idx="4">
                        <c:v>0.77851554133225809</c:v>
                      </c:pt>
                      <c:pt idx="5">
                        <c:v>0.41275963767222734</c:v>
                      </c:pt>
                      <c:pt idx="6">
                        <c:v>0.40104921113416586</c:v>
                      </c:pt>
                      <c:pt idx="7">
                        <c:v>0.74487783512202588</c:v>
                      </c:pt>
                      <c:pt idx="8">
                        <c:v>0.23796556202605895</c:v>
                      </c:pt>
                      <c:pt idx="9">
                        <c:v>0.22208754130268824</c:v>
                      </c:pt>
                      <c:pt idx="10">
                        <c:v>0.40219106373386854</c:v>
                      </c:pt>
                      <c:pt idx="11">
                        <c:v>0.33139907521860557</c:v>
                      </c:pt>
                      <c:pt idx="12">
                        <c:v>0.63721683448317901</c:v>
                      </c:pt>
                      <c:pt idx="13">
                        <c:v>0.61993144385920917</c:v>
                      </c:pt>
                      <c:pt idx="14">
                        <c:v>0.3560148861884877</c:v>
                      </c:pt>
                      <c:pt idx="15">
                        <c:v>0.54136956096520084</c:v>
                      </c:pt>
                      <c:pt idx="16">
                        <c:v>0.42154770297546035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3-4B66-44F6-8968-A6990199EF46}"/>
                  </c:ext>
                </c:extLst>
              </c15:ser>
            </c15:filteredBarSeries>
            <c15:filteredBarSeries>
              <c15:ser>
                <c:idx val="20"/>
                <c:order val="20"/>
                <c:tx>
                  <c:strRef>
                    <c:extLst xmlns:c15="http://schemas.microsoft.com/office/drawing/2012/chart" xmlns:c16r2="http://schemas.microsoft.com/office/drawing/2015/06/chart">
                      <c:ext xmlns:c15="http://schemas.microsoft.com/office/drawing/2012/chart" uri="{02D57815-91ED-43cb-92C2-25804820EDAC}">
                        <c15:formulaRef>
                          <c15:sqref>Analyses_CV_ZS!$X$60</c15:sqref>
                        </c15:formulaRef>
                      </c:ext>
                    </c:extLst>
                    <c:strCache>
                      <c:ptCount val="1"/>
                      <c:pt idx="0">
                        <c:v>Td2+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Analyses_CV_ZS!$C$61:$C$94</c15:sqref>
                        </c15:fullRef>
                        <c15:formulaRef>
                          <c15:sqref>(Analyses_CV_ZS!$C$62,Analyses_CV_ZS!$C$65:$C$66,Analyses_CV_ZS!$C$68:$C$69,Analyses_CV_ZS!$C$72:$C$73,Analyses_CV_ZS!$C$76:$C$78,Analyses_CV_ZS!$C$84,Analyses_CV_ZS!$C$87:$C$88,Analyses_CV_ZS!$C$90:$C$92,Analyses_CV_ZS!$C$94)</c15:sqref>
                        </c15:formulaRef>
                      </c:ext>
                    </c:extLst>
                    <c:strCache>
                      <c:ptCount val="17"/>
                      <c:pt idx="0">
                        <c:v> Bambo</c:v>
                      </c:pt>
                      <c:pt idx="1">
                        <c:v> Binza</c:v>
                      </c:pt>
                      <c:pt idx="2">
                        <c:v> Birambizo</c:v>
                      </c:pt>
                      <c:pt idx="3">
                        <c:v> Goma</c:v>
                      </c:pt>
                      <c:pt idx="4">
                        <c:v> Itebero</c:v>
                      </c:pt>
                      <c:pt idx="5">
                        <c:v> Karisimbi</c:v>
                      </c:pt>
                      <c:pt idx="6">
                        <c:v> Katoyi</c:v>
                      </c:pt>
                      <c:pt idx="7">
                        <c:v> Kibirizi</c:v>
                      </c:pt>
                      <c:pt idx="8">
                        <c:v> Kibua</c:v>
                      </c:pt>
                      <c:pt idx="9">
                        <c:v> Kirotshe</c:v>
                      </c:pt>
                      <c:pt idx="10">
                        <c:v> Masisi</c:v>
                      </c:pt>
                      <c:pt idx="11">
                        <c:v> Mweso</c:v>
                      </c:pt>
                      <c:pt idx="12">
                        <c:v> Nyiragongo</c:v>
                      </c:pt>
                      <c:pt idx="13">
                        <c:v> Pinga</c:v>
                      </c:pt>
                      <c:pt idx="14">
                        <c:v> Rutshuru</c:v>
                      </c:pt>
                      <c:pt idx="15">
                        <c:v> Rwanguba</c:v>
                      </c:pt>
                      <c:pt idx="16">
                        <c:v> Walikale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Analyses_CV_ZS!$X$61:$X$94</c15:sqref>
                        </c15:fullRef>
                        <c15:formulaRef>
                          <c15:sqref>(Analyses_CV_ZS!$X$62,Analyses_CV_ZS!$X$65:$X$66,Analyses_CV_ZS!$X$68:$X$69,Analyses_CV_ZS!$X$72:$X$73,Analyses_CV_ZS!$X$76:$X$78,Analyses_CV_ZS!$X$84,Analyses_CV_ZS!$X$87:$X$88,Analyses_CV_ZS!$X$90:$X$92,Analyses_CV_ZS!$X$94)</c15:sqref>
                        </c15:formulaRef>
                      </c:ext>
                    </c:extLst>
                    <c:numCache>
                      <c:formatCode>0%</c:formatCode>
                      <c:ptCount val="17"/>
                      <c:pt idx="0">
                        <c:v>0.75932961103728092</c:v>
                      </c:pt>
                      <c:pt idx="1">
                        <c:v>0.68743608971300008</c:v>
                      </c:pt>
                      <c:pt idx="2">
                        <c:v>0.67511755778369364</c:v>
                      </c:pt>
                      <c:pt idx="3">
                        <c:v>0.99557260293925742</c:v>
                      </c:pt>
                      <c:pt idx="4">
                        <c:v>1.2354949665486523</c:v>
                      </c:pt>
                      <c:pt idx="5">
                        <c:v>0.87873203317830462</c:v>
                      </c:pt>
                      <c:pt idx="6">
                        <c:v>0.90279137141291144</c:v>
                      </c:pt>
                      <c:pt idx="7">
                        <c:v>1.8802012481836912</c:v>
                      </c:pt>
                      <c:pt idx="8">
                        <c:v>0.63387657631237182</c:v>
                      </c:pt>
                      <c:pt idx="9">
                        <c:v>0.37960594175956736</c:v>
                      </c:pt>
                      <c:pt idx="10">
                        <c:v>1.1001494702886769</c:v>
                      </c:pt>
                      <c:pt idx="11">
                        <c:v>0.91018861877947177</c:v>
                      </c:pt>
                      <c:pt idx="12">
                        <c:v>1.1064227915938902</c:v>
                      </c:pt>
                      <c:pt idx="13">
                        <c:v>1.6237494077975645</c:v>
                      </c:pt>
                      <c:pt idx="14">
                        <c:v>1.0606863514000466</c:v>
                      </c:pt>
                      <c:pt idx="15">
                        <c:v>0.99889752298308943</c:v>
                      </c:pt>
                      <c:pt idx="16">
                        <c:v>0.96448955546756532</c:v>
                      </c:pt>
                    </c:numCache>
                  </c:numRef>
                </c:val>
                <c:extLst xmlns:c15="http://schemas.microsoft.com/office/drawing/2012/chart" xmlns:c16r2="http://schemas.microsoft.com/office/drawing/2015/06/chart">
                  <c:ext xmlns:c16="http://schemas.microsoft.com/office/drawing/2014/chart" uri="{C3380CC4-5D6E-409C-BE32-E72D297353CC}">
                    <c16:uniqueId val="{00000014-4B66-44F6-8968-A6990199EF46}"/>
                  </c:ext>
                </c:extLst>
              </c15:ser>
            </c15:filteredBarSeries>
          </c:ext>
        </c:extLst>
      </c:barChart>
      <c:catAx>
        <c:axId val="-138458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88848"/>
        <c:crosses val="autoZero"/>
        <c:auto val="1"/>
        <c:lblAlgn val="ctr"/>
        <c:lblOffset val="100"/>
        <c:noMultiLvlLbl val="0"/>
      </c:catAx>
      <c:valAx>
        <c:axId val="-1384588848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8458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 Butembo 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Graphiques_Routine!$B$29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D894-4407-8EF5-AB99F7C3C620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D894-4407-8EF5-AB99F7C3C620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D894-4407-8EF5-AB99F7C3C620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1E5-4885-93AD-AC7A2C3415EA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B1E5-4885-93AD-AC7A2C3415EA}"/>
              </c:ext>
            </c:extLst>
          </c:dPt>
          <c:dPt>
            <c:idx val="1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B1E5-4885-93AD-AC7A2C3415EA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1E5-4885-93AD-AC7A2C3415EA}"/>
              </c:ext>
            </c:extLst>
          </c:dPt>
          <c:dLbls>
            <c:spPr>
              <a:noFill/>
              <a:ln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Graphiques_Routine!$A$30:$A$47</c:f>
              <c:strCache>
                <c:ptCount val="17"/>
                <c:pt idx="0">
                  <c:v> Vuhovi</c:v>
                </c:pt>
                <c:pt idx="1">
                  <c:v> Mabalako</c:v>
                </c:pt>
                <c:pt idx="2">
                  <c:v> Masereka</c:v>
                </c:pt>
                <c:pt idx="3">
                  <c:v> Butembo</c:v>
                </c:pt>
                <c:pt idx="4">
                  <c:v> Biena</c:v>
                </c:pt>
                <c:pt idx="5">
                  <c:v> Kyondo</c:v>
                </c:pt>
                <c:pt idx="6">
                  <c:v> Alimbongo</c:v>
                </c:pt>
                <c:pt idx="7">
                  <c:v> Musienene</c:v>
                </c:pt>
                <c:pt idx="8">
                  <c:v> Kalunguta</c:v>
                </c:pt>
                <c:pt idx="9">
                  <c:v> Manguredjipa</c:v>
                </c:pt>
                <c:pt idx="10">
                  <c:v> Kayna</c:v>
                </c:pt>
                <c:pt idx="11">
                  <c:v> Lubero</c:v>
                </c:pt>
                <c:pt idx="12">
                  <c:v> Kamango</c:v>
                </c:pt>
                <c:pt idx="13">
                  <c:v> Beni</c:v>
                </c:pt>
                <c:pt idx="14">
                  <c:v> Mutwanga</c:v>
                </c:pt>
                <c:pt idx="15">
                  <c:v> Katwa</c:v>
                </c:pt>
                <c:pt idx="16">
                  <c:v> Oicha</c:v>
                </c:pt>
              </c:strCache>
            </c:strRef>
          </c:cat>
          <c:val>
            <c:numRef>
              <c:f>Graphiques_Routine!$B$30:$B$47</c:f>
              <c:numCache>
                <c:formatCode>General</c:formatCode>
                <c:ptCount val="17"/>
                <c:pt idx="0">
                  <c:v>83</c:v>
                </c:pt>
                <c:pt idx="1">
                  <c:v>204</c:v>
                </c:pt>
                <c:pt idx="2">
                  <c:v>238</c:v>
                </c:pt>
                <c:pt idx="3">
                  <c:v>256</c:v>
                </c:pt>
                <c:pt idx="4">
                  <c:v>268</c:v>
                </c:pt>
                <c:pt idx="5">
                  <c:v>273</c:v>
                </c:pt>
                <c:pt idx="6">
                  <c:v>297</c:v>
                </c:pt>
                <c:pt idx="7">
                  <c:v>365</c:v>
                </c:pt>
                <c:pt idx="8">
                  <c:v>507</c:v>
                </c:pt>
                <c:pt idx="9">
                  <c:v>522</c:v>
                </c:pt>
                <c:pt idx="10">
                  <c:v>622</c:v>
                </c:pt>
                <c:pt idx="11">
                  <c:v>670</c:v>
                </c:pt>
                <c:pt idx="12">
                  <c:v>740</c:v>
                </c:pt>
                <c:pt idx="13">
                  <c:v>764</c:v>
                </c:pt>
                <c:pt idx="14">
                  <c:v>783</c:v>
                </c:pt>
                <c:pt idx="15">
                  <c:v>928</c:v>
                </c:pt>
                <c:pt idx="16">
                  <c:v>1035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E5-4885-93AD-AC7A2C3415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"/>
        <c:axId val="-1371385744"/>
        <c:axId val="-1371384112"/>
      </c:barChart>
      <c:catAx>
        <c:axId val="-1371385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84112"/>
        <c:crosses val="autoZero"/>
        <c:auto val="1"/>
        <c:lblAlgn val="ctr"/>
        <c:lblOffset val="100"/>
        <c:noMultiLvlLbl val="0"/>
      </c:catAx>
      <c:valAx>
        <c:axId val="-13713841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37138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 Goma 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Graphiques_Routine!$H$29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9CC-41AD-8041-2DC764DAEE71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29CC-41AD-8041-2DC764DAEE71}"/>
              </c:ext>
            </c:extLst>
          </c:dPt>
          <c:dPt>
            <c:idx val="6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29CC-41AD-8041-2DC764DAEE7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29CC-41AD-8041-2DC764DAEE7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9CC-41AD-8041-2DC764DAEE71}"/>
              </c:ext>
            </c:extLst>
          </c:dPt>
          <c:dPt>
            <c:idx val="9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29CC-41AD-8041-2DC764DAEE7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29CC-41AD-8041-2DC764DAEE71}"/>
              </c:ext>
            </c:extLst>
          </c:dPt>
          <c:dPt>
            <c:idx val="11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29CC-41AD-8041-2DC764DAEE71}"/>
              </c:ext>
            </c:extLst>
          </c:dPt>
          <c:dPt>
            <c:idx val="12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29CC-41AD-8041-2DC764DAEE71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29CC-41AD-8041-2DC764DAEE71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29CC-41AD-8041-2DC764DAEE71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9CC-41AD-8041-2DC764DAEE71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29CC-41AD-8041-2DC764DAEE71}"/>
              </c:ext>
            </c:extLst>
          </c:dPt>
          <c:dLbls>
            <c:spPr>
              <a:noFill/>
              <a:ln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Graphiques_Routine!$G$30:$G$47</c:f>
              <c:strCache>
                <c:ptCount val="17"/>
                <c:pt idx="0">
                  <c:v> Binza</c:v>
                </c:pt>
                <c:pt idx="1">
                  <c:v> Bambo</c:v>
                </c:pt>
                <c:pt idx="2">
                  <c:v> Kibua</c:v>
                </c:pt>
                <c:pt idx="3">
                  <c:v> Rutshuru</c:v>
                </c:pt>
                <c:pt idx="4">
                  <c:v> Itebero</c:v>
                </c:pt>
                <c:pt idx="5">
                  <c:v> Pinga</c:v>
                </c:pt>
                <c:pt idx="6">
                  <c:v> Walikale</c:v>
                </c:pt>
                <c:pt idx="7">
                  <c:v> Kibirizi</c:v>
                </c:pt>
                <c:pt idx="8">
                  <c:v> Rwanguba</c:v>
                </c:pt>
                <c:pt idx="9">
                  <c:v> Katoyi</c:v>
                </c:pt>
                <c:pt idx="10">
                  <c:v> Birambizo</c:v>
                </c:pt>
                <c:pt idx="11">
                  <c:v> Kirotshe</c:v>
                </c:pt>
                <c:pt idx="12">
                  <c:v> Nyiragongo</c:v>
                </c:pt>
                <c:pt idx="13">
                  <c:v> Karisimbi</c:v>
                </c:pt>
                <c:pt idx="14">
                  <c:v> Goma</c:v>
                </c:pt>
                <c:pt idx="15">
                  <c:v> Masisi</c:v>
                </c:pt>
                <c:pt idx="16">
                  <c:v> Mweso</c:v>
                </c:pt>
              </c:strCache>
            </c:strRef>
          </c:cat>
          <c:val>
            <c:numRef>
              <c:f>Graphiques_Routine!$H$30:$H$47</c:f>
              <c:numCache>
                <c:formatCode>General</c:formatCode>
                <c:ptCount val="17"/>
                <c:pt idx="0">
                  <c:v>320</c:v>
                </c:pt>
                <c:pt idx="1">
                  <c:v>367</c:v>
                </c:pt>
                <c:pt idx="2">
                  <c:v>424</c:v>
                </c:pt>
                <c:pt idx="3">
                  <c:v>486</c:v>
                </c:pt>
                <c:pt idx="4">
                  <c:v>641</c:v>
                </c:pt>
                <c:pt idx="5">
                  <c:v>827</c:v>
                </c:pt>
                <c:pt idx="6">
                  <c:v>1015</c:v>
                </c:pt>
                <c:pt idx="7">
                  <c:v>1032</c:v>
                </c:pt>
                <c:pt idx="8">
                  <c:v>1032</c:v>
                </c:pt>
                <c:pt idx="9">
                  <c:v>1082</c:v>
                </c:pt>
                <c:pt idx="10">
                  <c:v>1119</c:v>
                </c:pt>
                <c:pt idx="11">
                  <c:v>1344</c:v>
                </c:pt>
                <c:pt idx="12">
                  <c:v>1448</c:v>
                </c:pt>
                <c:pt idx="13">
                  <c:v>1979</c:v>
                </c:pt>
                <c:pt idx="14">
                  <c:v>2190</c:v>
                </c:pt>
                <c:pt idx="15">
                  <c:v>2524</c:v>
                </c:pt>
                <c:pt idx="16">
                  <c:v>3216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9CC-41AD-8041-2DC764DAEE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"/>
        <c:axId val="-1371383568"/>
        <c:axId val="-1371382480"/>
      </c:barChart>
      <c:catAx>
        <c:axId val="-1371383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82480"/>
        <c:crosses val="autoZero"/>
        <c:auto val="1"/>
        <c:lblAlgn val="ctr"/>
        <c:lblOffset val="100"/>
        <c:noMultiLvlLbl val="0"/>
      </c:catAx>
      <c:valAx>
        <c:axId val="-13713824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37138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 Butembo 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Graphiques_Routine!$M$28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A5AD-4EE1-8BDC-F6C771A4DB22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0A1B-458D-82D2-97AE7C052BDB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0A1B-458D-82D2-97AE7C052BDB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0A1B-458D-82D2-97AE7C052BDB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0A1B-458D-82D2-97AE7C052BDB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0A1B-458D-82D2-97AE7C052BDB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A1B-458D-82D2-97AE7C052BDB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0A1B-458D-82D2-97AE7C052BDB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A1B-458D-82D2-97AE7C052BDB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0A1B-458D-82D2-97AE7C052BDB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A1B-458D-82D2-97AE7C052BDB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0A1B-458D-82D2-97AE7C052BDB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A1B-458D-82D2-97AE7C052BDB}"/>
              </c:ext>
            </c:extLst>
          </c:dPt>
          <c:dLbls>
            <c:spPr>
              <a:noFill/>
              <a:ln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Graphiques_Routine!$L$29:$L$46</c:f>
              <c:strCache>
                <c:ptCount val="17"/>
                <c:pt idx="0">
                  <c:v> Masereka</c:v>
                </c:pt>
                <c:pt idx="1">
                  <c:v> Musienene</c:v>
                </c:pt>
                <c:pt idx="2">
                  <c:v> Kamango</c:v>
                </c:pt>
                <c:pt idx="3">
                  <c:v> Manguredjipa</c:v>
                </c:pt>
                <c:pt idx="4">
                  <c:v> Lubero</c:v>
                </c:pt>
                <c:pt idx="5">
                  <c:v> Kyondo</c:v>
                </c:pt>
                <c:pt idx="6">
                  <c:v> Vuhovi</c:v>
                </c:pt>
                <c:pt idx="7">
                  <c:v> Katwa</c:v>
                </c:pt>
                <c:pt idx="8">
                  <c:v> Biena</c:v>
                </c:pt>
                <c:pt idx="9">
                  <c:v> Kalunguta</c:v>
                </c:pt>
                <c:pt idx="10">
                  <c:v> Beni</c:v>
                </c:pt>
                <c:pt idx="11">
                  <c:v> Mabalako</c:v>
                </c:pt>
                <c:pt idx="12">
                  <c:v> Alimbongo</c:v>
                </c:pt>
                <c:pt idx="13">
                  <c:v> Butembo</c:v>
                </c:pt>
                <c:pt idx="14">
                  <c:v> Kayna</c:v>
                </c:pt>
                <c:pt idx="15">
                  <c:v> Oicha</c:v>
                </c:pt>
                <c:pt idx="16">
                  <c:v> Mutwanga</c:v>
                </c:pt>
              </c:strCache>
            </c:strRef>
          </c:cat>
          <c:val>
            <c:numRef>
              <c:f>Graphiques_Routine!$M$29:$M$46</c:f>
              <c:numCache>
                <c:formatCode>0</c:formatCode>
                <c:ptCount val="17"/>
                <c:pt idx="0">
                  <c:v>215.84383333333321</c:v>
                </c:pt>
                <c:pt idx="1">
                  <c:v>236.46191666666658</c:v>
                </c:pt>
                <c:pt idx="2">
                  <c:v>265.77391666666665</c:v>
                </c:pt>
                <c:pt idx="3">
                  <c:v>375.18674999999996</c:v>
                </c:pt>
                <c:pt idx="4">
                  <c:v>469.80233333333331</c:v>
                </c:pt>
                <c:pt idx="5">
                  <c:v>665.53316666666683</c:v>
                </c:pt>
                <c:pt idx="6">
                  <c:v>726.15125</c:v>
                </c:pt>
                <c:pt idx="7">
                  <c:v>835.01691666666659</c:v>
                </c:pt>
                <c:pt idx="8">
                  <c:v>864.00800000000027</c:v>
                </c:pt>
                <c:pt idx="9">
                  <c:v>948.6139166666668</c:v>
                </c:pt>
                <c:pt idx="10">
                  <c:v>996.17141666666646</c:v>
                </c:pt>
                <c:pt idx="11">
                  <c:v>1125.3214166666667</c:v>
                </c:pt>
                <c:pt idx="12">
                  <c:v>1138.1322500000006</c:v>
                </c:pt>
                <c:pt idx="13">
                  <c:v>1251.2745833333331</c:v>
                </c:pt>
                <c:pt idx="14">
                  <c:v>2123.1976666666669</c:v>
                </c:pt>
                <c:pt idx="15">
                  <c:v>2183.7019166666669</c:v>
                </c:pt>
                <c:pt idx="16">
                  <c:v>2523.8056666666666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A1B-458D-82D2-97AE7C052B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"/>
        <c:axId val="-1371381936"/>
        <c:axId val="-1371380848"/>
      </c:barChart>
      <c:catAx>
        <c:axId val="-1371381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80848"/>
        <c:crosses val="autoZero"/>
        <c:auto val="1"/>
        <c:lblAlgn val="ctr"/>
        <c:lblOffset val="100"/>
        <c:noMultiLvlLbl val="0"/>
      </c:catAx>
      <c:valAx>
        <c:axId val="-137138084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-137138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/>
              <a:t>Ant Goma :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Graphiques_Routine!$R$28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9A5D-4879-B5B7-5C045CFBCD20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52CF-4719-979F-FA2A516BB3AD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52CF-4719-979F-FA2A516BB3AD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F5E-4A9A-B003-BDA1082CDD48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7F5E-4A9A-B003-BDA1082CDD48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F5E-4A9A-B003-BDA1082CDD48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7F5E-4A9A-B003-BDA1082CDD48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F5E-4A9A-B003-BDA1082CDD48}"/>
              </c:ext>
            </c:extLst>
          </c:dPt>
          <c:dLbls>
            <c:spPr>
              <a:noFill/>
              <a:ln>
                <a:solidFill>
                  <a:srgbClr val="00206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Graphiques_Routine!$Q$29:$Q$46</c:f>
              <c:strCache>
                <c:ptCount val="17"/>
                <c:pt idx="0">
                  <c:v> Nyiragongo</c:v>
                </c:pt>
                <c:pt idx="1">
                  <c:v> Katoyi</c:v>
                </c:pt>
                <c:pt idx="2">
                  <c:v> Walikale</c:v>
                </c:pt>
                <c:pt idx="3">
                  <c:v> Birambizo</c:v>
                </c:pt>
                <c:pt idx="4">
                  <c:v> Binza</c:v>
                </c:pt>
                <c:pt idx="5">
                  <c:v> Itebero</c:v>
                </c:pt>
                <c:pt idx="6">
                  <c:v> Bambo</c:v>
                </c:pt>
                <c:pt idx="7">
                  <c:v> Kibua</c:v>
                </c:pt>
                <c:pt idx="8">
                  <c:v> Goma</c:v>
                </c:pt>
                <c:pt idx="9">
                  <c:v> Rutshuru</c:v>
                </c:pt>
                <c:pt idx="10">
                  <c:v> Kibirizi</c:v>
                </c:pt>
                <c:pt idx="11">
                  <c:v> Rwanguba</c:v>
                </c:pt>
                <c:pt idx="12">
                  <c:v> Pinga</c:v>
                </c:pt>
                <c:pt idx="13">
                  <c:v> Masisi</c:v>
                </c:pt>
                <c:pt idx="14">
                  <c:v> Mweso</c:v>
                </c:pt>
                <c:pt idx="15">
                  <c:v> Karisimbi</c:v>
                </c:pt>
                <c:pt idx="16">
                  <c:v> Kirotshe</c:v>
                </c:pt>
              </c:strCache>
            </c:strRef>
          </c:cat>
          <c:val>
            <c:numRef>
              <c:f>Graphiques_Routine!$R$29:$R$46</c:f>
              <c:numCache>
                <c:formatCode>0</c:formatCode>
                <c:ptCount val="17"/>
                <c:pt idx="0">
                  <c:v>0</c:v>
                </c:pt>
                <c:pt idx="1">
                  <c:v>29.964833333333218</c:v>
                </c:pt>
                <c:pt idx="2">
                  <c:v>118.87275000000005</c:v>
                </c:pt>
                <c:pt idx="3">
                  <c:v>178.36866666666668</c:v>
                </c:pt>
                <c:pt idx="4">
                  <c:v>213.48783333333338</c:v>
                </c:pt>
                <c:pt idx="5">
                  <c:v>278.59108333333336</c:v>
                </c:pt>
                <c:pt idx="6">
                  <c:v>293.24883333333321</c:v>
                </c:pt>
                <c:pt idx="7">
                  <c:v>339.6013333333334</c:v>
                </c:pt>
                <c:pt idx="8">
                  <c:v>472.68724999999989</c:v>
                </c:pt>
                <c:pt idx="9">
                  <c:v>543.05424999999991</c:v>
                </c:pt>
                <c:pt idx="10">
                  <c:v>568.10608333333323</c:v>
                </c:pt>
                <c:pt idx="11">
                  <c:v>728.31941666666671</c:v>
                </c:pt>
                <c:pt idx="12">
                  <c:v>738.84316666666666</c:v>
                </c:pt>
                <c:pt idx="13">
                  <c:v>995.03466666666668</c:v>
                </c:pt>
                <c:pt idx="14">
                  <c:v>1208.35475</c:v>
                </c:pt>
                <c:pt idx="15">
                  <c:v>3803.8785833333327</c:v>
                </c:pt>
                <c:pt idx="16">
                  <c:v>5762.6368333333339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F5E-4A9A-B003-BDA1082CDD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371380304"/>
        <c:axId val="-1371379760"/>
      </c:barChart>
      <c:catAx>
        <c:axId val="-1371380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79760"/>
        <c:crosses val="autoZero"/>
        <c:auto val="1"/>
        <c:lblAlgn val="ctr"/>
        <c:lblOffset val="100"/>
        <c:noMultiLvlLbl val="0"/>
      </c:catAx>
      <c:valAx>
        <c:axId val="-137137976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-137138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Analyses_CV_ZS!$AA$60</c:f>
              <c:strCache>
                <c:ptCount val="1"/>
                <c:pt idx="0">
                  <c:v>Complétude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Analyses_CV_ZS!$C$61:$C$94</c:f>
              <c:strCache>
                <c:ptCount val="34"/>
                <c:pt idx="0">
                  <c:v> Alimbongo</c:v>
                </c:pt>
                <c:pt idx="1">
                  <c:v> Bambo</c:v>
                </c:pt>
                <c:pt idx="2">
                  <c:v> Beni</c:v>
                </c:pt>
                <c:pt idx="3">
                  <c:v> Biena</c:v>
                </c:pt>
                <c:pt idx="4">
                  <c:v> Binza</c:v>
                </c:pt>
                <c:pt idx="5">
                  <c:v> Birambizo</c:v>
                </c:pt>
                <c:pt idx="6">
                  <c:v> Butembo</c:v>
                </c:pt>
                <c:pt idx="7">
                  <c:v> Goma</c:v>
                </c:pt>
                <c:pt idx="8">
                  <c:v> Itebero</c:v>
                </c:pt>
                <c:pt idx="9">
                  <c:v> Kalunguta</c:v>
                </c:pt>
                <c:pt idx="10">
                  <c:v> Kamango</c:v>
                </c:pt>
                <c:pt idx="11">
                  <c:v> Karisimbi</c:v>
                </c:pt>
                <c:pt idx="12">
                  <c:v> Katoyi</c:v>
                </c:pt>
                <c:pt idx="13">
                  <c:v> Katwa</c:v>
                </c:pt>
                <c:pt idx="14">
                  <c:v> Kayna</c:v>
                </c:pt>
                <c:pt idx="15">
                  <c:v> Kibirizi</c:v>
                </c:pt>
                <c:pt idx="16">
                  <c:v> Kibua</c:v>
                </c:pt>
                <c:pt idx="17">
                  <c:v> Kirotshe</c:v>
                </c:pt>
                <c:pt idx="18">
                  <c:v> Kyondo</c:v>
                </c:pt>
                <c:pt idx="19">
                  <c:v> Lubero</c:v>
                </c:pt>
                <c:pt idx="20">
                  <c:v> Mabalako</c:v>
                </c:pt>
                <c:pt idx="21">
                  <c:v> Manguredjipa</c:v>
                </c:pt>
                <c:pt idx="22">
                  <c:v> Masereka</c:v>
                </c:pt>
                <c:pt idx="23">
                  <c:v> Masisi</c:v>
                </c:pt>
                <c:pt idx="24">
                  <c:v> Musienene</c:v>
                </c:pt>
                <c:pt idx="25">
                  <c:v> Mutwanga</c:v>
                </c:pt>
                <c:pt idx="26">
                  <c:v> Mweso</c:v>
                </c:pt>
                <c:pt idx="27">
                  <c:v> Nyiragongo</c:v>
                </c:pt>
                <c:pt idx="28">
                  <c:v> Oicha</c:v>
                </c:pt>
                <c:pt idx="29">
                  <c:v> Pinga</c:v>
                </c:pt>
                <c:pt idx="30">
                  <c:v> Rutshuru</c:v>
                </c:pt>
                <c:pt idx="31">
                  <c:v> Rwanguba</c:v>
                </c:pt>
                <c:pt idx="32">
                  <c:v> Vuhovi</c:v>
                </c:pt>
                <c:pt idx="33">
                  <c:v> Walikale</c:v>
                </c:pt>
              </c:strCache>
            </c:strRef>
          </c:cat>
          <c:val>
            <c:numRef>
              <c:f>Analyses_CV_ZS!$AA$61:$AA$94</c:f>
              <c:numCache>
                <c:formatCode>0</c:formatCode>
                <c:ptCount val="3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28-4A4A-BA82-1597D304C98F}"/>
            </c:ext>
          </c:extLst>
        </c:ser>
        <c:ser>
          <c:idx val="1"/>
          <c:order val="1"/>
          <c:tx>
            <c:strRef>
              <c:f>Analyses_CV_ZS!$AB$60</c:f>
              <c:strCache>
                <c:ptCount val="1"/>
                <c:pt idx="0">
                  <c:v>Promptitude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Analyses_CV_ZS!$C$61:$C$94</c:f>
              <c:strCache>
                <c:ptCount val="34"/>
                <c:pt idx="0">
                  <c:v> Alimbongo</c:v>
                </c:pt>
                <c:pt idx="1">
                  <c:v> Bambo</c:v>
                </c:pt>
                <c:pt idx="2">
                  <c:v> Beni</c:v>
                </c:pt>
                <c:pt idx="3">
                  <c:v> Biena</c:v>
                </c:pt>
                <c:pt idx="4">
                  <c:v> Binza</c:v>
                </c:pt>
                <c:pt idx="5">
                  <c:v> Birambizo</c:v>
                </c:pt>
                <c:pt idx="6">
                  <c:v> Butembo</c:v>
                </c:pt>
                <c:pt idx="7">
                  <c:v> Goma</c:v>
                </c:pt>
                <c:pt idx="8">
                  <c:v> Itebero</c:v>
                </c:pt>
                <c:pt idx="9">
                  <c:v> Kalunguta</c:v>
                </c:pt>
                <c:pt idx="10">
                  <c:v> Kamango</c:v>
                </c:pt>
                <c:pt idx="11">
                  <c:v> Karisimbi</c:v>
                </c:pt>
                <c:pt idx="12">
                  <c:v> Katoyi</c:v>
                </c:pt>
                <c:pt idx="13">
                  <c:v> Katwa</c:v>
                </c:pt>
                <c:pt idx="14">
                  <c:v> Kayna</c:v>
                </c:pt>
                <c:pt idx="15">
                  <c:v> Kibirizi</c:v>
                </c:pt>
                <c:pt idx="16">
                  <c:v> Kibua</c:v>
                </c:pt>
                <c:pt idx="17">
                  <c:v> Kirotshe</c:v>
                </c:pt>
                <c:pt idx="18">
                  <c:v> Kyondo</c:v>
                </c:pt>
                <c:pt idx="19">
                  <c:v> Lubero</c:v>
                </c:pt>
                <c:pt idx="20">
                  <c:v> Mabalako</c:v>
                </c:pt>
                <c:pt idx="21">
                  <c:v> Manguredjipa</c:v>
                </c:pt>
                <c:pt idx="22">
                  <c:v> Masereka</c:v>
                </c:pt>
                <c:pt idx="23">
                  <c:v> Masisi</c:v>
                </c:pt>
                <c:pt idx="24">
                  <c:v> Musienene</c:v>
                </c:pt>
                <c:pt idx="25">
                  <c:v> Mutwanga</c:v>
                </c:pt>
                <c:pt idx="26">
                  <c:v> Mweso</c:v>
                </c:pt>
                <c:pt idx="27">
                  <c:v> Nyiragongo</c:v>
                </c:pt>
                <c:pt idx="28">
                  <c:v> Oicha</c:v>
                </c:pt>
                <c:pt idx="29">
                  <c:v> Pinga</c:v>
                </c:pt>
                <c:pt idx="30">
                  <c:v> Rutshuru</c:v>
                </c:pt>
                <c:pt idx="31">
                  <c:v> Rwanguba</c:v>
                </c:pt>
                <c:pt idx="32">
                  <c:v> Vuhovi</c:v>
                </c:pt>
                <c:pt idx="33">
                  <c:v> Walikale</c:v>
                </c:pt>
              </c:strCache>
            </c:strRef>
          </c:cat>
          <c:val>
            <c:numRef>
              <c:f>Analyses_CV_ZS!$AB$61:$AB$94</c:f>
              <c:numCache>
                <c:formatCode>0</c:formatCode>
                <c:ptCount val="34"/>
                <c:pt idx="0">
                  <c:v>95.83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92.31</c:v>
                </c:pt>
                <c:pt idx="8">
                  <c:v>41.38</c:v>
                </c:pt>
                <c:pt idx="9">
                  <c:v>100</c:v>
                </c:pt>
                <c:pt idx="10">
                  <c:v>88.89</c:v>
                </c:pt>
                <c:pt idx="11">
                  <c:v>76.92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0</c:v>
                </c:pt>
                <c:pt idx="17">
                  <c:v>62.86</c:v>
                </c:pt>
                <c:pt idx="18">
                  <c:v>94.29</c:v>
                </c:pt>
                <c:pt idx="19">
                  <c:v>97.83</c:v>
                </c:pt>
                <c:pt idx="20">
                  <c:v>96.55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63.64</c:v>
                </c:pt>
                <c:pt idx="28">
                  <c:v>100</c:v>
                </c:pt>
                <c:pt idx="29">
                  <c:v>90.91</c:v>
                </c:pt>
                <c:pt idx="30">
                  <c:v>100</c:v>
                </c:pt>
                <c:pt idx="31">
                  <c:v>86.21</c:v>
                </c:pt>
                <c:pt idx="32">
                  <c:v>100</c:v>
                </c:pt>
                <c:pt idx="33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328-4A4A-BA82-1597D304C9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3"/>
        <c:axId val="-1371381392"/>
        <c:axId val="-1371383024"/>
      </c:barChart>
      <c:lineChart>
        <c:grouping val="standard"/>
        <c:varyColors val="0"/>
        <c:ser>
          <c:idx val="2"/>
          <c:order val="2"/>
          <c:tx>
            <c:strRef>
              <c:f>Analyses_CV_ZS!$AC$60</c:f>
              <c:strCache>
                <c:ptCount val="1"/>
              </c:strCache>
            </c:strRef>
          </c:tx>
          <c:spPr>
            <a:ln w="28575" cap="rnd">
              <a:solidFill>
                <a:srgbClr val="0F9D2A"/>
              </a:solidFill>
              <a:round/>
            </a:ln>
            <a:effectLst/>
          </c:spPr>
          <c:marker>
            <c:symbol val="none"/>
          </c:marker>
          <c:cat>
            <c:strRef>
              <c:f>Analyses_CV_ZS!$C$61:$C$94</c:f>
              <c:strCache>
                <c:ptCount val="34"/>
                <c:pt idx="0">
                  <c:v> Alimbongo</c:v>
                </c:pt>
                <c:pt idx="1">
                  <c:v> Bambo</c:v>
                </c:pt>
                <c:pt idx="2">
                  <c:v> Beni</c:v>
                </c:pt>
                <c:pt idx="3">
                  <c:v> Biena</c:v>
                </c:pt>
                <c:pt idx="4">
                  <c:v> Binza</c:v>
                </c:pt>
                <c:pt idx="5">
                  <c:v> Birambizo</c:v>
                </c:pt>
                <c:pt idx="6">
                  <c:v> Butembo</c:v>
                </c:pt>
                <c:pt idx="7">
                  <c:v> Goma</c:v>
                </c:pt>
                <c:pt idx="8">
                  <c:v> Itebero</c:v>
                </c:pt>
                <c:pt idx="9">
                  <c:v> Kalunguta</c:v>
                </c:pt>
                <c:pt idx="10">
                  <c:v> Kamango</c:v>
                </c:pt>
                <c:pt idx="11">
                  <c:v> Karisimbi</c:v>
                </c:pt>
                <c:pt idx="12">
                  <c:v> Katoyi</c:v>
                </c:pt>
                <c:pt idx="13">
                  <c:v> Katwa</c:v>
                </c:pt>
                <c:pt idx="14">
                  <c:v> Kayna</c:v>
                </c:pt>
                <c:pt idx="15">
                  <c:v> Kibirizi</c:v>
                </c:pt>
                <c:pt idx="16">
                  <c:v> Kibua</c:v>
                </c:pt>
                <c:pt idx="17">
                  <c:v> Kirotshe</c:v>
                </c:pt>
                <c:pt idx="18">
                  <c:v> Kyondo</c:v>
                </c:pt>
                <c:pt idx="19">
                  <c:v> Lubero</c:v>
                </c:pt>
                <c:pt idx="20">
                  <c:v> Mabalako</c:v>
                </c:pt>
                <c:pt idx="21">
                  <c:v> Manguredjipa</c:v>
                </c:pt>
                <c:pt idx="22">
                  <c:v> Masereka</c:v>
                </c:pt>
                <c:pt idx="23">
                  <c:v> Masisi</c:v>
                </c:pt>
                <c:pt idx="24">
                  <c:v> Musienene</c:v>
                </c:pt>
                <c:pt idx="25">
                  <c:v> Mutwanga</c:v>
                </c:pt>
                <c:pt idx="26">
                  <c:v> Mweso</c:v>
                </c:pt>
                <c:pt idx="27">
                  <c:v> Nyiragongo</c:v>
                </c:pt>
                <c:pt idx="28">
                  <c:v> Oicha</c:v>
                </c:pt>
                <c:pt idx="29">
                  <c:v> Pinga</c:v>
                </c:pt>
                <c:pt idx="30">
                  <c:v> Rutshuru</c:v>
                </c:pt>
                <c:pt idx="31">
                  <c:v> Rwanguba</c:v>
                </c:pt>
                <c:pt idx="32">
                  <c:v> Vuhovi</c:v>
                </c:pt>
                <c:pt idx="33">
                  <c:v> Walikale</c:v>
                </c:pt>
              </c:strCache>
            </c:strRef>
          </c:cat>
          <c:val>
            <c:numRef>
              <c:f>Analyses_CV_ZS!$AC$61:$AC$94</c:f>
              <c:numCache>
                <c:formatCode>General</c:formatCode>
                <c:ptCount val="34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328-4A4A-BA82-1597D304C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371381392"/>
        <c:axId val="-1371383024"/>
      </c:lineChart>
      <c:catAx>
        <c:axId val="-13713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83024"/>
        <c:crosses val="autoZero"/>
        <c:auto val="1"/>
        <c:lblAlgn val="ctr"/>
        <c:lblOffset val="100"/>
        <c:noMultiLvlLbl val="0"/>
      </c:catAx>
      <c:valAx>
        <c:axId val="-1371383024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-13713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Graphiques_Routine!$B$4</c:f>
              <c:strCache>
                <c:ptCount val="1"/>
                <c:pt idx="0">
                  <c:v>Objectif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Graphiques_Routine!$A$5:$A$15</c:f>
              <c:strCache>
                <c:ptCount val="11"/>
                <c:pt idx="0">
                  <c:v>BCG</c:v>
                </c:pt>
                <c:pt idx="1">
                  <c:v>VPO 3</c:v>
                </c:pt>
                <c:pt idx="2">
                  <c:v>PENTA 3</c:v>
                </c:pt>
                <c:pt idx="3">
                  <c:v>PCV-13 3</c:v>
                </c:pt>
                <c:pt idx="4">
                  <c:v>ROTA 3</c:v>
                </c:pt>
                <c:pt idx="5">
                  <c:v>VPI1</c:v>
                </c:pt>
                <c:pt idx="6">
                  <c:v>VAR1/RR1</c:v>
                </c:pt>
                <c:pt idx="7">
                  <c:v>VAA</c:v>
                </c:pt>
                <c:pt idx="8">
                  <c:v>VPI 2</c:v>
                </c:pt>
                <c:pt idx="9">
                  <c:v>VAR2/RR2</c:v>
                </c:pt>
                <c:pt idx="10">
                  <c:v>Td2+</c:v>
                </c:pt>
              </c:strCache>
            </c:strRef>
          </c:cat>
          <c:val>
            <c:numRef>
              <c:f>Graphiques_Routine!$B$5:$B$15</c:f>
              <c:numCache>
                <c:formatCode>0%</c:formatCode>
                <c:ptCount val="11"/>
                <c:pt idx="0">
                  <c:v>0.98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C4-4E43-9004-CB9DCDDBA9C1}"/>
            </c:ext>
          </c:extLst>
        </c:ser>
        <c:ser>
          <c:idx val="1"/>
          <c:order val="1"/>
          <c:tx>
            <c:strRef>
              <c:f>Graphiques_Routine!$C$4</c:f>
              <c:strCache>
                <c:ptCount val="1"/>
                <c:pt idx="0">
                  <c:v>Réalisation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BC4-4E43-9004-CB9DCDDBA9C1}"/>
              </c:ext>
            </c:extLst>
          </c:dPt>
          <c:dPt>
            <c:idx val="1"/>
            <c:invertIfNegative val="0"/>
            <c:bubble3D val="0"/>
            <c:spPr>
              <a:solidFill>
                <a:srgbClr val="0F9D2A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2BC4-4E43-9004-CB9DCDDBA9C1}"/>
              </c:ext>
            </c:extLst>
          </c:dPt>
          <c:dPt>
            <c:idx val="2"/>
            <c:invertIfNegative val="0"/>
            <c:bubble3D val="0"/>
            <c:spPr>
              <a:solidFill>
                <a:srgbClr val="0F9D2A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2BC4-4E43-9004-CB9DCDDBA9C1}"/>
              </c:ext>
            </c:extLst>
          </c:dPt>
          <c:dPt>
            <c:idx val="3"/>
            <c:invertIfNegative val="0"/>
            <c:bubble3D val="0"/>
            <c:spPr>
              <a:solidFill>
                <a:srgbClr val="0F9D2A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BC4-4E43-9004-CB9DCDDBA9C1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2BC4-4E43-9004-CB9DCDDBA9C1}"/>
              </c:ext>
            </c:extLst>
          </c:dPt>
          <c:dPt>
            <c:idx val="5"/>
            <c:invertIfNegative val="0"/>
            <c:bubble3D val="0"/>
            <c:spPr>
              <a:solidFill>
                <a:srgbClr val="0F9D2A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BC4-4E43-9004-CB9DCDDBA9C1}"/>
              </c:ext>
            </c:extLst>
          </c:dPt>
          <c:dPt>
            <c:idx val="6"/>
            <c:invertIfNegative val="0"/>
            <c:bubble3D val="0"/>
            <c:spPr>
              <a:solidFill>
                <a:srgbClr val="0F9D2A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2BC4-4E43-9004-CB9DCDDBA9C1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BC4-4E43-9004-CB9DCDDBA9C1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BC4-4E43-9004-CB9DCDDBA9C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2BC4-4E43-9004-CB9DCDDBA9C1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2BC4-4E43-9004-CB9DCDDBA9C1}"/>
              </c:ext>
            </c:extLst>
          </c:dPt>
          <c:dLbls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Graphiques_Routine!$A$5:$A$15</c:f>
              <c:strCache>
                <c:ptCount val="11"/>
                <c:pt idx="0">
                  <c:v>BCG</c:v>
                </c:pt>
                <c:pt idx="1">
                  <c:v>VPO 3</c:v>
                </c:pt>
                <c:pt idx="2">
                  <c:v>PENTA 3</c:v>
                </c:pt>
                <c:pt idx="3">
                  <c:v>PCV-13 3</c:v>
                </c:pt>
                <c:pt idx="4">
                  <c:v>ROTA 3</c:v>
                </c:pt>
                <c:pt idx="5">
                  <c:v>VPI1</c:v>
                </c:pt>
                <c:pt idx="6">
                  <c:v>VAR1/RR1</c:v>
                </c:pt>
                <c:pt idx="7">
                  <c:v>VAA</c:v>
                </c:pt>
                <c:pt idx="8">
                  <c:v>VPI 2</c:v>
                </c:pt>
                <c:pt idx="9">
                  <c:v>VAR2/RR2</c:v>
                </c:pt>
                <c:pt idx="10">
                  <c:v>Td2+</c:v>
                </c:pt>
              </c:strCache>
            </c:strRef>
          </c:cat>
          <c:val>
            <c:numRef>
              <c:f>Graphiques_Routine!$C$5:$C$15</c:f>
              <c:numCache>
                <c:formatCode>0%</c:formatCode>
                <c:ptCount val="11"/>
                <c:pt idx="0">
                  <c:v>0.8859482572676719</c:v>
                </c:pt>
                <c:pt idx="1">
                  <c:v>0.99771904196234495</c:v>
                </c:pt>
                <c:pt idx="2">
                  <c:v>0.9920659903798752</c:v>
                </c:pt>
                <c:pt idx="3">
                  <c:v>0.97214662281056485</c:v>
                </c:pt>
                <c:pt idx="4">
                  <c:v>0.91734767233545322</c:v>
                </c:pt>
                <c:pt idx="5">
                  <c:v>1.0017614831277371</c:v>
                </c:pt>
                <c:pt idx="6">
                  <c:v>1.0059821736673513</c:v>
                </c:pt>
                <c:pt idx="7">
                  <c:v>0.94196836714986931</c:v>
                </c:pt>
                <c:pt idx="8">
                  <c:v>0.77584631642402857</c:v>
                </c:pt>
                <c:pt idx="9">
                  <c:v>0.49006164115350004</c:v>
                </c:pt>
                <c:pt idx="10">
                  <c:v>0.8488339046628075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2BC4-4E43-9004-CB9DCDDB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"/>
        <c:overlap val="-1"/>
        <c:axId val="-1371384656"/>
        <c:axId val="-1371379216"/>
      </c:barChart>
      <c:catAx>
        <c:axId val="-1371384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71379216"/>
        <c:crosses val="autoZero"/>
        <c:auto val="1"/>
        <c:lblAlgn val="ctr"/>
        <c:lblOffset val="100"/>
        <c:noMultiLvlLbl val="0"/>
      </c:catAx>
      <c:valAx>
        <c:axId val="-137137921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-1371384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CV&lt;50%</c:v>
          </c:tx>
          <c:spPr>
            <a:solidFill>
              <a:srgbClr val="FF000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Cartes_NK!$C$4:$C$37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6.3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Cartes_NK!$D$4:$D$37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Cartes_NK!$E$4:$E$37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5-BDC2-4379-A549-0C5C41AD71DF}"/>
            </c:ext>
          </c:extLst>
        </c:ser>
        <c:ser>
          <c:idx val="1"/>
          <c:order val="1"/>
          <c:tx>
            <c:v>CV&gt;=50&lt;80%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Cartes_NK!$C$4:$C$37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6.3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Cartes_NK!$D$4:$D$37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Cartes_NK!$F$4:$F$37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0.74840567305321148</c:v>
                </c:pt>
                <c:pt idx="4">
                  <c:v>0</c:v>
                </c:pt>
                <c:pt idx="5">
                  <c:v>0</c:v>
                </c:pt>
                <c:pt idx="6">
                  <c:v>0.78069105307181819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0.77130332631563758</c:v>
                </c:pt>
                <c:pt idx="15">
                  <c:v>0</c:v>
                </c:pt>
                <c:pt idx="16">
                  <c:v>0</c:v>
                </c:pt>
                <c:pt idx="17">
                  <c:v>0.54748817923628867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0.69582571237355328</c:v>
                </c:pt>
                <c:pt idx="26">
                  <c:v>0</c:v>
                </c:pt>
                <c:pt idx="27">
                  <c:v>0</c:v>
                </c:pt>
                <c:pt idx="28">
                  <c:v>0.75032412332709464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6-BDC2-4379-A549-0C5C41AD71DF}"/>
            </c:ext>
          </c:extLst>
        </c:ser>
        <c:ser>
          <c:idx val="2"/>
          <c:order val="2"/>
          <c:tx>
            <c:v>CV&gt;=80&lt;95%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Cartes_NK!$C$4:$C$37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6.3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Cartes_NK!$D$4:$D$37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Cartes_NK!$G$4:$G$37</c:f>
              <c:numCache>
                <c:formatCode>0%</c:formatCode>
                <c:ptCount val="34"/>
                <c:pt idx="0">
                  <c:v>0.87680415414203261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0.92833045875188913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0.90249056424387131</c:v>
                </c:pt>
                <c:pt idx="17">
                  <c:v>0</c:v>
                </c:pt>
                <c:pt idx="18">
                  <c:v>0.904513388464943</c:v>
                </c:pt>
                <c:pt idx="19">
                  <c:v>0</c:v>
                </c:pt>
                <c:pt idx="20">
                  <c:v>0.85903342303782249</c:v>
                </c:pt>
                <c:pt idx="21">
                  <c:v>0.81599186824324554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0.88940245341961555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7-BDC2-4379-A549-0C5C41AD71DF}"/>
            </c:ext>
          </c:extLst>
        </c:ser>
        <c:ser>
          <c:idx val="3"/>
          <c:order val="3"/>
          <c:tx>
            <c:v>CV&gt;=95%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Cartes_NK!$C$4:$C$37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6.3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Cartes_NK!$D$4:$D$37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Cartes_NK!$H$4:$H$37</c:f>
              <c:numCache>
                <c:formatCode>0%</c:formatCode>
                <c:ptCount val="34"/>
                <c:pt idx="0">
                  <c:v>0</c:v>
                </c:pt>
                <c:pt idx="1">
                  <c:v>0.97104545311612966</c:v>
                </c:pt>
                <c:pt idx="2">
                  <c:v>1.0995634969977892</c:v>
                </c:pt>
                <c:pt idx="3">
                  <c:v>0</c:v>
                </c:pt>
                <c:pt idx="4">
                  <c:v>1.0524504339404717</c:v>
                </c:pt>
                <c:pt idx="5">
                  <c:v>0.95684454313096901</c:v>
                </c:pt>
                <c:pt idx="6">
                  <c:v>0</c:v>
                </c:pt>
                <c:pt idx="7">
                  <c:v>1.4903862703538329</c:v>
                </c:pt>
                <c:pt idx="8">
                  <c:v>1.0509830384579575</c:v>
                </c:pt>
                <c:pt idx="9">
                  <c:v>0</c:v>
                </c:pt>
                <c:pt idx="10">
                  <c:v>1.0756016961123636</c:v>
                </c:pt>
                <c:pt idx="11">
                  <c:v>1.0340708522964746</c:v>
                </c:pt>
                <c:pt idx="12">
                  <c:v>1.1153953886625476</c:v>
                </c:pt>
                <c:pt idx="13">
                  <c:v>1.0772790459417139</c:v>
                </c:pt>
                <c:pt idx="14">
                  <c:v>0</c:v>
                </c:pt>
                <c:pt idx="15">
                  <c:v>0.97022534000135729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0.9592465706364518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1.2320966443143575</c:v>
                </c:pt>
                <c:pt idx="24">
                  <c:v>0.99920567963447171</c:v>
                </c:pt>
                <c:pt idx="25">
                  <c:v>0</c:v>
                </c:pt>
                <c:pt idx="26">
                  <c:v>0.99603749445607337</c:v>
                </c:pt>
                <c:pt idx="27">
                  <c:v>1.717206466358163</c:v>
                </c:pt>
                <c:pt idx="28">
                  <c:v>0</c:v>
                </c:pt>
                <c:pt idx="29">
                  <c:v>1.0714542096260473</c:v>
                </c:pt>
                <c:pt idx="30">
                  <c:v>1.0057836813176835</c:v>
                </c:pt>
                <c:pt idx="31">
                  <c:v>0.95441350775343792</c:v>
                </c:pt>
                <c:pt idx="32">
                  <c:v>0</c:v>
                </c:pt>
                <c:pt idx="33">
                  <c:v>1.1326611840205558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8-BDC2-4379-A549-0C5C41AD71D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25"/>
        <c:showNegBubbles val="0"/>
        <c:axId val="-1371378672"/>
        <c:axId val="-1371385200"/>
      </c:bubbleChart>
      <c:valAx>
        <c:axId val="-1371378672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1385200"/>
        <c:crosses val="max"/>
        <c:crossBetween val="midCat"/>
      </c:valAx>
      <c:valAx>
        <c:axId val="-1371385200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1378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817544048490071E-2"/>
          <c:y val="5.6413212226737265E-2"/>
          <c:w val="0.17205842779655001"/>
          <c:h val="0.1739580585304586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Tx_Abandon&lt;10%</c:v>
          </c:tx>
          <c:spPr>
            <a:solidFill>
              <a:srgbClr val="1BF92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Cartes_NK!$C$43:$C$76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5.7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Cartes_NK!$D$43:$D$76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9.6999999999999993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Cartes_NK!$E$43:$E$76</c:f>
              <c:numCache>
                <c:formatCode>0%</c:formatCode>
                <c:ptCount val="34"/>
                <c:pt idx="0">
                  <c:v>8.8368760449008835E-2</c:v>
                </c:pt>
                <c:pt idx="1">
                  <c:v>4.1440867070449472E-2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7.6256022023399858E-2</c:v>
                </c:pt>
                <c:pt idx="6">
                  <c:v>9.2843326885880081E-2</c:v>
                </c:pt>
                <c:pt idx="7">
                  <c:v>6.0819251758827013E-2</c:v>
                </c:pt>
                <c:pt idx="8">
                  <c:v>1.3721185510428102E-3</c:v>
                </c:pt>
                <c:pt idx="9">
                  <c:v>1.6783643576441867E-2</c:v>
                </c:pt>
                <c:pt idx="10">
                  <c:v>8.9631974673525919E-2</c:v>
                </c:pt>
                <c:pt idx="11">
                  <c:v>0</c:v>
                </c:pt>
                <c:pt idx="12">
                  <c:v>3.8077548177385651E-2</c:v>
                </c:pt>
                <c:pt idx="13">
                  <c:v>0</c:v>
                </c:pt>
                <c:pt idx="14">
                  <c:v>0</c:v>
                </c:pt>
                <c:pt idx="15">
                  <c:v>6.0421328806235047E-2</c:v>
                </c:pt>
                <c:pt idx="16">
                  <c:v>6.0015003750937733E-2</c:v>
                </c:pt>
                <c:pt idx="17">
                  <c:v>0</c:v>
                </c:pt>
                <c:pt idx="18">
                  <c:v>2.0535857532488367E-2</c:v>
                </c:pt>
                <c:pt idx="19">
                  <c:v>1.4363885088919288E-2</c:v>
                </c:pt>
                <c:pt idx="20">
                  <c:v>2.4254029041008457E-2</c:v>
                </c:pt>
                <c:pt idx="21">
                  <c:v>0</c:v>
                </c:pt>
                <c:pt idx="22">
                  <c:v>5.6056236481614993E-2</c:v>
                </c:pt>
                <c:pt idx="23">
                  <c:v>9.4758956214064577E-2</c:v>
                </c:pt>
                <c:pt idx="24">
                  <c:v>2.232189423177219E-2</c:v>
                </c:pt>
                <c:pt idx="25">
                  <c:v>0</c:v>
                </c:pt>
                <c:pt idx="26">
                  <c:v>4.2858943653094665E-2</c:v>
                </c:pt>
                <c:pt idx="27">
                  <c:v>0</c:v>
                </c:pt>
                <c:pt idx="28">
                  <c:v>3.0099502487562189E-2</c:v>
                </c:pt>
                <c:pt idx="29">
                  <c:v>4.0200286123032905E-2</c:v>
                </c:pt>
                <c:pt idx="30">
                  <c:v>5.0800825390586619E-2</c:v>
                </c:pt>
                <c:pt idx="31">
                  <c:v>3.2637884734558975E-2</c:v>
                </c:pt>
                <c:pt idx="32">
                  <c:v>1.8764073054791094E-2</c:v>
                </c:pt>
                <c:pt idx="33">
                  <c:v>2.7235134749750464E-2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5-BDC2-4379-A549-0C5C41AD71DF}"/>
            </c:ext>
          </c:extLst>
        </c:ser>
        <c:ser>
          <c:idx val="1"/>
          <c:order val="1"/>
          <c:tx>
            <c:v>Tx_Abandon&gt;10%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Cartes_NK!$C$43:$C$76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5.7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4</c:v>
                </c:pt>
                <c:pt idx="22">
                  <c:v>5.8</c:v>
                </c:pt>
                <c:pt idx="23">
                  <c:v>4.7</c:v>
                </c:pt>
                <c:pt idx="24">
                  <c:v>4.3</c:v>
                </c:pt>
                <c:pt idx="25">
                  <c:v>7.2</c:v>
                </c:pt>
                <c:pt idx="26">
                  <c:v>5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3.8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Cartes_NK!$D$43:$D$76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</c:v>
                </c:pt>
                <c:pt idx="22">
                  <c:v>6.9</c:v>
                </c:pt>
                <c:pt idx="23">
                  <c:v>2.4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9.6999999999999993</c:v>
                </c:pt>
                <c:pt idx="29">
                  <c:v>5.5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Cartes_NK!$F$43:$F$76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0.11972689587905389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0.11797381298770004</c:v>
                </c:pt>
                <c:pt idx="12">
                  <c:v>0</c:v>
                </c:pt>
                <c:pt idx="13">
                  <c:v>0</c:v>
                </c:pt>
                <c:pt idx="14">
                  <c:v>0.11549149010072941</c:v>
                </c:pt>
                <c:pt idx="15">
                  <c:v>0</c:v>
                </c:pt>
                <c:pt idx="16">
                  <c:v>0</c:v>
                </c:pt>
                <c:pt idx="17">
                  <c:v>0.12237687366167023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0.18666666666666668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0.11664418005642095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6-BDC2-4379-A549-0C5C41AD7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axId val="-1303679152"/>
        <c:axId val="-1303678608"/>
      </c:bubbleChart>
      <c:valAx>
        <c:axId val="-1303679152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03678608"/>
        <c:crosses val="max"/>
        <c:crossBetween val="midCat"/>
      </c:valAx>
      <c:valAx>
        <c:axId val="-1303678608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0367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786977385556821E-2"/>
          <c:y val="5.5650391230468436E-2"/>
          <c:w val="0.21643143592332006"/>
          <c:h val="8.697902926522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CAT1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xVal>
            <c:numRef>
              <c:f>Cartes_NK!$C$82:$C$115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3.7</c:v>
                </c:pt>
                <c:pt idx="22">
                  <c:v>5.8</c:v>
                </c:pt>
                <c:pt idx="23">
                  <c:v>5</c:v>
                </c:pt>
                <c:pt idx="24">
                  <c:v>4.3</c:v>
                </c:pt>
                <c:pt idx="25">
                  <c:v>7.2</c:v>
                </c:pt>
                <c:pt idx="26">
                  <c:v>4.7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3.5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Cartes_NK!$D$82:$D$115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8.8000000000000007</c:v>
                </c:pt>
                <c:pt idx="22">
                  <c:v>6.9</c:v>
                </c:pt>
                <c:pt idx="23">
                  <c:v>2.5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5.2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Cartes_NK!$E$82:$E$115</c:f>
              <c:numCache>
                <c:formatCode>0</c:formatCode>
                <c:ptCount val="3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0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10</c:v>
                </c:pt>
                <c:pt idx="16">
                  <c:v>10</c:v>
                </c:pt>
                <c:pt idx="17">
                  <c:v>0</c:v>
                </c:pt>
                <c:pt idx="18">
                  <c:v>10</c:v>
                </c:pt>
                <c:pt idx="19">
                  <c:v>10</c:v>
                </c:pt>
                <c:pt idx="20">
                  <c:v>0</c:v>
                </c:pt>
                <c:pt idx="21">
                  <c:v>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0</c:v>
                </c:pt>
                <c:pt idx="26">
                  <c:v>10</c:v>
                </c:pt>
                <c:pt idx="27">
                  <c:v>10</c:v>
                </c:pt>
                <c:pt idx="28">
                  <c:v>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7AC-4FC7-B286-5561E8827624}"/>
            </c:ext>
          </c:extLst>
        </c:ser>
        <c:ser>
          <c:idx val="1"/>
          <c:order val="1"/>
          <c:tx>
            <c:v>CAT2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xVal>
            <c:numRef>
              <c:f>Cartes_NK!$C$82:$C$115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3.7</c:v>
                </c:pt>
                <c:pt idx="22">
                  <c:v>5.8</c:v>
                </c:pt>
                <c:pt idx="23">
                  <c:v>5</c:v>
                </c:pt>
                <c:pt idx="24">
                  <c:v>4.3</c:v>
                </c:pt>
                <c:pt idx="25">
                  <c:v>7.2</c:v>
                </c:pt>
                <c:pt idx="26">
                  <c:v>4.7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3.5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Cartes_NK!$D$82:$D$115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8.8000000000000007</c:v>
                </c:pt>
                <c:pt idx="22">
                  <c:v>6.9</c:v>
                </c:pt>
                <c:pt idx="23">
                  <c:v>2.5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5.2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Cartes_NK!$F$82:$F$115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7AC-4FC7-B286-5561E8827624}"/>
            </c:ext>
          </c:extLst>
        </c:ser>
        <c:ser>
          <c:idx val="2"/>
          <c:order val="2"/>
          <c:tx>
            <c:v>CAT3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xVal>
            <c:numRef>
              <c:f>Cartes_NK!$C$82:$C$115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3.7</c:v>
                </c:pt>
                <c:pt idx="22">
                  <c:v>5.8</c:v>
                </c:pt>
                <c:pt idx="23">
                  <c:v>5</c:v>
                </c:pt>
                <c:pt idx="24">
                  <c:v>4.3</c:v>
                </c:pt>
                <c:pt idx="25">
                  <c:v>7.2</c:v>
                </c:pt>
                <c:pt idx="26">
                  <c:v>4.7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3.5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Cartes_NK!$D$82:$D$115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8.8000000000000007</c:v>
                </c:pt>
                <c:pt idx="22">
                  <c:v>6.9</c:v>
                </c:pt>
                <c:pt idx="23">
                  <c:v>2.5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5.2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Cartes_NK!$G$82:$G$115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2-07AC-4FC7-B286-5561E8827624}"/>
            </c:ext>
          </c:extLst>
        </c:ser>
        <c:ser>
          <c:idx val="3"/>
          <c:order val="3"/>
          <c:tx>
            <c:v>CAT4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xVal>
            <c:numRef>
              <c:f>Cartes_NK!$C$82:$C$115</c:f>
              <c:numCache>
                <c:formatCode>General</c:formatCode>
                <c:ptCount val="34"/>
                <c:pt idx="0">
                  <c:v>4.5</c:v>
                </c:pt>
                <c:pt idx="1">
                  <c:v>8.6999999999999993</c:v>
                </c:pt>
                <c:pt idx="2">
                  <c:v>6.7</c:v>
                </c:pt>
                <c:pt idx="3">
                  <c:v>5</c:v>
                </c:pt>
                <c:pt idx="4">
                  <c:v>6.3</c:v>
                </c:pt>
                <c:pt idx="5">
                  <c:v>7.6</c:v>
                </c:pt>
                <c:pt idx="6">
                  <c:v>8</c:v>
                </c:pt>
                <c:pt idx="7">
                  <c:v>6.7</c:v>
                </c:pt>
                <c:pt idx="8">
                  <c:v>3</c:v>
                </c:pt>
                <c:pt idx="9">
                  <c:v>6</c:v>
                </c:pt>
                <c:pt idx="10">
                  <c:v>7.5</c:v>
                </c:pt>
                <c:pt idx="11">
                  <c:v>7.2</c:v>
                </c:pt>
                <c:pt idx="12">
                  <c:v>4.5</c:v>
                </c:pt>
                <c:pt idx="13">
                  <c:v>9</c:v>
                </c:pt>
                <c:pt idx="14">
                  <c:v>5.8</c:v>
                </c:pt>
                <c:pt idx="15">
                  <c:v>5.3</c:v>
                </c:pt>
                <c:pt idx="16">
                  <c:v>4</c:v>
                </c:pt>
                <c:pt idx="17">
                  <c:v>5</c:v>
                </c:pt>
                <c:pt idx="18">
                  <c:v>6.4</c:v>
                </c:pt>
                <c:pt idx="19">
                  <c:v>4.7</c:v>
                </c:pt>
                <c:pt idx="20">
                  <c:v>5.5</c:v>
                </c:pt>
                <c:pt idx="21">
                  <c:v>3.7</c:v>
                </c:pt>
                <c:pt idx="22">
                  <c:v>5.8</c:v>
                </c:pt>
                <c:pt idx="23">
                  <c:v>5</c:v>
                </c:pt>
                <c:pt idx="24">
                  <c:v>4.3</c:v>
                </c:pt>
                <c:pt idx="25">
                  <c:v>7.2</c:v>
                </c:pt>
                <c:pt idx="26">
                  <c:v>4.7</c:v>
                </c:pt>
                <c:pt idx="27">
                  <c:v>8.1999999999999993</c:v>
                </c:pt>
                <c:pt idx="28">
                  <c:v>6.2</c:v>
                </c:pt>
                <c:pt idx="29">
                  <c:v>3.5</c:v>
                </c:pt>
                <c:pt idx="30">
                  <c:v>6</c:v>
                </c:pt>
                <c:pt idx="31">
                  <c:v>6.6</c:v>
                </c:pt>
                <c:pt idx="32">
                  <c:v>8.5</c:v>
                </c:pt>
                <c:pt idx="33">
                  <c:v>2.5</c:v>
                </c:pt>
              </c:numCache>
            </c:numRef>
          </c:xVal>
          <c:yVal>
            <c:numRef>
              <c:f>Cartes_NK!$D$82:$D$115</c:f>
              <c:numCache>
                <c:formatCode>General</c:formatCode>
                <c:ptCount val="34"/>
                <c:pt idx="0">
                  <c:v>6</c:v>
                </c:pt>
                <c:pt idx="1">
                  <c:v>4</c:v>
                </c:pt>
                <c:pt idx="2">
                  <c:v>8.8000000000000007</c:v>
                </c:pt>
                <c:pt idx="3">
                  <c:v>8.3000000000000007</c:v>
                </c:pt>
                <c:pt idx="4">
                  <c:v>4</c:v>
                </c:pt>
                <c:pt idx="5">
                  <c:v>4.3</c:v>
                </c:pt>
                <c:pt idx="6">
                  <c:v>6.8</c:v>
                </c:pt>
                <c:pt idx="7">
                  <c:v>0.8</c:v>
                </c:pt>
                <c:pt idx="8">
                  <c:v>1</c:v>
                </c:pt>
                <c:pt idx="9">
                  <c:v>8.5</c:v>
                </c:pt>
                <c:pt idx="10">
                  <c:v>9.8000000000000007</c:v>
                </c:pt>
                <c:pt idx="11">
                  <c:v>1.4</c:v>
                </c:pt>
                <c:pt idx="12">
                  <c:v>1.2</c:v>
                </c:pt>
                <c:pt idx="13">
                  <c:v>6.3</c:v>
                </c:pt>
                <c:pt idx="14">
                  <c:v>5.2</c:v>
                </c:pt>
                <c:pt idx="15">
                  <c:v>4.0999999999999996</c:v>
                </c:pt>
                <c:pt idx="16">
                  <c:v>2.7</c:v>
                </c:pt>
                <c:pt idx="17">
                  <c:v>1.7</c:v>
                </c:pt>
                <c:pt idx="18">
                  <c:v>7.4</c:v>
                </c:pt>
                <c:pt idx="19">
                  <c:v>6.7</c:v>
                </c:pt>
                <c:pt idx="20">
                  <c:v>9.3000000000000007</c:v>
                </c:pt>
                <c:pt idx="21">
                  <c:v>8.8000000000000007</c:v>
                </c:pt>
                <c:pt idx="22">
                  <c:v>6.9</c:v>
                </c:pt>
                <c:pt idx="23">
                  <c:v>2.5</c:v>
                </c:pt>
                <c:pt idx="24">
                  <c:v>7.2</c:v>
                </c:pt>
                <c:pt idx="25">
                  <c:v>8.4</c:v>
                </c:pt>
                <c:pt idx="26">
                  <c:v>3.5</c:v>
                </c:pt>
                <c:pt idx="27">
                  <c:v>1</c:v>
                </c:pt>
                <c:pt idx="28">
                  <c:v>9.8000000000000007</c:v>
                </c:pt>
                <c:pt idx="29">
                  <c:v>5.2</c:v>
                </c:pt>
                <c:pt idx="30">
                  <c:v>2.5</c:v>
                </c:pt>
                <c:pt idx="31">
                  <c:v>2.8</c:v>
                </c:pt>
                <c:pt idx="32">
                  <c:v>8.1</c:v>
                </c:pt>
                <c:pt idx="33">
                  <c:v>3.8</c:v>
                </c:pt>
              </c:numCache>
            </c:numRef>
          </c:yVal>
          <c:bubbleSize>
            <c:numRef>
              <c:f>Cartes_NK!$H$82:$H$115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3-07AC-4FC7-B286-5561E8827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8"/>
        <c:showNegBubbles val="0"/>
        <c:axId val="-1303676432"/>
        <c:axId val="-1303682960"/>
      </c:bubbleChart>
      <c:valAx>
        <c:axId val="-1303676432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03682960"/>
        <c:crosses val="max"/>
        <c:crossBetween val="midCat"/>
      </c:valAx>
      <c:valAx>
        <c:axId val="-1303682960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03676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091497801393786E-2"/>
          <c:y val="5.1900903085519985E-2"/>
          <c:w val="0.10319354280336475"/>
          <c:h val="0.1938818998283009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/>
              <a:t>Ant Butembo :</a:t>
            </a:r>
          </a:p>
        </c:rich>
      </c:tx>
      <c:layout>
        <c:manualLayout>
          <c:xMode val="edge"/>
          <c:yMode val="edge"/>
          <c:x val="0.39130845295259148"/>
          <c:y val="2.48110942774258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0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6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1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7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8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52536077003581905"/>
          <c:y val="9.1036381831818752E-2"/>
          <c:w val="0.41898445371271537"/>
          <c:h val="0.858963653580425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Graphiques_Routine!$M$28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2B8E-444F-BCFB-EADD3F1B14F7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2B8E-444F-BCFB-EADD3F1B14F7}"/>
              </c:ext>
            </c:extLst>
          </c:dPt>
          <c:dPt>
            <c:idx val="6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2B8E-444F-BCFB-EADD3F1B14F7}"/>
              </c:ext>
            </c:extLst>
          </c:dPt>
          <c:dPt>
            <c:idx val="7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6-2B8E-444F-BCFB-EADD3F1B14F7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8-2B8E-444F-BCFB-EADD3F1B14F7}"/>
              </c:ext>
            </c:extLst>
          </c:dPt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2B8E-444F-BCFB-EADD3F1B14F7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C-2B8E-444F-BCFB-EADD3F1B14F7}"/>
              </c:ext>
            </c:extLst>
          </c:dPt>
          <c:dPt>
            <c:idx val="11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E-2B8E-444F-BCFB-EADD3F1B14F7}"/>
              </c:ext>
            </c:extLst>
          </c:dPt>
          <c:dPt>
            <c:idx val="12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2B8E-444F-BCFB-EADD3F1B14F7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2-2B8E-444F-BCFB-EADD3F1B14F7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2B8E-444F-BCFB-EADD3F1B14F7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2B8E-444F-BCFB-EADD3F1B14F7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2B8E-444F-BCFB-EADD3F1B14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Graphiques_Routine!$L$29:$L$46</c:f>
              <c:strCache>
                <c:ptCount val="17"/>
                <c:pt idx="0">
                  <c:v> Masereka</c:v>
                </c:pt>
                <c:pt idx="1">
                  <c:v> Musienene</c:v>
                </c:pt>
                <c:pt idx="2">
                  <c:v> Kamango</c:v>
                </c:pt>
                <c:pt idx="3">
                  <c:v> Manguredjipa</c:v>
                </c:pt>
                <c:pt idx="4">
                  <c:v> Lubero</c:v>
                </c:pt>
                <c:pt idx="5">
                  <c:v> Kyondo</c:v>
                </c:pt>
                <c:pt idx="6">
                  <c:v> Vuhovi</c:v>
                </c:pt>
                <c:pt idx="7">
                  <c:v> Katwa</c:v>
                </c:pt>
                <c:pt idx="8">
                  <c:v> Biena</c:v>
                </c:pt>
                <c:pt idx="9">
                  <c:v> Kalunguta</c:v>
                </c:pt>
                <c:pt idx="10">
                  <c:v> Beni</c:v>
                </c:pt>
                <c:pt idx="11">
                  <c:v> Mabalako</c:v>
                </c:pt>
                <c:pt idx="12">
                  <c:v> Alimbongo</c:v>
                </c:pt>
                <c:pt idx="13">
                  <c:v> Butembo</c:v>
                </c:pt>
                <c:pt idx="14">
                  <c:v> Kayna</c:v>
                </c:pt>
                <c:pt idx="15">
                  <c:v> Oicha</c:v>
                </c:pt>
                <c:pt idx="16">
                  <c:v> Mutwanga</c:v>
                </c:pt>
              </c:strCache>
            </c:strRef>
          </c:cat>
          <c:val>
            <c:numRef>
              <c:f>Graphiques_Routine!$M$29:$M$46</c:f>
              <c:numCache>
                <c:formatCode>0</c:formatCode>
                <c:ptCount val="17"/>
                <c:pt idx="0">
                  <c:v>215.84383333333321</c:v>
                </c:pt>
                <c:pt idx="1">
                  <c:v>236.46191666666658</c:v>
                </c:pt>
                <c:pt idx="2">
                  <c:v>265.77391666666665</c:v>
                </c:pt>
                <c:pt idx="3">
                  <c:v>375.18674999999996</c:v>
                </c:pt>
                <c:pt idx="4">
                  <c:v>469.80233333333331</c:v>
                </c:pt>
                <c:pt idx="5">
                  <c:v>665.53316666666683</c:v>
                </c:pt>
                <c:pt idx="6">
                  <c:v>726.15125</c:v>
                </c:pt>
                <c:pt idx="7">
                  <c:v>835.01691666666659</c:v>
                </c:pt>
                <c:pt idx="8">
                  <c:v>864.00800000000027</c:v>
                </c:pt>
                <c:pt idx="9">
                  <c:v>948.6139166666668</c:v>
                </c:pt>
                <c:pt idx="10">
                  <c:v>996.17141666666646</c:v>
                </c:pt>
                <c:pt idx="11">
                  <c:v>1125.3214166666667</c:v>
                </c:pt>
                <c:pt idx="12">
                  <c:v>1138.1322500000006</c:v>
                </c:pt>
                <c:pt idx="13">
                  <c:v>1251.2745833333331</c:v>
                </c:pt>
                <c:pt idx="14">
                  <c:v>2123.1976666666669</c:v>
                </c:pt>
                <c:pt idx="15">
                  <c:v>2183.7019166666669</c:v>
                </c:pt>
                <c:pt idx="16">
                  <c:v>2523.8056666666666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2B8E-444F-BCFB-EADD3F1B14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"/>
        <c:axId val="-1303678064"/>
        <c:axId val="-1303677520"/>
      </c:barChart>
      <c:catAx>
        <c:axId val="-130367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03677520"/>
        <c:crosses val="autoZero"/>
        <c:auto val="1"/>
        <c:lblAlgn val="ctr"/>
        <c:lblOffset val="100"/>
        <c:noMultiLvlLbl val="0"/>
      </c:catAx>
      <c:valAx>
        <c:axId val="-130367752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-1303678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800"/>
              <a:t>Ant Goma :</a:t>
            </a:r>
          </a:p>
        </c:rich>
      </c:tx>
      <c:layout>
        <c:manualLayout>
          <c:xMode val="edge"/>
          <c:yMode val="edge"/>
          <c:x val="0.48267792806861981"/>
          <c:y val="3.0249861750051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0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2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3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8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0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49594125487670032"/>
          <c:y val="8.5651376843010579E-2"/>
          <c:w val="0.44739207575242546"/>
          <c:h val="0.8642793049488213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Graphiques_Routine!$R$28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9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453-4529-B1A1-F9609336A1C1}"/>
              </c:ext>
            </c:extLst>
          </c:dPt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453-4529-B1A1-F9609336A1C1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453-4529-B1A1-F9609336A1C1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453-4529-B1A1-F9609336A1C1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453-4529-B1A1-F9609336A1C1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453-4529-B1A1-F9609336A1C1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453-4529-B1A1-F9609336A1C1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453-4529-B1A1-F9609336A1C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Graphiques_Routine!$Q$29:$Q$46</c:f>
              <c:strCache>
                <c:ptCount val="17"/>
                <c:pt idx="0">
                  <c:v> Nyiragongo</c:v>
                </c:pt>
                <c:pt idx="1">
                  <c:v> Katoyi</c:v>
                </c:pt>
                <c:pt idx="2">
                  <c:v> Walikale</c:v>
                </c:pt>
                <c:pt idx="3">
                  <c:v> Birambizo</c:v>
                </c:pt>
                <c:pt idx="4">
                  <c:v> Binza</c:v>
                </c:pt>
                <c:pt idx="5">
                  <c:v> Itebero</c:v>
                </c:pt>
                <c:pt idx="6">
                  <c:v> Bambo</c:v>
                </c:pt>
                <c:pt idx="7">
                  <c:v> Kibua</c:v>
                </c:pt>
                <c:pt idx="8">
                  <c:v> Goma</c:v>
                </c:pt>
                <c:pt idx="9">
                  <c:v> Rutshuru</c:v>
                </c:pt>
                <c:pt idx="10">
                  <c:v> Kibirizi</c:v>
                </c:pt>
                <c:pt idx="11">
                  <c:v> Rwanguba</c:v>
                </c:pt>
                <c:pt idx="12">
                  <c:v> Pinga</c:v>
                </c:pt>
                <c:pt idx="13">
                  <c:v> Masisi</c:v>
                </c:pt>
                <c:pt idx="14">
                  <c:v> Mweso</c:v>
                </c:pt>
                <c:pt idx="15">
                  <c:v> Karisimbi</c:v>
                </c:pt>
                <c:pt idx="16">
                  <c:v> Kirotshe</c:v>
                </c:pt>
              </c:strCache>
            </c:strRef>
          </c:cat>
          <c:val>
            <c:numRef>
              <c:f>Graphiques_Routine!$R$29:$R$46</c:f>
              <c:numCache>
                <c:formatCode>0</c:formatCode>
                <c:ptCount val="17"/>
                <c:pt idx="0">
                  <c:v>0</c:v>
                </c:pt>
                <c:pt idx="1">
                  <c:v>29.964833333333218</c:v>
                </c:pt>
                <c:pt idx="2">
                  <c:v>118.87275000000005</c:v>
                </c:pt>
                <c:pt idx="3">
                  <c:v>178.36866666666668</c:v>
                </c:pt>
                <c:pt idx="4">
                  <c:v>213.48783333333338</c:v>
                </c:pt>
                <c:pt idx="5">
                  <c:v>278.59108333333336</c:v>
                </c:pt>
                <c:pt idx="6">
                  <c:v>293.24883333333321</c:v>
                </c:pt>
                <c:pt idx="7">
                  <c:v>339.6013333333334</c:v>
                </c:pt>
                <c:pt idx="8">
                  <c:v>472.68724999999989</c:v>
                </c:pt>
                <c:pt idx="9">
                  <c:v>543.05424999999991</c:v>
                </c:pt>
                <c:pt idx="10">
                  <c:v>568.10608333333323</c:v>
                </c:pt>
                <c:pt idx="11">
                  <c:v>728.31941666666671</c:v>
                </c:pt>
                <c:pt idx="12">
                  <c:v>738.84316666666666</c:v>
                </c:pt>
                <c:pt idx="13">
                  <c:v>995.03466666666668</c:v>
                </c:pt>
                <c:pt idx="14">
                  <c:v>1208.35475</c:v>
                </c:pt>
                <c:pt idx="15">
                  <c:v>3803.8785833333327</c:v>
                </c:pt>
                <c:pt idx="16">
                  <c:v>5762.6368333333339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8453-4529-B1A1-F9609336A1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-1303675888"/>
        <c:axId val="-1303681328"/>
      </c:barChart>
      <c:catAx>
        <c:axId val="-1303675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03681328"/>
        <c:crosses val="autoZero"/>
        <c:auto val="1"/>
        <c:lblAlgn val="ctr"/>
        <c:lblOffset val="100"/>
        <c:noMultiLvlLbl val="0"/>
      </c:catAx>
      <c:valAx>
        <c:axId val="-1303681328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-130367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800"/>
              <a:t>Ant Butembo :</a:t>
            </a:r>
          </a:p>
        </c:rich>
      </c:tx>
      <c:layout>
        <c:manualLayout>
          <c:xMode val="edge"/>
          <c:yMode val="edge"/>
          <c:x val="0.40963011249698089"/>
          <c:y val="3.4924840607246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4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6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1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2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2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853840295563305"/>
          <c:y val="9.7747773693522957E-2"/>
          <c:w val="0.59912483828237006"/>
          <c:h val="0.845585556935602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Graphiques_Routine!$B$29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CBF8-47A0-855C-4AC37FF4EF46}"/>
              </c:ext>
            </c:extLst>
          </c:dPt>
          <c:dPt>
            <c:idx val="11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CBF8-47A0-855C-4AC37FF4EF46}"/>
              </c:ext>
            </c:extLst>
          </c:dPt>
          <c:dPt>
            <c:idx val="1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CBF8-47A0-855C-4AC37FF4EF46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CBF8-47A0-855C-4AC37FF4EF46}"/>
              </c:ext>
            </c:extLst>
          </c:dPt>
          <c:dPt>
            <c:idx val="1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CBF8-47A0-855C-4AC37FF4EF46}"/>
              </c:ext>
            </c:extLst>
          </c:dPt>
          <c:dPt>
            <c:idx val="1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CBF8-47A0-855C-4AC37FF4EF46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CBF8-47A0-855C-4AC37FF4E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Graphiques_Routine!$A$30:$A$47</c:f>
              <c:strCache>
                <c:ptCount val="17"/>
                <c:pt idx="0">
                  <c:v> Vuhovi</c:v>
                </c:pt>
                <c:pt idx="1">
                  <c:v> Mabalako</c:v>
                </c:pt>
                <c:pt idx="2">
                  <c:v> Masereka</c:v>
                </c:pt>
                <c:pt idx="3">
                  <c:v> Butembo</c:v>
                </c:pt>
                <c:pt idx="4">
                  <c:v> Biena</c:v>
                </c:pt>
                <c:pt idx="5">
                  <c:v> Kyondo</c:v>
                </c:pt>
                <c:pt idx="6">
                  <c:v> Alimbongo</c:v>
                </c:pt>
                <c:pt idx="7">
                  <c:v> Musienene</c:v>
                </c:pt>
                <c:pt idx="8">
                  <c:v> Kalunguta</c:v>
                </c:pt>
                <c:pt idx="9">
                  <c:v> Manguredjipa</c:v>
                </c:pt>
                <c:pt idx="10">
                  <c:v> Kayna</c:v>
                </c:pt>
                <c:pt idx="11">
                  <c:v> Lubero</c:v>
                </c:pt>
                <c:pt idx="12">
                  <c:v> Kamango</c:v>
                </c:pt>
                <c:pt idx="13">
                  <c:v> Beni</c:v>
                </c:pt>
                <c:pt idx="14">
                  <c:v> Mutwanga</c:v>
                </c:pt>
                <c:pt idx="15">
                  <c:v> Katwa</c:v>
                </c:pt>
                <c:pt idx="16">
                  <c:v> Oicha</c:v>
                </c:pt>
              </c:strCache>
            </c:strRef>
          </c:cat>
          <c:val>
            <c:numRef>
              <c:f>Graphiques_Routine!$B$30:$B$47</c:f>
              <c:numCache>
                <c:formatCode>General</c:formatCode>
                <c:ptCount val="17"/>
                <c:pt idx="0">
                  <c:v>83</c:v>
                </c:pt>
                <c:pt idx="1">
                  <c:v>204</c:v>
                </c:pt>
                <c:pt idx="2">
                  <c:v>238</c:v>
                </c:pt>
                <c:pt idx="3">
                  <c:v>256</c:v>
                </c:pt>
                <c:pt idx="4">
                  <c:v>268</c:v>
                </c:pt>
                <c:pt idx="5">
                  <c:v>273</c:v>
                </c:pt>
                <c:pt idx="6">
                  <c:v>297</c:v>
                </c:pt>
                <c:pt idx="7">
                  <c:v>365</c:v>
                </c:pt>
                <c:pt idx="8">
                  <c:v>507</c:v>
                </c:pt>
                <c:pt idx="9">
                  <c:v>522</c:v>
                </c:pt>
                <c:pt idx="10">
                  <c:v>622</c:v>
                </c:pt>
                <c:pt idx="11">
                  <c:v>670</c:v>
                </c:pt>
                <c:pt idx="12">
                  <c:v>740</c:v>
                </c:pt>
                <c:pt idx="13">
                  <c:v>764</c:v>
                </c:pt>
                <c:pt idx="14">
                  <c:v>783</c:v>
                </c:pt>
                <c:pt idx="15">
                  <c:v>928</c:v>
                </c:pt>
                <c:pt idx="16">
                  <c:v>1035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CBF8-47A0-855C-4AC37FF4EF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"/>
        <c:axId val="-1303680784"/>
        <c:axId val="-1303682416"/>
      </c:barChart>
      <c:catAx>
        <c:axId val="-130368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03682416"/>
        <c:crosses val="autoZero"/>
        <c:auto val="1"/>
        <c:lblAlgn val="ctr"/>
        <c:lblOffset val="100"/>
        <c:noMultiLvlLbl val="0"/>
      </c:catAx>
      <c:valAx>
        <c:axId val="-130368241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30368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[Analyses_PEV_Routine_AS_.xlsx]Graphiques_Routine!Tableau croisé dynamique3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900"/>
              <a:t>Ant Goma :</a:t>
            </a:r>
          </a:p>
        </c:rich>
      </c:tx>
      <c:layout>
        <c:manualLayout>
          <c:xMode val="edge"/>
          <c:yMode val="edge"/>
          <c:x val="0.36252618316891594"/>
          <c:y val="2.4320242592763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5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7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8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2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13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14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2060"/>
              </a:solidFill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6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17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18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1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0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2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2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23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24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6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7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28"/>
        <c:spPr>
          <a:solidFill>
            <a:srgbClr val="0F9D2A"/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9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0"/>
        <c:spPr>
          <a:solidFill>
            <a:srgbClr val="FFFF00"/>
          </a:solidFill>
          <a:ln>
            <a:solidFill>
              <a:schemeClr val="tx1"/>
            </a:solidFill>
          </a:ln>
          <a:effectLst/>
        </c:spPr>
      </c:pivotFmt>
      <c:pivotFmt>
        <c:idx val="31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32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3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4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35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6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37"/>
        <c:spPr>
          <a:solidFill>
            <a:srgbClr val="FE0000"/>
          </a:solidFill>
          <a:ln>
            <a:solidFill>
              <a:schemeClr val="tx1"/>
            </a:solidFill>
          </a:ln>
          <a:effectLst/>
        </c:spPr>
      </c:pivotFmt>
      <c:pivotFmt>
        <c:idx val="38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39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0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  <c:pivotFmt>
        <c:idx val="41"/>
        <c:spPr>
          <a:solidFill>
            <a:srgbClr val="FF0000"/>
          </a:solidFill>
          <a:ln>
            <a:solidFill>
              <a:schemeClr val="tx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7940878016688956"/>
          <c:y val="8.468414499105717E-2"/>
          <c:w val="0.5772396500842516"/>
          <c:h val="0.8690278728535066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Graphiques_Routine!$H$29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F9D2A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0CC-4F13-B0CE-AE51D475E210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0CC-4F13-B0CE-AE51D475E210}"/>
              </c:ext>
            </c:extLst>
          </c:dPt>
          <c:dPt>
            <c:idx val="6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0CC-4F13-B0CE-AE51D475E21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0CC-4F13-B0CE-AE51D475E210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0CC-4F13-B0CE-AE51D475E210}"/>
              </c:ext>
            </c:extLst>
          </c:dPt>
          <c:dPt>
            <c:idx val="9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0CC-4F13-B0CE-AE51D475E210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10CC-4F13-B0CE-AE51D475E210}"/>
              </c:ext>
            </c:extLst>
          </c:dPt>
          <c:dPt>
            <c:idx val="11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10CC-4F13-B0CE-AE51D475E210}"/>
              </c:ext>
            </c:extLst>
          </c:dPt>
          <c:dPt>
            <c:idx val="12"/>
            <c:invertIfNegative val="0"/>
            <c:bubble3D val="0"/>
            <c:spPr>
              <a:solidFill>
                <a:srgbClr val="FE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10CC-4F13-B0CE-AE51D475E210}"/>
              </c:ext>
            </c:extLst>
          </c:dPt>
          <c:dPt>
            <c:idx val="13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10CC-4F13-B0CE-AE51D475E210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10CC-4F13-B0CE-AE51D475E210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10CC-4F13-B0CE-AE51D475E210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10CC-4F13-B0CE-AE51D475E2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Graphiques_Routine!$G$30:$G$47</c:f>
              <c:strCache>
                <c:ptCount val="17"/>
                <c:pt idx="0">
                  <c:v> Binza</c:v>
                </c:pt>
                <c:pt idx="1">
                  <c:v> Bambo</c:v>
                </c:pt>
                <c:pt idx="2">
                  <c:v> Kibua</c:v>
                </c:pt>
                <c:pt idx="3">
                  <c:v> Rutshuru</c:v>
                </c:pt>
                <c:pt idx="4">
                  <c:v> Itebero</c:v>
                </c:pt>
                <c:pt idx="5">
                  <c:v> Pinga</c:v>
                </c:pt>
                <c:pt idx="6">
                  <c:v> Walikale</c:v>
                </c:pt>
                <c:pt idx="7">
                  <c:v> Kibirizi</c:v>
                </c:pt>
                <c:pt idx="8">
                  <c:v> Rwanguba</c:v>
                </c:pt>
                <c:pt idx="9">
                  <c:v> Katoyi</c:v>
                </c:pt>
                <c:pt idx="10">
                  <c:v> Birambizo</c:v>
                </c:pt>
                <c:pt idx="11">
                  <c:v> Kirotshe</c:v>
                </c:pt>
                <c:pt idx="12">
                  <c:v> Nyiragongo</c:v>
                </c:pt>
                <c:pt idx="13">
                  <c:v> Karisimbi</c:v>
                </c:pt>
                <c:pt idx="14">
                  <c:v> Goma</c:v>
                </c:pt>
                <c:pt idx="15">
                  <c:v> Masisi</c:v>
                </c:pt>
                <c:pt idx="16">
                  <c:v> Mweso</c:v>
                </c:pt>
              </c:strCache>
            </c:strRef>
          </c:cat>
          <c:val>
            <c:numRef>
              <c:f>Graphiques_Routine!$H$30:$H$47</c:f>
              <c:numCache>
                <c:formatCode>General</c:formatCode>
                <c:ptCount val="17"/>
                <c:pt idx="0">
                  <c:v>320</c:v>
                </c:pt>
                <c:pt idx="1">
                  <c:v>367</c:v>
                </c:pt>
                <c:pt idx="2">
                  <c:v>424</c:v>
                </c:pt>
                <c:pt idx="3">
                  <c:v>486</c:v>
                </c:pt>
                <c:pt idx="4">
                  <c:v>641</c:v>
                </c:pt>
                <c:pt idx="5">
                  <c:v>827</c:v>
                </c:pt>
                <c:pt idx="6">
                  <c:v>1015</c:v>
                </c:pt>
                <c:pt idx="7">
                  <c:v>1032</c:v>
                </c:pt>
                <c:pt idx="8">
                  <c:v>1032</c:v>
                </c:pt>
                <c:pt idx="9">
                  <c:v>1082</c:v>
                </c:pt>
                <c:pt idx="10">
                  <c:v>1119</c:v>
                </c:pt>
                <c:pt idx="11">
                  <c:v>1344</c:v>
                </c:pt>
                <c:pt idx="12">
                  <c:v>1448</c:v>
                </c:pt>
                <c:pt idx="13">
                  <c:v>1979</c:v>
                </c:pt>
                <c:pt idx="14">
                  <c:v>2190</c:v>
                </c:pt>
                <c:pt idx="15">
                  <c:v>2524</c:v>
                </c:pt>
                <c:pt idx="16">
                  <c:v>3216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10CC-4F13-B0CE-AE51D475E2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"/>
        <c:axId val="-1303680240"/>
        <c:axId val="-1303681872"/>
      </c:barChart>
      <c:catAx>
        <c:axId val="-1303680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fr-FR"/>
          </a:p>
        </c:txPr>
        <c:crossAx val="-1303681872"/>
        <c:crosses val="autoZero"/>
        <c:auto val="1"/>
        <c:lblAlgn val="ctr"/>
        <c:lblOffset val="100"/>
        <c:noMultiLvlLbl val="0"/>
      </c:catAx>
      <c:valAx>
        <c:axId val="-1303681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303680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  <c:userShapes r:id="rId3"/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CV&lt;50%</c:v>
          </c:tx>
          <c:spPr>
            <a:solidFill>
              <a:srgbClr val="FF000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Cartes_Goma!$C$4:$C$37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Cartes_Goma!$D$4:$D$37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Cartes_Goma!$E$4:$E$37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EB5-4B2B-BC7C-144EA3DAD07E}"/>
            </c:ext>
          </c:extLst>
        </c:ser>
        <c:ser>
          <c:idx val="1"/>
          <c:order val="1"/>
          <c:tx>
            <c:v>CV&gt;=50&lt;80%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Cartes_Goma!$C$4:$C$37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Cartes_Goma!$D$4:$D$37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Cartes_Goma!$F$4:$F$37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0.54748817923628867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EB5-4B2B-BC7C-144EA3DAD07E}"/>
            </c:ext>
          </c:extLst>
        </c:ser>
        <c:ser>
          <c:idx val="2"/>
          <c:order val="2"/>
          <c:tx>
            <c:v>CV&gt;=80&lt;95%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Cartes_Goma!$C$4:$C$37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Cartes_Goma!$D$4:$D$37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Cartes_Goma!$G$4:$G$37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0.90249056424387131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2-3EB5-4B2B-BC7C-144EA3DAD07E}"/>
            </c:ext>
          </c:extLst>
        </c:ser>
        <c:ser>
          <c:idx val="3"/>
          <c:order val="3"/>
          <c:tx>
            <c:v>CV&gt;=95%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Cartes_Goma!$C$4:$C$37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Cartes_Goma!$D$4:$D$37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Cartes_Goma!$H$4:$H$37</c:f>
              <c:numCache>
                <c:formatCode>0%</c:formatCode>
                <c:ptCount val="34"/>
                <c:pt idx="0">
                  <c:v>0.97104545311612966</c:v>
                </c:pt>
                <c:pt idx="1">
                  <c:v>1.0524504339404717</c:v>
                </c:pt>
                <c:pt idx="2">
                  <c:v>0.95684454313096901</c:v>
                </c:pt>
                <c:pt idx="3">
                  <c:v>1.4903862703538329</c:v>
                </c:pt>
                <c:pt idx="4">
                  <c:v>1.0509830384579575</c:v>
                </c:pt>
                <c:pt idx="5">
                  <c:v>1.0340708522964746</c:v>
                </c:pt>
                <c:pt idx="6">
                  <c:v>1.1153953886625476</c:v>
                </c:pt>
                <c:pt idx="7">
                  <c:v>0.97022534000135729</c:v>
                </c:pt>
                <c:pt idx="8">
                  <c:v>0</c:v>
                </c:pt>
                <c:pt idx="9">
                  <c:v>0</c:v>
                </c:pt>
                <c:pt idx="10">
                  <c:v>1.2320966443143579</c:v>
                </c:pt>
                <c:pt idx="11">
                  <c:v>0.99603749445607348</c:v>
                </c:pt>
                <c:pt idx="12">
                  <c:v>1.7172064663581628</c:v>
                </c:pt>
                <c:pt idx="13">
                  <c:v>1.0714542096260473</c:v>
                </c:pt>
                <c:pt idx="14">
                  <c:v>1.0057836813176833</c:v>
                </c:pt>
                <c:pt idx="15">
                  <c:v>0.9544135077534377</c:v>
                </c:pt>
                <c:pt idx="16">
                  <c:v>1.132661184020556</c:v>
                </c:pt>
                <c:pt idx="17">
                  <c:v>1.0651632711228751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3-3EB5-4B2B-BC7C-144EA3DAD0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25"/>
        <c:showNegBubbles val="0"/>
        <c:axId val="-1303679696"/>
        <c:axId val="-1303676976"/>
      </c:bubbleChart>
      <c:valAx>
        <c:axId val="-1303679696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03676976"/>
        <c:crosses val="max"/>
        <c:crossBetween val="midCat"/>
      </c:valAx>
      <c:valAx>
        <c:axId val="-1303676976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03679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6328116704316191E-2"/>
          <c:y val="9.2511771555870592E-2"/>
          <c:w val="0.17205842779655001"/>
          <c:h val="0.1739580585304586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Tx_Abandon&lt;10%</c:v>
          </c:tx>
          <c:spPr>
            <a:solidFill>
              <a:srgbClr val="1BF92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Cartes_Goma!$C$43:$C$76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Cartes_Goma!$D$43:$D$76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Cartes_Goma!$E$43:$E$76</c:f>
              <c:numCache>
                <c:formatCode>0%</c:formatCode>
                <c:ptCount val="34"/>
                <c:pt idx="0">
                  <c:v>4.1440867070449472E-2</c:v>
                </c:pt>
                <c:pt idx="1">
                  <c:v>0</c:v>
                </c:pt>
                <c:pt idx="2">
                  <c:v>7.6256022023399858E-2</c:v>
                </c:pt>
                <c:pt idx="3">
                  <c:v>6.0819251758827013E-2</c:v>
                </c:pt>
                <c:pt idx="4">
                  <c:v>1.3721185510428102E-3</c:v>
                </c:pt>
                <c:pt idx="5">
                  <c:v>0</c:v>
                </c:pt>
                <c:pt idx="6">
                  <c:v>3.8077548177385651E-2</c:v>
                </c:pt>
                <c:pt idx="7">
                  <c:v>6.0421328806235047E-2</c:v>
                </c:pt>
                <c:pt idx="8">
                  <c:v>6.0015003750937733E-2</c:v>
                </c:pt>
                <c:pt idx="9">
                  <c:v>0</c:v>
                </c:pt>
                <c:pt idx="10">
                  <c:v>9.4758956214064577E-2</c:v>
                </c:pt>
                <c:pt idx="11">
                  <c:v>4.2858943653094665E-2</c:v>
                </c:pt>
                <c:pt idx="12">
                  <c:v>0</c:v>
                </c:pt>
                <c:pt idx="13">
                  <c:v>4.0200286123032905E-2</c:v>
                </c:pt>
                <c:pt idx="14">
                  <c:v>5.0800825390586619E-2</c:v>
                </c:pt>
                <c:pt idx="15">
                  <c:v>3.2637884734558975E-2</c:v>
                </c:pt>
                <c:pt idx="16">
                  <c:v>2.7235134749750464E-2</c:v>
                </c:pt>
                <c:pt idx="17">
                  <c:v>4.8178861188577095E-2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00C7-4AD2-953E-920F121BE352}"/>
            </c:ext>
          </c:extLst>
        </c:ser>
        <c:ser>
          <c:idx val="1"/>
          <c:order val="1"/>
          <c:tx>
            <c:v>Tx_Abandon&gt;10%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Cartes_Goma!$C$43:$C$76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Cartes_Goma!$D$43:$D$76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Cartes_Goma!$F$43:$F$76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0.11797381298770004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0.12237687366167023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00C7-4AD2-953E-920F121BE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axId val="-1374995216"/>
        <c:axId val="-1374993040"/>
      </c:bubbleChart>
      <c:valAx>
        <c:axId val="-1374995216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4993040"/>
        <c:crosses val="max"/>
        <c:crossBetween val="midCat"/>
      </c:valAx>
      <c:valAx>
        <c:axId val="-1374993040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499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786977385556821E-2"/>
          <c:y val="5.5650391230468436E-2"/>
          <c:w val="0.21643143592332006"/>
          <c:h val="8.697902926522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CAT1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xVal>
            <c:numRef>
              <c:f>Cartes_Goma!$C$82:$C$115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Cartes_Goma!$D$82:$D$115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Cartes_Goma!$E$82:$E$115</c:f>
              <c:numCache>
                <c:formatCode>0</c:formatCode>
                <c:ptCount val="3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E543-45E6-AEE7-71B3499A5C6C}"/>
            </c:ext>
          </c:extLst>
        </c:ser>
        <c:ser>
          <c:idx val="1"/>
          <c:order val="1"/>
          <c:tx>
            <c:v>CAT2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xVal>
            <c:numRef>
              <c:f>Cartes_Goma!$C$82:$C$115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Cartes_Goma!$D$82:$D$115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Cartes_Goma!$F$82:$F$115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E543-45E6-AEE7-71B3499A5C6C}"/>
            </c:ext>
          </c:extLst>
        </c:ser>
        <c:ser>
          <c:idx val="2"/>
          <c:order val="2"/>
          <c:tx>
            <c:v>CAT3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xVal>
            <c:numRef>
              <c:f>Cartes_Goma!$C$82:$C$115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Cartes_Goma!$D$82:$D$115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Cartes_Goma!$G$82:$G$115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2-E543-45E6-AEE7-71B3499A5C6C}"/>
            </c:ext>
          </c:extLst>
        </c:ser>
        <c:ser>
          <c:idx val="3"/>
          <c:order val="3"/>
          <c:tx>
            <c:v>CAT4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xVal>
            <c:numRef>
              <c:f>Cartes_Goma!$C$82:$C$115</c:f>
              <c:numCache>
                <c:formatCode>General</c:formatCode>
                <c:ptCount val="34"/>
                <c:pt idx="0">
                  <c:v>7.2</c:v>
                </c:pt>
                <c:pt idx="1">
                  <c:v>8</c:v>
                </c:pt>
                <c:pt idx="2">
                  <c:v>6.6</c:v>
                </c:pt>
                <c:pt idx="3">
                  <c:v>8.4</c:v>
                </c:pt>
                <c:pt idx="4">
                  <c:v>3</c:v>
                </c:pt>
                <c:pt idx="5">
                  <c:v>8.4</c:v>
                </c:pt>
                <c:pt idx="6">
                  <c:v>5.5</c:v>
                </c:pt>
                <c:pt idx="7">
                  <c:v>7</c:v>
                </c:pt>
                <c:pt idx="8">
                  <c:v>4.8</c:v>
                </c:pt>
                <c:pt idx="9">
                  <c:v>6.2</c:v>
                </c:pt>
                <c:pt idx="10">
                  <c:v>5.8</c:v>
                </c:pt>
                <c:pt idx="11">
                  <c:v>5.8</c:v>
                </c:pt>
                <c:pt idx="12">
                  <c:v>7.2</c:v>
                </c:pt>
                <c:pt idx="13">
                  <c:v>4.2</c:v>
                </c:pt>
                <c:pt idx="14">
                  <c:v>7.8</c:v>
                </c:pt>
                <c:pt idx="15">
                  <c:v>8.1999999999999993</c:v>
                </c:pt>
                <c:pt idx="16">
                  <c:v>2.7</c:v>
                </c:pt>
              </c:numCache>
            </c:numRef>
          </c:xVal>
          <c:yVal>
            <c:numRef>
              <c:f>Cartes_Goma!$D$82:$D$115</c:f>
              <c:numCache>
                <c:formatCode>General</c:formatCode>
                <c:ptCount val="34"/>
                <c:pt idx="0">
                  <c:v>5.2</c:v>
                </c:pt>
                <c:pt idx="1">
                  <c:v>6.3</c:v>
                </c:pt>
                <c:pt idx="2">
                  <c:v>4.4000000000000004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2.2999999999999998</c:v>
                </c:pt>
                <c:pt idx="7">
                  <c:v>6.8</c:v>
                </c:pt>
                <c:pt idx="8">
                  <c:v>5.0999999999999996</c:v>
                </c:pt>
                <c:pt idx="9">
                  <c:v>3.1</c:v>
                </c:pt>
                <c:pt idx="10">
                  <c:v>4.3</c:v>
                </c:pt>
                <c:pt idx="11">
                  <c:v>5.3</c:v>
                </c:pt>
                <c:pt idx="12">
                  <c:v>3.7</c:v>
                </c:pt>
                <c:pt idx="13">
                  <c:v>7.3</c:v>
                </c:pt>
                <c:pt idx="14">
                  <c:v>5</c:v>
                </c:pt>
                <c:pt idx="15">
                  <c:v>4.4000000000000004</c:v>
                </c:pt>
                <c:pt idx="16">
                  <c:v>5</c:v>
                </c:pt>
              </c:numCache>
            </c:numRef>
          </c:yVal>
          <c:bubbleSize>
            <c:numRef>
              <c:f>Cartes_Goma!$H$82:$H$115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3-E543-45E6-AEE7-71B3499A5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8"/>
        <c:showNegBubbles val="0"/>
        <c:axId val="-1374991952"/>
        <c:axId val="-1374992496"/>
      </c:bubbleChart>
      <c:valAx>
        <c:axId val="-1374991952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4992496"/>
        <c:crosses val="max"/>
        <c:crossBetween val="midCat"/>
      </c:valAx>
      <c:valAx>
        <c:axId val="-1374992496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499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3396850240224818E-2"/>
          <c:y val="8.5743308709807037E-2"/>
          <c:w val="0.10319354280336475"/>
          <c:h val="0.1938818998283009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CV&lt;50%</c:v>
          </c:tx>
          <c:spPr>
            <a:solidFill>
              <a:srgbClr val="FF000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Cartes_Butembo!$C$4:$C$37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Cartes_Butembo!$D$4:$D$37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3.6</c:v>
                </c:pt>
                <c:pt idx="13">
                  <c:v>4.8</c:v>
                </c:pt>
                <c:pt idx="14">
                  <c:v>6.7</c:v>
                </c:pt>
                <c:pt idx="15">
                  <c:v>9.3000000000000007</c:v>
                </c:pt>
                <c:pt idx="16">
                  <c:v>6</c:v>
                </c:pt>
              </c:numCache>
            </c:numRef>
          </c:yVal>
          <c:bubbleSize>
            <c:numRef>
              <c:f>Cartes_Butembo!$E$4:$E$37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953-41DC-A52E-CA7F34326B58}"/>
            </c:ext>
          </c:extLst>
        </c:ser>
        <c:ser>
          <c:idx val="1"/>
          <c:order val="1"/>
          <c:tx>
            <c:v>CV&gt;=50&lt;80%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Cartes_Butembo!$C$4:$C$37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Cartes_Butembo!$D$4:$D$37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3.6</c:v>
                </c:pt>
                <c:pt idx="13">
                  <c:v>4.8</c:v>
                </c:pt>
                <c:pt idx="14">
                  <c:v>6.7</c:v>
                </c:pt>
                <c:pt idx="15">
                  <c:v>9.3000000000000007</c:v>
                </c:pt>
                <c:pt idx="16">
                  <c:v>6</c:v>
                </c:pt>
              </c:numCache>
            </c:numRef>
          </c:yVal>
          <c:bubbleSize>
            <c:numRef>
              <c:f>Cartes_Butembo!$F$4:$F$37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0.74840567305321148</c:v>
                </c:pt>
                <c:pt idx="3">
                  <c:v>0.78069105307181819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0.77130332631563758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0.69582571237355328</c:v>
                </c:pt>
                <c:pt idx="15">
                  <c:v>0.75032412332709497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953-41DC-A52E-CA7F34326B58}"/>
            </c:ext>
          </c:extLst>
        </c:ser>
        <c:ser>
          <c:idx val="2"/>
          <c:order val="2"/>
          <c:tx>
            <c:v>CV&gt;=80&lt;95%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Cartes_Butembo!$C$4:$C$37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Cartes_Butembo!$D$4:$D$37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3.6</c:v>
                </c:pt>
                <c:pt idx="13">
                  <c:v>4.8</c:v>
                </c:pt>
                <c:pt idx="14">
                  <c:v>6.7</c:v>
                </c:pt>
                <c:pt idx="15">
                  <c:v>9.3000000000000007</c:v>
                </c:pt>
                <c:pt idx="16">
                  <c:v>6</c:v>
                </c:pt>
              </c:numCache>
            </c:numRef>
          </c:yVal>
          <c:bubbleSize>
            <c:numRef>
              <c:f>Cartes_Butembo!$G$4:$G$37</c:f>
              <c:numCache>
                <c:formatCode>0%</c:formatCode>
                <c:ptCount val="34"/>
                <c:pt idx="0">
                  <c:v>0.87680415414203261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0.92833045875188913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0.90451338846494311</c:v>
                </c:pt>
                <c:pt idx="9">
                  <c:v>0</c:v>
                </c:pt>
                <c:pt idx="10">
                  <c:v>0.85903342303782226</c:v>
                </c:pt>
                <c:pt idx="11">
                  <c:v>0.81599186824324565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0.88940245341961555</c:v>
                </c:pt>
                <c:pt idx="17">
                  <c:v>0.90641589427547975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2-2953-41DC-A52E-CA7F34326B58}"/>
            </c:ext>
          </c:extLst>
        </c:ser>
        <c:ser>
          <c:idx val="3"/>
          <c:order val="3"/>
          <c:tx>
            <c:v>CV&gt;=95%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Cartes_Butembo!$C$4:$C$37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Cartes_Butembo!$D$4:$D$37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3.6</c:v>
                </c:pt>
                <c:pt idx="13">
                  <c:v>4.8</c:v>
                </c:pt>
                <c:pt idx="14">
                  <c:v>6.7</c:v>
                </c:pt>
                <c:pt idx="15">
                  <c:v>9.3000000000000007</c:v>
                </c:pt>
                <c:pt idx="16">
                  <c:v>6</c:v>
                </c:pt>
              </c:numCache>
            </c:numRef>
          </c:yVal>
          <c:bubbleSize>
            <c:numRef>
              <c:f>Cartes_Butembo!$H$4:$H$37</c:f>
              <c:numCache>
                <c:formatCode>0%</c:formatCode>
                <c:ptCount val="34"/>
                <c:pt idx="0">
                  <c:v>0</c:v>
                </c:pt>
                <c:pt idx="1">
                  <c:v>1.0995634969977892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1.0756016961123636</c:v>
                </c:pt>
                <c:pt idx="6">
                  <c:v>1.0772790459417139</c:v>
                </c:pt>
                <c:pt idx="7">
                  <c:v>0</c:v>
                </c:pt>
                <c:pt idx="8">
                  <c:v>0</c:v>
                </c:pt>
                <c:pt idx="9">
                  <c:v>0.9592465706364518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0.99920567963447149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3-2953-41DC-A52E-CA7F34326B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25"/>
        <c:showNegBubbles val="0"/>
        <c:axId val="-1374996304"/>
        <c:axId val="-1374994128"/>
      </c:bubbleChart>
      <c:valAx>
        <c:axId val="-1374996304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4994128"/>
        <c:crosses val="max"/>
        <c:crossBetween val="midCat"/>
      </c:valAx>
      <c:valAx>
        <c:axId val="-1374994128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4996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5113654050075571"/>
          <c:y val="4.6460047104977774E-2"/>
          <c:w val="0.17205842779655001"/>
          <c:h val="0.1739580585304586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Tx_Abandon&lt;10%</c:v>
          </c:tx>
          <c:spPr>
            <a:solidFill>
              <a:srgbClr val="1BF920"/>
            </a:solidFill>
            <a:ln w="25400">
              <a:noFill/>
            </a:ln>
            <a:effectLst>
              <a:softEdge rad="0"/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Cartes_Butembo!$C$43:$C$76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8.5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Cartes_Butembo!$D$43:$D$76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9.5</c:v>
                </c:pt>
                <c:pt idx="16">
                  <c:v>6</c:v>
                </c:pt>
              </c:numCache>
            </c:numRef>
          </c:yVal>
          <c:bubbleSize>
            <c:numRef>
              <c:f>Cartes_Butembo!$E$43:$E$76</c:f>
              <c:numCache>
                <c:formatCode>0%</c:formatCode>
                <c:ptCount val="34"/>
                <c:pt idx="0">
                  <c:v>8.8368760449008835E-2</c:v>
                </c:pt>
                <c:pt idx="1">
                  <c:v>0</c:v>
                </c:pt>
                <c:pt idx="2">
                  <c:v>0</c:v>
                </c:pt>
                <c:pt idx="3">
                  <c:v>9.2843326885880081E-2</c:v>
                </c:pt>
                <c:pt idx="4">
                  <c:v>1.6783643576441867E-2</c:v>
                </c:pt>
                <c:pt idx="5">
                  <c:v>8.9631974673525919E-2</c:v>
                </c:pt>
                <c:pt idx="6">
                  <c:v>0</c:v>
                </c:pt>
                <c:pt idx="7">
                  <c:v>0</c:v>
                </c:pt>
                <c:pt idx="8">
                  <c:v>2.0535857532488367E-2</c:v>
                </c:pt>
                <c:pt idx="9">
                  <c:v>1.4363885088919288E-2</c:v>
                </c:pt>
                <c:pt idx="10">
                  <c:v>2.4254029041008457E-2</c:v>
                </c:pt>
                <c:pt idx="11">
                  <c:v>0</c:v>
                </c:pt>
                <c:pt idx="12">
                  <c:v>5.6056236481614993E-2</c:v>
                </c:pt>
                <c:pt idx="13">
                  <c:v>2.232189423177219E-2</c:v>
                </c:pt>
                <c:pt idx="14">
                  <c:v>0</c:v>
                </c:pt>
                <c:pt idx="15">
                  <c:v>3.0099502487562189E-2</c:v>
                </c:pt>
                <c:pt idx="16">
                  <c:v>1.8764073054791094E-2</c:v>
                </c:pt>
                <c:pt idx="17">
                  <c:v>3.8941049715253195E-2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D29-4C3A-A615-B224E252714A}"/>
            </c:ext>
          </c:extLst>
        </c:ser>
        <c:ser>
          <c:idx val="1"/>
          <c:order val="1"/>
          <c:tx>
            <c:v>Tx_Abandon&gt;10%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Cartes_Butembo!$C$43:$C$76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8.5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7.3</c:v>
                </c:pt>
              </c:numCache>
            </c:numRef>
          </c:xVal>
          <c:yVal>
            <c:numRef>
              <c:f>Cartes_Butembo!$D$43:$D$76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9.5</c:v>
                </c:pt>
                <c:pt idx="16">
                  <c:v>6</c:v>
                </c:pt>
              </c:numCache>
            </c:numRef>
          </c:yVal>
          <c:bubbleSize>
            <c:numRef>
              <c:f>Cartes_Butembo!$F$43:$F$76</c:f>
              <c:numCache>
                <c:formatCode>0%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0.11972689587905389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0.11549149010072941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0.18666666666666668</c:v>
                </c:pt>
                <c:pt idx="12">
                  <c:v>0</c:v>
                </c:pt>
                <c:pt idx="13">
                  <c:v>0</c:v>
                </c:pt>
                <c:pt idx="14">
                  <c:v>0.11664418005642095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D29-4C3A-A615-B224E2527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25"/>
        <c:showNegBubbles val="0"/>
        <c:axId val="-1374996848"/>
        <c:axId val="-1374994672"/>
      </c:bubbleChart>
      <c:valAx>
        <c:axId val="-1374996848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4994672"/>
        <c:crosses val="max"/>
        <c:crossBetween val="midCat"/>
      </c:valAx>
      <c:valAx>
        <c:axId val="-1374994672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49968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6939653604972354E-2"/>
          <c:y val="8.0468144184571599E-2"/>
          <c:w val="0.21643143592332006"/>
          <c:h val="8.6979029265229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27875097639062E-2"/>
          <c:y val="5.4444746486116788E-2"/>
          <c:w val="0.92467675470303912"/>
          <c:h val="0.91973900642745088"/>
        </c:manualLayout>
      </c:layout>
      <c:bubbleChart>
        <c:varyColors val="0"/>
        <c:ser>
          <c:idx val="0"/>
          <c:order val="0"/>
          <c:tx>
            <c:v>CAT1</c:v>
          </c:tx>
          <c:spPr>
            <a:solidFill>
              <a:srgbClr val="1BF920"/>
            </a:solidFill>
            <a:ln w="25400">
              <a:noFill/>
            </a:ln>
            <a:effectLst/>
          </c:spPr>
          <c:invertIfNegative val="0"/>
          <c:xVal>
            <c:numRef>
              <c:f>Cartes_Butembo!$C$81:$C$114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7.1</c:v>
                </c:pt>
              </c:numCache>
            </c:numRef>
          </c:xVal>
          <c:yVal>
            <c:numRef>
              <c:f>Cartes_Butembo!$D$81:$D$114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9.4</c:v>
                </c:pt>
                <c:pt idx="16">
                  <c:v>6</c:v>
                </c:pt>
              </c:numCache>
            </c:numRef>
          </c:yVal>
          <c:bubbleSize>
            <c:numRef>
              <c:f>Cartes_Butembo!$E$81:$E$114</c:f>
              <c:numCache>
                <c:formatCode>0</c:formatCode>
                <c:ptCount val="34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10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0-22F0-4ADE-AAA6-0774887E7045}"/>
            </c:ext>
          </c:extLst>
        </c:ser>
        <c:ser>
          <c:idx val="1"/>
          <c:order val="1"/>
          <c:tx>
            <c:v>CAT2</c:v>
          </c:tx>
          <c:spPr>
            <a:solidFill>
              <a:srgbClr val="E9FA0E"/>
            </a:solidFill>
            <a:ln w="25400">
              <a:noFill/>
            </a:ln>
            <a:effectLst/>
          </c:spPr>
          <c:invertIfNegative val="0"/>
          <c:xVal>
            <c:numRef>
              <c:f>Cartes_Butembo!$C$81:$C$114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7.1</c:v>
                </c:pt>
              </c:numCache>
            </c:numRef>
          </c:xVal>
          <c:yVal>
            <c:numRef>
              <c:f>Cartes_Butembo!$D$81:$D$114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9.4</c:v>
                </c:pt>
                <c:pt idx="16">
                  <c:v>6</c:v>
                </c:pt>
              </c:numCache>
            </c:numRef>
          </c:yVal>
          <c:bubbleSize>
            <c:numRef>
              <c:f>Cartes_Butembo!$F$81:$F$114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1-22F0-4ADE-AAA6-0774887E7045}"/>
            </c:ext>
          </c:extLst>
        </c:ser>
        <c:ser>
          <c:idx val="2"/>
          <c:order val="2"/>
          <c:tx>
            <c:v>CAT3</c:v>
          </c:tx>
          <c:spPr>
            <a:solidFill>
              <a:srgbClr val="F99F1B"/>
            </a:solidFill>
            <a:ln w="25400">
              <a:noFill/>
            </a:ln>
            <a:effectLst/>
          </c:spPr>
          <c:invertIfNegative val="0"/>
          <c:xVal>
            <c:numRef>
              <c:f>Cartes_Butembo!$C$81:$C$114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7.1</c:v>
                </c:pt>
              </c:numCache>
            </c:numRef>
          </c:xVal>
          <c:yVal>
            <c:numRef>
              <c:f>Cartes_Butembo!$D$81:$D$114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9.4</c:v>
                </c:pt>
                <c:pt idx="16">
                  <c:v>6</c:v>
                </c:pt>
              </c:numCache>
            </c:numRef>
          </c:yVal>
          <c:bubbleSize>
            <c:numRef>
              <c:f>Cartes_Butembo!$G$81:$G$114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2-22F0-4ADE-AAA6-0774887E7045}"/>
            </c:ext>
          </c:extLst>
        </c:ser>
        <c:ser>
          <c:idx val="3"/>
          <c:order val="3"/>
          <c:tx>
            <c:v>CAT4</c:v>
          </c:tx>
          <c:spPr>
            <a:solidFill>
              <a:srgbClr val="FF0000"/>
            </a:solidFill>
            <a:ln w="25400">
              <a:noFill/>
            </a:ln>
            <a:effectLst/>
          </c:spPr>
          <c:invertIfNegative val="0"/>
          <c:xVal>
            <c:numRef>
              <c:f>Cartes_Butembo!$C$81:$C$114</c:f>
              <c:numCache>
                <c:formatCode>General</c:formatCode>
                <c:ptCount val="34"/>
                <c:pt idx="0">
                  <c:v>5.3</c:v>
                </c:pt>
                <c:pt idx="1">
                  <c:v>7.4</c:v>
                </c:pt>
                <c:pt idx="2">
                  <c:v>4.5</c:v>
                </c:pt>
                <c:pt idx="3">
                  <c:v>9</c:v>
                </c:pt>
                <c:pt idx="4">
                  <c:v>6</c:v>
                </c:pt>
                <c:pt idx="5">
                  <c:v>8.8000000000000007</c:v>
                </c:pt>
                <c:pt idx="6">
                  <c:v>9.6999999999999993</c:v>
                </c:pt>
                <c:pt idx="7">
                  <c:v>5.8</c:v>
                </c:pt>
                <c:pt idx="8">
                  <c:v>7.2</c:v>
                </c:pt>
                <c:pt idx="9">
                  <c:v>4.4000000000000004</c:v>
                </c:pt>
                <c:pt idx="10">
                  <c:v>5.5</c:v>
                </c:pt>
                <c:pt idx="11">
                  <c:v>3</c:v>
                </c:pt>
                <c:pt idx="12">
                  <c:v>6.5</c:v>
                </c:pt>
                <c:pt idx="13">
                  <c:v>4.5</c:v>
                </c:pt>
                <c:pt idx="14">
                  <c:v>8.1999999999999993</c:v>
                </c:pt>
                <c:pt idx="15">
                  <c:v>7.5</c:v>
                </c:pt>
                <c:pt idx="16">
                  <c:v>7.1</c:v>
                </c:pt>
              </c:numCache>
            </c:numRef>
          </c:xVal>
          <c:yVal>
            <c:numRef>
              <c:f>Cartes_Butembo!$D$81:$D$114</c:f>
              <c:numCache>
                <c:formatCode>General</c:formatCode>
                <c:ptCount val="34"/>
                <c:pt idx="0">
                  <c:v>2.5</c:v>
                </c:pt>
                <c:pt idx="1">
                  <c:v>7.8</c:v>
                </c:pt>
                <c:pt idx="2">
                  <c:v>6</c:v>
                </c:pt>
                <c:pt idx="3">
                  <c:v>5</c:v>
                </c:pt>
                <c:pt idx="4">
                  <c:v>6.2</c:v>
                </c:pt>
                <c:pt idx="5">
                  <c:v>8.9</c:v>
                </c:pt>
                <c:pt idx="6">
                  <c:v>4</c:v>
                </c:pt>
                <c:pt idx="7">
                  <c:v>1.3</c:v>
                </c:pt>
                <c:pt idx="8">
                  <c:v>5.0999999999999996</c:v>
                </c:pt>
                <c:pt idx="9">
                  <c:v>3.7</c:v>
                </c:pt>
                <c:pt idx="10">
                  <c:v>7.2</c:v>
                </c:pt>
                <c:pt idx="11">
                  <c:v>6.4</c:v>
                </c:pt>
                <c:pt idx="12">
                  <c:v>3.7</c:v>
                </c:pt>
                <c:pt idx="13">
                  <c:v>4.8</c:v>
                </c:pt>
                <c:pt idx="14">
                  <c:v>6.7</c:v>
                </c:pt>
                <c:pt idx="15">
                  <c:v>9.4</c:v>
                </c:pt>
                <c:pt idx="16">
                  <c:v>6</c:v>
                </c:pt>
              </c:numCache>
            </c:numRef>
          </c:yVal>
          <c:bubbleSize>
            <c:numRef>
              <c:f>Cartes_Butembo!$H$81:$H$114</c:f>
              <c:numCache>
                <c:formatCode>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bubbleSize>
          <c:bubble3D val="1"/>
          <c:extLst xmlns:c16r2="http://schemas.microsoft.com/office/drawing/2015/06/chart">
            <c:ext xmlns:c16="http://schemas.microsoft.com/office/drawing/2014/chart" uri="{C3380CC4-5D6E-409C-BE32-E72D297353CC}">
              <c16:uniqueId val="{00000003-22F0-4ADE-AAA6-0774887E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8"/>
        <c:showNegBubbles val="0"/>
        <c:axId val="-1374990320"/>
        <c:axId val="-1374993584"/>
      </c:bubbleChart>
      <c:valAx>
        <c:axId val="-1374990320"/>
        <c:scaling>
          <c:orientation val="minMax"/>
          <c:max val="10"/>
          <c:min val="0"/>
        </c:scaling>
        <c:delete val="1"/>
        <c:axPos val="t"/>
        <c:numFmt formatCode="General" sourceLinked="1"/>
        <c:majorTickMark val="none"/>
        <c:minorTickMark val="none"/>
        <c:tickLblPos val="nextTo"/>
        <c:crossAx val="-1374993584"/>
        <c:crosses val="max"/>
        <c:crossBetween val="midCat"/>
      </c:valAx>
      <c:valAx>
        <c:axId val="-1374993584"/>
        <c:scaling>
          <c:orientation val="minMax"/>
          <c:max val="10"/>
          <c:min val="0"/>
        </c:scaling>
        <c:delete val="1"/>
        <c:axPos val="l"/>
        <c:numFmt formatCode="General" sourceLinked="1"/>
        <c:majorTickMark val="none"/>
        <c:minorTickMark val="none"/>
        <c:tickLblPos val="nextTo"/>
        <c:crossAx val="-13749903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0465583776133448E-2"/>
          <c:y val="0.46929046795595836"/>
          <c:w val="0.10319354280336475"/>
          <c:h val="0.19388189982830095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fr-F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13" Type="http://schemas.openxmlformats.org/officeDocument/2006/relationships/chart" Target="../charts/chart24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12" Type="http://schemas.openxmlformats.org/officeDocument/2006/relationships/chart" Target="../charts/chart23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3.xml"/><Relationship Id="rId3" Type="http://schemas.openxmlformats.org/officeDocument/2006/relationships/chart" Target="../charts/chart30.xml"/><Relationship Id="rId7" Type="http://schemas.openxmlformats.org/officeDocument/2006/relationships/image" Target="../media/image3.png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image" Target="../media/image2.png"/><Relationship Id="rId9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0.xml"/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2561</xdr:colOff>
      <xdr:row>7</xdr:row>
      <xdr:rowOff>149678</xdr:rowOff>
    </xdr:from>
    <xdr:to>
      <xdr:col>15</xdr:col>
      <xdr:colOff>13607</xdr:colOff>
      <xdr:row>11</xdr:row>
      <xdr:rowOff>112059</xdr:rowOff>
    </xdr:to>
    <xdr:sp macro="" textlink="$D$2">
      <xdr:nvSpPr>
        <xdr:cNvPr id="66" name="Rectangle : coins arrondis 65">
          <a:extLst>
            <a:ext uri="{FF2B5EF4-FFF2-40B4-BE49-F238E27FC236}">
              <a16:creationId xmlns="" xmlns:a16="http://schemas.microsoft.com/office/drawing/2014/main" id="{47154550-FD2E-4DAC-8355-E768543BA22E}"/>
            </a:ext>
          </a:extLst>
        </xdr:cNvPr>
        <xdr:cNvSpPr/>
      </xdr:nvSpPr>
      <xdr:spPr>
        <a:xfrm>
          <a:off x="5826418" y="1836964"/>
          <a:ext cx="5671618" cy="887666"/>
        </a:xfrm>
        <a:prstGeom prst="roundRect">
          <a:avLst/>
        </a:prstGeom>
        <a:solidFill>
          <a:schemeClr val="tx2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D0D6369-DA3A-4DE2-9EC9-FD5C26E74420}" type="TxLink">
            <a:rPr lang="en-US" sz="1400" b="0" i="0" u="none" strike="noStrike">
              <a:solidFill>
                <a:schemeClr val="bg1"/>
              </a:solidFill>
              <a:latin typeface="Arial"/>
              <a:cs typeface="Arial"/>
            </a:rPr>
            <a:pPr algn="l"/>
            <a:t>#NOM?</a:t>
          </a:fld>
          <a:endParaRPr lang="en-US" sz="1800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33618</xdr:colOff>
      <xdr:row>0</xdr:row>
      <xdr:rowOff>33616</xdr:rowOff>
    </xdr:from>
    <xdr:to>
      <xdr:col>18</xdr:col>
      <xdr:colOff>11205</xdr:colOff>
      <xdr:row>0</xdr:row>
      <xdr:rowOff>324969</xdr:rowOff>
    </xdr:to>
    <xdr:sp macro="" textlink="$D$1">
      <xdr:nvSpPr>
        <xdr:cNvPr id="131" name="Rectangle : coins arrondis 130">
          <a:extLst>
            <a:ext uri="{FF2B5EF4-FFF2-40B4-BE49-F238E27FC236}">
              <a16:creationId xmlns="" xmlns:a16="http://schemas.microsoft.com/office/drawing/2014/main" id="{C44D9C12-06A9-4272-A788-EE09EA21A468}"/>
            </a:ext>
          </a:extLst>
        </xdr:cNvPr>
        <xdr:cNvSpPr/>
      </xdr:nvSpPr>
      <xdr:spPr>
        <a:xfrm>
          <a:off x="5062818" y="33616"/>
          <a:ext cx="9312087" cy="291353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4EA6F08-5208-4E42-A336-1F7DDC75F578}" type="TxLink">
            <a:rPr lang="en-US" sz="14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ZS DE ITEBERO : CV SELON LE CALENDRIER VACCINAL DE JANVIER-OCTOBRE 2024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324980</xdr:colOff>
      <xdr:row>0</xdr:row>
      <xdr:rowOff>54429</xdr:rowOff>
    </xdr:from>
    <xdr:to>
      <xdr:col>2</xdr:col>
      <xdr:colOff>1199028</xdr:colOff>
      <xdr:row>11</xdr:row>
      <xdr:rowOff>217715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4" name="ZS 1">
              <a:extLst>
                <a:ext uri="{FF2B5EF4-FFF2-40B4-BE49-F238E27FC236}">
                  <a16:creationId xmlns="" xmlns:a16="http://schemas.microsoft.com/office/drawing/2014/main" id="{0D64D893-D926-4088-B66F-B19C01CBAF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Z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3373" y="54429"/>
              <a:ext cx="2003441" cy="33201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31218</xdr:colOff>
      <xdr:row>7</xdr:row>
      <xdr:rowOff>114300</xdr:rowOff>
    </xdr:from>
    <xdr:to>
      <xdr:col>12</xdr:col>
      <xdr:colOff>470647</xdr:colOff>
      <xdr:row>11</xdr:row>
      <xdr:rowOff>143276</xdr:rowOff>
    </xdr:to>
    <xdr:sp macro="" textlink="$D$2">
      <xdr:nvSpPr>
        <xdr:cNvPr id="74" name="Rectangle : coins arrondis 73">
          <a:extLst>
            <a:ext uri="{FF2B5EF4-FFF2-40B4-BE49-F238E27FC236}">
              <a16:creationId xmlns="" xmlns:a16="http://schemas.microsoft.com/office/drawing/2014/main" id="{B9D37489-FDA9-4CFB-A896-77B940FC5FF8}"/>
            </a:ext>
          </a:extLst>
        </xdr:cNvPr>
        <xdr:cNvSpPr/>
      </xdr:nvSpPr>
      <xdr:spPr>
        <a:xfrm>
          <a:off x="6254218" y="1765300"/>
          <a:ext cx="3982729" cy="841776"/>
        </a:xfrm>
        <a:prstGeom prst="roundRect">
          <a:avLst/>
        </a:prstGeom>
        <a:solidFill>
          <a:schemeClr val="tx2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ED0D6369-DA3A-4DE2-9EC9-FD5C26E74420}" type="TxLink">
            <a:rPr lang="en-US" sz="14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#NOM?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78442</xdr:colOff>
      <xdr:row>0</xdr:row>
      <xdr:rowOff>126067</xdr:rowOff>
    </xdr:from>
    <xdr:to>
      <xdr:col>2</xdr:col>
      <xdr:colOff>806823</xdr:colOff>
      <xdr:row>1</xdr:row>
      <xdr:rowOff>112059</xdr:rowOff>
    </xdr:to>
    <xdr:grpSp>
      <xdr:nvGrpSpPr>
        <xdr:cNvPr id="2561" name="Google Shape;263;p51">
          <a:extLst>
            <a:ext uri="{FF2B5EF4-FFF2-40B4-BE49-F238E27FC236}">
              <a16:creationId xmlns="" xmlns:a16="http://schemas.microsoft.com/office/drawing/2014/main" id="{D1789815-98BD-49CD-9BD8-E90183687CD5}"/>
            </a:ext>
          </a:extLst>
        </xdr:cNvPr>
        <xdr:cNvGrpSpPr>
          <a:grpSpLocks/>
        </xdr:cNvGrpSpPr>
      </xdr:nvGrpSpPr>
      <xdr:grpSpPr bwMode="auto">
        <a:xfrm>
          <a:off x="78442" y="126067"/>
          <a:ext cx="2489448" cy="383925"/>
          <a:chOff x="238125" y="2363000"/>
          <a:chExt cx="7122300" cy="975725"/>
        </a:xfrm>
      </xdr:grpSpPr>
      <xdr:sp macro="" textlink="">
        <xdr:nvSpPr>
          <xdr:cNvPr id="3" name="Google Shape;264;p51">
            <a:extLst>
              <a:ext uri="{FF2B5EF4-FFF2-40B4-BE49-F238E27FC236}">
                <a16:creationId xmlns="" xmlns:a16="http://schemas.microsoft.com/office/drawing/2014/main" id="{AB49D187-D7E5-4BAE-9A4A-B33224EC9E66}"/>
              </a:ext>
            </a:extLst>
          </xdr:cNvPr>
          <xdr:cNvSpPr/>
        </xdr:nvSpPr>
        <xdr:spPr>
          <a:xfrm>
            <a:off x="238125" y="2363000"/>
            <a:ext cx="689255" cy="953034"/>
          </a:xfrm>
          <a:custGeom>
            <a:avLst/>
            <a:gdLst/>
            <a:ahLst/>
            <a:cxnLst/>
            <a:rect l="l" t="t" r="r" b="b"/>
            <a:pathLst>
              <a:path w="27811" h="38232" extrusionOk="0">
                <a:moveTo>
                  <a:pt x="13895" y="0"/>
                </a:moveTo>
                <a:cubicBezTo>
                  <a:pt x="10626" y="0"/>
                  <a:pt x="7949" y="2656"/>
                  <a:pt x="7949" y="5946"/>
                </a:cubicBezTo>
                <a:cubicBezTo>
                  <a:pt x="7949" y="9236"/>
                  <a:pt x="10626" y="11893"/>
                  <a:pt x="13895" y="11893"/>
                </a:cubicBezTo>
                <a:cubicBezTo>
                  <a:pt x="17185" y="11893"/>
                  <a:pt x="19862" y="9236"/>
                  <a:pt x="19862" y="5946"/>
                </a:cubicBezTo>
                <a:cubicBezTo>
                  <a:pt x="19862" y="2656"/>
                  <a:pt x="17185" y="0"/>
                  <a:pt x="13895" y="0"/>
                </a:cubicBezTo>
                <a:close/>
                <a:moveTo>
                  <a:pt x="7070" y="18738"/>
                </a:moveTo>
                <a:lnTo>
                  <a:pt x="7070" y="26380"/>
                </a:lnTo>
                <a:cubicBezTo>
                  <a:pt x="5987" y="25706"/>
                  <a:pt x="5252" y="24500"/>
                  <a:pt x="5252" y="23111"/>
                </a:cubicBezTo>
                <a:lnTo>
                  <a:pt x="5252" y="21987"/>
                </a:lnTo>
                <a:cubicBezTo>
                  <a:pt x="5252" y="20618"/>
                  <a:pt x="5987" y="19412"/>
                  <a:pt x="7070" y="18738"/>
                </a:cubicBezTo>
                <a:close/>
                <a:moveTo>
                  <a:pt x="20557" y="18636"/>
                </a:moveTo>
                <a:cubicBezTo>
                  <a:pt x="21742" y="19269"/>
                  <a:pt x="22559" y="20536"/>
                  <a:pt x="22559" y="21987"/>
                </a:cubicBezTo>
                <a:lnTo>
                  <a:pt x="22559" y="23131"/>
                </a:lnTo>
                <a:cubicBezTo>
                  <a:pt x="22559" y="24562"/>
                  <a:pt x="21742" y="25828"/>
                  <a:pt x="20557" y="26482"/>
                </a:cubicBezTo>
                <a:lnTo>
                  <a:pt x="20557" y="18636"/>
                </a:lnTo>
                <a:close/>
                <a:moveTo>
                  <a:pt x="9052" y="12935"/>
                </a:moveTo>
                <a:cubicBezTo>
                  <a:pt x="4066" y="12935"/>
                  <a:pt x="0" y="17001"/>
                  <a:pt x="0" y="21987"/>
                </a:cubicBezTo>
                <a:lnTo>
                  <a:pt x="0" y="23111"/>
                </a:lnTo>
                <a:cubicBezTo>
                  <a:pt x="0" y="27443"/>
                  <a:pt x="3024" y="31060"/>
                  <a:pt x="7070" y="31959"/>
                </a:cubicBezTo>
                <a:lnTo>
                  <a:pt x="7070" y="38232"/>
                </a:lnTo>
                <a:lnTo>
                  <a:pt x="20557" y="38232"/>
                </a:lnTo>
                <a:lnTo>
                  <a:pt x="20557" y="31999"/>
                </a:lnTo>
                <a:cubicBezTo>
                  <a:pt x="24684" y="31162"/>
                  <a:pt x="27811" y="27504"/>
                  <a:pt x="27811" y="23111"/>
                </a:cubicBezTo>
                <a:lnTo>
                  <a:pt x="27811" y="21987"/>
                </a:lnTo>
                <a:cubicBezTo>
                  <a:pt x="27811" y="17001"/>
                  <a:pt x="23744" y="12935"/>
                  <a:pt x="18738" y="12935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" name="Google Shape;265;p51">
            <a:extLst>
              <a:ext uri="{FF2B5EF4-FFF2-40B4-BE49-F238E27FC236}">
                <a16:creationId xmlns="" xmlns:a16="http://schemas.microsoft.com/office/drawing/2014/main" id="{2F3C55E5-404A-442A-8CDC-51134D57A0CA}"/>
              </a:ext>
            </a:extLst>
          </xdr:cNvPr>
          <xdr:cNvSpPr/>
        </xdr:nvSpPr>
        <xdr:spPr>
          <a:xfrm>
            <a:off x="238125" y="2794134"/>
            <a:ext cx="689255" cy="544591"/>
          </a:xfrm>
          <a:custGeom>
            <a:avLst/>
            <a:gdLst/>
            <a:ahLst/>
            <a:cxnLst/>
            <a:rect l="l" t="t" r="r" b="b"/>
            <a:pathLst>
              <a:path w="27811" h="21885" extrusionOk="0">
                <a:moveTo>
                  <a:pt x="13895" y="0"/>
                </a:moveTo>
                <a:cubicBezTo>
                  <a:pt x="11443" y="0"/>
                  <a:pt x="9441" y="2003"/>
                  <a:pt x="9441" y="4475"/>
                </a:cubicBezTo>
                <a:cubicBezTo>
                  <a:pt x="9441" y="6927"/>
                  <a:pt x="11443" y="8930"/>
                  <a:pt x="13895" y="8930"/>
                </a:cubicBezTo>
                <a:cubicBezTo>
                  <a:pt x="16368" y="8930"/>
                  <a:pt x="18370" y="6927"/>
                  <a:pt x="18370" y="4475"/>
                </a:cubicBezTo>
                <a:cubicBezTo>
                  <a:pt x="18370" y="2003"/>
                  <a:pt x="16368" y="0"/>
                  <a:pt x="13895" y="0"/>
                </a:cubicBezTo>
                <a:close/>
                <a:moveTo>
                  <a:pt x="0" y="5987"/>
                </a:moveTo>
                <a:cubicBezTo>
                  <a:pt x="0" y="10973"/>
                  <a:pt x="4066" y="15039"/>
                  <a:pt x="9052" y="15039"/>
                </a:cubicBezTo>
                <a:lnTo>
                  <a:pt x="9686" y="15039"/>
                </a:lnTo>
                <a:lnTo>
                  <a:pt x="9686" y="21885"/>
                </a:lnTo>
                <a:lnTo>
                  <a:pt x="17941" y="21885"/>
                </a:lnTo>
                <a:lnTo>
                  <a:pt x="17941" y="15039"/>
                </a:lnTo>
                <a:lnTo>
                  <a:pt x="18738" y="15039"/>
                </a:lnTo>
                <a:cubicBezTo>
                  <a:pt x="23744" y="15039"/>
                  <a:pt x="27811" y="10973"/>
                  <a:pt x="27811" y="5987"/>
                </a:cubicBezTo>
                <a:lnTo>
                  <a:pt x="22559" y="5987"/>
                </a:lnTo>
                <a:cubicBezTo>
                  <a:pt x="22559" y="8092"/>
                  <a:pt x="20843" y="9788"/>
                  <a:pt x="18738" y="9788"/>
                </a:cubicBezTo>
                <a:lnTo>
                  <a:pt x="9052" y="9788"/>
                </a:lnTo>
                <a:cubicBezTo>
                  <a:pt x="6948" y="9788"/>
                  <a:pt x="5252" y="8092"/>
                  <a:pt x="5252" y="5987"/>
                </a:cubicBezTo>
                <a:close/>
              </a:path>
            </a:pathLst>
          </a:custGeom>
          <a:solidFill>
            <a:srgbClr val="64C8FA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" name="Google Shape;266;p51">
            <a:extLst>
              <a:ext uri="{FF2B5EF4-FFF2-40B4-BE49-F238E27FC236}">
                <a16:creationId xmlns="" xmlns:a16="http://schemas.microsoft.com/office/drawing/2014/main" id="{D23AF501-9F2C-421C-A050-4E798679B984}"/>
              </a:ext>
            </a:extLst>
          </xdr:cNvPr>
          <xdr:cNvSpPr/>
        </xdr:nvSpPr>
        <xdr:spPr>
          <a:xfrm>
            <a:off x="1182659" y="2431074"/>
            <a:ext cx="612671" cy="794195"/>
          </a:xfrm>
          <a:custGeom>
            <a:avLst/>
            <a:gdLst/>
            <a:ahLst/>
            <a:cxnLst/>
            <a:rect l="l" t="t" r="r" b="b"/>
            <a:pathLst>
              <a:path w="24584" h="31796" extrusionOk="0">
                <a:moveTo>
                  <a:pt x="12568" y="5620"/>
                </a:moveTo>
                <a:cubicBezTo>
                  <a:pt x="15653" y="5620"/>
                  <a:pt x="17799" y="6969"/>
                  <a:pt x="17799" y="10218"/>
                </a:cubicBezTo>
                <a:cubicBezTo>
                  <a:pt x="17799" y="13119"/>
                  <a:pt x="15797" y="14775"/>
                  <a:pt x="12629" y="14775"/>
                </a:cubicBezTo>
                <a:lnTo>
                  <a:pt x="6908" y="14775"/>
                </a:lnTo>
                <a:lnTo>
                  <a:pt x="6908" y="5620"/>
                </a:lnTo>
                <a:close/>
                <a:moveTo>
                  <a:pt x="1" y="1"/>
                </a:moveTo>
                <a:lnTo>
                  <a:pt x="1" y="31796"/>
                </a:lnTo>
                <a:lnTo>
                  <a:pt x="6908" y="31796"/>
                </a:lnTo>
                <a:lnTo>
                  <a:pt x="6908" y="20333"/>
                </a:lnTo>
                <a:lnTo>
                  <a:pt x="13876" y="20333"/>
                </a:lnTo>
                <a:cubicBezTo>
                  <a:pt x="21355" y="20333"/>
                  <a:pt x="24583" y="15122"/>
                  <a:pt x="24583" y="10136"/>
                </a:cubicBezTo>
                <a:cubicBezTo>
                  <a:pt x="24583" y="3883"/>
                  <a:pt x="20251" y="1"/>
                  <a:pt x="13651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" name="Google Shape;267;p51">
            <a:extLst>
              <a:ext uri="{FF2B5EF4-FFF2-40B4-BE49-F238E27FC236}">
                <a16:creationId xmlns="" xmlns:a16="http://schemas.microsoft.com/office/drawing/2014/main" id="{2EF2E4E8-1E7F-42BE-98A9-58E580697EDE}"/>
              </a:ext>
            </a:extLst>
          </xdr:cNvPr>
          <xdr:cNvSpPr/>
        </xdr:nvSpPr>
        <xdr:spPr>
          <a:xfrm>
            <a:off x="1922970" y="2431074"/>
            <a:ext cx="561615" cy="794195"/>
          </a:xfrm>
          <a:custGeom>
            <a:avLst/>
            <a:gdLst/>
            <a:ahLst/>
            <a:cxnLst/>
            <a:rect l="l" t="t" r="r" b="b"/>
            <a:pathLst>
              <a:path w="22866" h="31796" extrusionOk="0">
                <a:moveTo>
                  <a:pt x="0" y="1"/>
                </a:moveTo>
                <a:lnTo>
                  <a:pt x="0" y="31796"/>
                </a:lnTo>
                <a:lnTo>
                  <a:pt x="22866" y="31796"/>
                </a:lnTo>
                <a:lnTo>
                  <a:pt x="22866" y="25952"/>
                </a:lnTo>
                <a:lnTo>
                  <a:pt x="6907" y="25952"/>
                </a:lnTo>
                <a:lnTo>
                  <a:pt x="6907" y="18596"/>
                </a:lnTo>
                <a:lnTo>
                  <a:pt x="20598" y="18596"/>
                </a:lnTo>
                <a:lnTo>
                  <a:pt x="20598" y="12752"/>
                </a:lnTo>
                <a:lnTo>
                  <a:pt x="6907" y="12752"/>
                </a:lnTo>
                <a:lnTo>
                  <a:pt x="6907" y="5845"/>
                </a:lnTo>
                <a:lnTo>
                  <a:pt x="22743" y="5845"/>
                </a:lnTo>
                <a:lnTo>
                  <a:pt x="22743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7" name="Google Shape;268;p51">
            <a:extLst>
              <a:ext uri="{FF2B5EF4-FFF2-40B4-BE49-F238E27FC236}">
                <a16:creationId xmlns="" xmlns:a16="http://schemas.microsoft.com/office/drawing/2014/main" id="{EA423E05-6079-43BF-830F-9F4D057CDE6A}"/>
              </a:ext>
            </a:extLst>
          </xdr:cNvPr>
          <xdr:cNvSpPr/>
        </xdr:nvSpPr>
        <xdr:spPr>
          <a:xfrm>
            <a:off x="2535641" y="2431074"/>
            <a:ext cx="689255" cy="816886"/>
          </a:xfrm>
          <a:custGeom>
            <a:avLst/>
            <a:gdLst/>
            <a:ahLst/>
            <a:cxnLst/>
            <a:rect l="l" t="t" r="r" b="b"/>
            <a:pathLst>
              <a:path w="27689" h="31939" extrusionOk="0">
                <a:moveTo>
                  <a:pt x="0" y="1"/>
                </a:moveTo>
                <a:lnTo>
                  <a:pt x="10299" y="31939"/>
                </a:lnTo>
                <a:lnTo>
                  <a:pt x="17267" y="31939"/>
                </a:lnTo>
                <a:lnTo>
                  <a:pt x="27688" y="1"/>
                </a:lnTo>
                <a:lnTo>
                  <a:pt x="20965" y="1"/>
                </a:lnTo>
                <a:lnTo>
                  <a:pt x="14181" y="22928"/>
                </a:lnTo>
                <a:lnTo>
                  <a:pt x="14038" y="22928"/>
                </a:lnTo>
                <a:lnTo>
                  <a:pt x="7315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8" name="Google Shape;269;p51">
            <a:extLst>
              <a:ext uri="{FF2B5EF4-FFF2-40B4-BE49-F238E27FC236}">
                <a16:creationId xmlns="" xmlns:a16="http://schemas.microsoft.com/office/drawing/2014/main" id="{D5127FE7-3749-47E5-9345-0475FC697128}"/>
              </a:ext>
            </a:extLst>
          </xdr:cNvPr>
          <xdr:cNvSpPr/>
        </xdr:nvSpPr>
        <xdr:spPr>
          <a:xfrm>
            <a:off x="3480176" y="2431074"/>
            <a:ext cx="153168" cy="204222"/>
          </a:xfrm>
          <a:custGeom>
            <a:avLst/>
            <a:gdLst/>
            <a:ahLst/>
            <a:cxnLst/>
            <a:rect l="l" t="t" r="r" b="b"/>
            <a:pathLst>
              <a:path w="5600" h="7521" extrusionOk="0">
                <a:moveTo>
                  <a:pt x="2861" y="1186"/>
                </a:moveTo>
                <a:cubicBezTo>
                  <a:pt x="3637" y="1186"/>
                  <a:pt x="4230" y="1472"/>
                  <a:pt x="4230" y="2350"/>
                </a:cubicBezTo>
                <a:cubicBezTo>
                  <a:pt x="4230" y="3127"/>
                  <a:pt x="3699" y="3515"/>
                  <a:pt x="2881" y="3515"/>
                </a:cubicBezTo>
                <a:lnTo>
                  <a:pt x="1390" y="3515"/>
                </a:lnTo>
                <a:lnTo>
                  <a:pt x="1390" y="1186"/>
                </a:lnTo>
                <a:close/>
                <a:moveTo>
                  <a:pt x="0" y="1"/>
                </a:moveTo>
                <a:lnTo>
                  <a:pt x="0" y="7520"/>
                </a:lnTo>
                <a:lnTo>
                  <a:pt x="1390" y="7520"/>
                </a:lnTo>
                <a:lnTo>
                  <a:pt x="1390" y="4700"/>
                </a:lnTo>
                <a:lnTo>
                  <a:pt x="3127" y="4700"/>
                </a:lnTo>
                <a:cubicBezTo>
                  <a:pt x="4823" y="4700"/>
                  <a:pt x="5599" y="3515"/>
                  <a:pt x="5599" y="2371"/>
                </a:cubicBezTo>
                <a:cubicBezTo>
                  <a:pt x="5599" y="818"/>
                  <a:pt x="4496" y="1"/>
                  <a:pt x="3045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9" name="Google Shape;270;p51">
            <a:extLst>
              <a:ext uri="{FF2B5EF4-FFF2-40B4-BE49-F238E27FC236}">
                <a16:creationId xmlns="" xmlns:a16="http://schemas.microsoft.com/office/drawing/2014/main" id="{77664F10-A457-4C90-B12C-F03276574B10}"/>
              </a:ext>
            </a:extLst>
          </xdr:cNvPr>
          <xdr:cNvSpPr/>
        </xdr:nvSpPr>
        <xdr:spPr>
          <a:xfrm>
            <a:off x="3658871" y="2499148"/>
            <a:ext cx="76584" cy="136148"/>
          </a:xfrm>
          <a:custGeom>
            <a:avLst/>
            <a:gdLst/>
            <a:ahLst/>
            <a:cxnLst/>
            <a:rect l="l" t="t" r="r" b="b"/>
            <a:pathLst>
              <a:path w="3474" h="5498" extrusionOk="0">
                <a:moveTo>
                  <a:pt x="3045" y="0"/>
                </a:moveTo>
                <a:cubicBezTo>
                  <a:pt x="2391" y="0"/>
                  <a:pt x="1594" y="430"/>
                  <a:pt x="1287" y="1002"/>
                </a:cubicBezTo>
                <a:lnTo>
                  <a:pt x="1267" y="1002"/>
                </a:lnTo>
                <a:lnTo>
                  <a:pt x="1267" y="103"/>
                </a:lnTo>
                <a:lnTo>
                  <a:pt x="0" y="103"/>
                </a:lnTo>
                <a:lnTo>
                  <a:pt x="0" y="5497"/>
                </a:lnTo>
                <a:lnTo>
                  <a:pt x="1287" y="5497"/>
                </a:lnTo>
                <a:lnTo>
                  <a:pt x="1287" y="2739"/>
                </a:lnTo>
                <a:cubicBezTo>
                  <a:pt x="1287" y="1737"/>
                  <a:pt x="2023" y="1165"/>
                  <a:pt x="2984" y="1165"/>
                </a:cubicBezTo>
                <a:cubicBezTo>
                  <a:pt x="3167" y="1165"/>
                  <a:pt x="3310" y="1165"/>
                  <a:pt x="3474" y="1206"/>
                </a:cubicBezTo>
                <a:lnTo>
                  <a:pt x="3474" y="21"/>
                </a:lnTo>
                <a:cubicBezTo>
                  <a:pt x="3331" y="0"/>
                  <a:pt x="3188" y="0"/>
                  <a:pt x="3045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0" name="Google Shape;271;p51">
            <a:extLst>
              <a:ext uri="{FF2B5EF4-FFF2-40B4-BE49-F238E27FC236}">
                <a16:creationId xmlns="" xmlns:a16="http://schemas.microsoft.com/office/drawing/2014/main" id="{D988DCD0-7CEA-4AD1-A12E-F543054A2830}"/>
              </a:ext>
            </a:extLst>
          </xdr:cNvPr>
          <xdr:cNvSpPr/>
        </xdr:nvSpPr>
        <xdr:spPr>
          <a:xfrm>
            <a:off x="3760983" y="2499148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4905" h="5620" extrusionOk="0">
                <a:moveTo>
                  <a:pt x="2432" y="1104"/>
                </a:moveTo>
                <a:cubicBezTo>
                  <a:pt x="3106" y="1104"/>
                  <a:pt x="3597" y="1472"/>
                  <a:pt x="3597" y="2126"/>
                </a:cubicBezTo>
                <a:lnTo>
                  <a:pt x="3597" y="3474"/>
                </a:lnTo>
                <a:cubicBezTo>
                  <a:pt x="3597" y="4251"/>
                  <a:pt x="3025" y="4537"/>
                  <a:pt x="2473" y="4537"/>
                </a:cubicBezTo>
                <a:cubicBezTo>
                  <a:pt x="1819" y="4537"/>
                  <a:pt x="1308" y="4149"/>
                  <a:pt x="1308" y="3495"/>
                </a:cubicBezTo>
                <a:lnTo>
                  <a:pt x="1308" y="2166"/>
                </a:lnTo>
                <a:cubicBezTo>
                  <a:pt x="1308" y="1390"/>
                  <a:pt x="1901" y="1104"/>
                  <a:pt x="2432" y="1104"/>
                </a:cubicBezTo>
                <a:close/>
                <a:moveTo>
                  <a:pt x="2432" y="0"/>
                </a:moveTo>
                <a:cubicBezTo>
                  <a:pt x="1247" y="0"/>
                  <a:pt x="0" y="797"/>
                  <a:pt x="0" y="2269"/>
                </a:cubicBezTo>
                <a:lnTo>
                  <a:pt x="0" y="3495"/>
                </a:lnTo>
                <a:cubicBezTo>
                  <a:pt x="0" y="4884"/>
                  <a:pt x="1165" y="5620"/>
                  <a:pt x="2473" y="5620"/>
                </a:cubicBezTo>
                <a:cubicBezTo>
                  <a:pt x="3679" y="5620"/>
                  <a:pt x="4905" y="4823"/>
                  <a:pt x="4905" y="3352"/>
                </a:cubicBezTo>
                <a:lnTo>
                  <a:pt x="4905" y="2248"/>
                </a:lnTo>
                <a:cubicBezTo>
                  <a:pt x="4905" y="859"/>
                  <a:pt x="3740" y="0"/>
                  <a:pt x="2432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1" name="Google Shape;272;p51">
            <a:extLst>
              <a:ext uri="{FF2B5EF4-FFF2-40B4-BE49-F238E27FC236}">
                <a16:creationId xmlns="" xmlns:a16="http://schemas.microsoft.com/office/drawing/2014/main" id="{D58F3E80-259F-4B99-B38E-29A1B4475835}"/>
              </a:ext>
            </a:extLst>
          </xdr:cNvPr>
          <xdr:cNvSpPr/>
        </xdr:nvSpPr>
        <xdr:spPr>
          <a:xfrm>
            <a:off x="3888623" y="2499148"/>
            <a:ext cx="127640" cy="181530"/>
          </a:xfrm>
          <a:custGeom>
            <a:avLst/>
            <a:gdLst/>
            <a:ahLst/>
            <a:cxnLst/>
            <a:rect l="l" t="t" r="r" b="b"/>
            <a:pathLst>
              <a:path w="4844" h="7562" extrusionOk="0">
                <a:moveTo>
                  <a:pt x="2432" y="1104"/>
                </a:moveTo>
                <a:cubicBezTo>
                  <a:pt x="3086" y="1104"/>
                  <a:pt x="3597" y="1472"/>
                  <a:pt x="3597" y="2126"/>
                </a:cubicBezTo>
                <a:lnTo>
                  <a:pt x="3597" y="3331"/>
                </a:lnTo>
                <a:cubicBezTo>
                  <a:pt x="3597" y="4108"/>
                  <a:pt x="3004" y="4394"/>
                  <a:pt x="2473" y="4394"/>
                </a:cubicBezTo>
                <a:cubicBezTo>
                  <a:pt x="1799" y="4394"/>
                  <a:pt x="1308" y="4006"/>
                  <a:pt x="1308" y="3352"/>
                </a:cubicBezTo>
                <a:lnTo>
                  <a:pt x="1308" y="2166"/>
                </a:lnTo>
                <a:cubicBezTo>
                  <a:pt x="1308" y="1390"/>
                  <a:pt x="1901" y="1104"/>
                  <a:pt x="2432" y="1104"/>
                </a:cubicBezTo>
                <a:close/>
                <a:moveTo>
                  <a:pt x="2105" y="0"/>
                </a:moveTo>
                <a:cubicBezTo>
                  <a:pt x="920" y="0"/>
                  <a:pt x="1" y="797"/>
                  <a:pt x="1" y="2269"/>
                </a:cubicBezTo>
                <a:lnTo>
                  <a:pt x="1" y="3290"/>
                </a:lnTo>
                <a:cubicBezTo>
                  <a:pt x="1" y="4680"/>
                  <a:pt x="818" y="5415"/>
                  <a:pt x="2126" y="5415"/>
                </a:cubicBezTo>
                <a:cubicBezTo>
                  <a:pt x="2739" y="5415"/>
                  <a:pt x="3229" y="5191"/>
                  <a:pt x="3577" y="4721"/>
                </a:cubicBezTo>
                <a:lnTo>
                  <a:pt x="3597" y="4721"/>
                </a:lnTo>
                <a:lnTo>
                  <a:pt x="3597" y="5272"/>
                </a:lnTo>
                <a:cubicBezTo>
                  <a:pt x="3597" y="6049"/>
                  <a:pt x="3168" y="6539"/>
                  <a:pt x="2391" y="6539"/>
                </a:cubicBezTo>
                <a:cubicBezTo>
                  <a:pt x="1921" y="6539"/>
                  <a:pt x="1554" y="6335"/>
                  <a:pt x="1308" y="5824"/>
                </a:cubicBezTo>
                <a:lnTo>
                  <a:pt x="82" y="6253"/>
                </a:lnTo>
                <a:cubicBezTo>
                  <a:pt x="348" y="7152"/>
                  <a:pt x="1390" y="7561"/>
                  <a:pt x="2269" y="7561"/>
                </a:cubicBezTo>
                <a:cubicBezTo>
                  <a:pt x="4128" y="7561"/>
                  <a:pt x="4844" y="6294"/>
                  <a:pt x="4844" y="5048"/>
                </a:cubicBezTo>
                <a:lnTo>
                  <a:pt x="4844" y="103"/>
                </a:lnTo>
                <a:lnTo>
                  <a:pt x="3617" y="103"/>
                </a:lnTo>
                <a:lnTo>
                  <a:pt x="3617" y="736"/>
                </a:lnTo>
                <a:lnTo>
                  <a:pt x="3597" y="736"/>
                </a:lnTo>
                <a:cubicBezTo>
                  <a:pt x="3311" y="327"/>
                  <a:pt x="2739" y="0"/>
                  <a:pt x="2105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2" name="Google Shape;273;p51">
            <a:extLst>
              <a:ext uri="{FF2B5EF4-FFF2-40B4-BE49-F238E27FC236}">
                <a16:creationId xmlns="" xmlns:a16="http://schemas.microsoft.com/office/drawing/2014/main" id="{D1D446B3-50C4-4DD2-88C8-BE6F0A63ED31}"/>
              </a:ext>
            </a:extLst>
          </xdr:cNvPr>
          <xdr:cNvSpPr/>
        </xdr:nvSpPr>
        <xdr:spPr>
          <a:xfrm>
            <a:off x="4041791" y="2499148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3475" h="5498" extrusionOk="0">
                <a:moveTo>
                  <a:pt x="3046" y="0"/>
                </a:moveTo>
                <a:cubicBezTo>
                  <a:pt x="2392" y="0"/>
                  <a:pt x="1595" y="430"/>
                  <a:pt x="1288" y="1002"/>
                </a:cubicBezTo>
                <a:lnTo>
                  <a:pt x="1268" y="1002"/>
                </a:lnTo>
                <a:lnTo>
                  <a:pt x="1268" y="103"/>
                </a:lnTo>
                <a:lnTo>
                  <a:pt x="1" y="103"/>
                </a:lnTo>
                <a:lnTo>
                  <a:pt x="1" y="5497"/>
                </a:lnTo>
                <a:lnTo>
                  <a:pt x="1288" y="5497"/>
                </a:lnTo>
                <a:lnTo>
                  <a:pt x="1288" y="2739"/>
                </a:lnTo>
                <a:cubicBezTo>
                  <a:pt x="1288" y="1737"/>
                  <a:pt x="2024" y="1165"/>
                  <a:pt x="2984" y="1165"/>
                </a:cubicBezTo>
                <a:cubicBezTo>
                  <a:pt x="3168" y="1165"/>
                  <a:pt x="3311" y="1165"/>
                  <a:pt x="3475" y="1206"/>
                </a:cubicBezTo>
                <a:lnTo>
                  <a:pt x="3475" y="21"/>
                </a:lnTo>
                <a:cubicBezTo>
                  <a:pt x="3332" y="0"/>
                  <a:pt x="3189" y="0"/>
                  <a:pt x="3046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3" name="Google Shape;274;p51">
            <a:extLst>
              <a:ext uri="{FF2B5EF4-FFF2-40B4-BE49-F238E27FC236}">
                <a16:creationId xmlns="" xmlns:a16="http://schemas.microsoft.com/office/drawing/2014/main" id="{F579D052-9984-498C-8CDE-686E24AAD1A3}"/>
              </a:ext>
            </a:extLst>
          </xdr:cNvPr>
          <xdr:cNvSpPr/>
        </xdr:nvSpPr>
        <xdr:spPr>
          <a:xfrm>
            <a:off x="4143902" y="2499148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24" h="5620" extrusionOk="0">
                <a:moveTo>
                  <a:pt x="3434" y="3269"/>
                </a:moveTo>
                <a:lnTo>
                  <a:pt x="3434" y="3515"/>
                </a:lnTo>
                <a:cubicBezTo>
                  <a:pt x="3434" y="4107"/>
                  <a:pt x="3270" y="4598"/>
                  <a:pt x="2228" y="4618"/>
                </a:cubicBezTo>
                <a:cubicBezTo>
                  <a:pt x="1635" y="4618"/>
                  <a:pt x="1268" y="4373"/>
                  <a:pt x="1268" y="3923"/>
                </a:cubicBezTo>
                <a:cubicBezTo>
                  <a:pt x="1268" y="3453"/>
                  <a:pt x="1615" y="3269"/>
                  <a:pt x="2167" y="3269"/>
                </a:cubicBezTo>
                <a:close/>
                <a:moveTo>
                  <a:pt x="2412" y="0"/>
                </a:moveTo>
                <a:cubicBezTo>
                  <a:pt x="1390" y="0"/>
                  <a:pt x="266" y="409"/>
                  <a:pt x="266" y="1594"/>
                </a:cubicBezTo>
                <a:lnTo>
                  <a:pt x="266" y="1737"/>
                </a:lnTo>
                <a:lnTo>
                  <a:pt x="1431" y="1737"/>
                </a:lnTo>
                <a:lnTo>
                  <a:pt x="1431" y="1553"/>
                </a:lnTo>
                <a:cubicBezTo>
                  <a:pt x="1431" y="1206"/>
                  <a:pt x="1840" y="1022"/>
                  <a:pt x="2412" y="1022"/>
                </a:cubicBezTo>
                <a:cubicBezTo>
                  <a:pt x="3045" y="1022"/>
                  <a:pt x="3434" y="1247"/>
                  <a:pt x="3434" y="1819"/>
                </a:cubicBezTo>
                <a:lnTo>
                  <a:pt x="3434" y="2330"/>
                </a:lnTo>
                <a:lnTo>
                  <a:pt x="2003" y="2330"/>
                </a:lnTo>
                <a:cubicBezTo>
                  <a:pt x="961" y="2330"/>
                  <a:pt x="1" y="2943"/>
                  <a:pt x="1" y="3985"/>
                </a:cubicBezTo>
                <a:cubicBezTo>
                  <a:pt x="1" y="5006"/>
                  <a:pt x="757" y="5619"/>
                  <a:pt x="1881" y="5619"/>
                </a:cubicBezTo>
                <a:cubicBezTo>
                  <a:pt x="2575" y="5619"/>
                  <a:pt x="2984" y="5517"/>
                  <a:pt x="3474" y="5006"/>
                </a:cubicBezTo>
                <a:lnTo>
                  <a:pt x="3495" y="5006"/>
                </a:lnTo>
                <a:cubicBezTo>
                  <a:pt x="3495" y="5109"/>
                  <a:pt x="3515" y="5435"/>
                  <a:pt x="3536" y="5517"/>
                </a:cubicBezTo>
                <a:lnTo>
                  <a:pt x="4823" y="5517"/>
                </a:lnTo>
                <a:cubicBezTo>
                  <a:pt x="4762" y="5395"/>
                  <a:pt x="4721" y="4598"/>
                  <a:pt x="4721" y="4352"/>
                </a:cubicBezTo>
                <a:lnTo>
                  <a:pt x="4721" y="1737"/>
                </a:lnTo>
                <a:cubicBezTo>
                  <a:pt x="4721" y="409"/>
                  <a:pt x="3617" y="0"/>
                  <a:pt x="2412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4" name="Google Shape;275;p51">
            <a:extLst>
              <a:ext uri="{FF2B5EF4-FFF2-40B4-BE49-F238E27FC236}">
                <a16:creationId xmlns="" xmlns:a16="http://schemas.microsoft.com/office/drawing/2014/main" id="{5279E9D7-16FB-4A9D-BC93-32766EB95E80}"/>
              </a:ext>
            </a:extLst>
          </xdr:cNvPr>
          <xdr:cNvSpPr/>
        </xdr:nvSpPr>
        <xdr:spPr>
          <a:xfrm>
            <a:off x="4297070" y="2499148"/>
            <a:ext cx="204224" cy="136148"/>
          </a:xfrm>
          <a:custGeom>
            <a:avLst/>
            <a:gdLst/>
            <a:ahLst/>
            <a:cxnLst/>
            <a:rect l="l" t="t" r="r" b="b"/>
            <a:pathLst>
              <a:path w="7887" h="5498" extrusionOk="0">
                <a:moveTo>
                  <a:pt x="2800" y="0"/>
                </a:moveTo>
                <a:cubicBezTo>
                  <a:pt x="2166" y="0"/>
                  <a:pt x="1635" y="246"/>
                  <a:pt x="1267" y="757"/>
                </a:cubicBezTo>
                <a:lnTo>
                  <a:pt x="1247" y="757"/>
                </a:lnTo>
                <a:lnTo>
                  <a:pt x="1247" y="103"/>
                </a:lnTo>
                <a:lnTo>
                  <a:pt x="0" y="103"/>
                </a:lnTo>
                <a:lnTo>
                  <a:pt x="0" y="5497"/>
                </a:lnTo>
                <a:lnTo>
                  <a:pt x="1287" y="5497"/>
                </a:lnTo>
                <a:lnTo>
                  <a:pt x="1287" y="2330"/>
                </a:lnTo>
                <a:cubicBezTo>
                  <a:pt x="1287" y="1431"/>
                  <a:pt x="1880" y="1124"/>
                  <a:pt x="2330" y="1124"/>
                </a:cubicBezTo>
                <a:cubicBezTo>
                  <a:pt x="3106" y="1124"/>
                  <a:pt x="3310" y="1696"/>
                  <a:pt x="3310" y="2371"/>
                </a:cubicBezTo>
                <a:lnTo>
                  <a:pt x="3310" y="5497"/>
                </a:lnTo>
                <a:lnTo>
                  <a:pt x="4598" y="5497"/>
                </a:lnTo>
                <a:lnTo>
                  <a:pt x="4598" y="2371"/>
                </a:lnTo>
                <a:cubicBezTo>
                  <a:pt x="4598" y="1676"/>
                  <a:pt x="4904" y="1124"/>
                  <a:pt x="5620" y="1124"/>
                </a:cubicBezTo>
                <a:cubicBezTo>
                  <a:pt x="6355" y="1124"/>
                  <a:pt x="6600" y="1615"/>
                  <a:pt x="6600" y="2350"/>
                </a:cubicBezTo>
                <a:lnTo>
                  <a:pt x="6600" y="5497"/>
                </a:lnTo>
                <a:lnTo>
                  <a:pt x="7888" y="5497"/>
                </a:lnTo>
                <a:lnTo>
                  <a:pt x="7888" y="1901"/>
                </a:lnTo>
                <a:cubicBezTo>
                  <a:pt x="7888" y="573"/>
                  <a:pt x="7009" y="0"/>
                  <a:pt x="6008" y="0"/>
                </a:cubicBezTo>
                <a:cubicBezTo>
                  <a:pt x="5272" y="0"/>
                  <a:pt x="4720" y="307"/>
                  <a:pt x="4332" y="797"/>
                </a:cubicBezTo>
                <a:cubicBezTo>
                  <a:pt x="3985" y="287"/>
                  <a:pt x="3515" y="0"/>
                  <a:pt x="2800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5" name="Google Shape;276;p51">
            <a:extLst>
              <a:ext uri="{FF2B5EF4-FFF2-40B4-BE49-F238E27FC236}">
                <a16:creationId xmlns="" xmlns:a16="http://schemas.microsoft.com/office/drawing/2014/main" id="{C7778CB2-890B-4FD3-A57D-E282CA7A7E78}"/>
              </a:ext>
            </a:extLst>
          </xdr:cNvPr>
          <xdr:cNvSpPr/>
        </xdr:nvSpPr>
        <xdr:spPr>
          <a:xfrm>
            <a:off x="4526822" y="2499148"/>
            <a:ext cx="204224" cy="136148"/>
          </a:xfrm>
          <a:custGeom>
            <a:avLst/>
            <a:gdLst/>
            <a:ahLst/>
            <a:cxnLst/>
            <a:rect l="l" t="t" r="r" b="b"/>
            <a:pathLst>
              <a:path w="7909" h="5498" extrusionOk="0">
                <a:moveTo>
                  <a:pt x="2800" y="0"/>
                </a:moveTo>
                <a:cubicBezTo>
                  <a:pt x="2167" y="0"/>
                  <a:pt x="1636" y="246"/>
                  <a:pt x="1268" y="757"/>
                </a:cubicBezTo>
                <a:lnTo>
                  <a:pt x="1247" y="757"/>
                </a:lnTo>
                <a:lnTo>
                  <a:pt x="1247" y="103"/>
                </a:lnTo>
                <a:lnTo>
                  <a:pt x="1" y="103"/>
                </a:lnTo>
                <a:lnTo>
                  <a:pt x="1" y="5497"/>
                </a:lnTo>
                <a:lnTo>
                  <a:pt x="1288" y="5497"/>
                </a:lnTo>
                <a:lnTo>
                  <a:pt x="1288" y="2330"/>
                </a:lnTo>
                <a:cubicBezTo>
                  <a:pt x="1288" y="1431"/>
                  <a:pt x="1881" y="1124"/>
                  <a:pt x="2330" y="1124"/>
                </a:cubicBezTo>
                <a:cubicBezTo>
                  <a:pt x="3127" y="1124"/>
                  <a:pt x="3311" y="1696"/>
                  <a:pt x="3311" y="2371"/>
                </a:cubicBezTo>
                <a:lnTo>
                  <a:pt x="3311" y="5497"/>
                </a:lnTo>
                <a:lnTo>
                  <a:pt x="4598" y="5497"/>
                </a:lnTo>
                <a:lnTo>
                  <a:pt x="4598" y="2371"/>
                </a:lnTo>
                <a:cubicBezTo>
                  <a:pt x="4598" y="1676"/>
                  <a:pt x="4905" y="1124"/>
                  <a:pt x="5641" y="1124"/>
                </a:cubicBezTo>
                <a:cubicBezTo>
                  <a:pt x="6356" y="1124"/>
                  <a:pt x="6621" y="1615"/>
                  <a:pt x="6621" y="2350"/>
                </a:cubicBezTo>
                <a:lnTo>
                  <a:pt x="6621" y="5497"/>
                </a:lnTo>
                <a:lnTo>
                  <a:pt x="7909" y="5497"/>
                </a:lnTo>
                <a:lnTo>
                  <a:pt x="7909" y="1901"/>
                </a:lnTo>
                <a:cubicBezTo>
                  <a:pt x="7909" y="573"/>
                  <a:pt x="7010" y="0"/>
                  <a:pt x="6008" y="0"/>
                </a:cubicBezTo>
                <a:cubicBezTo>
                  <a:pt x="5273" y="0"/>
                  <a:pt x="4721" y="307"/>
                  <a:pt x="4353" y="797"/>
                </a:cubicBezTo>
                <a:lnTo>
                  <a:pt x="4333" y="797"/>
                </a:lnTo>
                <a:cubicBezTo>
                  <a:pt x="4006" y="287"/>
                  <a:pt x="3515" y="0"/>
                  <a:pt x="2800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6" name="Google Shape;277;p51">
            <a:extLst>
              <a:ext uri="{FF2B5EF4-FFF2-40B4-BE49-F238E27FC236}">
                <a16:creationId xmlns="" xmlns:a16="http://schemas.microsoft.com/office/drawing/2014/main" id="{80942BB1-7CA4-4D72-BD19-517CAFB7B074}"/>
              </a:ext>
            </a:extLst>
          </xdr:cNvPr>
          <xdr:cNvSpPr/>
        </xdr:nvSpPr>
        <xdr:spPr>
          <a:xfrm>
            <a:off x="4756573" y="2499148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2473" y="1083"/>
                </a:moveTo>
                <a:cubicBezTo>
                  <a:pt x="3004" y="1083"/>
                  <a:pt x="3515" y="1390"/>
                  <a:pt x="3515" y="2126"/>
                </a:cubicBezTo>
                <a:lnTo>
                  <a:pt x="3515" y="2269"/>
                </a:lnTo>
                <a:lnTo>
                  <a:pt x="1329" y="2269"/>
                </a:lnTo>
                <a:lnTo>
                  <a:pt x="1329" y="2187"/>
                </a:lnTo>
                <a:cubicBezTo>
                  <a:pt x="1329" y="1390"/>
                  <a:pt x="1921" y="1083"/>
                  <a:pt x="2473" y="1083"/>
                </a:cubicBezTo>
                <a:close/>
                <a:moveTo>
                  <a:pt x="2473" y="0"/>
                </a:moveTo>
                <a:cubicBezTo>
                  <a:pt x="1145" y="0"/>
                  <a:pt x="1" y="838"/>
                  <a:pt x="1" y="2371"/>
                </a:cubicBezTo>
                <a:lnTo>
                  <a:pt x="1" y="3413"/>
                </a:lnTo>
                <a:cubicBezTo>
                  <a:pt x="1" y="4884"/>
                  <a:pt x="1186" y="5620"/>
                  <a:pt x="2514" y="5620"/>
                </a:cubicBezTo>
                <a:cubicBezTo>
                  <a:pt x="3474" y="5620"/>
                  <a:pt x="4333" y="5252"/>
                  <a:pt x="4741" y="4414"/>
                </a:cubicBezTo>
                <a:lnTo>
                  <a:pt x="3761" y="3842"/>
                </a:lnTo>
                <a:cubicBezTo>
                  <a:pt x="3474" y="4271"/>
                  <a:pt x="3025" y="4537"/>
                  <a:pt x="2575" y="4537"/>
                </a:cubicBezTo>
                <a:cubicBezTo>
                  <a:pt x="1901" y="4537"/>
                  <a:pt x="1349" y="4149"/>
                  <a:pt x="1349" y="3454"/>
                </a:cubicBezTo>
                <a:lnTo>
                  <a:pt x="1349" y="3168"/>
                </a:lnTo>
                <a:lnTo>
                  <a:pt x="4803" y="3168"/>
                </a:lnTo>
                <a:lnTo>
                  <a:pt x="4803" y="2126"/>
                </a:lnTo>
                <a:cubicBezTo>
                  <a:pt x="4803" y="695"/>
                  <a:pt x="3638" y="0"/>
                  <a:pt x="2473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7" name="Google Shape;278;p51">
            <a:extLst>
              <a:ext uri="{FF2B5EF4-FFF2-40B4-BE49-F238E27FC236}">
                <a16:creationId xmlns="" xmlns:a16="http://schemas.microsoft.com/office/drawing/2014/main" id="{84E5D1F6-D99E-475C-88DA-F13BDBC5499A}"/>
              </a:ext>
            </a:extLst>
          </xdr:cNvPr>
          <xdr:cNvSpPr/>
        </xdr:nvSpPr>
        <xdr:spPr>
          <a:xfrm>
            <a:off x="3480176" y="2748752"/>
            <a:ext cx="127640" cy="204222"/>
          </a:xfrm>
          <a:custGeom>
            <a:avLst/>
            <a:gdLst/>
            <a:ahLst/>
            <a:cxnLst/>
            <a:rect l="l" t="t" r="r" b="b"/>
            <a:pathLst>
              <a:path w="5252" h="7520" extrusionOk="0">
                <a:moveTo>
                  <a:pt x="0" y="0"/>
                </a:moveTo>
                <a:lnTo>
                  <a:pt x="0" y="7520"/>
                </a:lnTo>
                <a:lnTo>
                  <a:pt x="5252" y="7520"/>
                </a:lnTo>
                <a:lnTo>
                  <a:pt x="5252" y="6294"/>
                </a:lnTo>
                <a:lnTo>
                  <a:pt x="1390" y="6294"/>
                </a:lnTo>
                <a:lnTo>
                  <a:pt x="1390" y="4312"/>
                </a:lnTo>
                <a:lnTo>
                  <a:pt x="4782" y="4312"/>
                </a:lnTo>
                <a:lnTo>
                  <a:pt x="4782" y="3065"/>
                </a:lnTo>
                <a:lnTo>
                  <a:pt x="1390" y="3065"/>
                </a:lnTo>
                <a:lnTo>
                  <a:pt x="1390" y="1226"/>
                </a:lnTo>
                <a:lnTo>
                  <a:pt x="5211" y="1226"/>
                </a:lnTo>
                <a:lnTo>
                  <a:pt x="5211" y="0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8" name="Google Shape;279;p51">
            <a:extLst>
              <a:ext uri="{FF2B5EF4-FFF2-40B4-BE49-F238E27FC236}">
                <a16:creationId xmlns="" xmlns:a16="http://schemas.microsoft.com/office/drawing/2014/main" id="{7C78E094-F7F8-4BA0-A49A-AAE8C4A0E82E}"/>
              </a:ext>
            </a:extLst>
          </xdr:cNvPr>
          <xdr:cNvSpPr/>
        </xdr:nvSpPr>
        <xdr:spPr>
          <a:xfrm>
            <a:off x="3658871" y="2748752"/>
            <a:ext cx="51056" cy="204222"/>
          </a:xfrm>
          <a:custGeom>
            <a:avLst/>
            <a:gdLst/>
            <a:ahLst/>
            <a:cxnLst/>
            <a:rect l="l" t="t" r="r" b="b"/>
            <a:pathLst>
              <a:path w="2331" h="7582" extrusionOk="0">
                <a:moveTo>
                  <a:pt x="1" y="0"/>
                </a:moveTo>
                <a:lnTo>
                  <a:pt x="1" y="6069"/>
                </a:lnTo>
                <a:cubicBezTo>
                  <a:pt x="1" y="6559"/>
                  <a:pt x="21" y="7581"/>
                  <a:pt x="1308" y="7581"/>
                </a:cubicBezTo>
                <a:cubicBezTo>
                  <a:pt x="1635" y="7581"/>
                  <a:pt x="2064" y="7520"/>
                  <a:pt x="2330" y="7438"/>
                </a:cubicBezTo>
                <a:lnTo>
                  <a:pt x="2330" y="6457"/>
                </a:lnTo>
                <a:cubicBezTo>
                  <a:pt x="2105" y="6478"/>
                  <a:pt x="1983" y="6498"/>
                  <a:pt x="1758" y="6498"/>
                </a:cubicBezTo>
                <a:cubicBezTo>
                  <a:pt x="1390" y="6498"/>
                  <a:pt x="1288" y="6294"/>
                  <a:pt x="1288" y="6069"/>
                </a:cubicBezTo>
                <a:lnTo>
                  <a:pt x="1288" y="0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19" name="Google Shape;280;p51">
            <a:extLst>
              <a:ext uri="{FF2B5EF4-FFF2-40B4-BE49-F238E27FC236}">
                <a16:creationId xmlns="" xmlns:a16="http://schemas.microsoft.com/office/drawing/2014/main" id="{51F0BFE3-62A6-4CD3-8D06-254C6E6AB79B}"/>
              </a:ext>
            </a:extLst>
          </xdr:cNvPr>
          <xdr:cNvSpPr/>
        </xdr:nvSpPr>
        <xdr:spPr>
          <a:xfrm>
            <a:off x="3735455" y="2816826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3413" y="3250"/>
                </a:moveTo>
                <a:lnTo>
                  <a:pt x="3413" y="3515"/>
                </a:lnTo>
                <a:cubicBezTo>
                  <a:pt x="3413" y="4108"/>
                  <a:pt x="3249" y="4598"/>
                  <a:pt x="2228" y="4598"/>
                </a:cubicBezTo>
                <a:cubicBezTo>
                  <a:pt x="1615" y="4598"/>
                  <a:pt x="1247" y="4373"/>
                  <a:pt x="1247" y="3924"/>
                </a:cubicBezTo>
                <a:cubicBezTo>
                  <a:pt x="1247" y="3454"/>
                  <a:pt x="1615" y="3250"/>
                  <a:pt x="2146" y="3250"/>
                </a:cubicBezTo>
                <a:close/>
                <a:moveTo>
                  <a:pt x="2391" y="1"/>
                </a:moveTo>
                <a:cubicBezTo>
                  <a:pt x="1390" y="1"/>
                  <a:pt x="266" y="409"/>
                  <a:pt x="266" y="1594"/>
                </a:cubicBezTo>
                <a:lnTo>
                  <a:pt x="266" y="1737"/>
                </a:lnTo>
                <a:lnTo>
                  <a:pt x="1410" y="1737"/>
                </a:lnTo>
                <a:lnTo>
                  <a:pt x="1410" y="1554"/>
                </a:lnTo>
                <a:cubicBezTo>
                  <a:pt x="1410" y="1206"/>
                  <a:pt x="1819" y="1022"/>
                  <a:pt x="2391" y="1022"/>
                </a:cubicBezTo>
                <a:cubicBezTo>
                  <a:pt x="3045" y="1022"/>
                  <a:pt x="3413" y="1247"/>
                  <a:pt x="3413" y="1819"/>
                </a:cubicBezTo>
                <a:lnTo>
                  <a:pt x="3413" y="2330"/>
                </a:lnTo>
                <a:lnTo>
                  <a:pt x="1982" y="2330"/>
                </a:lnTo>
                <a:cubicBezTo>
                  <a:pt x="940" y="2330"/>
                  <a:pt x="0" y="2943"/>
                  <a:pt x="0" y="3985"/>
                </a:cubicBezTo>
                <a:cubicBezTo>
                  <a:pt x="0" y="5007"/>
                  <a:pt x="756" y="5620"/>
                  <a:pt x="1880" y="5620"/>
                </a:cubicBezTo>
                <a:cubicBezTo>
                  <a:pt x="2575" y="5620"/>
                  <a:pt x="2984" y="5518"/>
                  <a:pt x="3454" y="5007"/>
                </a:cubicBezTo>
                <a:lnTo>
                  <a:pt x="3474" y="5007"/>
                </a:lnTo>
                <a:cubicBezTo>
                  <a:pt x="3494" y="5109"/>
                  <a:pt x="3515" y="5436"/>
                  <a:pt x="3535" y="5518"/>
                </a:cubicBezTo>
                <a:lnTo>
                  <a:pt x="4802" y="5518"/>
                </a:lnTo>
                <a:cubicBezTo>
                  <a:pt x="4741" y="5395"/>
                  <a:pt x="4700" y="4598"/>
                  <a:pt x="4700" y="4353"/>
                </a:cubicBezTo>
                <a:lnTo>
                  <a:pt x="4700" y="1737"/>
                </a:lnTo>
                <a:cubicBezTo>
                  <a:pt x="4700" y="409"/>
                  <a:pt x="3597" y="1"/>
                  <a:pt x="2391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0" name="Google Shape;281;p51">
            <a:extLst>
              <a:ext uri="{FF2B5EF4-FFF2-40B4-BE49-F238E27FC236}">
                <a16:creationId xmlns="" xmlns:a16="http://schemas.microsoft.com/office/drawing/2014/main" id="{45941AFF-1A34-41F5-BB27-46DA8A04836A}"/>
              </a:ext>
            </a:extLst>
          </xdr:cNvPr>
          <xdr:cNvSpPr/>
        </xdr:nvSpPr>
        <xdr:spPr>
          <a:xfrm>
            <a:off x="3863095" y="2816826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3454" h="5497" extrusionOk="0">
                <a:moveTo>
                  <a:pt x="3025" y="0"/>
                </a:moveTo>
                <a:cubicBezTo>
                  <a:pt x="2391" y="0"/>
                  <a:pt x="1594" y="429"/>
                  <a:pt x="1267" y="1001"/>
                </a:cubicBezTo>
                <a:lnTo>
                  <a:pt x="1247" y="1001"/>
                </a:lnTo>
                <a:lnTo>
                  <a:pt x="1247" y="102"/>
                </a:lnTo>
                <a:lnTo>
                  <a:pt x="0" y="102"/>
                </a:lnTo>
                <a:lnTo>
                  <a:pt x="0" y="5497"/>
                </a:lnTo>
                <a:lnTo>
                  <a:pt x="1288" y="5497"/>
                </a:lnTo>
                <a:lnTo>
                  <a:pt x="1288" y="2738"/>
                </a:lnTo>
                <a:cubicBezTo>
                  <a:pt x="1288" y="1737"/>
                  <a:pt x="2003" y="1165"/>
                  <a:pt x="2984" y="1165"/>
                </a:cubicBezTo>
                <a:cubicBezTo>
                  <a:pt x="3147" y="1165"/>
                  <a:pt x="3290" y="1165"/>
                  <a:pt x="3454" y="1206"/>
                </a:cubicBezTo>
                <a:lnTo>
                  <a:pt x="3454" y="20"/>
                </a:lnTo>
                <a:cubicBezTo>
                  <a:pt x="3331" y="0"/>
                  <a:pt x="3168" y="0"/>
                  <a:pt x="3025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1" name="Google Shape;282;p51">
            <a:extLst>
              <a:ext uri="{FF2B5EF4-FFF2-40B4-BE49-F238E27FC236}">
                <a16:creationId xmlns="" xmlns:a16="http://schemas.microsoft.com/office/drawing/2014/main" id="{B61C3BF3-BA1D-47CA-8158-EAD562849B4F}"/>
              </a:ext>
            </a:extLst>
          </xdr:cNvPr>
          <xdr:cNvSpPr/>
        </xdr:nvSpPr>
        <xdr:spPr>
          <a:xfrm>
            <a:off x="3965207" y="2816826"/>
            <a:ext cx="127640" cy="181530"/>
          </a:xfrm>
          <a:custGeom>
            <a:avLst/>
            <a:gdLst/>
            <a:ahLst/>
            <a:cxnLst/>
            <a:rect l="l" t="t" r="r" b="b"/>
            <a:pathLst>
              <a:path w="4864" h="7561" extrusionOk="0">
                <a:moveTo>
                  <a:pt x="2452" y="1103"/>
                </a:moveTo>
                <a:cubicBezTo>
                  <a:pt x="3106" y="1103"/>
                  <a:pt x="3617" y="1471"/>
                  <a:pt x="3617" y="2125"/>
                </a:cubicBezTo>
                <a:lnTo>
                  <a:pt x="3617" y="3331"/>
                </a:lnTo>
                <a:cubicBezTo>
                  <a:pt x="3617" y="4107"/>
                  <a:pt x="3024" y="4393"/>
                  <a:pt x="2493" y="4393"/>
                </a:cubicBezTo>
                <a:cubicBezTo>
                  <a:pt x="1819" y="4393"/>
                  <a:pt x="1308" y="4005"/>
                  <a:pt x="1308" y="3351"/>
                </a:cubicBezTo>
                <a:lnTo>
                  <a:pt x="1308" y="2166"/>
                </a:lnTo>
                <a:cubicBezTo>
                  <a:pt x="1308" y="1390"/>
                  <a:pt x="1901" y="1103"/>
                  <a:pt x="2452" y="1103"/>
                </a:cubicBezTo>
                <a:close/>
                <a:moveTo>
                  <a:pt x="2125" y="0"/>
                </a:moveTo>
                <a:cubicBezTo>
                  <a:pt x="940" y="0"/>
                  <a:pt x="0" y="797"/>
                  <a:pt x="0" y="2268"/>
                </a:cubicBezTo>
                <a:lnTo>
                  <a:pt x="0" y="3290"/>
                </a:lnTo>
                <a:cubicBezTo>
                  <a:pt x="0" y="4679"/>
                  <a:pt x="838" y="5415"/>
                  <a:pt x="2146" y="5415"/>
                </a:cubicBezTo>
                <a:cubicBezTo>
                  <a:pt x="2759" y="5415"/>
                  <a:pt x="3249" y="5190"/>
                  <a:pt x="3597" y="4720"/>
                </a:cubicBezTo>
                <a:lnTo>
                  <a:pt x="3617" y="4720"/>
                </a:lnTo>
                <a:lnTo>
                  <a:pt x="3617" y="5272"/>
                </a:lnTo>
                <a:cubicBezTo>
                  <a:pt x="3617" y="6048"/>
                  <a:pt x="3188" y="6539"/>
                  <a:pt x="2391" y="6539"/>
                </a:cubicBezTo>
                <a:cubicBezTo>
                  <a:pt x="1941" y="6539"/>
                  <a:pt x="1574" y="6335"/>
                  <a:pt x="1308" y="5824"/>
                </a:cubicBezTo>
                <a:lnTo>
                  <a:pt x="82" y="6253"/>
                </a:lnTo>
                <a:cubicBezTo>
                  <a:pt x="368" y="7152"/>
                  <a:pt x="1410" y="7561"/>
                  <a:pt x="2289" y="7561"/>
                </a:cubicBezTo>
                <a:cubicBezTo>
                  <a:pt x="4148" y="7561"/>
                  <a:pt x="4864" y="6294"/>
                  <a:pt x="4864" y="5047"/>
                </a:cubicBezTo>
                <a:lnTo>
                  <a:pt x="4864" y="102"/>
                </a:lnTo>
                <a:lnTo>
                  <a:pt x="3637" y="102"/>
                </a:lnTo>
                <a:lnTo>
                  <a:pt x="3637" y="736"/>
                </a:lnTo>
                <a:lnTo>
                  <a:pt x="3617" y="736"/>
                </a:lnTo>
                <a:cubicBezTo>
                  <a:pt x="3331" y="327"/>
                  <a:pt x="2759" y="0"/>
                  <a:pt x="2125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2" name="Google Shape;283;p51">
            <a:extLst>
              <a:ext uri="{FF2B5EF4-FFF2-40B4-BE49-F238E27FC236}">
                <a16:creationId xmlns="" xmlns:a16="http://schemas.microsoft.com/office/drawing/2014/main" id="{9AAD7086-0381-4A97-A119-24096B5960B0}"/>
              </a:ext>
            </a:extLst>
          </xdr:cNvPr>
          <xdr:cNvSpPr/>
        </xdr:nvSpPr>
        <xdr:spPr>
          <a:xfrm>
            <a:off x="4118374" y="2748752"/>
            <a:ext cx="51056" cy="204222"/>
          </a:xfrm>
          <a:custGeom>
            <a:avLst/>
            <a:gdLst/>
            <a:ahLst/>
            <a:cxnLst/>
            <a:rect l="l" t="t" r="r" b="b"/>
            <a:pathLst>
              <a:path w="1288" h="7582" extrusionOk="0">
                <a:moveTo>
                  <a:pt x="0" y="1"/>
                </a:moveTo>
                <a:lnTo>
                  <a:pt x="0" y="1370"/>
                </a:lnTo>
                <a:lnTo>
                  <a:pt x="1288" y="1370"/>
                </a:lnTo>
                <a:lnTo>
                  <a:pt x="1288" y="1"/>
                </a:lnTo>
                <a:close/>
                <a:moveTo>
                  <a:pt x="0" y="2187"/>
                </a:moveTo>
                <a:lnTo>
                  <a:pt x="0" y="7582"/>
                </a:lnTo>
                <a:lnTo>
                  <a:pt x="1288" y="7582"/>
                </a:lnTo>
                <a:lnTo>
                  <a:pt x="1288" y="2187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3" name="Google Shape;284;p51">
            <a:extLst>
              <a:ext uri="{FF2B5EF4-FFF2-40B4-BE49-F238E27FC236}">
                <a16:creationId xmlns="" xmlns:a16="http://schemas.microsoft.com/office/drawing/2014/main" id="{42D614FD-95F9-4E85-B156-B1DD957A8C59}"/>
              </a:ext>
            </a:extLst>
          </xdr:cNvPr>
          <xdr:cNvSpPr/>
        </xdr:nvSpPr>
        <xdr:spPr>
          <a:xfrm>
            <a:off x="3480176" y="3066430"/>
            <a:ext cx="127640" cy="204222"/>
          </a:xfrm>
          <a:custGeom>
            <a:avLst/>
            <a:gdLst/>
            <a:ahLst/>
            <a:cxnLst/>
            <a:rect l="l" t="t" r="r" b="b"/>
            <a:pathLst>
              <a:path w="4905" h="7642" extrusionOk="0">
                <a:moveTo>
                  <a:pt x="2432" y="3107"/>
                </a:moveTo>
                <a:cubicBezTo>
                  <a:pt x="3106" y="3107"/>
                  <a:pt x="3617" y="3495"/>
                  <a:pt x="3617" y="4149"/>
                </a:cubicBezTo>
                <a:lnTo>
                  <a:pt x="3617" y="5477"/>
                </a:lnTo>
                <a:cubicBezTo>
                  <a:pt x="3617" y="6253"/>
                  <a:pt x="3024" y="6540"/>
                  <a:pt x="2473" y="6540"/>
                </a:cubicBezTo>
                <a:cubicBezTo>
                  <a:pt x="1819" y="6540"/>
                  <a:pt x="1308" y="6151"/>
                  <a:pt x="1308" y="5497"/>
                </a:cubicBezTo>
                <a:lnTo>
                  <a:pt x="1308" y="4169"/>
                </a:lnTo>
                <a:cubicBezTo>
                  <a:pt x="1308" y="3393"/>
                  <a:pt x="1901" y="3107"/>
                  <a:pt x="2432" y="3107"/>
                </a:cubicBezTo>
                <a:close/>
                <a:moveTo>
                  <a:pt x="3637" y="1"/>
                </a:moveTo>
                <a:lnTo>
                  <a:pt x="3637" y="2678"/>
                </a:lnTo>
                <a:lnTo>
                  <a:pt x="3597" y="2678"/>
                </a:lnTo>
                <a:cubicBezTo>
                  <a:pt x="3331" y="2310"/>
                  <a:pt x="2820" y="2003"/>
                  <a:pt x="2227" y="2003"/>
                </a:cubicBezTo>
                <a:cubicBezTo>
                  <a:pt x="1022" y="2003"/>
                  <a:pt x="0" y="2739"/>
                  <a:pt x="0" y="4210"/>
                </a:cubicBezTo>
                <a:lnTo>
                  <a:pt x="0" y="5518"/>
                </a:lnTo>
                <a:cubicBezTo>
                  <a:pt x="0" y="6887"/>
                  <a:pt x="961" y="7643"/>
                  <a:pt x="2125" y="7643"/>
                </a:cubicBezTo>
                <a:cubicBezTo>
                  <a:pt x="2616" y="7643"/>
                  <a:pt x="3351" y="7336"/>
                  <a:pt x="3658" y="6907"/>
                </a:cubicBezTo>
                <a:lnTo>
                  <a:pt x="3658" y="7520"/>
                </a:lnTo>
                <a:lnTo>
                  <a:pt x="4904" y="7520"/>
                </a:lnTo>
                <a:lnTo>
                  <a:pt x="4904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4" name="Google Shape;285;p51">
            <a:extLst>
              <a:ext uri="{FF2B5EF4-FFF2-40B4-BE49-F238E27FC236}">
                <a16:creationId xmlns="" xmlns:a16="http://schemas.microsoft.com/office/drawing/2014/main" id="{11AA3CFE-980D-4F5A-B0CD-BD6F6DDCF718}"/>
              </a:ext>
            </a:extLst>
          </xdr:cNvPr>
          <xdr:cNvSpPr/>
        </xdr:nvSpPr>
        <xdr:spPr>
          <a:xfrm>
            <a:off x="3633343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2494" y="1084"/>
                </a:moveTo>
                <a:cubicBezTo>
                  <a:pt x="3004" y="1084"/>
                  <a:pt x="3536" y="1390"/>
                  <a:pt x="3536" y="2126"/>
                </a:cubicBezTo>
                <a:lnTo>
                  <a:pt x="3536" y="2269"/>
                </a:lnTo>
                <a:lnTo>
                  <a:pt x="1349" y="2269"/>
                </a:lnTo>
                <a:lnTo>
                  <a:pt x="1349" y="2187"/>
                </a:lnTo>
                <a:cubicBezTo>
                  <a:pt x="1349" y="1390"/>
                  <a:pt x="1942" y="1084"/>
                  <a:pt x="2494" y="1084"/>
                </a:cubicBezTo>
                <a:close/>
                <a:moveTo>
                  <a:pt x="2473" y="1"/>
                </a:moveTo>
                <a:cubicBezTo>
                  <a:pt x="1145" y="1"/>
                  <a:pt x="1" y="838"/>
                  <a:pt x="1" y="2371"/>
                </a:cubicBezTo>
                <a:lnTo>
                  <a:pt x="1" y="3413"/>
                </a:lnTo>
                <a:cubicBezTo>
                  <a:pt x="1" y="4884"/>
                  <a:pt x="1206" y="5620"/>
                  <a:pt x="2534" y="5620"/>
                </a:cubicBezTo>
                <a:cubicBezTo>
                  <a:pt x="3474" y="5620"/>
                  <a:pt x="4333" y="5252"/>
                  <a:pt x="4741" y="4414"/>
                </a:cubicBezTo>
                <a:lnTo>
                  <a:pt x="3761" y="3842"/>
                </a:lnTo>
                <a:cubicBezTo>
                  <a:pt x="3474" y="4251"/>
                  <a:pt x="3025" y="4537"/>
                  <a:pt x="2596" y="4537"/>
                </a:cubicBezTo>
                <a:cubicBezTo>
                  <a:pt x="1901" y="4537"/>
                  <a:pt x="1349" y="4149"/>
                  <a:pt x="1349" y="3454"/>
                </a:cubicBezTo>
                <a:lnTo>
                  <a:pt x="1349" y="3168"/>
                </a:lnTo>
                <a:lnTo>
                  <a:pt x="4803" y="3168"/>
                </a:lnTo>
                <a:lnTo>
                  <a:pt x="4803" y="2126"/>
                </a:lnTo>
                <a:cubicBezTo>
                  <a:pt x="4803" y="695"/>
                  <a:pt x="3658" y="1"/>
                  <a:pt x="2473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5" name="Google Shape;286;p51">
            <a:extLst>
              <a:ext uri="{FF2B5EF4-FFF2-40B4-BE49-F238E27FC236}">
                <a16:creationId xmlns="" xmlns:a16="http://schemas.microsoft.com/office/drawing/2014/main" id="{9B456446-5352-440F-84DE-FD2D326E01BD}"/>
              </a:ext>
            </a:extLst>
          </xdr:cNvPr>
          <xdr:cNvSpPr/>
        </xdr:nvSpPr>
        <xdr:spPr>
          <a:xfrm>
            <a:off x="3837567" y="3066430"/>
            <a:ext cx="153168" cy="204222"/>
          </a:xfrm>
          <a:custGeom>
            <a:avLst/>
            <a:gdLst/>
            <a:ahLst/>
            <a:cxnLst/>
            <a:rect l="l" t="t" r="r" b="b"/>
            <a:pathLst>
              <a:path w="6336" h="7541" extrusionOk="0">
                <a:moveTo>
                  <a:pt x="1" y="1"/>
                </a:moveTo>
                <a:lnTo>
                  <a:pt x="2473" y="7541"/>
                </a:lnTo>
                <a:lnTo>
                  <a:pt x="3842" y="7541"/>
                </a:lnTo>
                <a:lnTo>
                  <a:pt x="6335" y="1"/>
                </a:lnTo>
                <a:lnTo>
                  <a:pt x="4925" y="1"/>
                </a:lnTo>
                <a:lnTo>
                  <a:pt x="3229" y="5538"/>
                </a:lnTo>
                <a:lnTo>
                  <a:pt x="3209" y="5538"/>
                </a:lnTo>
                <a:lnTo>
                  <a:pt x="1513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6" name="Google Shape;287;p51">
            <a:extLst>
              <a:ext uri="{FF2B5EF4-FFF2-40B4-BE49-F238E27FC236}">
                <a16:creationId xmlns="" xmlns:a16="http://schemas.microsoft.com/office/drawing/2014/main" id="{C3631087-D564-445E-8289-988D8254036B}"/>
              </a:ext>
            </a:extLst>
          </xdr:cNvPr>
          <xdr:cNvSpPr/>
        </xdr:nvSpPr>
        <xdr:spPr>
          <a:xfrm>
            <a:off x="3990735" y="3111812"/>
            <a:ext cx="102112" cy="158839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3413" y="3249"/>
                </a:moveTo>
                <a:lnTo>
                  <a:pt x="3413" y="3515"/>
                </a:lnTo>
                <a:cubicBezTo>
                  <a:pt x="3413" y="4107"/>
                  <a:pt x="3249" y="4598"/>
                  <a:pt x="2228" y="4598"/>
                </a:cubicBezTo>
                <a:cubicBezTo>
                  <a:pt x="1615" y="4598"/>
                  <a:pt x="1247" y="4373"/>
                  <a:pt x="1247" y="3923"/>
                </a:cubicBezTo>
                <a:cubicBezTo>
                  <a:pt x="1247" y="3454"/>
                  <a:pt x="1615" y="3249"/>
                  <a:pt x="2166" y="3249"/>
                </a:cubicBezTo>
                <a:close/>
                <a:moveTo>
                  <a:pt x="2391" y="0"/>
                </a:moveTo>
                <a:cubicBezTo>
                  <a:pt x="1390" y="0"/>
                  <a:pt x="266" y="409"/>
                  <a:pt x="266" y="1594"/>
                </a:cubicBezTo>
                <a:lnTo>
                  <a:pt x="266" y="1737"/>
                </a:lnTo>
                <a:lnTo>
                  <a:pt x="1410" y="1737"/>
                </a:lnTo>
                <a:lnTo>
                  <a:pt x="1410" y="1553"/>
                </a:lnTo>
                <a:cubicBezTo>
                  <a:pt x="1410" y="1206"/>
                  <a:pt x="1819" y="1001"/>
                  <a:pt x="2391" y="1001"/>
                </a:cubicBezTo>
                <a:cubicBezTo>
                  <a:pt x="3045" y="1001"/>
                  <a:pt x="3413" y="1247"/>
                  <a:pt x="3413" y="1819"/>
                </a:cubicBezTo>
                <a:lnTo>
                  <a:pt x="3413" y="2330"/>
                </a:lnTo>
                <a:lnTo>
                  <a:pt x="1982" y="2330"/>
                </a:lnTo>
                <a:cubicBezTo>
                  <a:pt x="940" y="2330"/>
                  <a:pt x="0" y="2943"/>
                  <a:pt x="0" y="3985"/>
                </a:cubicBezTo>
                <a:cubicBezTo>
                  <a:pt x="0" y="5006"/>
                  <a:pt x="756" y="5620"/>
                  <a:pt x="1880" y="5620"/>
                </a:cubicBezTo>
                <a:cubicBezTo>
                  <a:pt x="2575" y="5620"/>
                  <a:pt x="2984" y="5517"/>
                  <a:pt x="3454" y="5027"/>
                </a:cubicBezTo>
                <a:lnTo>
                  <a:pt x="3474" y="5027"/>
                </a:lnTo>
                <a:cubicBezTo>
                  <a:pt x="3495" y="5109"/>
                  <a:pt x="3515" y="5436"/>
                  <a:pt x="3535" y="5517"/>
                </a:cubicBezTo>
                <a:lnTo>
                  <a:pt x="4802" y="5517"/>
                </a:lnTo>
                <a:cubicBezTo>
                  <a:pt x="4741" y="5395"/>
                  <a:pt x="4700" y="4598"/>
                  <a:pt x="4700" y="4353"/>
                </a:cubicBezTo>
                <a:lnTo>
                  <a:pt x="4700" y="1717"/>
                </a:lnTo>
                <a:cubicBezTo>
                  <a:pt x="4700" y="409"/>
                  <a:pt x="3597" y="0"/>
                  <a:pt x="2391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7" name="Google Shape;288;p51">
            <a:extLst>
              <a:ext uri="{FF2B5EF4-FFF2-40B4-BE49-F238E27FC236}">
                <a16:creationId xmlns="" xmlns:a16="http://schemas.microsoft.com/office/drawing/2014/main" id="{8106B2EE-3E85-4529-B788-16A0203DEA8D}"/>
              </a:ext>
            </a:extLst>
          </xdr:cNvPr>
          <xdr:cNvSpPr/>
        </xdr:nvSpPr>
        <xdr:spPr>
          <a:xfrm>
            <a:off x="4118374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823" h="5620" extrusionOk="0">
                <a:moveTo>
                  <a:pt x="2473" y="1"/>
                </a:moveTo>
                <a:cubicBezTo>
                  <a:pt x="1124" y="1"/>
                  <a:pt x="1" y="838"/>
                  <a:pt x="1" y="2371"/>
                </a:cubicBezTo>
                <a:lnTo>
                  <a:pt x="1" y="3413"/>
                </a:lnTo>
                <a:cubicBezTo>
                  <a:pt x="1" y="4843"/>
                  <a:pt x="1186" y="5620"/>
                  <a:pt x="2514" y="5620"/>
                </a:cubicBezTo>
                <a:cubicBezTo>
                  <a:pt x="3679" y="5620"/>
                  <a:pt x="4823" y="4946"/>
                  <a:pt x="4823" y="3515"/>
                </a:cubicBezTo>
                <a:lnTo>
                  <a:pt x="4823" y="3454"/>
                </a:lnTo>
                <a:lnTo>
                  <a:pt x="3577" y="3454"/>
                </a:lnTo>
                <a:lnTo>
                  <a:pt x="3577" y="3515"/>
                </a:lnTo>
                <a:cubicBezTo>
                  <a:pt x="3577" y="4251"/>
                  <a:pt x="3025" y="4537"/>
                  <a:pt x="2514" y="4537"/>
                </a:cubicBezTo>
                <a:cubicBezTo>
                  <a:pt x="1819" y="4537"/>
                  <a:pt x="1329" y="4149"/>
                  <a:pt x="1329" y="3454"/>
                </a:cubicBezTo>
                <a:lnTo>
                  <a:pt x="1329" y="2187"/>
                </a:lnTo>
                <a:cubicBezTo>
                  <a:pt x="1329" y="1390"/>
                  <a:pt x="1921" y="1084"/>
                  <a:pt x="2473" y="1084"/>
                </a:cubicBezTo>
                <a:cubicBezTo>
                  <a:pt x="3004" y="1084"/>
                  <a:pt x="3577" y="1390"/>
                  <a:pt x="3577" y="2126"/>
                </a:cubicBezTo>
                <a:lnTo>
                  <a:pt x="3577" y="2228"/>
                </a:lnTo>
                <a:lnTo>
                  <a:pt x="4823" y="2228"/>
                </a:lnTo>
                <a:lnTo>
                  <a:pt x="4823" y="2126"/>
                </a:lnTo>
                <a:cubicBezTo>
                  <a:pt x="4823" y="695"/>
                  <a:pt x="3638" y="1"/>
                  <a:pt x="2473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8" name="Google Shape;289;p51">
            <a:extLst>
              <a:ext uri="{FF2B5EF4-FFF2-40B4-BE49-F238E27FC236}">
                <a16:creationId xmlns="" xmlns:a16="http://schemas.microsoft.com/office/drawing/2014/main" id="{DBD399C4-36F8-464B-92FB-BA51742C342F}"/>
              </a:ext>
            </a:extLst>
          </xdr:cNvPr>
          <xdr:cNvSpPr/>
        </xdr:nvSpPr>
        <xdr:spPr>
          <a:xfrm>
            <a:off x="4271542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844" h="5620" extrusionOk="0">
                <a:moveTo>
                  <a:pt x="2473" y="1"/>
                </a:moveTo>
                <a:cubicBezTo>
                  <a:pt x="1145" y="1"/>
                  <a:pt x="0" y="838"/>
                  <a:pt x="0" y="2371"/>
                </a:cubicBezTo>
                <a:lnTo>
                  <a:pt x="0" y="3413"/>
                </a:lnTo>
                <a:cubicBezTo>
                  <a:pt x="0" y="4843"/>
                  <a:pt x="1185" y="5620"/>
                  <a:pt x="2514" y="5620"/>
                </a:cubicBezTo>
                <a:cubicBezTo>
                  <a:pt x="3678" y="5620"/>
                  <a:pt x="4843" y="4946"/>
                  <a:pt x="4843" y="3515"/>
                </a:cubicBezTo>
                <a:lnTo>
                  <a:pt x="4843" y="3454"/>
                </a:lnTo>
                <a:lnTo>
                  <a:pt x="3576" y="3454"/>
                </a:lnTo>
                <a:lnTo>
                  <a:pt x="3576" y="3515"/>
                </a:lnTo>
                <a:cubicBezTo>
                  <a:pt x="3576" y="4251"/>
                  <a:pt x="3045" y="4537"/>
                  <a:pt x="2514" y="4537"/>
                </a:cubicBezTo>
                <a:cubicBezTo>
                  <a:pt x="1839" y="4537"/>
                  <a:pt x="1328" y="4149"/>
                  <a:pt x="1328" y="3454"/>
                </a:cubicBezTo>
                <a:lnTo>
                  <a:pt x="1328" y="2187"/>
                </a:lnTo>
                <a:cubicBezTo>
                  <a:pt x="1328" y="1390"/>
                  <a:pt x="1921" y="1084"/>
                  <a:pt x="2473" y="1084"/>
                </a:cubicBezTo>
                <a:cubicBezTo>
                  <a:pt x="3004" y="1084"/>
                  <a:pt x="3576" y="1390"/>
                  <a:pt x="3576" y="2126"/>
                </a:cubicBezTo>
                <a:lnTo>
                  <a:pt x="3576" y="2228"/>
                </a:lnTo>
                <a:lnTo>
                  <a:pt x="4843" y="2228"/>
                </a:lnTo>
                <a:lnTo>
                  <a:pt x="4843" y="2126"/>
                </a:lnTo>
                <a:cubicBezTo>
                  <a:pt x="4843" y="695"/>
                  <a:pt x="3637" y="1"/>
                  <a:pt x="2473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29" name="Google Shape;290;p51">
            <a:extLst>
              <a:ext uri="{FF2B5EF4-FFF2-40B4-BE49-F238E27FC236}">
                <a16:creationId xmlns="" xmlns:a16="http://schemas.microsoft.com/office/drawing/2014/main" id="{298A3BDC-8845-46EE-A138-972B665CCD85}"/>
              </a:ext>
            </a:extLst>
          </xdr:cNvPr>
          <xdr:cNvSpPr/>
        </xdr:nvSpPr>
        <xdr:spPr>
          <a:xfrm>
            <a:off x="4399182" y="3066430"/>
            <a:ext cx="51056" cy="204222"/>
          </a:xfrm>
          <a:custGeom>
            <a:avLst/>
            <a:gdLst/>
            <a:ahLst/>
            <a:cxnLst/>
            <a:rect l="l" t="t" r="r" b="b"/>
            <a:pathLst>
              <a:path w="1268" h="7603" extrusionOk="0">
                <a:moveTo>
                  <a:pt x="0" y="1"/>
                </a:moveTo>
                <a:lnTo>
                  <a:pt x="0" y="1370"/>
                </a:lnTo>
                <a:lnTo>
                  <a:pt x="1267" y="1370"/>
                </a:lnTo>
                <a:lnTo>
                  <a:pt x="1267" y="1"/>
                </a:lnTo>
                <a:close/>
                <a:moveTo>
                  <a:pt x="0" y="2208"/>
                </a:moveTo>
                <a:lnTo>
                  <a:pt x="0" y="7602"/>
                </a:lnTo>
                <a:lnTo>
                  <a:pt x="1267" y="7602"/>
                </a:lnTo>
                <a:lnTo>
                  <a:pt x="1267" y="2208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0" name="Google Shape;291;p51">
            <a:extLst>
              <a:ext uri="{FF2B5EF4-FFF2-40B4-BE49-F238E27FC236}">
                <a16:creationId xmlns="" xmlns:a16="http://schemas.microsoft.com/office/drawing/2014/main" id="{73ABF577-FA5F-43F7-93F1-3B8A943443B3}"/>
              </a:ext>
            </a:extLst>
          </xdr:cNvPr>
          <xdr:cNvSpPr/>
        </xdr:nvSpPr>
        <xdr:spPr>
          <a:xfrm>
            <a:off x="4475766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680" h="5498" extrusionOk="0">
                <a:moveTo>
                  <a:pt x="2800" y="1"/>
                </a:moveTo>
                <a:cubicBezTo>
                  <a:pt x="2187" y="1"/>
                  <a:pt x="1615" y="246"/>
                  <a:pt x="1267" y="757"/>
                </a:cubicBezTo>
                <a:lnTo>
                  <a:pt x="1247" y="757"/>
                </a:lnTo>
                <a:lnTo>
                  <a:pt x="1247" y="103"/>
                </a:lnTo>
                <a:lnTo>
                  <a:pt x="0" y="103"/>
                </a:lnTo>
                <a:lnTo>
                  <a:pt x="0" y="5497"/>
                </a:lnTo>
                <a:lnTo>
                  <a:pt x="1288" y="5497"/>
                </a:lnTo>
                <a:lnTo>
                  <a:pt x="1288" y="2473"/>
                </a:lnTo>
                <a:cubicBezTo>
                  <a:pt x="1288" y="1554"/>
                  <a:pt x="1696" y="1124"/>
                  <a:pt x="2391" y="1124"/>
                </a:cubicBezTo>
                <a:cubicBezTo>
                  <a:pt x="3045" y="1124"/>
                  <a:pt x="3392" y="1554"/>
                  <a:pt x="3392" y="2371"/>
                </a:cubicBezTo>
                <a:lnTo>
                  <a:pt x="3392" y="5497"/>
                </a:lnTo>
                <a:lnTo>
                  <a:pt x="4680" y="5497"/>
                </a:lnTo>
                <a:lnTo>
                  <a:pt x="4680" y="2044"/>
                </a:lnTo>
                <a:cubicBezTo>
                  <a:pt x="4680" y="757"/>
                  <a:pt x="4005" y="1"/>
                  <a:pt x="2800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1" name="Google Shape;292;p51">
            <a:extLst>
              <a:ext uri="{FF2B5EF4-FFF2-40B4-BE49-F238E27FC236}">
                <a16:creationId xmlns="" xmlns:a16="http://schemas.microsoft.com/office/drawing/2014/main" id="{27828793-F847-4DE1-98C7-209B6748A99B}"/>
              </a:ext>
            </a:extLst>
          </xdr:cNvPr>
          <xdr:cNvSpPr/>
        </xdr:nvSpPr>
        <xdr:spPr>
          <a:xfrm>
            <a:off x="4628934" y="3111812"/>
            <a:ext cx="102112" cy="158839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3433" y="3249"/>
                </a:moveTo>
                <a:lnTo>
                  <a:pt x="3433" y="3515"/>
                </a:lnTo>
                <a:cubicBezTo>
                  <a:pt x="3433" y="4107"/>
                  <a:pt x="3250" y="4598"/>
                  <a:pt x="2228" y="4598"/>
                </a:cubicBezTo>
                <a:cubicBezTo>
                  <a:pt x="1615" y="4598"/>
                  <a:pt x="1247" y="4373"/>
                  <a:pt x="1247" y="3923"/>
                </a:cubicBezTo>
                <a:cubicBezTo>
                  <a:pt x="1247" y="3454"/>
                  <a:pt x="1615" y="3249"/>
                  <a:pt x="2167" y="3249"/>
                </a:cubicBezTo>
                <a:close/>
                <a:moveTo>
                  <a:pt x="2412" y="0"/>
                </a:moveTo>
                <a:cubicBezTo>
                  <a:pt x="1390" y="0"/>
                  <a:pt x="266" y="409"/>
                  <a:pt x="266" y="1594"/>
                </a:cubicBezTo>
                <a:lnTo>
                  <a:pt x="266" y="1737"/>
                </a:lnTo>
                <a:lnTo>
                  <a:pt x="1431" y="1737"/>
                </a:lnTo>
                <a:lnTo>
                  <a:pt x="1431" y="1553"/>
                </a:lnTo>
                <a:cubicBezTo>
                  <a:pt x="1431" y="1206"/>
                  <a:pt x="1840" y="1001"/>
                  <a:pt x="2391" y="1001"/>
                </a:cubicBezTo>
                <a:cubicBezTo>
                  <a:pt x="3045" y="1001"/>
                  <a:pt x="3433" y="1247"/>
                  <a:pt x="3433" y="1819"/>
                </a:cubicBezTo>
                <a:lnTo>
                  <a:pt x="3433" y="2330"/>
                </a:lnTo>
                <a:lnTo>
                  <a:pt x="2003" y="2330"/>
                </a:lnTo>
                <a:cubicBezTo>
                  <a:pt x="941" y="2330"/>
                  <a:pt x="1" y="2943"/>
                  <a:pt x="1" y="3985"/>
                </a:cubicBezTo>
                <a:cubicBezTo>
                  <a:pt x="1" y="5006"/>
                  <a:pt x="757" y="5620"/>
                  <a:pt x="1881" y="5620"/>
                </a:cubicBezTo>
                <a:cubicBezTo>
                  <a:pt x="2575" y="5620"/>
                  <a:pt x="2984" y="5517"/>
                  <a:pt x="3454" y="5027"/>
                </a:cubicBezTo>
                <a:lnTo>
                  <a:pt x="3474" y="5027"/>
                </a:lnTo>
                <a:cubicBezTo>
                  <a:pt x="3495" y="5109"/>
                  <a:pt x="3515" y="5436"/>
                  <a:pt x="3536" y="5517"/>
                </a:cubicBezTo>
                <a:lnTo>
                  <a:pt x="4803" y="5517"/>
                </a:lnTo>
                <a:cubicBezTo>
                  <a:pt x="4741" y="5395"/>
                  <a:pt x="4721" y="4598"/>
                  <a:pt x="4721" y="4353"/>
                </a:cubicBezTo>
                <a:lnTo>
                  <a:pt x="4721" y="1717"/>
                </a:lnTo>
                <a:cubicBezTo>
                  <a:pt x="4721" y="409"/>
                  <a:pt x="3597" y="0"/>
                  <a:pt x="2412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2" name="Google Shape;293;p51">
            <a:extLst>
              <a:ext uri="{FF2B5EF4-FFF2-40B4-BE49-F238E27FC236}">
                <a16:creationId xmlns="" xmlns:a16="http://schemas.microsoft.com/office/drawing/2014/main" id="{37ADB1F6-E9F5-4EDC-801F-9E696AB2D8D0}"/>
              </a:ext>
            </a:extLst>
          </xdr:cNvPr>
          <xdr:cNvSpPr/>
        </xdr:nvSpPr>
        <xdr:spPr>
          <a:xfrm>
            <a:off x="4756573" y="3089121"/>
            <a:ext cx="76584" cy="181530"/>
          </a:xfrm>
          <a:custGeom>
            <a:avLst/>
            <a:gdLst/>
            <a:ahLst/>
            <a:cxnLst/>
            <a:rect l="l" t="t" r="r" b="b"/>
            <a:pathLst>
              <a:path w="3189" h="7112" extrusionOk="0">
                <a:moveTo>
                  <a:pt x="736" y="0"/>
                </a:moveTo>
                <a:lnTo>
                  <a:pt x="736" y="1635"/>
                </a:lnTo>
                <a:lnTo>
                  <a:pt x="0" y="1635"/>
                </a:lnTo>
                <a:lnTo>
                  <a:pt x="0" y="2656"/>
                </a:lnTo>
                <a:lnTo>
                  <a:pt x="736" y="2656"/>
                </a:lnTo>
                <a:lnTo>
                  <a:pt x="736" y="5742"/>
                </a:lnTo>
                <a:cubicBezTo>
                  <a:pt x="736" y="6702"/>
                  <a:pt x="1410" y="7111"/>
                  <a:pt x="2248" y="7111"/>
                </a:cubicBezTo>
                <a:cubicBezTo>
                  <a:pt x="2432" y="7111"/>
                  <a:pt x="2902" y="7070"/>
                  <a:pt x="3188" y="7009"/>
                </a:cubicBezTo>
                <a:lnTo>
                  <a:pt x="3188" y="5905"/>
                </a:lnTo>
                <a:cubicBezTo>
                  <a:pt x="2943" y="5946"/>
                  <a:pt x="2779" y="5967"/>
                  <a:pt x="2534" y="5967"/>
                </a:cubicBezTo>
                <a:cubicBezTo>
                  <a:pt x="2228" y="5967"/>
                  <a:pt x="2023" y="5844"/>
                  <a:pt x="2023" y="5435"/>
                </a:cubicBezTo>
                <a:lnTo>
                  <a:pt x="2023" y="2656"/>
                </a:lnTo>
                <a:lnTo>
                  <a:pt x="3188" y="2656"/>
                </a:lnTo>
                <a:lnTo>
                  <a:pt x="3188" y="1635"/>
                </a:lnTo>
                <a:lnTo>
                  <a:pt x="2023" y="1635"/>
                </a:lnTo>
                <a:lnTo>
                  <a:pt x="2023" y="0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3" name="Google Shape;294;p51">
            <a:extLst>
              <a:ext uri="{FF2B5EF4-FFF2-40B4-BE49-F238E27FC236}">
                <a16:creationId xmlns="" xmlns:a16="http://schemas.microsoft.com/office/drawing/2014/main" id="{858E5235-03BF-469C-865F-68507E7BF9E8}"/>
              </a:ext>
            </a:extLst>
          </xdr:cNvPr>
          <xdr:cNvSpPr/>
        </xdr:nvSpPr>
        <xdr:spPr>
          <a:xfrm>
            <a:off x="4858685" y="3066430"/>
            <a:ext cx="25528" cy="204222"/>
          </a:xfrm>
          <a:custGeom>
            <a:avLst/>
            <a:gdLst/>
            <a:ahLst/>
            <a:cxnLst/>
            <a:rect l="l" t="t" r="r" b="b"/>
            <a:pathLst>
              <a:path w="1288" h="7603" extrusionOk="0">
                <a:moveTo>
                  <a:pt x="0" y="1"/>
                </a:moveTo>
                <a:lnTo>
                  <a:pt x="0" y="1370"/>
                </a:lnTo>
                <a:lnTo>
                  <a:pt x="1288" y="1370"/>
                </a:lnTo>
                <a:lnTo>
                  <a:pt x="1288" y="1"/>
                </a:lnTo>
                <a:close/>
                <a:moveTo>
                  <a:pt x="0" y="2208"/>
                </a:moveTo>
                <a:lnTo>
                  <a:pt x="0" y="7602"/>
                </a:lnTo>
                <a:lnTo>
                  <a:pt x="1288" y="7602"/>
                </a:lnTo>
                <a:lnTo>
                  <a:pt x="1288" y="2208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4" name="Google Shape;295;p51">
            <a:extLst>
              <a:ext uri="{FF2B5EF4-FFF2-40B4-BE49-F238E27FC236}">
                <a16:creationId xmlns="" xmlns:a16="http://schemas.microsoft.com/office/drawing/2014/main" id="{E0DD185D-415F-4B84-B27F-124729B16810}"/>
              </a:ext>
            </a:extLst>
          </xdr:cNvPr>
          <xdr:cNvSpPr/>
        </xdr:nvSpPr>
        <xdr:spPr>
          <a:xfrm>
            <a:off x="4909741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906" h="5620" extrusionOk="0">
                <a:moveTo>
                  <a:pt x="2433" y="1104"/>
                </a:moveTo>
                <a:cubicBezTo>
                  <a:pt x="3107" y="1104"/>
                  <a:pt x="3597" y="1472"/>
                  <a:pt x="3597" y="2126"/>
                </a:cubicBezTo>
                <a:lnTo>
                  <a:pt x="3597" y="3474"/>
                </a:lnTo>
                <a:cubicBezTo>
                  <a:pt x="3597" y="4251"/>
                  <a:pt x="3025" y="4537"/>
                  <a:pt x="2473" y="4537"/>
                </a:cubicBezTo>
                <a:cubicBezTo>
                  <a:pt x="1820" y="4537"/>
                  <a:pt x="1309" y="4149"/>
                  <a:pt x="1309" y="3495"/>
                </a:cubicBezTo>
                <a:lnTo>
                  <a:pt x="1309" y="2167"/>
                </a:lnTo>
                <a:cubicBezTo>
                  <a:pt x="1309" y="1390"/>
                  <a:pt x="1901" y="1104"/>
                  <a:pt x="2433" y="1104"/>
                </a:cubicBezTo>
                <a:close/>
                <a:moveTo>
                  <a:pt x="2433" y="1"/>
                </a:moveTo>
                <a:cubicBezTo>
                  <a:pt x="1247" y="1"/>
                  <a:pt x="1" y="798"/>
                  <a:pt x="1" y="2269"/>
                </a:cubicBezTo>
                <a:lnTo>
                  <a:pt x="1" y="3495"/>
                </a:lnTo>
                <a:cubicBezTo>
                  <a:pt x="1" y="4884"/>
                  <a:pt x="1166" y="5620"/>
                  <a:pt x="2473" y="5620"/>
                </a:cubicBezTo>
                <a:cubicBezTo>
                  <a:pt x="3679" y="5620"/>
                  <a:pt x="4905" y="4823"/>
                  <a:pt x="4905" y="3352"/>
                </a:cubicBezTo>
                <a:lnTo>
                  <a:pt x="4905" y="2248"/>
                </a:lnTo>
                <a:cubicBezTo>
                  <a:pt x="4905" y="859"/>
                  <a:pt x="3740" y="1"/>
                  <a:pt x="2433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5" name="Google Shape;296;p51">
            <a:extLst>
              <a:ext uri="{FF2B5EF4-FFF2-40B4-BE49-F238E27FC236}">
                <a16:creationId xmlns="" xmlns:a16="http://schemas.microsoft.com/office/drawing/2014/main" id="{FA4A9EA2-0A2C-49A7-9E92-CC5ABF840FA4}"/>
              </a:ext>
            </a:extLst>
          </xdr:cNvPr>
          <xdr:cNvSpPr/>
        </xdr:nvSpPr>
        <xdr:spPr>
          <a:xfrm>
            <a:off x="5062909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701" h="5498" extrusionOk="0">
                <a:moveTo>
                  <a:pt x="2800" y="1"/>
                </a:moveTo>
                <a:cubicBezTo>
                  <a:pt x="2207" y="1"/>
                  <a:pt x="1635" y="246"/>
                  <a:pt x="1267" y="757"/>
                </a:cubicBezTo>
                <a:lnTo>
                  <a:pt x="1247" y="757"/>
                </a:lnTo>
                <a:lnTo>
                  <a:pt x="1247" y="103"/>
                </a:lnTo>
                <a:lnTo>
                  <a:pt x="0" y="103"/>
                </a:lnTo>
                <a:lnTo>
                  <a:pt x="0" y="5497"/>
                </a:lnTo>
                <a:lnTo>
                  <a:pt x="1288" y="5497"/>
                </a:lnTo>
                <a:lnTo>
                  <a:pt x="1288" y="2473"/>
                </a:lnTo>
                <a:cubicBezTo>
                  <a:pt x="1288" y="1554"/>
                  <a:pt x="1696" y="1124"/>
                  <a:pt x="2412" y="1124"/>
                </a:cubicBezTo>
                <a:cubicBezTo>
                  <a:pt x="3066" y="1124"/>
                  <a:pt x="3413" y="1554"/>
                  <a:pt x="3413" y="2371"/>
                </a:cubicBezTo>
                <a:lnTo>
                  <a:pt x="3413" y="5497"/>
                </a:lnTo>
                <a:lnTo>
                  <a:pt x="4700" y="5497"/>
                </a:lnTo>
                <a:lnTo>
                  <a:pt x="4700" y="2044"/>
                </a:lnTo>
                <a:cubicBezTo>
                  <a:pt x="4700" y="757"/>
                  <a:pt x="4026" y="1"/>
                  <a:pt x="2800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6" name="Google Shape;297;p51">
            <a:extLst>
              <a:ext uri="{FF2B5EF4-FFF2-40B4-BE49-F238E27FC236}">
                <a16:creationId xmlns="" xmlns:a16="http://schemas.microsoft.com/office/drawing/2014/main" id="{E646921E-94B2-45F1-B1B4-4B9DB659549F}"/>
              </a:ext>
            </a:extLst>
          </xdr:cNvPr>
          <xdr:cNvSpPr/>
        </xdr:nvSpPr>
        <xdr:spPr>
          <a:xfrm>
            <a:off x="5701108" y="2431074"/>
            <a:ext cx="153168" cy="204222"/>
          </a:xfrm>
          <a:custGeom>
            <a:avLst/>
            <a:gdLst/>
            <a:ahLst/>
            <a:cxnLst/>
            <a:rect l="l" t="t" r="r" b="b"/>
            <a:pathLst>
              <a:path w="5907" h="7521" extrusionOk="0">
                <a:moveTo>
                  <a:pt x="2780" y="1186"/>
                </a:moveTo>
                <a:cubicBezTo>
                  <a:pt x="3577" y="1186"/>
                  <a:pt x="4149" y="1472"/>
                  <a:pt x="4149" y="2350"/>
                </a:cubicBezTo>
                <a:cubicBezTo>
                  <a:pt x="4149" y="3127"/>
                  <a:pt x="3618" y="3515"/>
                  <a:pt x="2800" y="3515"/>
                </a:cubicBezTo>
                <a:lnTo>
                  <a:pt x="1411" y="3515"/>
                </a:lnTo>
                <a:lnTo>
                  <a:pt x="1411" y="1186"/>
                </a:lnTo>
                <a:close/>
                <a:moveTo>
                  <a:pt x="1" y="1"/>
                </a:moveTo>
                <a:lnTo>
                  <a:pt x="1" y="7520"/>
                </a:lnTo>
                <a:lnTo>
                  <a:pt x="1411" y="7520"/>
                </a:lnTo>
                <a:lnTo>
                  <a:pt x="1411" y="4700"/>
                </a:lnTo>
                <a:lnTo>
                  <a:pt x="2616" y="4700"/>
                </a:lnTo>
                <a:lnTo>
                  <a:pt x="4374" y="7520"/>
                </a:lnTo>
                <a:lnTo>
                  <a:pt x="5906" y="7520"/>
                </a:lnTo>
                <a:lnTo>
                  <a:pt x="4047" y="4537"/>
                </a:lnTo>
                <a:cubicBezTo>
                  <a:pt x="5048" y="4189"/>
                  <a:pt x="5538" y="3250"/>
                  <a:pt x="5538" y="2371"/>
                </a:cubicBezTo>
                <a:cubicBezTo>
                  <a:pt x="5538" y="818"/>
                  <a:pt x="4394" y="1"/>
                  <a:pt x="2984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7" name="Google Shape;298;p51">
            <a:extLst>
              <a:ext uri="{FF2B5EF4-FFF2-40B4-BE49-F238E27FC236}">
                <a16:creationId xmlns="" xmlns:a16="http://schemas.microsoft.com/office/drawing/2014/main" id="{20EAC093-4260-446B-B356-50235E4ECF5E}"/>
              </a:ext>
            </a:extLst>
          </xdr:cNvPr>
          <xdr:cNvSpPr/>
        </xdr:nvSpPr>
        <xdr:spPr>
          <a:xfrm>
            <a:off x="5879803" y="2431074"/>
            <a:ext cx="102112" cy="204222"/>
          </a:xfrm>
          <a:custGeom>
            <a:avLst/>
            <a:gdLst/>
            <a:ahLst/>
            <a:cxnLst/>
            <a:rect l="l" t="t" r="r" b="b"/>
            <a:pathLst>
              <a:path w="4823" h="8215" extrusionOk="0">
                <a:moveTo>
                  <a:pt x="2841" y="0"/>
                </a:moveTo>
                <a:lnTo>
                  <a:pt x="1942" y="1839"/>
                </a:lnTo>
                <a:lnTo>
                  <a:pt x="2943" y="1839"/>
                </a:lnTo>
                <a:lnTo>
                  <a:pt x="4291" y="0"/>
                </a:lnTo>
                <a:close/>
                <a:moveTo>
                  <a:pt x="2493" y="3678"/>
                </a:moveTo>
                <a:cubicBezTo>
                  <a:pt x="3004" y="3678"/>
                  <a:pt x="3535" y="3985"/>
                  <a:pt x="3535" y="4721"/>
                </a:cubicBezTo>
                <a:lnTo>
                  <a:pt x="3535" y="4864"/>
                </a:lnTo>
                <a:lnTo>
                  <a:pt x="1349" y="4864"/>
                </a:lnTo>
                <a:lnTo>
                  <a:pt x="1349" y="4782"/>
                </a:lnTo>
                <a:cubicBezTo>
                  <a:pt x="1349" y="3985"/>
                  <a:pt x="1942" y="3678"/>
                  <a:pt x="2493" y="3678"/>
                </a:cubicBezTo>
                <a:close/>
                <a:moveTo>
                  <a:pt x="2493" y="2595"/>
                </a:moveTo>
                <a:cubicBezTo>
                  <a:pt x="1145" y="2595"/>
                  <a:pt x="0" y="3433"/>
                  <a:pt x="0" y="4966"/>
                </a:cubicBezTo>
                <a:lnTo>
                  <a:pt x="0" y="6008"/>
                </a:lnTo>
                <a:cubicBezTo>
                  <a:pt x="0" y="7479"/>
                  <a:pt x="1206" y="8215"/>
                  <a:pt x="2534" y="8215"/>
                </a:cubicBezTo>
                <a:cubicBezTo>
                  <a:pt x="3474" y="8215"/>
                  <a:pt x="4332" y="7847"/>
                  <a:pt x="4761" y="7009"/>
                </a:cubicBezTo>
                <a:lnTo>
                  <a:pt x="3760" y="6437"/>
                </a:lnTo>
                <a:cubicBezTo>
                  <a:pt x="3474" y="6866"/>
                  <a:pt x="3025" y="7132"/>
                  <a:pt x="2595" y="7132"/>
                </a:cubicBezTo>
                <a:cubicBezTo>
                  <a:pt x="1901" y="7132"/>
                  <a:pt x="1349" y="6744"/>
                  <a:pt x="1349" y="6049"/>
                </a:cubicBezTo>
                <a:lnTo>
                  <a:pt x="1349" y="5763"/>
                </a:lnTo>
                <a:lnTo>
                  <a:pt x="4823" y="5763"/>
                </a:lnTo>
                <a:lnTo>
                  <a:pt x="4823" y="4721"/>
                </a:lnTo>
                <a:cubicBezTo>
                  <a:pt x="4823" y="3290"/>
                  <a:pt x="3658" y="2595"/>
                  <a:pt x="2493" y="2595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8" name="Google Shape;299;p51">
            <a:extLst>
              <a:ext uri="{FF2B5EF4-FFF2-40B4-BE49-F238E27FC236}">
                <a16:creationId xmlns="" xmlns:a16="http://schemas.microsoft.com/office/drawing/2014/main" id="{4C8298BD-4553-4A37-B9C9-A093D8F6F5CE}"/>
              </a:ext>
            </a:extLst>
          </xdr:cNvPr>
          <xdr:cNvSpPr/>
        </xdr:nvSpPr>
        <xdr:spPr>
          <a:xfrm>
            <a:off x="6007443" y="2499148"/>
            <a:ext cx="127640" cy="181530"/>
          </a:xfrm>
          <a:custGeom>
            <a:avLst/>
            <a:gdLst/>
            <a:ahLst/>
            <a:cxnLst/>
            <a:rect l="l" t="t" r="r" b="b"/>
            <a:pathLst>
              <a:path w="4925" h="7541" extrusionOk="0">
                <a:moveTo>
                  <a:pt x="2452" y="1124"/>
                </a:moveTo>
                <a:cubicBezTo>
                  <a:pt x="3106" y="1124"/>
                  <a:pt x="3617" y="1492"/>
                  <a:pt x="3617" y="2146"/>
                </a:cubicBezTo>
                <a:lnTo>
                  <a:pt x="3617" y="3494"/>
                </a:lnTo>
                <a:cubicBezTo>
                  <a:pt x="3617" y="4271"/>
                  <a:pt x="3024" y="4557"/>
                  <a:pt x="2473" y="4557"/>
                </a:cubicBezTo>
                <a:cubicBezTo>
                  <a:pt x="1819" y="4557"/>
                  <a:pt x="1287" y="4169"/>
                  <a:pt x="1287" y="3515"/>
                </a:cubicBezTo>
                <a:lnTo>
                  <a:pt x="1287" y="2268"/>
                </a:lnTo>
                <a:cubicBezTo>
                  <a:pt x="1287" y="1471"/>
                  <a:pt x="1900" y="1124"/>
                  <a:pt x="2452" y="1124"/>
                </a:cubicBezTo>
                <a:close/>
                <a:moveTo>
                  <a:pt x="2800" y="0"/>
                </a:moveTo>
                <a:cubicBezTo>
                  <a:pt x="2309" y="0"/>
                  <a:pt x="1696" y="225"/>
                  <a:pt x="1267" y="736"/>
                </a:cubicBezTo>
                <a:lnTo>
                  <a:pt x="1267" y="123"/>
                </a:lnTo>
                <a:lnTo>
                  <a:pt x="0" y="123"/>
                </a:lnTo>
                <a:lnTo>
                  <a:pt x="0" y="7540"/>
                </a:lnTo>
                <a:lnTo>
                  <a:pt x="1287" y="7540"/>
                </a:lnTo>
                <a:lnTo>
                  <a:pt x="1287" y="4965"/>
                </a:lnTo>
                <a:lnTo>
                  <a:pt x="1328" y="4965"/>
                </a:lnTo>
                <a:cubicBezTo>
                  <a:pt x="1594" y="5333"/>
                  <a:pt x="2084" y="5640"/>
                  <a:pt x="2697" y="5640"/>
                </a:cubicBezTo>
                <a:cubicBezTo>
                  <a:pt x="3903" y="5640"/>
                  <a:pt x="4925" y="4904"/>
                  <a:pt x="4925" y="3453"/>
                </a:cubicBezTo>
                <a:lnTo>
                  <a:pt x="4925" y="2146"/>
                </a:lnTo>
                <a:cubicBezTo>
                  <a:pt x="4925" y="756"/>
                  <a:pt x="3964" y="0"/>
                  <a:pt x="2800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39" name="Google Shape;300;p51">
            <a:extLst>
              <a:ext uri="{FF2B5EF4-FFF2-40B4-BE49-F238E27FC236}">
                <a16:creationId xmlns="" xmlns:a16="http://schemas.microsoft.com/office/drawing/2014/main" id="{FCC0B8CE-6FAE-476C-B577-9788F001C841}"/>
              </a:ext>
            </a:extLst>
          </xdr:cNvPr>
          <xdr:cNvSpPr/>
        </xdr:nvSpPr>
        <xdr:spPr>
          <a:xfrm>
            <a:off x="6160611" y="2499148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701" h="5498" extrusionOk="0">
                <a:moveTo>
                  <a:pt x="0" y="1"/>
                </a:moveTo>
                <a:lnTo>
                  <a:pt x="0" y="3434"/>
                </a:lnTo>
                <a:cubicBezTo>
                  <a:pt x="0" y="4721"/>
                  <a:pt x="695" y="5497"/>
                  <a:pt x="1901" y="5497"/>
                </a:cubicBezTo>
                <a:cubicBezTo>
                  <a:pt x="2514" y="5497"/>
                  <a:pt x="3065" y="5252"/>
                  <a:pt x="3413" y="4721"/>
                </a:cubicBezTo>
                <a:lnTo>
                  <a:pt x="3454" y="4721"/>
                </a:lnTo>
                <a:lnTo>
                  <a:pt x="3454" y="5395"/>
                </a:lnTo>
                <a:lnTo>
                  <a:pt x="4700" y="5395"/>
                </a:lnTo>
                <a:lnTo>
                  <a:pt x="4700" y="1"/>
                </a:lnTo>
                <a:lnTo>
                  <a:pt x="3413" y="1"/>
                </a:lnTo>
                <a:lnTo>
                  <a:pt x="3413" y="3004"/>
                </a:lnTo>
                <a:cubicBezTo>
                  <a:pt x="3413" y="3924"/>
                  <a:pt x="3004" y="4373"/>
                  <a:pt x="2309" y="4373"/>
                </a:cubicBezTo>
                <a:cubicBezTo>
                  <a:pt x="1655" y="4373"/>
                  <a:pt x="1288" y="3944"/>
                  <a:pt x="1288" y="3127"/>
                </a:cubicBezTo>
                <a:lnTo>
                  <a:pt x="1288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0" name="Google Shape;301;p51">
            <a:extLst>
              <a:ext uri="{FF2B5EF4-FFF2-40B4-BE49-F238E27FC236}">
                <a16:creationId xmlns="" xmlns:a16="http://schemas.microsoft.com/office/drawing/2014/main" id="{F639451E-5A45-4974-AE3B-4497B6600EAA}"/>
              </a:ext>
            </a:extLst>
          </xdr:cNvPr>
          <xdr:cNvSpPr/>
        </xdr:nvSpPr>
        <xdr:spPr>
          <a:xfrm>
            <a:off x="6313779" y="2431074"/>
            <a:ext cx="127640" cy="204222"/>
          </a:xfrm>
          <a:custGeom>
            <a:avLst/>
            <a:gdLst/>
            <a:ahLst/>
            <a:cxnLst/>
            <a:rect l="l" t="t" r="r" b="b"/>
            <a:pathLst>
              <a:path w="4905" h="7642" extrusionOk="0">
                <a:moveTo>
                  <a:pt x="2432" y="3127"/>
                </a:moveTo>
                <a:cubicBezTo>
                  <a:pt x="3106" y="3127"/>
                  <a:pt x="3597" y="3495"/>
                  <a:pt x="3597" y="4149"/>
                </a:cubicBezTo>
                <a:lnTo>
                  <a:pt x="3597" y="5497"/>
                </a:lnTo>
                <a:cubicBezTo>
                  <a:pt x="3597" y="6274"/>
                  <a:pt x="3004" y="6560"/>
                  <a:pt x="2473" y="6560"/>
                </a:cubicBezTo>
                <a:cubicBezTo>
                  <a:pt x="1798" y="6560"/>
                  <a:pt x="1288" y="6172"/>
                  <a:pt x="1288" y="5518"/>
                </a:cubicBezTo>
                <a:lnTo>
                  <a:pt x="1288" y="4271"/>
                </a:lnTo>
                <a:cubicBezTo>
                  <a:pt x="1288" y="3495"/>
                  <a:pt x="1901" y="3127"/>
                  <a:pt x="2432" y="3127"/>
                </a:cubicBezTo>
                <a:close/>
                <a:moveTo>
                  <a:pt x="0" y="1"/>
                </a:moveTo>
                <a:lnTo>
                  <a:pt x="0" y="7520"/>
                </a:lnTo>
                <a:lnTo>
                  <a:pt x="1226" y="7520"/>
                </a:lnTo>
                <a:lnTo>
                  <a:pt x="1226" y="6989"/>
                </a:lnTo>
                <a:lnTo>
                  <a:pt x="1267" y="6989"/>
                </a:lnTo>
                <a:cubicBezTo>
                  <a:pt x="1533" y="7336"/>
                  <a:pt x="2023" y="7643"/>
                  <a:pt x="2636" y="7643"/>
                </a:cubicBezTo>
                <a:cubicBezTo>
                  <a:pt x="3842" y="7643"/>
                  <a:pt x="4904" y="6907"/>
                  <a:pt x="4904" y="5456"/>
                </a:cubicBezTo>
                <a:lnTo>
                  <a:pt x="4904" y="4149"/>
                </a:lnTo>
                <a:cubicBezTo>
                  <a:pt x="4904" y="2759"/>
                  <a:pt x="3964" y="2023"/>
                  <a:pt x="2779" y="2023"/>
                </a:cubicBezTo>
                <a:cubicBezTo>
                  <a:pt x="2289" y="2023"/>
                  <a:pt x="1696" y="2207"/>
                  <a:pt x="1288" y="2739"/>
                </a:cubicBezTo>
                <a:lnTo>
                  <a:pt x="1288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1" name="Google Shape;302;p51">
            <a:extLst>
              <a:ext uri="{FF2B5EF4-FFF2-40B4-BE49-F238E27FC236}">
                <a16:creationId xmlns="" xmlns:a16="http://schemas.microsoft.com/office/drawing/2014/main" id="{F17AB838-6C2D-47D4-9CA1-F2A8F9FBC6C9}"/>
              </a:ext>
            </a:extLst>
          </xdr:cNvPr>
          <xdr:cNvSpPr/>
        </xdr:nvSpPr>
        <xdr:spPr>
          <a:xfrm>
            <a:off x="6466947" y="2431074"/>
            <a:ext cx="51056" cy="204222"/>
          </a:xfrm>
          <a:custGeom>
            <a:avLst/>
            <a:gdLst/>
            <a:ahLst/>
            <a:cxnLst/>
            <a:rect l="l" t="t" r="r" b="b"/>
            <a:pathLst>
              <a:path w="2351" h="7582" extrusionOk="0">
                <a:moveTo>
                  <a:pt x="1" y="1"/>
                </a:moveTo>
                <a:lnTo>
                  <a:pt x="1" y="6069"/>
                </a:lnTo>
                <a:cubicBezTo>
                  <a:pt x="1" y="6560"/>
                  <a:pt x="42" y="7581"/>
                  <a:pt x="1309" y="7581"/>
                </a:cubicBezTo>
                <a:cubicBezTo>
                  <a:pt x="1656" y="7581"/>
                  <a:pt x="2065" y="7520"/>
                  <a:pt x="2351" y="7438"/>
                </a:cubicBezTo>
                <a:lnTo>
                  <a:pt x="2351" y="6458"/>
                </a:lnTo>
                <a:cubicBezTo>
                  <a:pt x="2105" y="6478"/>
                  <a:pt x="1983" y="6498"/>
                  <a:pt x="1758" y="6498"/>
                </a:cubicBezTo>
                <a:cubicBezTo>
                  <a:pt x="1411" y="6498"/>
                  <a:pt x="1288" y="6315"/>
                  <a:pt x="1288" y="6069"/>
                </a:cubicBezTo>
                <a:lnTo>
                  <a:pt x="1288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2" name="Google Shape;303;p51">
            <a:extLst>
              <a:ext uri="{FF2B5EF4-FFF2-40B4-BE49-F238E27FC236}">
                <a16:creationId xmlns="" xmlns:a16="http://schemas.microsoft.com/office/drawing/2014/main" id="{5180BEB0-BABB-459D-8389-E94EF1E3860F}"/>
              </a:ext>
            </a:extLst>
          </xdr:cNvPr>
          <xdr:cNvSpPr/>
        </xdr:nvSpPr>
        <xdr:spPr>
          <a:xfrm>
            <a:off x="6543530" y="2431074"/>
            <a:ext cx="51056" cy="204222"/>
          </a:xfrm>
          <a:custGeom>
            <a:avLst/>
            <a:gdLst/>
            <a:ahLst/>
            <a:cxnLst/>
            <a:rect l="l" t="t" r="r" b="b"/>
            <a:pathLst>
              <a:path w="1289" h="7582" extrusionOk="0">
                <a:moveTo>
                  <a:pt x="1" y="0"/>
                </a:moveTo>
                <a:lnTo>
                  <a:pt x="1" y="1369"/>
                </a:lnTo>
                <a:lnTo>
                  <a:pt x="1288" y="1369"/>
                </a:lnTo>
                <a:lnTo>
                  <a:pt x="1288" y="0"/>
                </a:lnTo>
                <a:close/>
                <a:moveTo>
                  <a:pt x="1" y="2187"/>
                </a:moveTo>
                <a:lnTo>
                  <a:pt x="1" y="7581"/>
                </a:lnTo>
                <a:lnTo>
                  <a:pt x="1288" y="7581"/>
                </a:lnTo>
                <a:lnTo>
                  <a:pt x="1288" y="2187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3" name="Google Shape;304;p51">
            <a:extLst>
              <a:ext uri="{FF2B5EF4-FFF2-40B4-BE49-F238E27FC236}">
                <a16:creationId xmlns="" xmlns:a16="http://schemas.microsoft.com/office/drawing/2014/main" id="{6C73A614-803E-490E-BDD1-00442F03732F}"/>
              </a:ext>
            </a:extLst>
          </xdr:cNvPr>
          <xdr:cNvSpPr/>
        </xdr:nvSpPr>
        <xdr:spPr>
          <a:xfrm>
            <a:off x="6620114" y="2499148"/>
            <a:ext cx="102112" cy="181530"/>
          </a:xfrm>
          <a:custGeom>
            <a:avLst/>
            <a:gdLst/>
            <a:ahLst/>
            <a:cxnLst/>
            <a:rect l="l" t="t" r="r" b="b"/>
            <a:pathLst>
              <a:path w="4905" h="7521" extrusionOk="0">
                <a:moveTo>
                  <a:pt x="2432" y="1083"/>
                </a:moveTo>
                <a:cubicBezTo>
                  <a:pt x="3086" y="1083"/>
                  <a:pt x="3617" y="1472"/>
                  <a:pt x="3617" y="2126"/>
                </a:cubicBezTo>
                <a:lnTo>
                  <a:pt x="3617" y="3454"/>
                </a:lnTo>
                <a:cubicBezTo>
                  <a:pt x="3617" y="4230"/>
                  <a:pt x="3004" y="4516"/>
                  <a:pt x="2473" y="4516"/>
                </a:cubicBezTo>
                <a:cubicBezTo>
                  <a:pt x="1799" y="4516"/>
                  <a:pt x="1308" y="4128"/>
                  <a:pt x="1308" y="3474"/>
                </a:cubicBezTo>
                <a:lnTo>
                  <a:pt x="1308" y="2146"/>
                </a:lnTo>
                <a:cubicBezTo>
                  <a:pt x="1308" y="1370"/>
                  <a:pt x="1880" y="1083"/>
                  <a:pt x="2432" y="1083"/>
                </a:cubicBezTo>
                <a:close/>
                <a:moveTo>
                  <a:pt x="2207" y="0"/>
                </a:moveTo>
                <a:cubicBezTo>
                  <a:pt x="1022" y="0"/>
                  <a:pt x="0" y="716"/>
                  <a:pt x="0" y="2187"/>
                </a:cubicBezTo>
                <a:lnTo>
                  <a:pt x="0" y="3495"/>
                </a:lnTo>
                <a:cubicBezTo>
                  <a:pt x="0" y="4864"/>
                  <a:pt x="940" y="5620"/>
                  <a:pt x="2126" y="5620"/>
                </a:cubicBezTo>
                <a:cubicBezTo>
                  <a:pt x="2596" y="5620"/>
                  <a:pt x="3331" y="5313"/>
                  <a:pt x="3638" y="4884"/>
                </a:cubicBezTo>
                <a:lnTo>
                  <a:pt x="3638" y="7520"/>
                </a:lnTo>
                <a:lnTo>
                  <a:pt x="4905" y="7520"/>
                </a:lnTo>
                <a:lnTo>
                  <a:pt x="4905" y="82"/>
                </a:lnTo>
                <a:lnTo>
                  <a:pt x="3617" y="82"/>
                </a:lnTo>
                <a:lnTo>
                  <a:pt x="3617" y="654"/>
                </a:lnTo>
                <a:lnTo>
                  <a:pt x="3576" y="654"/>
                </a:lnTo>
                <a:cubicBezTo>
                  <a:pt x="3311" y="307"/>
                  <a:pt x="2820" y="0"/>
                  <a:pt x="2207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4" name="Google Shape;305;p51">
            <a:extLst>
              <a:ext uri="{FF2B5EF4-FFF2-40B4-BE49-F238E27FC236}">
                <a16:creationId xmlns="" xmlns:a16="http://schemas.microsoft.com/office/drawing/2014/main" id="{E489F9AC-9AAF-47BA-B52C-515FA3BF0AED}"/>
              </a:ext>
            </a:extLst>
          </xdr:cNvPr>
          <xdr:cNvSpPr/>
        </xdr:nvSpPr>
        <xdr:spPr>
          <a:xfrm>
            <a:off x="6773282" y="2499148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4681" h="5498" extrusionOk="0">
                <a:moveTo>
                  <a:pt x="1" y="1"/>
                </a:moveTo>
                <a:lnTo>
                  <a:pt x="1" y="3434"/>
                </a:lnTo>
                <a:cubicBezTo>
                  <a:pt x="1" y="4721"/>
                  <a:pt x="675" y="5497"/>
                  <a:pt x="1901" y="5497"/>
                </a:cubicBezTo>
                <a:cubicBezTo>
                  <a:pt x="2494" y="5497"/>
                  <a:pt x="3046" y="5252"/>
                  <a:pt x="3413" y="4721"/>
                </a:cubicBezTo>
                <a:lnTo>
                  <a:pt x="3434" y="4721"/>
                </a:lnTo>
                <a:lnTo>
                  <a:pt x="3434" y="5395"/>
                </a:lnTo>
                <a:lnTo>
                  <a:pt x="4680" y="5395"/>
                </a:lnTo>
                <a:lnTo>
                  <a:pt x="4680" y="1"/>
                </a:lnTo>
                <a:lnTo>
                  <a:pt x="3393" y="1"/>
                </a:lnTo>
                <a:lnTo>
                  <a:pt x="3393" y="3004"/>
                </a:lnTo>
                <a:cubicBezTo>
                  <a:pt x="3393" y="3924"/>
                  <a:pt x="3005" y="4373"/>
                  <a:pt x="2289" y="4373"/>
                </a:cubicBezTo>
                <a:cubicBezTo>
                  <a:pt x="1636" y="4373"/>
                  <a:pt x="1288" y="3944"/>
                  <a:pt x="1288" y="3127"/>
                </a:cubicBezTo>
                <a:lnTo>
                  <a:pt x="1288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5" name="Google Shape;306;p51">
            <a:extLst>
              <a:ext uri="{FF2B5EF4-FFF2-40B4-BE49-F238E27FC236}">
                <a16:creationId xmlns="" xmlns:a16="http://schemas.microsoft.com/office/drawing/2014/main" id="{614A2B7F-0843-4188-9D89-7E0BE7C8AF94}"/>
              </a:ext>
            </a:extLst>
          </xdr:cNvPr>
          <xdr:cNvSpPr/>
        </xdr:nvSpPr>
        <xdr:spPr>
          <a:xfrm>
            <a:off x="6900922" y="2499148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2473" y="1083"/>
                </a:moveTo>
                <a:cubicBezTo>
                  <a:pt x="3004" y="1083"/>
                  <a:pt x="3515" y="1390"/>
                  <a:pt x="3515" y="2126"/>
                </a:cubicBezTo>
                <a:lnTo>
                  <a:pt x="3515" y="2269"/>
                </a:lnTo>
                <a:lnTo>
                  <a:pt x="1349" y="2269"/>
                </a:lnTo>
                <a:lnTo>
                  <a:pt x="1349" y="2187"/>
                </a:lnTo>
                <a:cubicBezTo>
                  <a:pt x="1349" y="1390"/>
                  <a:pt x="1921" y="1083"/>
                  <a:pt x="2473" y="1083"/>
                </a:cubicBezTo>
                <a:close/>
                <a:moveTo>
                  <a:pt x="2473" y="0"/>
                </a:moveTo>
                <a:cubicBezTo>
                  <a:pt x="1145" y="0"/>
                  <a:pt x="0" y="838"/>
                  <a:pt x="0" y="2371"/>
                </a:cubicBezTo>
                <a:lnTo>
                  <a:pt x="0" y="3413"/>
                </a:lnTo>
                <a:cubicBezTo>
                  <a:pt x="0" y="4884"/>
                  <a:pt x="1185" y="5620"/>
                  <a:pt x="2514" y="5620"/>
                </a:cubicBezTo>
                <a:cubicBezTo>
                  <a:pt x="3474" y="5620"/>
                  <a:pt x="4332" y="5252"/>
                  <a:pt x="4741" y="4414"/>
                </a:cubicBezTo>
                <a:lnTo>
                  <a:pt x="3760" y="3842"/>
                </a:lnTo>
                <a:cubicBezTo>
                  <a:pt x="3474" y="4271"/>
                  <a:pt x="3024" y="4537"/>
                  <a:pt x="2575" y="4537"/>
                </a:cubicBezTo>
                <a:cubicBezTo>
                  <a:pt x="1901" y="4537"/>
                  <a:pt x="1349" y="4149"/>
                  <a:pt x="1349" y="3454"/>
                </a:cubicBezTo>
                <a:lnTo>
                  <a:pt x="1349" y="3168"/>
                </a:lnTo>
                <a:lnTo>
                  <a:pt x="4802" y="3168"/>
                </a:lnTo>
                <a:lnTo>
                  <a:pt x="4802" y="2126"/>
                </a:lnTo>
                <a:cubicBezTo>
                  <a:pt x="4802" y="695"/>
                  <a:pt x="3658" y="0"/>
                  <a:pt x="2473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6" name="Google Shape;307;p51">
            <a:extLst>
              <a:ext uri="{FF2B5EF4-FFF2-40B4-BE49-F238E27FC236}">
                <a16:creationId xmlns="" xmlns:a16="http://schemas.microsoft.com/office/drawing/2014/main" id="{9060B544-7425-4140-8DD5-5DA97290D9F1}"/>
              </a:ext>
            </a:extLst>
          </xdr:cNvPr>
          <xdr:cNvSpPr/>
        </xdr:nvSpPr>
        <xdr:spPr>
          <a:xfrm>
            <a:off x="5701108" y="2748752"/>
            <a:ext cx="153168" cy="204222"/>
          </a:xfrm>
          <a:custGeom>
            <a:avLst/>
            <a:gdLst/>
            <a:ahLst/>
            <a:cxnLst/>
            <a:rect l="l" t="t" r="r" b="b"/>
            <a:pathLst>
              <a:path w="5907" h="7520" extrusionOk="0">
                <a:moveTo>
                  <a:pt x="2841" y="1226"/>
                </a:moveTo>
                <a:cubicBezTo>
                  <a:pt x="3720" y="1226"/>
                  <a:pt x="4496" y="1757"/>
                  <a:pt x="4496" y="2656"/>
                </a:cubicBezTo>
                <a:lnTo>
                  <a:pt x="4496" y="4822"/>
                </a:lnTo>
                <a:cubicBezTo>
                  <a:pt x="4496" y="5905"/>
                  <a:pt x="3618" y="6273"/>
                  <a:pt x="2902" y="6273"/>
                </a:cubicBezTo>
                <a:lnTo>
                  <a:pt x="1411" y="6273"/>
                </a:lnTo>
                <a:lnTo>
                  <a:pt x="1411" y="1226"/>
                </a:lnTo>
                <a:close/>
                <a:moveTo>
                  <a:pt x="1" y="0"/>
                </a:moveTo>
                <a:lnTo>
                  <a:pt x="1" y="7520"/>
                </a:lnTo>
                <a:lnTo>
                  <a:pt x="2943" y="7520"/>
                </a:lnTo>
                <a:cubicBezTo>
                  <a:pt x="4435" y="7520"/>
                  <a:pt x="5906" y="6519"/>
                  <a:pt x="5906" y="4741"/>
                </a:cubicBezTo>
                <a:lnTo>
                  <a:pt x="5906" y="2738"/>
                </a:lnTo>
                <a:cubicBezTo>
                  <a:pt x="5906" y="1063"/>
                  <a:pt x="4578" y="0"/>
                  <a:pt x="2943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7" name="Google Shape;308;p51">
            <a:extLst>
              <a:ext uri="{FF2B5EF4-FFF2-40B4-BE49-F238E27FC236}">
                <a16:creationId xmlns="" xmlns:a16="http://schemas.microsoft.com/office/drawing/2014/main" id="{2E0507C9-2FAD-4ABC-AE35-BC313433BC75}"/>
              </a:ext>
            </a:extLst>
          </xdr:cNvPr>
          <xdr:cNvSpPr/>
        </xdr:nvSpPr>
        <xdr:spPr>
          <a:xfrm>
            <a:off x="5879803" y="2748752"/>
            <a:ext cx="127640" cy="204222"/>
          </a:xfrm>
          <a:custGeom>
            <a:avLst/>
            <a:gdLst/>
            <a:ahLst/>
            <a:cxnLst/>
            <a:rect l="l" t="t" r="r" b="b"/>
            <a:pathLst>
              <a:path w="4803" h="8216" extrusionOk="0">
                <a:moveTo>
                  <a:pt x="2820" y="1"/>
                </a:moveTo>
                <a:lnTo>
                  <a:pt x="1942" y="1840"/>
                </a:lnTo>
                <a:lnTo>
                  <a:pt x="2943" y="1840"/>
                </a:lnTo>
                <a:lnTo>
                  <a:pt x="4292" y="1"/>
                </a:lnTo>
                <a:close/>
                <a:moveTo>
                  <a:pt x="2473" y="3679"/>
                </a:moveTo>
                <a:cubicBezTo>
                  <a:pt x="3004" y="3679"/>
                  <a:pt x="3515" y="3986"/>
                  <a:pt x="3515" y="4721"/>
                </a:cubicBezTo>
                <a:lnTo>
                  <a:pt x="3515" y="4864"/>
                </a:lnTo>
                <a:lnTo>
                  <a:pt x="1349" y="4864"/>
                </a:lnTo>
                <a:lnTo>
                  <a:pt x="1349" y="4782"/>
                </a:lnTo>
                <a:cubicBezTo>
                  <a:pt x="1349" y="3986"/>
                  <a:pt x="1942" y="3679"/>
                  <a:pt x="2473" y="3679"/>
                </a:cubicBezTo>
                <a:close/>
                <a:moveTo>
                  <a:pt x="2473" y="2596"/>
                </a:moveTo>
                <a:cubicBezTo>
                  <a:pt x="1145" y="2596"/>
                  <a:pt x="0" y="3434"/>
                  <a:pt x="0" y="4966"/>
                </a:cubicBezTo>
                <a:lnTo>
                  <a:pt x="0" y="6009"/>
                </a:lnTo>
                <a:cubicBezTo>
                  <a:pt x="0" y="7480"/>
                  <a:pt x="1186" y="8215"/>
                  <a:pt x="2534" y="8215"/>
                </a:cubicBezTo>
                <a:cubicBezTo>
                  <a:pt x="3474" y="8215"/>
                  <a:pt x="4332" y="7848"/>
                  <a:pt x="4741" y="7010"/>
                </a:cubicBezTo>
                <a:lnTo>
                  <a:pt x="3760" y="6438"/>
                </a:lnTo>
                <a:cubicBezTo>
                  <a:pt x="3474" y="6846"/>
                  <a:pt x="3025" y="7132"/>
                  <a:pt x="2596" y="7132"/>
                </a:cubicBezTo>
                <a:cubicBezTo>
                  <a:pt x="1901" y="7132"/>
                  <a:pt x="1349" y="6744"/>
                  <a:pt x="1349" y="6049"/>
                </a:cubicBezTo>
                <a:lnTo>
                  <a:pt x="1349" y="5763"/>
                </a:lnTo>
                <a:lnTo>
                  <a:pt x="4802" y="5763"/>
                </a:lnTo>
                <a:lnTo>
                  <a:pt x="4802" y="4721"/>
                </a:lnTo>
                <a:cubicBezTo>
                  <a:pt x="4802" y="3291"/>
                  <a:pt x="3658" y="2596"/>
                  <a:pt x="2473" y="2596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8" name="Google Shape;309;p51">
            <a:extLst>
              <a:ext uri="{FF2B5EF4-FFF2-40B4-BE49-F238E27FC236}">
                <a16:creationId xmlns="" xmlns:a16="http://schemas.microsoft.com/office/drawing/2014/main" id="{C7C20E4E-4EEC-4A84-98B5-AEA5D4431B54}"/>
              </a:ext>
            </a:extLst>
          </xdr:cNvPr>
          <xdr:cNvSpPr/>
        </xdr:nvSpPr>
        <xdr:spPr>
          <a:xfrm>
            <a:off x="6032971" y="2816826"/>
            <a:ext cx="204224" cy="136148"/>
          </a:xfrm>
          <a:custGeom>
            <a:avLst/>
            <a:gdLst/>
            <a:ahLst/>
            <a:cxnLst/>
            <a:rect l="l" t="t" r="r" b="b"/>
            <a:pathLst>
              <a:path w="7887" h="5497" extrusionOk="0">
                <a:moveTo>
                  <a:pt x="2779" y="0"/>
                </a:moveTo>
                <a:cubicBezTo>
                  <a:pt x="2146" y="0"/>
                  <a:pt x="1614" y="266"/>
                  <a:pt x="1247" y="756"/>
                </a:cubicBezTo>
                <a:lnTo>
                  <a:pt x="1226" y="756"/>
                </a:lnTo>
                <a:lnTo>
                  <a:pt x="1226" y="102"/>
                </a:lnTo>
                <a:lnTo>
                  <a:pt x="0" y="102"/>
                </a:lnTo>
                <a:lnTo>
                  <a:pt x="0" y="5497"/>
                </a:lnTo>
                <a:lnTo>
                  <a:pt x="1288" y="5497"/>
                </a:lnTo>
                <a:lnTo>
                  <a:pt x="1288" y="2330"/>
                </a:lnTo>
                <a:cubicBezTo>
                  <a:pt x="1288" y="1430"/>
                  <a:pt x="1860" y="1124"/>
                  <a:pt x="2330" y="1124"/>
                </a:cubicBezTo>
                <a:cubicBezTo>
                  <a:pt x="3106" y="1124"/>
                  <a:pt x="3310" y="1696"/>
                  <a:pt x="3310" y="2370"/>
                </a:cubicBezTo>
                <a:lnTo>
                  <a:pt x="3310" y="5497"/>
                </a:lnTo>
                <a:lnTo>
                  <a:pt x="4577" y="5497"/>
                </a:lnTo>
                <a:lnTo>
                  <a:pt x="4577" y="2391"/>
                </a:lnTo>
                <a:cubicBezTo>
                  <a:pt x="4577" y="1676"/>
                  <a:pt x="4884" y="1124"/>
                  <a:pt x="5620" y="1124"/>
                </a:cubicBezTo>
                <a:cubicBezTo>
                  <a:pt x="6355" y="1124"/>
                  <a:pt x="6600" y="1635"/>
                  <a:pt x="6600" y="2350"/>
                </a:cubicBezTo>
                <a:lnTo>
                  <a:pt x="6600" y="5497"/>
                </a:lnTo>
                <a:lnTo>
                  <a:pt x="7888" y="5497"/>
                </a:lnTo>
                <a:lnTo>
                  <a:pt x="7888" y="1900"/>
                </a:lnTo>
                <a:cubicBezTo>
                  <a:pt x="7888" y="572"/>
                  <a:pt x="6989" y="0"/>
                  <a:pt x="5987" y="0"/>
                </a:cubicBezTo>
                <a:cubicBezTo>
                  <a:pt x="5252" y="0"/>
                  <a:pt x="4720" y="307"/>
                  <a:pt x="4332" y="797"/>
                </a:cubicBezTo>
                <a:lnTo>
                  <a:pt x="4312" y="797"/>
                </a:lnTo>
                <a:cubicBezTo>
                  <a:pt x="3985" y="286"/>
                  <a:pt x="3494" y="0"/>
                  <a:pt x="2779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49" name="Google Shape;310;p51">
            <a:extLst>
              <a:ext uri="{FF2B5EF4-FFF2-40B4-BE49-F238E27FC236}">
                <a16:creationId xmlns="" xmlns:a16="http://schemas.microsoft.com/office/drawing/2014/main" id="{75D8AA90-EDE0-4760-A065-B3BC0FE778E8}"/>
              </a:ext>
            </a:extLst>
          </xdr:cNvPr>
          <xdr:cNvSpPr/>
        </xdr:nvSpPr>
        <xdr:spPr>
          <a:xfrm>
            <a:off x="6262723" y="2816826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4905" h="5620" extrusionOk="0">
                <a:moveTo>
                  <a:pt x="2432" y="1103"/>
                </a:moveTo>
                <a:cubicBezTo>
                  <a:pt x="3107" y="1103"/>
                  <a:pt x="3597" y="1471"/>
                  <a:pt x="3597" y="2125"/>
                </a:cubicBezTo>
                <a:lnTo>
                  <a:pt x="3597" y="3474"/>
                </a:lnTo>
                <a:cubicBezTo>
                  <a:pt x="3597" y="4250"/>
                  <a:pt x="3025" y="4536"/>
                  <a:pt x="2473" y="4536"/>
                </a:cubicBezTo>
                <a:cubicBezTo>
                  <a:pt x="1819" y="4536"/>
                  <a:pt x="1308" y="4148"/>
                  <a:pt x="1308" y="3494"/>
                </a:cubicBezTo>
                <a:lnTo>
                  <a:pt x="1308" y="2166"/>
                </a:lnTo>
                <a:cubicBezTo>
                  <a:pt x="1308" y="1390"/>
                  <a:pt x="1901" y="1103"/>
                  <a:pt x="2432" y="1103"/>
                </a:cubicBezTo>
                <a:close/>
                <a:moveTo>
                  <a:pt x="2432" y="0"/>
                </a:moveTo>
                <a:cubicBezTo>
                  <a:pt x="1247" y="0"/>
                  <a:pt x="1" y="797"/>
                  <a:pt x="1" y="2268"/>
                </a:cubicBezTo>
                <a:lnTo>
                  <a:pt x="1" y="3494"/>
                </a:lnTo>
                <a:cubicBezTo>
                  <a:pt x="1" y="4884"/>
                  <a:pt x="1165" y="5619"/>
                  <a:pt x="2473" y="5619"/>
                </a:cubicBezTo>
                <a:cubicBezTo>
                  <a:pt x="3679" y="5619"/>
                  <a:pt x="4905" y="4822"/>
                  <a:pt x="4905" y="3351"/>
                </a:cubicBezTo>
                <a:lnTo>
                  <a:pt x="4905" y="2248"/>
                </a:lnTo>
                <a:cubicBezTo>
                  <a:pt x="4905" y="858"/>
                  <a:pt x="3740" y="0"/>
                  <a:pt x="2432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0" name="Google Shape;311;p51">
            <a:extLst>
              <a:ext uri="{FF2B5EF4-FFF2-40B4-BE49-F238E27FC236}">
                <a16:creationId xmlns="" xmlns:a16="http://schemas.microsoft.com/office/drawing/2014/main" id="{C37B0111-BF8A-4F8A-8E7B-602407410916}"/>
              </a:ext>
            </a:extLst>
          </xdr:cNvPr>
          <xdr:cNvSpPr/>
        </xdr:nvSpPr>
        <xdr:spPr>
          <a:xfrm>
            <a:off x="6390363" y="2816826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44" h="5620" extrusionOk="0">
                <a:moveTo>
                  <a:pt x="2473" y="0"/>
                </a:moveTo>
                <a:cubicBezTo>
                  <a:pt x="1145" y="0"/>
                  <a:pt x="1" y="838"/>
                  <a:pt x="1" y="2370"/>
                </a:cubicBezTo>
                <a:lnTo>
                  <a:pt x="1" y="3413"/>
                </a:lnTo>
                <a:cubicBezTo>
                  <a:pt x="1" y="4843"/>
                  <a:pt x="1186" y="5619"/>
                  <a:pt x="2514" y="5619"/>
                </a:cubicBezTo>
                <a:cubicBezTo>
                  <a:pt x="3679" y="5619"/>
                  <a:pt x="4823" y="4945"/>
                  <a:pt x="4823" y="3515"/>
                </a:cubicBezTo>
                <a:lnTo>
                  <a:pt x="4823" y="3453"/>
                </a:lnTo>
                <a:lnTo>
                  <a:pt x="3577" y="3453"/>
                </a:lnTo>
                <a:lnTo>
                  <a:pt x="3577" y="3515"/>
                </a:lnTo>
                <a:cubicBezTo>
                  <a:pt x="3577" y="4250"/>
                  <a:pt x="3046" y="4536"/>
                  <a:pt x="2514" y="4536"/>
                </a:cubicBezTo>
                <a:cubicBezTo>
                  <a:pt x="1840" y="4536"/>
                  <a:pt x="1329" y="4148"/>
                  <a:pt x="1329" y="3453"/>
                </a:cubicBezTo>
                <a:lnTo>
                  <a:pt x="1329" y="2186"/>
                </a:lnTo>
                <a:cubicBezTo>
                  <a:pt x="1329" y="1390"/>
                  <a:pt x="1922" y="1083"/>
                  <a:pt x="2473" y="1083"/>
                </a:cubicBezTo>
                <a:cubicBezTo>
                  <a:pt x="3005" y="1083"/>
                  <a:pt x="3577" y="1390"/>
                  <a:pt x="3577" y="2125"/>
                </a:cubicBezTo>
                <a:lnTo>
                  <a:pt x="3577" y="2227"/>
                </a:lnTo>
                <a:lnTo>
                  <a:pt x="4844" y="2227"/>
                </a:lnTo>
                <a:lnTo>
                  <a:pt x="4844" y="2125"/>
                </a:lnTo>
                <a:cubicBezTo>
                  <a:pt x="4844" y="695"/>
                  <a:pt x="3638" y="0"/>
                  <a:pt x="2473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1" name="Google Shape;312;p51">
            <a:extLst>
              <a:ext uri="{FF2B5EF4-FFF2-40B4-BE49-F238E27FC236}">
                <a16:creationId xmlns="" xmlns:a16="http://schemas.microsoft.com/office/drawing/2014/main" id="{C8F80C83-EA07-414E-83C4-46B9A85C4D71}"/>
              </a:ext>
            </a:extLst>
          </xdr:cNvPr>
          <xdr:cNvSpPr/>
        </xdr:nvSpPr>
        <xdr:spPr>
          <a:xfrm>
            <a:off x="6543530" y="2816826"/>
            <a:ext cx="76584" cy="136148"/>
          </a:xfrm>
          <a:custGeom>
            <a:avLst/>
            <a:gdLst/>
            <a:ahLst/>
            <a:cxnLst/>
            <a:rect l="l" t="t" r="r" b="b"/>
            <a:pathLst>
              <a:path w="3475" h="5497" extrusionOk="0">
                <a:moveTo>
                  <a:pt x="3045" y="0"/>
                </a:moveTo>
                <a:cubicBezTo>
                  <a:pt x="2391" y="0"/>
                  <a:pt x="1594" y="429"/>
                  <a:pt x="1288" y="1001"/>
                </a:cubicBezTo>
                <a:lnTo>
                  <a:pt x="1267" y="1001"/>
                </a:lnTo>
                <a:lnTo>
                  <a:pt x="1267" y="102"/>
                </a:lnTo>
                <a:lnTo>
                  <a:pt x="0" y="102"/>
                </a:lnTo>
                <a:lnTo>
                  <a:pt x="0" y="5497"/>
                </a:lnTo>
                <a:lnTo>
                  <a:pt x="1288" y="5497"/>
                </a:lnTo>
                <a:lnTo>
                  <a:pt x="1288" y="2738"/>
                </a:lnTo>
                <a:cubicBezTo>
                  <a:pt x="1288" y="1737"/>
                  <a:pt x="2023" y="1165"/>
                  <a:pt x="2984" y="1165"/>
                </a:cubicBezTo>
                <a:cubicBezTo>
                  <a:pt x="3168" y="1165"/>
                  <a:pt x="3311" y="1165"/>
                  <a:pt x="3474" y="1206"/>
                </a:cubicBezTo>
                <a:lnTo>
                  <a:pt x="3474" y="20"/>
                </a:lnTo>
                <a:cubicBezTo>
                  <a:pt x="3331" y="0"/>
                  <a:pt x="3188" y="0"/>
                  <a:pt x="3045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2" name="Google Shape;313;p51">
            <a:extLst>
              <a:ext uri="{FF2B5EF4-FFF2-40B4-BE49-F238E27FC236}">
                <a16:creationId xmlns="" xmlns:a16="http://schemas.microsoft.com/office/drawing/2014/main" id="{5152659E-1627-4EF3-9B76-4B12C2084C4D}"/>
              </a:ext>
            </a:extLst>
          </xdr:cNvPr>
          <xdr:cNvSpPr/>
        </xdr:nvSpPr>
        <xdr:spPr>
          <a:xfrm>
            <a:off x="6645642" y="2816826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23" h="5620" extrusionOk="0">
                <a:moveTo>
                  <a:pt x="3433" y="3250"/>
                </a:moveTo>
                <a:lnTo>
                  <a:pt x="3433" y="3515"/>
                </a:lnTo>
                <a:cubicBezTo>
                  <a:pt x="3433" y="4108"/>
                  <a:pt x="3270" y="4598"/>
                  <a:pt x="2227" y="4598"/>
                </a:cubicBezTo>
                <a:cubicBezTo>
                  <a:pt x="1635" y="4598"/>
                  <a:pt x="1267" y="4373"/>
                  <a:pt x="1267" y="3924"/>
                </a:cubicBezTo>
                <a:cubicBezTo>
                  <a:pt x="1267" y="3454"/>
                  <a:pt x="1614" y="3250"/>
                  <a:pt x="2166" y="3250"/>
                </a:cubicBezTo>
                <a:close/>
                <a:moveTo>
                  <a:pt x="2411" y="1"/>
                </a:moveTo>
                <a:cubicBezTo>
                  <a:pt x="1390" y="1"/>
                  <a:pt x="266" y="409"/>
                  <a:pt x="266" y="1594"/>
                </a:cubicBezTo>
                <a:lnTo>
                  <a:pt x="266" y="1737"/>
                </a:lnTo>
                <a:lnTo>
                  <a:pt x="1431" y="1737"/>
                </a:lnTo>
                <a:lnTo>
                  <a:pt x="1431" y="1554"/>
                </a:lnTo>
                <a:cubicBezTo>
                  <a:pt x="1431" y="1206"/>
                  <a:pt x="1839" y="1022"/>
                  <a:pt x="2391" y="1022"/>
                </a:cubicBezTo>
                <a:cubicBezTo>
                  <a:pt x="3045" y="1022"/>
                  <a:pt x="3433" y="1247"/>
                  <a:pt x="3433" y="1819"/>
                </a:cubicBezTo>
                <a:lnTo>
                  <a:pt x="3433" y="2330"/>
                </a:lnTo>
                <a:lnTo>
                  <a:pt x="2003" y="2330"/>
                </a:lnTo>
                <a:cubicBezTo>
                  <a:pt x="961" y="2330"/>
                  <a:pt x="0" y="2943"/>
                  <a:pt x="0" y="3985"/>
                </a:cubicBezTo>
                <a:cubicBezTo>
                  <a:pt x="0" y="5007"/>
                  <a:pt x="756" y="5620"/>
                  <a:pt x="1880" y="5620"/>
                </a:cubicBezTo>
                <a:cubicBezTo>
                  <a:pt x="2575" y="5620"/>
                  <a:pt x="2984" y="5518"/>
                  <a:pt x="3474" y="5007"/>
                </a:cubicBezTo>
                <a:lnTo>
                  <a:pt x="3494" y="5007"/>
                </a:lnTo>
                <a:cubicBezTo>
                  <a:pt x="3494" y="5109"/>
                  <a:pt x="3515" y="5436"/>
                  <a:pt x="3535" y="5518"/>
                </a:cubicBezTo>
                <a:lnTo>
                  <a:pt x="4823" y="5518"/>
                </a:lnTo>
                <a:cubicBezTo>
                  <a:pt x="4741" y="5395"/>
                  <a:pt x="4720" y="4598"/>
                  <a:pt x="4720" y="4353"/>
                </a:cubicBezTo>
                <a:lnTo>
                  <a:pt x="4720" y="1737"/>
                </a:lnTo>
                <a:cubicBezTo>
                  <a:pt x="4720" y="409"/>
                  <a:pt x="3617" y="1"/>
                  <a:pt x="2411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3" name="Google Shape;314;p51">
            <a:extLst>
              <a:ext uri="{FF2B5EF4-FFF2-40B4-BE49-F238E27FC236}">
                <a16:creationId xmlns="" xmlns:a16="http://schemas.microsoft.com/office/drawing/2014/main" id="{B9C25F56-07FB-4572-B33A-33160695CA46}"/>
              </a:ext>
            </a:extLst>
          </xdr:cNvPr>
          <xdr:cNvSpPr/>
        </xdr:nvSpPr>
        <xdr:spPr>
          <a:xfrm>
            <a:off x="6773282" y="2771443"/>
            <a:ext cx="76584" cy="181530"/>
          </a:xfrm>
          <a:custGeom>
            <a:avLst/>
            <a:gdLst/>
            <a:ahLst/>
            <a:cxnLst/>
            <a:rect l="l" t="t" r="r" b="b"/>
            <a:pathLst>
              <a:path w="3168" h="7112" extrusionOk="0">
                <a:moveTo>
                  <a:pt x="716" y="1"/>
                </a:moveTo>
                <a:lnTo>
                  <a:pt x="716" y="1635"/>
                </a:lnTo>
                <a:lnTo>
                  <a:pt x="0" y="1635"/>
                </a:lnTo>
                <a:lnTo>
                  <a:pt x="0" y="2657"/>
                </a:lnTo>
                <a:lnTo>
                  <a:pt x="716" y="2657"/>
                </a:lnTo>
                <a:lnTo>
                  <a:pt x="716" y="5742"/>
                </a:lnTo>
                <a:cubicBezTo>
                  <a:pt x="716" y="6703"/>
                  <a:pt x="1390" y="7111"/>
                  <a:pt x="2228" y="7111"/>
                </a:cubicBezTo>
                <a:cubicBezTo>
                  <a:pt x="2412" y="7111"/>
                  <a:pt x="2882" y="7071"/>
                  <a:pt x="3168" y="7009"/>
                </a:cubicBezTo>
                <a:lnTo>
                  <a:pt x="3168" y="5906"/>
                </a:lnTo>
                <a:cubicBezTo>
                  <a:pt x="2922" y="5947"/>
                  <a:pt x="2779" y="5967"/>
                  <a:pt x="2514" y="5967"/>
                </a:cubicBezTo>
                <a:cubicBezTo>
                  <a:pt x="2207" y="5967"/>
                  <a:pt x="2003" y="5845"/>
                  <a:pt x="2003" y="5436"/>
                </a:cubicBezTo>
                <a:lnTo>
                  <a:pt x="2003" y="2657"/>
                </a:lnTo>
                <a:lnTo>
                  <a:pt x="3168" y="2657"/>
                </a:lnTo>
                <a:lnTo>
                  <a:pt x="3168" y="1635"/>
                </a:lnTo>
                <a:lnTo>
                  <a:pt x="2003" y="1635"/>
                </a:lnTo>
                <a:lnTo>
                  <a:pt x="2003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4" name="Google Shape;315;p51">
            <a:extLst>
              <a:ext uri="{FF2B5EF4-FFF2-40B4-BE49-F238E27FC236}">
                <a16:creationId xmlns="" xmlns:a16="http://schemas.microsoft.com/office/drawing/2014/main" id="{27AA8677-A4AD-4DF2-A619-63F3EBD8FFA1}"/>
              </a:ext>
            </a:extLst>
          </xdr:cNvPr>
          <xdr:cNvSpPr/>
        </xdr:nvSpPr>
        <xdr:spPr>
          <a:xfrm>
            <a:off x="6875394" y="2748752"/>
            <a:ext cx="25528" cy="204222"/>
          </a:xfrm>
          <a:custGeom>
            <a:avLst/>
            <a:gdLst/>
            <a:ahLst/>
            <a:cxnLst/>
            <a:rect l="l" t="t" r="r" b="b"/>
            <a:pathLst>
              <a:path w="1288" h="7582" extrusionOk="0">
                <a:moveTo>
                  <a:pt x="0" y="1"/>
                </a:moveTo>
                <a:lnTo>
                  <a:pt x="0" y="1370"/>
                </a:lnTo>
                <a:lnTo>
                  <a:pt x="1288" y="1370"/>
                </a:lnTo>
                <a:lnTo>
                  <a:pt x="1288" y="1"/>
                </a:lnTo>
                <a:close/>
                <a:moveTo>
                  <a:pt x="0" y="2187"/>
                </a:moveTo>
                <a:lnTo>
                  <a:pt x="0" y="7582"/>
                </a:lnTo>
                <a:lnTo>
                  <a:pt x="1288" y="7582"/>
                </a:lnTo>
                <a:lnTo>
                  <a:pt x="1288" y="2187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5" name="Google Shape;316;p51">
            <a:extLst>
              <a:ext uri="{FF2B5EF4-FFF2-40B4-BE49-F238E27FC236}">
                <a16:creationId xmlns="" xmlns:a16="http://schemas.microsoft.com/office/drawing/2014/main" id="{BE7D7A5A-A083-4CCC-B4B1-B2297C4DA79F}"/>
              </a:ext>
            </a:extLst>
          </xdr:cNvPr>
          <xdr:cNvSpPr/>
        </xdr:nvSpPr>
        <xdr:spPr>
          <a:xfrm>
            <a:off x="6951978" y="2816826"/>
            <a:ext cx="102112" cy="181530"/>
          </a:xfrm>
          <a:custGeom>
            <a:avLst/>
            <a:gdLst/>
            <a:ahLst/>
            <a:cxnLst/>
            <a:rect l="l" t="t" r="r" b="b"/>
            <a:pathLst>
              <a:path w="4905" h="7520" extrusionOk="0">
                <a:moveTo>
                  <a:pt x="2432" y="1083"/>
                </a:moveTo>
                <a:cubicBezTo>
                  <a:pt x="3107" y="1083"/>
                  <a:pt x="3638" y="1471"/>
                  <a:pt x="3638" y="2125"/>
                </a:cubicBezTo>
                <a:lnTo>
                  <a:pt x="3638" y="3453"/>
                </a:lnTo>
                <a:cubicBezTo>
                  <a:pt x="3638" y="4230"/>
                  <a:pt x="3025" y="4516"/>
                  <a:pt x="2473" y="4516"/>
                </a:cubicBezTo>
                <a:cubicBezTo>
                  <a:pt x="1819" y="4516"/>
                  <a:pt x="1308" y="4128"/>
                  <a:pt x="1308" y="3474"/>
                </a:cubicBezTo>
                <a:lnTo>
                  <a:pt x="1308" y="2146"/>
                </a:lnTo>
                <a:cubicBezTo>
                  <a:pt x="1308" y="1369"/>
                  <a:pt x="1901" y="1083"/>
                  <a:pt x="2432" y="1083"/>
                </a:cubicBezTo>
                <a:close/>
                <a:moveTo>
                  <a:pt x="2228" y="0"/>
                </a:moveTo>
                <a:cubicBezTo>
                  <a:pt x="1022" y="0"/>
                  <a:pt x="1" y="715"/>
                  <a:pt x="1" y="2186"/>
                </a:cubicBezTo>
                <a:lnTo>
                  <a:pt x="1" y="3494"/>
                </a:lnTo>
                <a:cubicBezTo>
                  <a:pt x="1" y="4863"/>
                  <a:pt x="961" y="5619"/>
                  <a:pt x="2126" y="5619"/>
                </a:cubicBezTo>
                <a:cubicBezTo>
                  <a:pt x="2616" y="5619"/>
                  <a:pt x="3352" y="5313"/>
                  <a:pt x="3658" y="4884"/>
                </a:cubicBezTo>
                <a:lnTo>
                  <a:pt x="3658" y="7520"/>
                </a:lnTo>
                <a:lnTo>
                  <a:pt x="4905" y="7520"/>
                </a:lnTo>
                <a:lnTo>
                  <a:pt x="4905" y="82"/>
                </a:lnTo>
                <a:lnTo>
                  <a:pt x="3638" y="82"/>
                </a:lnTo>
                <a:lnTo>
                  <a:pt x="3638" y="654"/>
                </a:lnTo>
                <a:lnTo>
                  <a:pt x="3597" y="654"/>
                </a:lnTo>
                <a:cubicBezTo>
                  <a:pt x="3331" y="307"/>
                  <a:pt x="2820" y="0"/>
                  <a:pt x="2228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6" name="Google Shape;317;p51">
            <a:extLst>
              <a:ext uri="{FF2B5EF4-FFF2-40B4-BE49-F238E27FC236}">
                <a16:creationId xmlns="" xmlns:a16="http://schemas.microsoft.com/office/drawing/2014/main" id="{69F55C76-25CF-499E-BAA1-535D931E4A82}"/>
              </a:ext>
            </a:extLst>
          </xdr:cNvPr>
          <xdr:cNvSpPr/>
        </xdr:nvSpPr>
        <xdr:spPr>
          <a:xfrm>
            <a:off x="7105145" y="2816826"/>
            <a:ext cx="102112" cy="136148"/>
          </a:xfrm>
          <a:custGeom>
            <a:avLst/>
            <a:gdLst/>
            <a:ahLst/>
            <a:cxnLst/>
            <a:rect l="l" t="t" r="r" b="b"/>
            <a:pathLst>
              <a:path w="4680" h="5497" extrusionOk="0">
                <a:moveTo>
                  <a:pt x="0" y="0"/>
                </a:moveTo>
                <a:lnTo>
                  <a:pt x="0" y="3433"/>
                </a:lnTo>
                <a:cubicBezTo>
                  <a:pt x="0" y="4720"/>
                  <a:pt x="675" y="5497"/>
                  <a:pt x="1880" y="5497"/>
                </a:cubicBezTo>
                <a:cubicBezTo>
                  <a:pt x="2493" y="5497"/>
                  <a:pt x="3045" y="5252"/>
                  <a:pt x="3413" y="4720"/>
                </a:cubicBezTo>
                <a:lnTo>
                  <a:pt x="3433" y="4720"/>
                </a:lnTo>
                <a:lnTo>
                  <a:pt x="3433" y="5395"/>
                </a:lnTo>
                <a:lnTo>
                  <a:pt x="4680" y="5395"/>
                </a:lnTo>
                <a:lnTo>
                  <a:pt x="4680" y="0"/>
                </a:lnTo>
                <a:lnTo>
                  <a:pt x="3392" y="0"/>
                </a:lnTo>
                <a:lnTo>
                  <a:pt x="3392" y="3004"/>
                </a:lnTo>
                <a:cubicBezTo>
                  <a:pt x="3392" y="3924"/>
                  <a:pt x="3004" y="4373"/>
                  <a:pt x="2289" y="4373"/>
                </a:cubicBezTo>
                <a:cubicBezTo>
                  <a:pt x="1635" y="4373"/>
                  <a:pt x="1288" y="3944"/>
                  <a:pt x="1288" y="3127"/>
                </a:cubicBezTo>
                <a:lnTo>
                  <a:pt x="1288" y="0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7" name="Google Shape;318;p51">
            <a:extLst>
              <a:ext uri="{FF2B5EF4-FFF2-40B4-BE49-F238E27FC236}">
                <a16:creationId xmlns="" xmlns:a16="http://schemas.microsoft.com/office/drawing/2014/main" id="{EB7F0070-2B64-4652-9CD4-99C077446457}"/>
              </a:ext>
            </a:extLst>
          </xdr:cNvPr>
          <xdr:cNvSpPr/>
        </xdr:nvSpPr>
        <xdr:spPr>
          <a:xfrm>
            <a:off x="7232785" y="2816826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803" h="5620" extrusionOk="0">
                <a:moveTo>
                  <a:pt x="2473" y="1083"/>
                </a:moveTo>
                <a:cubicBezTo>
                  <a:pt x="3005" y="1083"/>
                  <a:pt x="3515" y="1390"/>
                  <a:pt x="3515" y="2125"/>
                </a:cubicBezTo>
                <a:lnTo>
                  <a:pt x="3515" y="2268"/>
                </a:lnTo>
                <a:lnTo>
                  <a:pt x="1329" y="2268"/>
                </a:lnTo>
                <a:lnTo>
                  <a:pt x="1329" y="2186"/>
                </a:lnTo>
                <a:cubicBezTo>
                  <a:pt x="1329" y="1390"/>
                  <a:pt x="1922" y="1083"/>
                  <a:pt x="2473" y="1083"/>
                </a:cubicBezTo>
                <a:close/>
                <a:moveTo>
                  <a:pt x="2473" y="0"/>
                </a:moveTo>
                <a:cubicBezTo>
                  <a:pt x="1145" y="0"/>
                  <a:pt x="1" y="838"/>
                  <a:pt x="1" y="2370"/>
                </a:cubicBezTo>
                <a:lnTo>
                  <a:pt x="1" y="3413"/>
                </a:lnTo>
                <a:cubicBezTo>
                  <a:pt x="1" y="4884"/>
                  <a:pt x="1186" y="5619"/>
                  <a:pt x="2514" y="5619"/>
                </a:cubicBezTo>
                <a:cubicBezTo>
                  <a:pt x="3475" y="5619"/>
                  <a:pt x="4312" y="5252"/>
                  <a:pt x="4741" y="4414"/>
                </a:cubicBezTo>
                <a:lnTo>
                  <a:pt x="3740" y="3842"/>
                </a:lnTo>
                <a:cubicBezTo>
                  <a:pt x="3475" y="4250"/>
                  <a:pt x="3005" y="4536"/>
                  <a:pt x="2575" y="4536"/>
                </a:cubicBezTo>
                <a:cubicBezTo>
                  <a:pt x="1901" y="4536"/>
                  <a:pt x="1329" y="4148"/>
                  <a:pt x="1329" y="3453"/>
                </a:cubicBezTo>
                <a:lnTo>
                  <a:pt x="1329" y="3167"/>
                </a:lnTo>
                <a:lnTo>
                  <a:pt x="4803" y="3167"/>
                </a:lnTo>
                <a:lnTo>
                  <a:pt x="4803" y="2125"/>
                </a:lnTo>
                <a:cubicBezTo>
                  <a:pt x="4803" y="695"/>
                  <a:pt x="3638" y="0"/>
                  <a:pt x="2473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8" name="Google Shape;319;p51">
            <a:extLst>
              <a:ext uri="{FF2B5EF4-FFF2-40B4-BE49-F238E27FC236}">
                <a16:creationId xmlns="" xmlns:a16="http://schemas.microsoft.com/office/drawing/2014/main" id="{7569FB0B-18A7-4E50-86B4-2D75B83EA9F3}"/>
              </a:ext>
            </a:extLst>
          </xdr:cNvPr>
          <xdr:cNvSpPr/>
        </xdr:nvSpPr>
        <xdr:spPr>
          <a:xfrm>
            <a:off x="5701108" y="3066430"/>
            <a:ext cx="127640" cy="204222"/>
          </a:xfrm>
          <a:custGeom>
            <a:avLst/>
            <a:gdLst/>
            <a:ahLst/>
            <a:cxnLst/>
            <a:rect l="l" t="t" r="r" b="b"/>
            <a:pathLst>
              <a:path w="4905" h="7642" extrusionOk="0">
                <a:moveTo>
                  <a:pt x="2432" y="3107"/>
                </a:moveTo>
                <a:cubicBezTo>
                  <a:pt x="3086" y="3107"/>
                  <a:pt x="3617" y="3495"/>
                  <a:pt x="3617" y="4149"/>
                </a:cubicBezTo>
                <a:lnTo>
                  <a:pt x="3617" y="5477"/>
                </a:lnTo>
                <a:cubicBezTo>
                  <a:pt x="3617" y="6253"/>
                  <a:pt x="3004" y="6540"/>
                  <a:pt x="2473" y="6540"/>
                </a:cubicBezTo>
                <a:cubicBezTo>
                  <a:pt x="1819" y="6540"/>
                  <a:pt x="1308" y="6151"/>
                  <a:pt x="1308" y="5497"/>
                </a:cubicBezTo>
                <a:lnTo>
                  <a:pt x="1308" y="4169"/>
                </a:lnTo>
                <a:cubicBezTo>
                  <a:pt x="1308" y="3393"/>
                  <a:pt x="1901" y="3107"/>
                  <a:pt x="2432" y="3107"/>
                </a:cubicBezTo>
                <a:close/>
                <a:moveTo>
                  <a:pt x="3617" y="1"/>
                </a:moveTo>
                <a:lnTo>
                  <a:pt x="3617" y="2678"/>
                </a:lnTo>
                <a:lnTo>
                  <a:pt x="3597" y="2678"/>
                </a:lnTo>
                <a:cubicBezTo>
                  <a:pt x="3311" y="2310"/>
                  <a:pt x="2820" y="2003"/>
                  <a:pt x="2228" y="2003"/>
                </a:cubicBezTo>
                <a:cubicBezTo>
                  <a:pt x="1022" y="2003"/>
                  <a:pt x="0" y="2739"/>
                  <a:pt x="0" y="4210"/>
                </a:cubicBezTo>
                <a:lnTo>
                  <a:pt x="0" y="5518"/>
                </a:lnTo>
                <a:cubicBezTo>
                  <a:pt x="0" y="6887"/>
                  <a:pt x="940" y="7643"/>
                  <a:pt x="2125" y="7643"/>
                </a:cubicBezTo>
                <a:cubicBezTo>
                  <a:pt x="2616" y="7643"/>
                  <a:pt x="3331" y="7336"/>
                  <a:pt x="3637" y="6907"/>
                </a:cubicBezTo>
                <a:lnTo>
                  <a:pt x="3658" y="6907"/>
                </a:lnTo>
                <a:lnTo>
                  <a:pt x="3658" y="7520"/>
                </a:lnTo>
                <a:lnTo>
                  <a:pt x="4904" y="7520"/>
                </a:lnTo>
                <a:lnTo>
                  <a:pt x="4904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59" name="Google Shape;320;p51">
            <a:extLst>
              <a:ext uri="{FF2B5EF4-FFF2-40B4-BE49-F238E27FC236}">
                <a16:creationId xmlns="" xmlns:a16="http://schemas.microsoft.com/office/drawing/2014/main" id="{7AF886FE-E88D-47B3-A947-127B84417C73}"/>
              </a:ext>
            </a:extLst>
          </xdr:cNvPr>
          <xdr:cNvSpPr/>
        </xdr:nvSpPr>
        <xdr:spPr>
          <a:xfrm>
            <a:off x="5854276" y="3134503"/>
            <a:ext cx="127640" cy="136148"/>
          </a:xfrm>
          <a:custGeom>
            <a:avLst/>
            <a:gdLst/>
            <a:ahLst/>
            <a:cxnLst/>
            <a:rect l="l" t="t" r="r" b="b"/>
            <a:pathLst>
              <a:path w="4701" h="5498" extrusionOk="0">
                <a:moveTo>
                  <a:pt x="1" y="1"/>
                </a:moveTo>
                <a:lnTo>
                  <a:pt x="1" y="3434"/>
                </a:lnTo>
                <a:cubicBezTo>
                  <a:pt x="1" y="4721"/>
                  <a:pt x="695" y="5498"/>
                  <a:pt x="1901" y="5498"/>
                </a:cubicBezTo>
                <a:cubicBezTo>
                  <a:pt x="2494" y="5498"/>
                  <a:pt x="3066" y="5252"/>
                  <a:pt x="3413" y="4721"/>
                </a:cubicBezTo>
                <a:lnTo>
                  <a:pt x="3454" y="4721"/>
                </a:lnTo>
                <a:lnTo>
                  <a:pt x="3454" y="5395"/>
                </a:lnTo>
                <a:lnTo>
                  <a:pt x="4700" y="5395"/>
                </a:lnTo>
                <a:lnTo>
                  <a:pt x="4700" y="1"/>
                </a:lnTo>
                <a:lnTo>
                  <a:pt x="3413" y="1"/>
                </a:lnTo>
                <a:lnTo>
                  <a:pt x="3413" y="3005"/>
                </a:lnTo>
                <a:cubicBezTo>
                  <a:pt x="3413" y="3924"/>
                  <a:pt x="3004" y="4374"/>
                  <a:pt x="2310" y="4374"/>
                </a:cubicBezTo>
                <a:cubicBezTo>
                  <a:pt x="1656" y="4374"/>
                  <a:pt x="1288" y="3945"/>
                  <a:pt x="1288" y="3127"/>
                </a:cubicBezTo>
                <a:lnTo>
                  <a:pt x="1288" y="1"/>
                </a:ln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0" name="Google Shape;321;p51">
            <a:extLst>
              <a:ext uri="{FF2B5EF4-FFF2-40B4-BE49-F238E27FC236}">
                <a16:creationId xmlns="" xmlns:a16="http://schemas.microsoft.com/office/drawing/2014/main" id="{C55F0B37-80A5-4FD5-B156-3E5A537ADBEA}"/>
              </a:ext>
            </a:extLst>
          </xdr:cNvPr>
          <xdr:cNvSpPr/>
        </xdr:nvSpPr>
        <xdr:spPr>
          <a:xfrm>
            <a:off x="6058499" y="3066430"/>
            <a:ext cx="153168" cy="204222"/>
          </a:xfrm>
          <a:custGeom>
            <a:avLst/>
            <a:gdLst/>
            <a:ahLst/>
            <a:cxnLst/>
            <a:rect l="l" t="t" r="r" b="b"/>
            <a:pathLst>
              <a:path w="5886" h="7765" extrusionOk="0">
                <a:moveTo>
                  <a:pt x="3004" y="0"/>
                </a:moveTo>
                <a:cubicBezTo>
                  <a:pt x="1370" y="0"/>
                  <a:pt x="1" y="981"/>
                  <a:pt x="1" y="2759"/>
                </a:cubicBezTo>
                <a:lnTo>
                  <a:pt x="1" y="5170"/>
                </a:lnTo>
                <a:cubicBezTo>
                  <a:pt x="1" y="6845"/>
                  <a:pt x="1431" y="7765"/>
                  <a:pt x="3066" y="7765"/>
                </a:cubicBezTo>
                <a:cubicBezTo>
                  <a:pt x="4496" y="7765"/>
                  <a:pt x="5886" y="6968"/>
                  <a:pt x="5886" y="5292"/>
                </a:cubicBezTo>
                <a:lnTo>
                  <a:pt x="5886" y="5068"/>
                </a:lnTo>
                <a:lnTo>
                  <a:pt x="4557" y="5068"/>
                </a:lnTo>
                <a:lnTo>
                  <a:pt x="4557" y="5170"/>
                </a:lnTo>
                <a:cubicBezTo>
                  <a:pt x="4557" y="6151"/>
                  <a:pt x="3760" y="6518"/>
                  <a:pt x="3066" y="6518"/>
                </a:cubicBezTo>
                <a:cubicBezTo>
                  <a:pt x="2187" y="6518"/>
                  <a:pt x="1411" y="6008"/>
                  <a:pt x="1411" y="5109"/>
                </a:cubicBezTo>
                <a:lnTo>
                  <a:pt x="1411" y="2697"/>
                </a:lnTo>
                <a:cubicBezTo>
                  <a:pt x="1411" y="1614"/>
                  <a:pt x="2289" y="1247"/>
                  <a:pt x="3004" y="1247"/>
                </a:cubicBezTo>
                <a:cubicBezTo>
                  <a:pt x="3699" y="1247"/>
                  <a:pt x="4557" y="1614"/>
                  <a:pt x="4557" y="2595"/>
                </a:cubicBezTo>
                <a:lnTo>
                  <a:pt x="4557" y="2718"/>
                </a:lnTo>
                <a:lnTo>
                  <a:pt x="5886" y="2718"/>
                </a:lnTo>
                <a:lnTo>
                  <a:pt x="5886" y="2473"/>
                </a:lnTo>
                <a:cubicBezTo>
                  <a:pt x="5886" y="797"/>
                  <a:pt x="4455" y="0"/>
                  <a:pt x="3004" y="0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1" name="Google Shape;322;p51">
            <a:extLst>
              <a:ext uri="{FF2B5EF4-FFF2-40B4-BE49-F238E27FC236}">
                <a16:creationId xmlns="" xmlns:a16="http://schemas.microsoft.com/office/drawing/2014/main" id="{18852177-F887-4F62-A841-8D05F655FE2B}"/>
              </a:ext>
            </a:extLst>
          </xdr:cNvPr>
          <xdr:cNvSpPr/>
        </xdr:nvSpPr>
        <xdr:spPr>
          <a:xfrm>
            <a:off x="6237195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906" h="5620" extrusionOk="0">
                <a:moveTo>
                  <a:pt x="2433" y="1104"/>
                </a:moveTo>
                <a:cubicBezTo>
                  <a:pt x="3087" y="1104"/>
                  <a:pt x="3597" y="1472"/>
                  <a:pt x="3597" y="2126"/>
                </a:cubicBezTo>
                <a:lnTo>
                  <a:pt x="3597" y="3474"/>
                </a:lnTo>
                <a:cubicBezTo>
                  <a:pt x="3597" y="4251"/>
                  <a:pt x="3005" y="4537"/>
                  <a:pt x="2474" y="4537"/>
                </a:cubicBezTo>
                <a:cubicBezTo>
                  <a:pt x="1799" y="4537"/>
                  <a:pt x="1309" y="4149"/>
                  <a:pt x="1309" y="3495"/>
                </a:cubicBezTo>
                <a:lnTo>
                  <a:pt x="1309" y="2167"/>
                </a:lnTo>
                <a:cubicBezTo>
                  <a:pt x="1309" y="1390"/>
                  <a:pt x="1901" y="1104"/>
                  <a:pt x="2433" y="1104"/>
                </a:cubicBezTo>
                <a:close/>
                <a:moveTo>
                  <a:pt x="2433" y="1"/>
                </a:moveTo>
                <a:cubicBezTo>
                  <a:pt x="1247" y="1"/>
                  <a:pt x="1" y="798"/>
                  <a:pt x="1" y="2269"/>
                </a:cubicBezTo>
                <a:lnTo>
                  <a:pt x="1" y="3495"/>
                </a:lnTo>
                <a:cubicBezTo>
                  <a:pt x="1" y="4884"/>
                  <a:pt x="1166" y="5620"/>
                  <a:pt x="2474" y="5620"/>
                </a:cubicBezTo>
                <a:cubicBezTo>
                  <a:pt x="3659" y="5620"/>
                  <a:pt x="4905" y="4823"/>
                  <a:pt x="4905" y="3352"/>
                </a:cubicBezTo>
                <a:lnTo>
                  <a:pt x="4905" y="2248"/>
                </a:lnTo>
                <a:cubicBezTo>
                  <a:pt x="4905" y="859"/>
                  <a:pt x="3740" y="1"/>
                  <a:pt x="2433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2" name="Google Shape;323;p51">
            <a:extLst>
              <a:ext uri="{FF2B5EF4-FFF2-40B4-BE49-F238E27FC236}">
                <a16:creationId xmlns="" xmlns:a16="http://schemas.microsoft.com/office/drawing/2014/main" id="{B20AE48E-FEAF-4569-844F-E630303C90B0}"/>
              </a:ext>
            </a:extLst>
          </xdr:cNvPr>
          <xdr:cNvSpPr/>
        </xdr:nvSpPr>
        <xdr:spPr>
          <a:xfrm>
            <a:off x="6390363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680" h="5498" extrusionOk="0">
                <a:moveTo>
                  <a:pt x="2800" y="1"/>
                </a:moveTo>
                <a:cubicBezTo>
                  <a:pt x="2207" y="1"/>
                  <a:pt x="1635" y="246"/>
                  <a:pt x="1267" y="757"/>
                </a:cubicBezTo>
                <a:lnTo>
                  <a:pt x="1247" y="757"/>
                </a:lnTo>
                <a:lnTo>
                  <a:pt x="1247" y="103"/>
                </a:lnTo>
                <a:lnTo>
                  <a:pt x="0" y="103"/>
                </a:lnTo>
                <a:lnTo>
                  <a:pt x="0" y="5497"/>
                </a:lnTo>
                <a:lnTo>
                  <a:pt x="1288" y="5497"/>
                </a:lnTo>
                <a:lnTo>
                  <a:pt x="1288" y="2473"/>
                </a:lnTo>
                <a:cubicBezTo>
                  <a:pt x="1288" y="1554"/>
                  <a:pt x="1697" y="1124"/>
                  <a:pt x="2391" y="1124"/>
                </a:cubicBezTo>
                <a:cubicBezTo>
                  <a:pt x="3045" y="1124"/>
                  <a:pt x="3393" y="1554"/>
                  <a:pt x="3393" y="2371"/>
                </a:cubicBezTo>
                <a:lnTo>
                  <a:pt x="3393" y="5497"/>
                </a:lnTo>
                <a:lnTo>
                  <a:pt x="4680" y="5497"/>
                </a:lnTo>
                <a:lnTo>
                  <a:pt x="4680" y="2044"/>
                </a:lnTo>
                <a:cubicBezTo>
                  <a:pt x="4680" y="757"/>
                  <a:pt x="4006" y="1"/>
                  <a:pt x="2800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3" name="Google Shape;324;p51">
            <a:extLst>
              <a:ext uri="{FF2B5EF4-FFF2-40B4-BE49-F238E27FC236}">
                <a16:creationId xmlns="" xmlns:a16="http://schemas.microsoft.com/office/drawing/2014/main" id="{2D1D64E1-167C-46C9-80F1-3442B0D67EDE}"/>
              </a:ext>
            </a:extLst>
          </xdr:cNvPr>
          <xdr:cNvSpPr/>
        </xdr:nvSpPr>
        <xdr:spPr>
          <a:xfrm>
            <a:off x="6543530" y="3111812"/>
            <a:ext cx="102112" cy="204222"/>
          </a:xfrm>
          <a:custGeom>
            <a:avLst/>
            <a:gdLst/>
            <a:ahLst/>
            <a:cxnLst/>
            <a:rect l="l" t="t" r="r" b="b"/>
            <a:pathLst>
              <a:path w="4844" h="7562" extrusionOk="0">
                <a:moveTo>
                  <a:pt x="2433" y="1104"/>
                </a:moveTo>
                <a:cubicBezTo>
                  <a:pt x="3107" y="1104"/>
                  <a:pt x="3597" y="1472"/>
                  <a:pt x="3597" y="2126"/>
                </a:cubicBezTo>
                <a:lnTo>
                  <a:pt x="3597" y="3331"/>
                </a:lnTo>
                <a:cubicBezTo>
                  <a:pt x="3597" y="4108"/>
                  <a:pt x="3005" y="4394"/>
                  <a:pt x="2473" y="4394"/>
                </a:cubicBezTo>
                <a:cubicBezTo>
                  <a:pt x="1820" y="4394"/>
                  <a:pt x="1309" y="4006"/>
                  <a:pt x="1309" y="3352"/>
                </a:cubicBezTo>
                <a:lnTo>
                  <a:pt x="1309" y="2167"/>
                </a:lnTo>
                <a:cubicBezTo>
                  <a:pt x="1309" y="1390"/>
                  <a:pt x="1901" y="1104"/>
                  <a:pt x="2433" y="1104"/>
                </a:cubicBezTo>
                <a:close/>
                <a:moveTo>
                  <a:pt x="2126" y="1"/>
                </a:moveTo>
                <a:cubicBezTo>
                  <a:pt x="920" y="1"/>
                  <a:pt x="1" y="798"/>
                  <a:pt x="1" y="2269"/>
                </a:cubicBezTo>
                <a:lnTo>
                  <a:pt x="1" y="3290"/>
                </a:lnTo>
                <a:cubicBezTo>
                  <a:pt x="1" y="4680"/>
                  <a:pt x="839" y="5416"/>
                  <a:pt x="2146" y="5416"/>
                </a:cubicBezTo>
                <a:cubicBezTo>
                  <a:pt x="2739" y="5416"/>
                  <a:pt x="3229" y="5191"/>
                  <a:pt x="3577" y="4721"/>
                </a:cubicBezTo>
                <a:lnTo>
                  <a:pt x="3597" y="4721"/>
                </a:lnTo>
                <a:lnTo>
                  <a:pt x="3597" y="5273"/>
                </a:lnTo>
                <a:cubicBezTo>
                  <a:pt x="3597" y="6049"/>
                  <a:pt x="3168" y="6539"/>
                  <a:pt x="2392" y="6539"/>
                </a:cubicBezTo>
                <a:cubicBezTo>
                  <a:pt x="1922" y="6539"/>
                  <a:pt x="1554" y="6335"/>
                  <a:pt x="1309" y="5824"/>
                </a:cubicBezTo>
                <a:lnTo>
                  <a:pt x="83" y="6253"/>
                </a:lnTo>
                <a:cubicBezTo>
                  <a:pt x="348" y="7152"/>
                  <a:pt x="1411" y="7561"/>
                  <a:pt x="2269" y="7561"/>
                </a:cubicBezTo>
                <a:cubicBezTo>
                  <a:pt x="4149" y="7561"/>
                  <a:pt x="4844" y="6294"/>
                  <a:pt x="4844" y="5048"/>
                </a:cubicBezTo>
                <a:lnTo>
                  <a:pt x="4844" y="103"/>
                </a:lnTo>
                <a:lnTo>
                  <a:pt x="3618" y="103"/>
                </a:lnTo>
                <a:lnTo>
                  <a:pt x="3618" y="736"/>
                </a:lnTo>
                <a:lnTo>
                  <a:pt x="3597" y="736"/>
                </a:lnTo>
                <a:cubicBezTo>
                  <a:pt x="3311" y="328"/>
                  <a:pt x="2759" y="1"/>
                  <a:pt x="2126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4" name="Google Shape;325;p51">
            <a:extLst>
              <a:ext uri="{FF2B5EF4-FFF2-40B4-BE49-F238E27FC236}">
                <a16:creationId xmlns="" xmlns:a16="http://schemas.microsoft.com/office/drawing/2014/main" id="{C2437574-BD46-4157-85E4-4A79254E46A5}"/>
              </a:ext>
            </a:extLst>
          </xdr:cNvPr>
          <xdr:cNvSpPr/>
        </xdr:nvSpPr>
        <xdr:spPr>
          <a:xfrm>
            <a:off x="6671170" y="3111812"/>
            <a:ext cx="127640" cy="158839"/>
          </a:xfrm>
          <a:custGeom>
            <a:avLst/>
            <a:gdLst/>
            <a:ahLst/>
            <a:cxnLst/>
            <a:rect l="l" t="t" r="r" b="b"/>
            <a:pathLst>
              <a:path w="4925" h="5620" extrusionOk="0">
                <a:moveTo>
                  <a:pt x="2432" y="1104"/>
                </a:moveTo>
                <a:cubicBezTo>
                  <a:pt x="3106" y="1104"/>
                  <a:pt x="3617" y="1472"/>
                  <a:pt x="3617" y="2126"/>
                </a:cubicBezTo>
                <a:lnTo>
                  <a:pt x="3617" y="3474"/>
                </a:lnTo>
                <a:cubicBezTo>
                  <a:pt x="3617" y="4251"/>
                  <a:pt x="3024" y="4537"/>
                  <a:pt x="2493" y="4537"/>
                </a:cubicBezTo>
                <a:cubicBezTo>
                  <a:pt x="1819" y="4537"/>
                  <a:pt x="1308" y="4149"/>
                  <a:pt x="1308" y="3495"/>
                </a:cubicBezTo>
                <a:lnTo>
                  <a:pt x="1308" y="2167"/>
                </a:lnTo>
                <a:cubicBezTo>
                  <a:pt x="1308" y="1390"/>
                  <a:pt x="1901" y="1104"/>
                  <a:pt x="2432" y="1104"/>
                </a:cubicBezTo>
                <a:close/>
                <a:moveTo>
                  <a:pt x="2432" y="1"/>
                </a:moveTo>
                <a:cubicBezTo>
                  <a:pt x="1247" y="1"/>
                  <a:pt x="0" y="798"/>
                  <a:pt x="0" y="2269"/>
                </a:cubicBezTo>
                <a:lnTo>
                  <a:pt x="0" y="3495"/>
                </a:lnTo>
                <a:cubicBezTo>
                  <a:pt x="0" y="4884"/>
                  <a:pt x="1185" y="5620"/>
                  <a:pt x="2493" y="5620"/>
                </a:cubicBezTo>
                <a:cubicBezTo>
                  <a:pt x="3678" y="5620"/>
                  <a:pt x="4925" y="4823"/>
                  <a:pt x="4925" y="3352"/>
                </a:cubicBezTo>
                <a:lnTo>
                  <a:pt x="4925" y="2248"/>
                </a:lnTo>
                <a:cubicBezTo>
                  <a:pt x="4925" y="859"/>
                  <a:pt x="3740" y="1"/>
                  <a:pt x="2432" y="1"/>
                </a:cubicBezTo>
                <a:close/>
              </a:path>
            </a:pathLst>
          </a:custGeom>
          <a:solidFill>
            <a:srgbClr val="002878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  <xdr:sp macro="" textlink="">
        <xdr:nvSpPr>
          <xdr:cNvPr id="65" name="Google Shape;326;p51">
            <a:extLst>
              <a:ext uri="{FF2B5EF4-FFF2-40B4-BE49-F238E27FC236}">
                <a16:creationId xmlns="" xmlns:a16="http://schemas.microsoft.com/office/drawing/2014/main" id="{B5E3B5F2-EBC4-4D2A-A70C-15BB8AB60BE2}"/>
              </a:ext>
            </a:extLst>
          </xdr:cNvPr>
          <xdr:cNvSpPr/>
        </xdr:nvSpPr>
        <xdr:spPr>
          <a:xfrm>
            <a:off x="5420300" y="2431074"/>
            <a:ext cx="25528" cy="839577"/>
          </a:xfrm>
          <a:custGeom>
            <a:avLst/>
            <a:gdLst/>
            <a:ahLst/>
            <a:cxnLst/>
            <a:rect l="l" t="t" r="r" b="b"/>
            <a:pathLst>
              <a:path w="859" h="32940" extrusionOk="0">
                <a:moveTo>
                  <a:pt x="0" y="1"/>
                </a:moveTo>
                <a:lnTo>
                  <a:pt x="0" y="32940"/>
                </a:lnTo>
                <a:lnTo>
                  <a:pt x="858" y="32940"/>
                </a:lnTo>
                <a:lnTo>
                  <a:pt x="858" y="1"/>
                </a:lnTo>
                <a:close/>
              </a:path>
            </a:pathLst>
          </a:custGeom>
          <a:solidFill>
            <a:srgbClr val="64C8FA"/>
          </a:solidFill>
          <a:ln>
            <a:noFill/>
          </a:ln>
        </xdr:spPr>
        <xdr:txBody>
          <a:bodyPr spcFirstLastPara="1" wrap="square" lIns="68575" tIns="68575" rIns="68575" bIns="68575" anchor="ctr" anchorCtr="0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33618</xdr:colOff>
      <xdr:row>0</xdr:row>
      <xdr:rowOff>33616</xdr:rowOff>
    </xdr:from>
    <xdr:to>
      <xdr:col>18</xdr:col>
      <xdr:colOff>11205</xdr:colOff>
      <xdr:row>0</xdr:row>
      <xdr:rowOff>324969</xdr:rowOff>
    </xdr:to>
    <xdr:sp macro="" textlink="$D$1">
      <xdr:nvSpPr>
        <xdr:cNvPr id="66" name="Rectangle : coins arrondis 65">
          <a:extLst>
            <a:ext uri="{FF2B5EF4-FFF2-40B4-BE49-F238E27FC236}">
              <a16:creationId xmlns="" xmlns:a16="http://schemas.microsoft.com/office/drawing/2014/main" id="{78E8E3DE-3AE1-412A-946A-4E41D5C9052C}"/>
            </a:ext>
          </a:extLst>
        </xdr:cNvPr>
        <xdr:cNvSpPr/>
      </xdr:nvSpPr>
      <xdr:spPr>
        <a:xfrm>
          <a:off x="4661647" y="33616"/>
          <a:ext cx="9390529" cy="291353"/>
        </a:xfrm>
        <a:prstGeom prst="round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94EA6F08-5208-4E42-A336-1F7DDC75F578}" type="TxLink">
            <a:rPr lang="en-US" sz="1400" b="1" i="0" u="none" strike="noStrike">
              <a:solidFill>
                <a:schemeClr val="bg1"/>
              </a:solidFill>
              <a:latin typeface="Arial"/>
              <a:cs typeface="Arial"/>
            </a:rPr>
            <a:pPr algn="ctr"/>
            <a:t>ZS DE ITEBERO : CV SELON LE CALENDRIER VACCINAL DE JANVIER-OCTOBRE 2024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56029</xdr:colOff>
      <xdr:row>0</xdr:row>
      <xdr:rowOff>22413</xdr:rowOff>
    </xdr:from>
    <xdr:to>
      <xdr:col>3</xdr:col>
      <xdr:colOff>2510118</xdr:colOff>
      <xdr:row>0</xdr:row>
      <xdr:rowOff>224119</xdr:rowOff>
    </xdr:to>
    <xdr:sp macro="" textlink="">
      <xdr:nvSpPr>
        <xdr:cNvPr id="69" name="Rectangle 68">
          <a:extLst>
            <a:ext uri="{FF2B5EF4-FFF2-40B4-BE49-F238E27FC236}">
              <a16:creationId xmlns="" xmlns:a16="http://schemas.microsoft.com/office/drawing/2014/main" id="{43515F98-399E-4D07-BDF7-5C26BD9D849C}"/>
            </a:ext>
          </a:extLst>
        </xdr:cNvPr>
        <xdr:cNvSpPr/>
      </xdr:nvSpPr>
      <xdr:spPr>
        <a:xfrm>
          <a:off x="2521323" y="22413"/>
          <a:ext cx="2454089" cy="2017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ANALYSES PAR AIRES</a:t>
          </a:r>
          <a:r>
            <a:rPr lang="en-US" sz="1050" b="1" baseline="0">
              <a:latin typeface="Arial" panose="020B0604020202020204" pitchFamily="34" charset="0"/>
              <a:cs typeface="Arial" panose="020B0604020202020204" pitchFamily="34" charset="0"/>
            </a:rPr>
            <a:t> DE SANTE</a:t>
          </a:r>
          <a:endParaRPr lang="en-US" sz="105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22412</xdr:colOff>
      <xdr:row>0</xdr:row>
      <xdr:rowOff>272863</xdr:rowOff>
    </xdr:from>
    <xdr:to>
      <xdr:col>3</xdr:col>
      <xdr:colOff>2521323</xdr:colOff>
      <xdr:row>13</xdr:row>
      <xdr:rowOff>139700</xdr:rowOff>
    </xdr:to>
    <xdr:grpSp>
      <xdr:nvGrpSpPr>
        <xdr:cNvPr id="78" name="Groupe 77">
          <a:extLst>
            <a:ext uri="{FF2B5EF4-FFF2-40B4-BE49-F238E27FC236}">
              <a16:creationId xmlns="" xmlns:a16="http://schemas.microsoft.com/office/drawing/2014/main" id="{5DEDE051-A163-4DD7-8B2F-95201C69D752}"/>
            </a:ext>
          </a:extLst>
        </xdr:cNvPr>
        <xdr:cNvGrpSpPr/>
      </xdr:nvGrpSpPr>
      <xdr:grpSpPr>
        <a:xfrm>
          <a:off x="2664012" y="272863"/>
          <a:ext cx="2498911" cy="2677770"/>
          <a:chOff x="2510118" y="261658"/>
          <a:chExt cx="2498911" cy="2680104"/>
        </a:xfrm>
      </xdr:grpSpPr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2" name="ZS">
                <a:extLst>
                  <a:ext uri="{FF2B5EF4-FFF2-40B4-BE49-F238E27FC236}">
                    <a16:creationId xmlns="" xmlns:a16="http://schemas.microsoft.com/office/drawing/2014/main" id="{E16475F3-BC1E-414B-A109-1C1024FA8DB0}"/>
                  </a:ext>
                </a:extLst>
              </xdr:cNvPr>
              <xdr:cNvGraphicFramePr/>
            </xdr:nvGraphicFramePr>
            <xdr:xfrm>
              <a:off x="2529321" y="1131794"/>
              <a:ext cx="1112591" cy="1199029"/>
            </xdr:xfrm>
            <a:graphic>
              <a:graphicData uri="http://schemas.microsoft.com/office/drawing/2010/slicer">
                <sle:slicer xmlns:sle="http://schemas.microsoft.com/office/drawing/2010/slicer" name="ZS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06909" y="1142999"/>
                <a:ext cx="1112591" cy="119902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70" name="Categorisaton">
                <a:extLst>
                  <a:ext uri="{FF2B5EF4-FFF2-40B4-BE49-F238E27FC236}">
                    <a16:creationId xmlns="" xmlns:a16="http://schemas.microsoft.com/office/drawing/2014/main" id="{434D8FD7-0503-404D-98AE-962F549E28FE}"/>
                  </a:ext>
                </a:extLst>
              </xdr:cNvPr>
              <xdr:cNvGraphicFramePr/>
            </xdr:nvGraphicFramePr>
            <xdr:xfrm>
              <a:off x="2510118" y="2353237"/>
              <a:ext cx="2487706" cy="588525"/>
            </xdr:xfrm>
            <a:graphic>
              <a:graphicData uri="http://schemas.microsoft.com/office/drawing/2010/slicer">
                <sle:slicer xmlns:sle="http://schemas.microsoft.com/office/drawing/2010/slicer" name="Categorisat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487706" y="2364442"/>
                <a:ext cx="2487706" cy="63873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68" name="Tx_Abandon">
                <a:extLst>
                  <a:ext uri="{FF2B5EF4-FFF2-40B4-BE49-F238E27FC236}">
                    <a16:creationId xmlns="" xmlns:a16="http://schemas.microsoft.com/office/drawing/2014/main" id="{BFE98C6D-CB25-4DC9-8D2B-FDB1CE416F67}"/>
                  </a:ext>
                </a:extLst>
              </xdr:cNvPr>
              <xdr:cNvGraphicFramePr/>
            </xdr:nvGraphicFramePr>
            <xdr:xfrm>
              <a:off x="3657598" y="1703295"/>
              <a:ext cx="1351431" cy="627528"/>
            </xdr:xfrm>
            <a:graphic>
              <a:graphicData uri="http://schemas.microsoft.com/office/drawing/2010/slicer">
                <sle:slicer xmlns:sle="http://schemas.microsoft.com/office/drawing/2010/slicer" name="Tx_Abandon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35186" y="1714500"/>
                <a:ext cx="1351431" cy="62752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71" name="CV_Penta3">
                <a:extLst>
                  <a:ext uri="{FF2B5EF4-FFF2-40B4-BE49-F238E27FC236}">
                    <a16:creationId xmlns="" xmlns:a16="http://schemas.microsoft.com/office/drawing/2014/main" id="{96E910C3-B2D7-461E-ABBD-98196C4BAC2B}"/>
                  </a:ext>
                </a:extLst>
              </xdr:cNvPr>
              <xdr:cNvGraphicFramePr/>
            </xdr:nvGraphicFramePr>
            <xdr:xfrm>
              <a:off x="3655918" y="263338"/>
              <a:ext cx="1341906" cy="1417544"/>
            </xdr:xfrm>
            <a:graphic>
              <a:graphicData uri="http://schemas.microsoft.com/office/drawing/2010/slicer">
                <sle:slicer xmlns:sle="http://schemas.microsoft.com/office/drawing/2010/slicer" name="CV_Penta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3633506" y="274543"/>
                <a:ext cx="1341906" cy="141754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  <mc:AlternateContent xmlns:mc="http://schemas.openxmlformats.org/markup-compatibility/2006" xmlns:sle15="http://schemas.microsoft.com/office/drawing/2012/slicer">
        <mc:Choice Requires="sle15">
          <xdr:graphicFrame macro="">
            <xdr:nvGraphicFramePr>
              <xdr:cNvPr id="75" name="Antenne">
                <a:extLst>
                  <a:ext uri="{FF2B5EF4-FFF2-40B4-BE49-F238E27FC236}">
                    <a16:creationId xmlns="" xmlns:a16="http://schemas.microsoft.com/office/drawing/2014/main" id="{CFFE8094-664A-4926-96A8-9397FCEC7B72}"/>
                  </a:ext>
                </a:extLst>
              </xdr:cNvPr>
              <xdr:cNvGraphicFramePr/>
            </xdr:nvGraphicFramePr>
            <xdr:xfrm>
              <a:off x="2530848" y="261658"/>
              <a:ext cx="1111064" cy="858930"/>
            </xdr:xfrm>
            <a:graphic>
              <a:graphicData uri="http://schemas.microsoft.com/office/drawing/2010/slicer">
                <sle:slicer xmlns:sle="http://schemas.microsoft.com/office/drawing/2010/slicer" name="Antenne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508436" y="272863"/>
                <a:ext cx="1111064" cy="858930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28575</xdr:rowOff>
    </xdr:from>
    <xdr:to>
      <xdr:col>14</xdr:col>
      <xdr:colOff>0</xdr:colOff>
      <xdr:row>30</xdr:row>
      <xdr:rowOff>0</xdr:rowOff>
    </xdr:to>
    <xdr:graphicFrame macro="">
      <xdr:nvGraphicFramePr>
        <xdr:cNvPr id="2" name="Chart 3">
          <a:extLst>
            <a:ext uri="{FF2B5EF4-FFF2-40B4-BE49-F238E27FC236}">
              <a16:creationId xmlns="" xmlns:a16="http://schemas.microsoft.com/office/drawing/2014/main" id="{14701E7E-5FE1-4DCE-8B32-5AE3A61633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10</xdr:row>
      <xdr:rowOff>27214</xdr:rowOff>
    </xdr:from>
    <xdr:to>
      <xdr:col>0</xdr:col>
      <xdr:colOff>1495425</xdr:colOff>
      <xdr:row>30</xdr:row>
      <xdr:rowOff>0</xdr:rowOff>
    </xdr:to>
    <xdr:sp macro="" textlink="">
      <xdr:nvSpPr>
        <xdr:cNvPr id="3" name="Text Box 8">
          <a:extLst>
            <a:ext uri="{FF2B5EF4-FFF2-40B4-BE49-F238E27FC236}">
              <a16:creationId xmlns="" xmlns:a16="http://schemas.microsoft.com/office/drawing/2014/main" id="{469C6DB0-BEC9-40C1-8990-F0F58B954E0E}"/>
            </a:ext>
          </a:extLst>
        </xdr:cNvPr>
        <xdr:cNvSpPr txBox="1">
          <a:spLocks noChangeArrowheads="1"/>
        </xdr:cNvSpPr>
      </xdr:nvSpPr>
      <xdr:spPr bwMode="auto">
        <a:xfrm>
          <a:off x="38100" y="1918607"/>
          <a:ext cx="1457325" cy="3306536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537754</xdr:colOff>
      <xdr:row>10</xdr:row>
      <xdr:rowOff>95250</xdr:rowOff>
    </xdr:from>
    <xdr:to>
      <xdr:col>0</xdr:col>
      <xdr:colOff>993037</xdr:colOff>
      <xdr:row>29</xdr:row>
      <xdr:rowOff>68037</xdr:rowOff>
    </xdr:to>
    <xdr:sp macro="" textlink="">
      <xdr:nvSpPr>
        <xdr:cNvPr id="4" name="Text Box 9">
          <a:extLst>
            <a:ext uri="{FF2B5EF4-FFF2-40B4-BE49-F238E27FC236}">
              <a16:creationId xmlns="" xmlns:a16="http://schemas.microsoft.com/office/drawing/2014/main" id="{5F9A3B8F-112F-4CF7-8DEB-8D2DFFA11947}"/>
            </a:ext>
          </a:extLst>
        </xdr:cNvPr>
        <xdr:cNvSpPr txBox="1">
          <a:spLocks noChangeArrowheads="1"/>
        </xdr:cNvSpPr>
      </xdr:nvSpPr>
      <xdr:spPr bwMode="auto">
        <a:xfrm>
          <a:off x="537754" y="1986643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twoCellAnchor>
  <xdr:twoCellAnchor>
    <xdr:from>
      <xdr:col>1</xdr:col>
      <xdr:colOff>0</xdr:colOff>
      <xdr:row>42</xdr:row>
      <xdr:rowOff>28575</xdr:rowOff>
    </xdr:from>
    <xdr:to>
      <xdr:col>14</xdr:col>
      <xdr:colOff>0</xdr:colOff>
      <xdr:row>62</xdr:row>
      <xdr:rowOff>0</xdr:rowOff>
    </xdr:to>
    <xdr:graphicFrame macro="">
      <xdr:nvGraphicFramePr>
        <xdr:cNvPr id="11" name="Chart 3">
          <a:extLst>
            <a:ext uri="{FF2B5EF4-FFF2-40B4-BE49-F238E27FC236}">
              <a16:creationId xmlns="" xmlns:a16="http://schemas.microsoft.com/office/drawing/2014/main" id="{157D339D-70FB-479F-8E23-100A18344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42</xdr:row>
      <xdr:rowOff>27214</xdr:rowOff>
    </xdr:from>
    <xdr:to>
      <xdr:col>0</xdr:col>
      <xdr:colOff>1495425</xdr:colOff>
      <xdr:row>62</xdr:row>
      <xdr:rowOff>0</xdr:rowOff>
    </xdr:to>
    <xdr:sp macro="" textlink="">
      <xdr:nvSpPr>
        <xdr:cNvPr id="12" name="Text Box 8">
          <a:extLst>
            <a:ext uri="{FF2B5EF4-FFF2-40B4-BE49-F238E27FC236}">
              <a16:creationId xmlns="" xmlns:a16="http://schemas.microsoft.com/office/drawing/2014/main" id="{DA978121-21D7-4970-8685-4503CCA823A7}"/>
            </a:ext>
          </a:extLst>
        </xdr:cNvPr>
        <xdr:cNvSpPr txBox="1">
          <a:spLocks noChangeArrowheads="1"/>
        </xdr:cNvSpPr>
      </xdr:nvSpPr>
      <xdr:spPr bwMode="auto">
        <a:xfrm>
          <a:off x="38100" y="1918607"/>
          <a:ext cx="1457325" cy="344260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537754</xdr:colOff>
      <xdr:row>42</xdr:row>
      <xdr:rowOff>95250</xdr:rowOff>
    </xdr:from>
    <xdr:ext cx="455283" cy="3143251"/>
    <xdr:sp macro="" textlink="">
      <xdr:nvSpPr>
        <xdr:cNvPr id="13" name="Text Box 9">
          <a:extLst>
            <a:ext uri="{FF2B5EF4-FFF2-40B4-BE49-F238E27FC236}">
              <a16:creationId xmlns="" xmlns:a16="http://schemas.microsoft.com/office/drawing/2014/main" id="{9529B457-91A0-4FAE-8301-52CF99A9978C}"/>
            </a:ext>
          </a:extLst>
        </xdr:cNvPr>
        <xdr:cNvSpPr txBox="1">
          <a:spLocks noChangeArrowheads="1"/>
        </xdr:cNvSpPr>
      </xdr:nvSpPr>
      <xdr:spPr bwMode="auto">
        <a:xfrm>
          <a:off x="537754" y="1986643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17</xdr:col>
      <xdr:colOff>0</xdr:colOff>
      <xdr:row>42</xdr:row>
      <xdr:rowOff>28575</xdr:rowOff>
    </xdr:from>
    <xdr:to>
      <xdr:col>30</xdr:col>
      <xdr:colOff>0</xdr:colOff>
      <xdr:row>62</xdr:row>
      <xdr:rowOff>0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C0A5C47B-A001-4B6A-96F4-5C0801834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</xdr:colOff>
      <xdr:row>42</xdr:row>
      <xdr:rowOff>27214</xdr:rowOff>
    </xdr:from>
    <xdr:to>
      <xdr:col>16</xdr:col>
      <xdr:colOff>1495425</xdr:colOff>
      <xdr:row>62</xdr:row>
      <xdr:rowOff>0</xdr:rowOff>
    </xdr:to>
    <xdr:sp macro="" textlink="">
      <xdr:nvSpPr>
        <xdr:cNvPr id="15" name="Text Box 8">
          <a:extLst>
            <a:ext uri="{FF2B5EF4-FFF2-40B4-BE49-F238E27FC236}">
              <a16:creationId xmlns="" xmlns:a16="http://schemas.microsoft.com/office/drawing/2014/main" id="{1D5E1B01-9D90-4C05-910A-F4541D7F2D50}"/>
            </a:ext>
          </a:extLst>
        </xdr:cNvPr>
        <xdr:cNvSpPr txBox="1">
          <a:spLocks noChangeArrowheads="1"/>
        </xdr:cNvSpPr>
      </xdr:nvSpPr>
      <xdr:spPr bwMode="auto">
        <a:xfrm>
          <a:off x="8977993" y="1918607"/>
          <a:ext cx="1457325" cy="344260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537754</xdr:colOff>
      <xdr:row>42</xdr:row>
      <xdr:rowOff>95250</xdr:rowOff>
    </xdr:from>
    <xdr:ext cx="455283" cy="3143251"/>
    <xdr:sp macro="" textlink="">
      <xdr:nvSpPr>
        <xdr:cNvPr id="16" name="Text Box 9">
          <a:extLst>
            <a:ext uri="{FF2B5EF4-FFF2-40B4-BE49-F238E27FC236}">
              <a16:creationId xmlns="" xmlns:a16="http://schemas.microsoft.com/office/drawing/2014/main" id="{87C4969C-C0B8-45B4-8BC2-88705ABFDD87}"/>
            </a:ext>
          </a:extLst>
        </xdr:cNvPr>
        <xdr:cNvSpPr txBox="1">
          <a:spLocks noChangeArrowheads="1"/>
        </xdr:cNvSpPr>
      </xdr:nvSpPr>
      <xdr:spPr bwMode="auto">
        <a:xfrm>
          <a:off x="9477647" y="1986643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</xdr:col>
      <xdr:colOff>0</xdr:colOff>
      <xdr:row>74</xdr:row>
      <xdr:rowOff>28575</xdr:rowOff>
    </xdr:from>
    <xdr:to>
      <xdr:col>14</xdr:col>
      <xdr:colOff>0</xdr:colOff>
      <xdr:row>94</xdr:row>
      <xdr:rowOff>0</xdr:rowOff>
    </xdr:to>
    <xdr:graphicFrame macro="">
      <xdr:nvGraphicFramePr>
        <xdr:cNvPr id="17" name="Chart 3">
          <a:extLst>
            <a:ext uri="{FF2B5EF4-FFF2-40B4-BE49-F238E27FC236}">
              <a16:creationId xmlns="" xmlns:a16="http://schemas.microsoft.com/office/drawing/2014/main" id="{60523647-67B3-4680-AB5F-D13CD52914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74</xdr:row>
      <xdr:rowOff>27214</xdr:rowOff>
    </xdr:from>
    <xdr:to>
      <xdr:col>0</xdr:col>
      <xdr:colOff>1495425</xdr:colOff>
      <xdr:row>94</xdr:row>
      <xdr:rowOff>0</xdr:rowOff>
    </xdr:to>
    <xdr:sp macro="" textlink="">
      <xdr:nvSpPr>
        <xdr:cNvPr id="18" name="Text Box 8">
          <a:extLst>
            <a:ext uri="{FF2B5EF4-FFF2-40B4-BE49-F238E27FC236}">
              <a16:creationId xmlns="" xmlns:a16="http://schemas.microsoft.com/office/drawing/2014/main" id="{EA4B1AE2-829E-452E-9E62-6D11148ABEFB}"/>
            </a:ext>
          </a:extLst>
        </xdr:cNvPr>
        <xdr:cNvSpPr txBox="1">
          <a:spLocks noChangeArrowheads="1"/>
        </xdr:cNvSpPr>
      </xdr:nvSpPr>
      <xdr:spPr bwMode="auto">
        <a:xfrm>
          <a:off x="38100" y="7606393"/>
          <a:ext cx="1457325" cy="344260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537754</xdr:colOff>
      <xdr:row>74</xdr:row>
      <xdr:rowOff>95250</xdr:rowOff>
    </xdr:from>
    <xdr:ext cx="455283" cy="3143251"/>
    <xdr:sp macro="" textlink="">
      <xdr:nvSpPr>
        <xdr:cNvPr id="19" name="Text Box 9">
          <a:extLst>
            <a:ext uri="{FF2B5EF4-FFF2-40B4-BE49-F238E27FC236}">
              <a16:creationId xmlns="" xmlns:a16="http://schemas.microsoft.com/office/drawing/2014/main" id="{4D4744B4-45AA-41D0-AE0A-46B282C9FDEF}"/>
            </a:ext>
          </a:extLst>
        </xdr:cNvPr>
        <xdr:cNvSpPr txBox="1">
          <a:spLocks noChangeArrowheads="1"/>
        </xdr:cNvSpPr>
      </xdr:nvSpPr>
      <xdr:spPr bwMode="auto">
        <a:xfrm>
          <a:off x="537754" y="7674429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17</xdr:col>
      <xdr:colOff>0</xdr:colOff>
      <xdr:row>74</xdr:row>
      <xdr:rowOff>28575</xdr:rowOff>
    </xdr:from>
    <xdr:to>
      <xdr:col>30</xdr:col>
      <xdr:colOff>0</xdr:colOff>
      <xdr:row>94</xdr:row>
      <xdr:rowOff>0</xdr:rowOff>
    </xdr:to>
    <xdr:graphicFrame macro="">
      <xdr:nvGraphicFramePr>
        <xdr:cNvPr id="20" name="Chart 3">
          <a:extLst>
            <a:ext uri="{FF2B5EF4-FFF2-40B4-BE49-F238E27FC236}">
              <a16:creationId xmlns="" xmlns:a16="http://schemas.microsoft.com/office/drawing/2014/main" id="{AB98F4DC-CF17-45FB-92A2-948B6B490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</xdr:colOff>
      <xdr:row>74</xdr:row>
      <xdr:rowOff>27214</xdr:rowOff>
    </xdr:from>
    <xdr:to>
      <xdr:col>16</xdr:col>
      <xdr:colOff>1495425</xdr:colOff>
      <xdr:row>94</xdr:row>
      <xdr:rowOff>0</xdr:rowOff>
    </xdr:to>
    <xdr:sp macro="" textlink="">
      <xdr:nvSpPr>
        <xdr:cNvPr id="21" name="Text Box 8">
          <a:extLst>
            <a:ext uri="{FF2B5EF4-FFF2-40B4-BE49-F238E27FC236}">
              <a16:creationId xmlns="" xmlns:a16="http://schemas.microsoft.com/office/drawing/2014/main" id="{9DA40557-2E85-4206-A10C-86D3A08A65D4}"/>
            </a:ext>
          </a:extLst>
        </xdr:cNvPr>
        <xdr:cNvSpPr txBox="1">
          <a:spLocks noChangeArrowheads="1"/>
        </xdr:cNvSpPr>
      </xdr:nvSpPr>
      <xdr:spPr bwMode="auto">
        <a:xfrm>
          <a:off x="8977993" y="7606393"/>
          <a:ext cx="1457325" cy="344260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537754</xdr:colOff>
      <xdr:row>74</xdr:row>
      <xdr:rowOff>95250</xdr:rowOff>
    </xdr:from>
    <xdr:ext cx="455283" cy="3143251"/>
    <xdr:sp macro="" textlink="">
      <xdr:nvSpPr>
        <xdr:cNvPr id="22" name="Text Box 9">
          <a:extLst>
            <a:ext uri="{FF2B5EF4-FFF2-40B4-BE49-F238E27FC236}">
              <a16:creationId xmlns="" xmlns:a16="http://schemas.microsoft.com/office/drawing/2014/main" id="{32B37EFB-D2D8-4AD8-893A-0F8E983F82B2}"/>
            </a:ext>
          </a:extLst>
        </xdr:cNvPr>
        <xdr:cNvSpPr txBox="1">
          <a:spLocks noChangeArrowheads="1"/>
        </xdr:cNvSpPr>
      </xdr:nvSpPr>
      <xdr:spPr bwMode="auto">
        <a:xfrm>
          <a:off x="9477647" y="7674429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</xdr:col>
      <xdr:colOff>0</xdr:colOff>
      <xdr:row>106</xdr:row>
      <xdr:rowOff>28575</xdr:rowOff>
    </xdr:from>
    <xdr:to>
      <xdr:col>14</xdr:col>
      <xdr:colOff>0</xdr:colOff>
      <xdr:row>126</xdr:row>
      <xdr:rowOff>0</xdr:rowOff>
    </xdr:to>
    <xdr:graphicFrame macro="">
      <xdr:nvGraphicFramePr>
        <xdr:cNvPr id="23" name="Chart 3">
          <a:extLst>
            <a:ext uri="{FF2B5EF4-FFF2-40B4-BE49-F238E27FC236}">
              <a16:creationId xmlns="" xmlns:a16="http://schemas.microsoft.com/office/drawing/2014/main" id="{1D4FB27B-D7B0-427E-9690-8E5A33717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38100</xdr:colOff>
      <xdr:row>106</xdr:row>
      <xdr:rowOff>27214</xdr:rowOff>
    </xdr:from>
    <xdr:to>
      <xdr:col>0</xdr:col>
      <xdr:colOff>1495425</xdr:colOff>
      <xdr:row>126</xdr:row>
      <xdr:rowOff>0</xdr:rowOff>
    </xdr:to>
    <xdr:sp macro="" textlink="">
      <xdr:nvSpPr>
        <xdr:cNvPr id="24" name="Text Box 8">
          <a:extLst>
            <a:ext uri="{FF2B5EF4-FFF2-40B4-BE49-F238E27FC236}">
              <a16:creationId xmlns="" xmlns:a16="http://schemas.microsoft.com/office/drawing/2014/main" id="{E31908CA-C8BE-46ED-9771-8AFF1AF970C0}"/>
            </a:ext>
          </a:extLst>
        </xdr:cNvPr>
        <xdr:cNvSpPr txBox="1">
          <a:spLocks noChangeArrowheads="1"/>
        </xdr:cNvSpPr>
      </xdr:nvSpPr>
      <xdr:spPr bwMode="auto">
        <a:xfrm>
          <a:off x="38100" y="13294178"/>
          <a:ext cx="1457325" cy="344260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537754</xdr:colOff>
      <xdr:row>106</xdr:row>
      <xdr:rowOff>95250</xdr:rowOff>
    </xdr:from>
    <xdr:ext cx="455283" cy="3143251"/>
    <xdr:sp macro="" textlink="">
      <xdr:nvSpPr>
        <xdr:cNvPr id="25" name="Text Box 9">
          <a:extLst>
            <a:ext uri="{FF2B5EF4-FFF2-40B4-BE49-F238E27FC236}">
              <a16:creationId xmlns="" xmlns:a16="http://schemas.microsoft.com/office/drawing/2014/main" id="{33A3C14D-A65F-404F-BE27-481CAB64122E}"/>
            </a:ext>
          </a:extLst>
        </xdr:cNvPr>
        <xdr:cNvSpPr txBox="1">
          <a:spLocks noChangeArrowheads="1"/>
        </xdr:cNvSpPr>
      </xdr:nvSpPr>
      <xdr:spPr bwMode="auto">
        <a:xfrm>
          <a:off x="537754" y="13362214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17</xdr:col>
      <xdr:colOff>0</xdr:colOff>
      <xdr:row>106</xdr:row>
      <xdr:rowOff>28575</xdr:rowOff>
    </xdr:from>
    <xdr:to>
      <xdr:col>30</xdr:col>
      <xdr:colOff>0</xdr:colOff>
      <xdr:row>126</xdr:row>
      <xdr:rowOff>0</xdr:rowOff>
    </xdr:to>
    <xdr:graphicFrame macro="">
      <xdr:nvGraphicFramePr>
        <xdr:cNvPr id="26" name="Chart 3">
          <a:extLst>
            <a:ext uri="{FF2B5EF4-FFF2-40B4-BE49-F238E27FC236}">
              <a16:creationId xmlns="" xmlns:a16="http://schemas.microsoft.com/office/drawing/2014/main" id="{D522D2EE-D832-4CF2-A40F-D1DF3D65A2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38100</xdr:colOff>
      <xdr:row>106</xdr:row>
      <xdr:rowOff>27214</xdr:rowOff>
    </xdr:from>
    <xdr:to>
      <xdr:col>16</xdr:col>
      <xdr:colOff>1495425</xdr:colOff>
      <xdr:row>126</xdr:row>
      <xdr:rowOff>0</xdr:rowOff>
    </xdr:to>
    <xdr:sp macro="" textlink="">
      <xdr:nvSpPr>
        <xdr:cNvPr id="27" name="Text Box 8">
          <a:extLst>
            <a:ext uri="{FF2B5EF4-FFF2-40B4-BE49-F238E27FC236}">
              <a16:creationId xmlns="" xmlns:a16="http://schemas.microsoft.com/office/drawing/2014/main" id="{BDF897F5-D292-40C2-B0EF-B18FF4D5FBC7}"/>
            </a:ext>
          </a:extLst>
        </xdr:cNvPr>
        <xdr:cNvSpPr txBox="1">
          <a:spLocks noChangeArrowheads="1"/>
        </xdr:cNvSpPr>
      </xdr:nvSpPr>
      <xdr:spPr bwMode="auto">
        <a:xfrm>
          <a:off x="8977993" y="13294178"/>
          <a:ext cx="1457325" cy="344260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537754</xdr:colOff>
      <xdr:row>106</xdr:row>
      <xdr:rowOff>95250</xdr:rowOff>
    </xdr:from>
    <xdr:ext cx="455283" cy="3143251"/>
    <xdr:sp macro="" textlink="">
      <xdr:nvSpPr>
        <xdr:cNvPr id="28" name="Text Box 9">
          <a:extLst>
            <a:ext uri="{FF2B5EF4-FFF2-40B4-BE49-F238E27FC236}">
              <a16:creationId xmlns="" xmlns:a16="http://schemas.microsoft.com/office/drawing/2014/main" id="{10D6ED5C-8CFB-4913-92D4-FEBCF3745586}"/>
            </a:ext>
          </a:extLst>
        </xdr:cNvPr>
        <xdr:cNvSpPr txBox="1">
          <a:spLocks noChangeArrowheads="1"/>
        </xdr:cNvSpPr>
      </xdr:nvSpPr>
      <xdr:spPr bwMode="auto">
        <a:xfrm>
          <a:off x="9477647" y="13362214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17</xdr:col>
      <xdr:colOff>0</xdr:colOff>
      <xdr:row>10</xdr:row>
      <xdr:rowOff>28575</xdr:rowOff>
    </xdr:from>
    <xdr:to>
      <xdr:col>30</xdr:col>
      <xdr:colOff>0</xdr:colOff>
      <xdr:row>30</xdr:row>
      <xdr:rowOff>0</xdr:rowOff>
    </xdr:to>
    <xdr:graphicFrame macro="">
      <xdr:nvGraphicFramePr>
        <xdr:cNvPr id="38" name="Chart 3">
          <a:extLst>
            <a:ext uri="{FF2B5EF4-FFF2-40B4-BE49-F238E27FC236}">
              <a16:creationId xmlns="" xmlns:a16="http://schemas.microsoft.com/office/drawing/2014/main" id="{90F532DF-C776-4335-B208-CBA1EAD43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38100</xdr:colOff>
      <xdr:row>10</xdr:row>
      <xdr:rowOff>27214</xdr:rowOff>
    </xdr:from>
    <xdr:to>
      <xdr:col>16</xdr:col>
      <xdr:colOff>1495425</xdr:colOff>
      <xdr:row>30</xdr:row>
      <xdr:rowOff>0</xdr:rowOff>
    </xdr:to>
    <xdr:sp macro="" textlink="">
      <xdr:nvSpPr>
        <xdr:cNvPr id="39" name="Text Box 8">
          <a:extLst>
            <a:ext uri="{FF2B5EF4-FFF2-40B4-BE49-F238E27FC236}">
              <a16:creationId xmlns="" xmlns:a16="http://schemas.microsoft.com/office/drawing/2014/main" id="{28570982-6653-4C80-BEAD-42964756339B}"/>
            </a:ext>
          </a:extLst>
        </xdr:cNvPr>
        <xdr:cNvSpPr txBox="1">
          <a:spLocks noChangeArrowheads="1"/>
        </xdr:cNvSpPr>
      </xdr:nvSpPr>
      <xdr:spPr bwMode="auto">
        <a:xfrm>
          <a:off x="38100" y="1918607"/>
          <a:ext cx="1457325" cy="3374572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537754</xdr:colOff>
      <xdr:row>10</xdr:row>
      <xdr:rowOff>95250</xdr:rowOff>
    </xdr:from>
    <xdr:ext cx="455283" cy="3143251"/>
    <xdr:sp macro="" textlink="">
      <xdr:nvSpPr>
        <xdr:cNvPr id="40" name="Text Box 9">
          <a:extLst>
            <a:ext uri="{FF2B5EF4-FFF2-40B4-BE49-F238E27FC236}">
              <a16:creationId xmlns="" xmlns:a16="http://schemas.microsoft.com/office/drawing/2014/main" id="{4366BFE6-9FE0-49E2-84AC-F7077C3ADD0E}"/>
            </a:ext>
          </a:extLst>
        </xdr:cNvPr>
        <xdr:cNvSpPr txBox="1">
          <a:spLocks noChangeArrowheads="1"/>
        </xdr:cNvSpPr>
      </xdr:nvSpPr>
      <xdr:spPr bwMode="auto">
        <a:xfrm>
          <a:off x="537754" y="1986643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</xdr:col>
      <xdr:colOff>0</xdr:colOff>
      <xdr:row>138</xdr:row>
      <xdr:rowOff>28575</xdr:rowOff>
    </xdr:from>
    <xdr:to>
      <xdr:col>14</xdr:col>
      <xdr:colOff>0</xdr:colOff>
      <xdr:row>158</xdr:row>
      <xdr:rowOff>0</xdr:rowOff>
    </xdr:to>
    <xdr:graphicFrame macro="">
      <xdr:nvGraphicFramePr>
        <xdr:cNvPr id="41" name="Chart 3">
          <a:extLst>
            <a:ext uri="{FF2B5EF4-FFF2-40B4-BE49-F238E27FC236}">
              <a16:creationId xmlns="" xmlns:a16="http://schemas.microsoft.com/office/drawing/2014/main" id="{64E4E0AB-50BA-4397-8AE7-01A9A1B10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38100</xdr:colOff>
      <xdr:row>138</xdr:row>
      <xdr:rowOff>27214</xdr:rowOff>
    </xdr:from>
    <xdr:to>
      <xdr:col>0</xdr:col>
      <xdr:colOff>1495425</xdr:colOff>
      <xdr:row>158</xdr:row>
      <xdr:rowOff>0</xdr:rowOff>
    </xdr:to>
    <xdr:sp macro="" textlink="">
      <xdr:nvSpPr>
        <xdr:cNvPr id="42" name="Text Box 8">
          <a:extLst>
            <a:ext uri="{FF2B5EF4-FFF2-40B4-BE49-F238E27FC236}">
              <a16:creationId xmlns="" xmlns:a16="http://schemas.microsoft.com/office/drawing/2014/main" id="{C3CFDA70-DD24-4A96-99EA-4E2C4773D23C}"/>
            </a:ext>
          </a:extLst>
        </xdr:cNvPr>
        <xdr:cNvSpPr txBox="1">
          <a:spLocks noChangeArrowheads="1"/>
        </xdr:cNvSpPr>
      </xdr:nvSpPr>
      <xdr:spPr bwMode="auto">
        <a:xfrm>
          <a:off x="38100" y="18709821"/>
          <a:ext cx="1457325" cy="344260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537754</xdr:colOff>
      <xdr:row>138</xdr:row>
      <xdr:rowOff>95250</xdr:rowOff>
    </xdr:from>
    <xdr:ext cx="455283" cy="3143251"/>
    <xdr:sp macro="" textlink="">
      <xdr:nvSpPr>
        <xdr:cNvPr id="43" name="Text Box 9">
          <a:extLst>
            <a:ext uri="{FF2B5EF4-FFF2-40B4-BE49-F238E27FC236}">
              <a16:creationId xmlns="" xmlns:a16="http://schemas.microsoft.com/office/drawing/2014/main" id="{1F5FDAE4-8C73-4CDF-8E55-C43DEEE71F39}"/>
            </a:ext>
          </a:extLst>
        </xdr:cNvPr>
        <xdr:cNvSpPr txBox="1">
          <a:spLocks noChangeArrowheads="1"/>
        </xdr:cNvSpPr>
      </xdr:nvSpPr>
      <xdr:spPr bwMode="auto">
        <a:xfrm>
          <a:off x="537754" y="18777857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17</xdr:col>
      <xdr:colOff>0</xdr:colOff>
      <xdr:row>138</xdr:row>
      <xdr:rowOff>28575</xdr:rowOff>
    </xdr:from>
    <xdr:to>
      <xdr:col>30</xdr:col>
      <xdr:colOff>0</xdr:colOff>
      <xdr:row>158</xdr:row>
      <xdr:rowOff>0</xdr:rowOff>
    </xdr:to>
    <xdr:graphicFrame macro="">
      <xdr:nvGraphicFramePr>
        <xdr:cNvPr id="44" name="Chart 3">
          <a:extLst>
            <a:ext uri="{FF2B5EF4-FFF2-40B4-BE49-F238E27FC236}">
              <a16:creationId xmlns="" xmlns:a16="http://schemas.microsoft.com/office/drawing/2014/main" id="{C5A00117-F141-4688-969D-30C2ED6179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38100</xdr:colOff>
      <xdr:row>138</xdr:row>
      <xdr:rowOff>27214</xdr:rowOff>
    </xdr:from>
    <xdr:to>
      <xdr:col>16</xdr:col>
      <xdr:colOff>1495425</xdr:colOff>
      <xdr:row>158</xdr:row>
      <xdr:rowOff>0</xdr:rowOff>
    </xdr:to>
    <xdr:sp macro="" textlink="">
      <xdr:nvSpPr>
        <xdr:cNvPr id="45" name="Text Box 8">
          <a:extLst>
            <a:ext uri="{FF2B5EF4-FFF2-40B4-BE49-F238E27FC236}">
              <a16:creationId xmlns="" xmlns:a16="http://schemas.microsoft.com/office/drawing/2014/main" id="{815A4709-56D4-4DF8-8ED1-0A138B058DDA}"/>
            </a:ext>
          </a:extLst>
        </xdr:cNvPr>
        <xdr:cNvSpPr txBox="1">
          <a:spLocks noChangeArrowheads="1"/>
        </xdr:cNvSpPr>
      </xdr:nvSpPr>
      <xdr:spPr bwMode="auto">
        <a:xfrm>
          <a:off x="8977993" y="18709821"/>
          <a:ext cx="1457325" cy="3442608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16</xdr:col>
      <xdr:colOff>537754</xdr:colOff>
      <xdr:row>138</xdr:row>
      <xdr:rowOff>95250</xdr:rowOff>
    </xdr:from>
    <xdr:ext cx="455283" cy="3143251"/>
    <xdr:sp macro="" textlink="">
      <xdr:nvSpPr>
        <xdr:cNvPr id="46" name="Text Box 9">
          <a:extLst>
            <a:ext uri="{FF2B5EF4-FFF2-40B4-BE49-F238E27FC236}">
              <a16:creationId xmlns="" xmlns:a16="http://schemas.microsoft.com/office/drawing/2014/main" id="{6DCD7189-0654-47F7-B633-8D6A57839F67}"/>
            </a:ext>
          </a:extLst>
        </xdr:cNvPr>
        <xdr:cNvSpPr txBox="1">
          <a:spLocks noChangeArrowheads="1"/>
        </xdr:cNvSpPr>
      </xdr:nvSpPr>
      <xdr:spPr bwMode="auto">
        <a:xfrm>
          <a:off x="9477647" y="18777857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  <xdr:twoCellAnchor>
    <xdr:from>
      <xdr:col>1</xdr:col>
      <xdr:colOff>0</xdr:colOff>
      <xdr:row>170</xdr:row>
      <xdr:rowOff>28575</xdr:rowOff>
    </xdr:from>
    <xdr:to>
      <xdr:col>14</xdr:col>
      <xdr:colOff>0</xdr:colOff>
      <xdr:row>190</xdr:row>
      <xdr:rowOff>0</xdr:rowOff>
    </xdr:to>
    <xdr:graphicFrame macro="">
      <xdr:nvGraphicFramePr>
        <xdr:cNvPr id="47" name="Chart 3">
          <a:extLst>
            <a:ext uri="{FF2B5EF4-FFF2-40B4-BE49-F238E27FC236}">
              <a16:creationId xmlns="" xmlns:a16="http://schemas.microsoft.com/office/drawing/2014/main" id="{FC9F06DA-6266-4836-ADAB-0AEA4D7463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38100</xdr:colOff>
      <xdr:row>170</xdr:row>
      <xdr:rowOff>27214</xdr:rowOff>
    </xdr:from>
    <xdr:to>
      <xdr:col>0</xdr:col>
      <xdr:colOff>1495425</xdr:colOff>
      <xdr:row>190</xdr:row>
      <xdr:rowOff>0</xdr:rowOff>
    </xdr:to>
    <xdr:sp macro="" textlink="">
      <xdr:nvSpPr>
        <xdr:cNvPr id="48" name="Text Box 8">
          <a:extLst>
            <a:ext uri="{FF2B5EF4-FFF2-40B4-BE49-F238E27FC236}">
              <a16:creationId xmlns="" xmlns:a16="http://schemas.microsoft.com/office/drawing/2014/main" id="{86F21E3A-A873-4C40-BEB1-1A7D863C64ED}"/>
            </a:ext>
          </a:extLst>
        </xdr:cNvPr>
        <xdr:cNvSpPr txBox="1">
          <a:spLocks noChangeArrowheads="1"/>
        </xdr:cNvSpPr>
      </xdr:nvSpPr>
      <xdr:spPr bwMode="auto">
        <a:xfrm>
          <a:off x="38100" y="24397607"/>
          <a:ext cx="1457325" cy="3442607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537754</xdr:colOff>
      <xdr:row>170</xdr:row>
      <xdr:rowOff>95250</xdr:rowOff>
    </xdr:from>
    <xdr:ext cx="455283" cy="3143251"/>
    <xdr:sp macro="" textlink="">
      <xdr:nvSpPr>
        <xdr:cNvPr id="49" name="Text Box 9">
          <a:extLst>
            <a:ext uri="{FF2B5EF4-FFF2-40B4-BE49-F238E27FC236}">
              <a16:creationId xmlns="" xmlns:a16="http://schemas.microsoft.com/office/drawing/2014/main" id="{F9454F17-3F3A-4FCE-9893-BEB9ABA70541}"/>
            </a:ext>
          </a:extLst>
        </xdr:cNvPr>
        <xdr:cNvSpPr txBox="1">
          <a:spLocks noChangeArrowheads="1"/>
        </xdr:cNvSpPr>
      </xdr:nvSpPr>
      <xdr:spPr bwMode="auto">
        <a:xfrm>
          <a:off x="537754" y="24465643"/>
          <a:ext cx="455283" cy="314325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36576" tIns="27432" rIns="36576" bIns="27432" anchor="ctr" upright="1"/>
        <a:lstStyle/>
        <a:p>
          <a:pPr algn="ctr" rtl="0">
            <a:defRPr sz="1000"/>
          </a:pPr>
          <a:r>
            <a:rPr lang="en-US" sz="1400" b="1" i="0" strike="noStrike">
              <a:solidFill>
                <a:srgbClr val="000000"/>
              </a:solidFill>
              <a:latin typeface="Arial"/>
              <a:cs typeface="Arial"/>
            </a:rPr>
            <a:t>Couverture vaccinale  annualisée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54</xdr:row>
      <xdr:rowOff>149679</xdr:rowOff>
    </xdr:from>
    <xdr:to>
      <xdr:col>7</xdr:col>
      <xdr:colOff>272143</xdr:colOff>
      <xdr:row>75</xdr:row>
      <xdr:rowOff>81643</xdr:rowOff>
    </xdr:to>
    <xdr:graphicFrame macro="">
      <xdr:nvGraphicFramePr>
        <xdr:cNvPr id="19" name="Graphique 18">
          <a:extLst>
            <a:ext uri="{FF2B5EF4-FFF2-40B4-BE49-F238E27FC236}">
              <a16:creationId xmlns="" xmlns:a16="http://schemas.microsoft.com/office/drawing/2014/main" id="{561F01FC-CAB7-4F9C-9785-0B0120FB99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408214</xdr:colOff>
      <xdr:row>54</xdr:row>
      <xdr:rowOff>149679</xdr:rowOff>
    </xdr:from>
    <xdr:to>
      <xdr:col>15</xdr:col>
      <xdr:colOff>231323</xdr:colOff>
      <xdr:row>75</xdr:row>
      <xdr:rowOff>81643</xdr:rowOff>
    </xdr:to>
    <xdr:graphicFrame macro="">
      <xdr:nvGraphicFramePr>
        <xdr:cNvPr id="20" name="Graphique 19">
          <a:extLst>
            <a:ext uri="{FF2B5EF4-FFF2-40B4-BE49-F238E27FC236}">
              <a16:creationId xmlns="" xmlns:a16="http://schemas.microsoft.com/office/drawing/2014/main" id="{3C9E32FA-5581-4110-A784-E238431250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326572</xdr:colOff>
      <xdr:row>54</xdr:row>
      <xdr:rowOff>136072</xdr:rowOff>
    </xdr:from>
    <xdr:to>
      <xdr:col>23</xdr:col>
      <xdr:colOff>108857</xdr:colOff>
      <xdr:row>75</xdr:row>
      <xdr:rowOff>68036</xdr:rowOff>
    </xdr:to>
    <xdr:graphicFrame macro="">
      <xdr:nvGraphicFramePr>
        <xdr:cNvPr id="21" name="Graphique 20">
          <a:extLst>
            <a:ext uri="{FF2B5EF4-FFF2-40B4-BE49-F238E27FC236}">
              <a16:creationId xmlns="" xmlns:a16="http://schemas.microsoft.com/office/drawing/2014/main" id="{C6285939-B150-4854-B4E9-DD24EFB5E2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81643</xdr:colOff>
      <xdr:row>98</xdr:row>
      <xdr:rowOff>136064</xdr:rowOff>
    </xdr:from>
    <xdr:to>
      <xdr:col>9</xdr:col>
      <xdr:colOff>721178</xdr:colOff>
      <xdr:row>119</xdr:row>
      <xdr:rowOff>68028</xdr:rowOff>
    </xdr:to>
    <xdr:graphicFrame macro="">
      <xdr:nvGraphicFramePr>
        <xdr:cNvPr id="28" name="Graphique 27">
          <a:extLst>
            <a:ext uri="{FF2B5EF4-FFF2-40B4-BE49-F238E27FC236}">
              <a16:creationId xmlns="" xmlns:a16="http://schemas.microsoft.com/office/drawing/2014/main" id="{404C240D-4029-497E-9E45-216B73E216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938893</xdr:colOff>
      <xdr:row>121</xdr:row>
      <xdr:rowOff>13596</xdr:rowOff>
    </xdr:from>
    <xdr:to>
      <xdr:col>19</xdr:col>
      <xdr:colOff>326571</xdr:colOff>
      <xdr:row>141</xdr:row>
      <xdr:rowOff>108846</xdr:rowOff>
    </xdr:to>
    <xdr:graphicFrame macro="">
      <xdr:nvGraphicFramePr>
        <xdr:cNvPr id="32" name="Graphique 31">
          <a:extLst>
            <a:ext uri="{FF2B5EF4-FFF2-40B4-BE49-F238E27FC236}">
              <a16:creationId xmlns="" xmlns:a16="http://schemas.microsoft.com/office/drawing/2014/main" id="{1146C8CB-ED65-4C87-B94E-E859B02C7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81644</xdr:colOff>
      <xdr:row>77</xdr:row>
      <xdr:rowOff>81644</xdr:rowOff>
    </xdr:from>
    <xdr:to>
      <xdr:col>7</xdr:col>
      <xdr:colOff>299357</xdr:colOff>
      <xdr:row>98</xdr:row>
      <xdr:rowOff>13608</xdr:rowOff>
    </xdr:to>
    <xdr:graphicFrame macro="">
      <xdr:nvGraphicFramePr>
        <xdr:cNvPr id="33" name="Graphique 32">
          <a:extLst>
            <a:ext uri="{FF2B5EF4-FFF2-40B4-BE49-F238E27FC236}">
              <a16:creationId xmlns="" xmlns:a16="http://schemas.microsoft.com/office/drawing/2014/main" id="{B4F1BFAF-CD38-4CF6-AF1D-64439E3E80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435428</xdr:colOff>
      <xdr:row>77</xdr:row>
      <xdr:rowOff>95251</xdr:rowOff>
    </xdr:from>
    <xdr:to>
      <xdr:col>15</xdr:col>
      <xdr:colOff>217714</xdr:colOff>
      <xdr:row>98</xdr:row>
      <xdr:rowOff>27215</xdr:rowOff>
    </xdr:to>
    <xdr:graphicFrame macro="">
      <xdr:nvGraphicFramePr>
        <xdr:cNvPr id="35" name="Graphique 34">
          <a:extLst>
            <a:ext uri="{FF2B5EF4-FFF2-40B4-BE49-F238E27FC236}">
              <a16:creationId xmlns="" xmlns:a16="http://schemas.microsoft.com/office/drawing/2014/main" id="{ADF1B026-6F75-4A52-8A50-48FDC9AB0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340179</xdr:colOff>
      <xdr:row>77</xdr:row>
      <xdr:rowOff>95251</xdr:rowOff>
    </xdr:from>
    <xdr:to>
      <xdr:col>23</xdr:col>
      <xdr:colOff>108857</xdr:colOff>
      <xdr:row>98</xdr:row>
      <xdr:rowOff>27215</xdr:rowOff>
    </xdr:to>
    <xdr:graphicFrame macro="">
      <xdr:nvGraphicFramePr>
        <xdr:cNvPr id="36" name="Graphique 35">
          <a:extLst>
            <a:ext uri="{FF2B5EF4-FFF2-40B4-BE49-F238E27FC236}">
              <a16:creationId xmlns="" xmlns:a16="http://schemas.microsoft.com/office/drawing/2014/main" id="{80AE107F-6FF5-4054-98A5-8E7EDAD4E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68035</xdr:colOff>
      <xdr:row>120</xdr:row>
      <xdr:rowOff>163278</xdr:rowOff>
    </xdr:from>
    <xdr:to>
      <xdr:col>9</xdr:col>
      <xdr:colOff>707570</xdr:colOff>
      <xdr:row>141</xdr:row>
      <xdr:rowOff>95242</xdr:rowOff>
    </xdr:to>
    <xdr:graphicFrame macro="">
      <xdr:nvGraphicFramePr>
        <xdr:cNvPr id="37" name="Graphique 36">
          <a:extLst>
            <a:ext uri="{FF2B5EF4-FFF2-40B4-BE49-F238E27FC236}">
              <a16:creationId xmlns="" xmlns:a16="http://schemas.microsoft.com/office/drawing/2014/main" id="{9ABB1BD6-EAD8-484B-9A70-08936A5C9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925286</xdr:colOff>
      <xdr:row>98</xdr:row>
      <xdr:rowOff>149668</xdr:rowOff>
    </xdr:from>
    <xdr:to>
      <xdr:col>19</xdr:col>
      <xdr:colOff>312964</xdr:colOff>
      <xdr:row>119</xdr:row>
      <xdr:rowOff>81632</xdr:rowOff>
    </xdr:to>
    <xdr:graphicFrame macro="">
      <xdr:nvGraphicFramePr>
        <xdr:cNvPr id="38" name="Graphique 37">
          <a:extLst>
            <a:ext uri="{FF2B5EF4-FFF2-40B4-BE49-F238E27FC236}">
              <a16:creationId xmlns="" xmlns:a16="http://schemas.microsoft.com/office/drawing/2014/main" id="{DFA76FED-3122-4564-90AC-B739A69C0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6802</xdr:colOff>
      <xdr:row>24</xdr:row>
      <xdr:rowOff>81643</xdr:rowOff>
    </xdr:from>
    <xdr:to>
      <xdr:col>9</xdr:col>
      <xdr:colOff>1177017</xdr:colOff>
      <xdr:row>54</xdr:row>
      <xdr:rowOff>27210</xdr:rowOff>
    </xdr:to>
    <xdr:grpSp>
      <xdr:nvGrpSpPr>
        <xdr:cNvPr id="9" name="Groupe 8">
          <a:extLst>
            <a:ext uri="{FF2B5EF4-FFF2-40B4-BE49-F238E27FC236}">
              <a16:creationId xmlns="" xmlns:a16="http://schemas.microsoft.com/office/drawing/2014/main" id="{6EDFABCA-1DF2-403B-901D-CBC52876CDE2}"/>
            </a:ext>
          </a:extLst>
        </xdr:cNvPr>
        <xdr:cNvGrpSpPr/>
      </xdr:nvGrpSpPr>
      <xdr:grpSpPr>
        <a:xfrm>
          <a:off x="6802" y="4000500"/>
          <a:ext cx="8554358" cy="4844139"/>
          <a:chOff x="47623" y="4000500"/>
          <a:chExt cx="8218715" cy="4844139"/>
        </a:xfrm>
      </xdr:grpSpPr>
      <xdr:graphicFrame macro="">
        <xdr:nvGraphicFramePr>
          <xdr:cNvPr id="2" name="Graphique 1">
            <a:extLst>
              <a:ext uri="{FF2B5EF4-FFF2-40B4-BE49-F238E27FC236}">
                <a16:creationId xmlns="" xmlns:a16="http://schemas.microsoft.com/office/drawing/2014/main" id="{5C5724EA-F728-4107-AF97-9A309E64400B}"/>
              </a:ext>
            </a:extLst>
          </xdr:cNvPr>
          <xdr:cNvGraphicFramePr/>
        </xdr:nvGraphicFramePr>
        <xdr:xfrm>
          <a:off x="47623" y="4286246"/>
          <a:ext cx="3299733" cy="455839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  <xdr:graphicFrame macro="">
        <xdr:nvGraphicFramePr>
          <xdr:cNvPr id="5" name="Graphique 4">
            <a:extLst>
              <a:ext uri="{FF2B5EF4-FFF2-40B4-BE49-F238E27FC236}">
                <a16:creationId xmlns="" xmlns:a16="http://schemas.microsoft.com/office/drawing/2014/main" id="{1539579C-3D55-463D-B1B2-F721E1A7A009}"/>
              </a:ext>
            </a:extLst>
          </xdr:cNvPr>
          <xdr:cNvGraphicFramePr/>
        </xdr:nvGraphicFramePr>
        <xdr:xfrm>
          <a:off x="3694338" y="4316184"/>
          <a:ext cx="4572000" cy="45284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2"/>
          </a:graphicData>
        </a:graphic>
      </xdr:graphicFrame>
      <xdr:sp macro="" textlink="Data_Entry!AL671">
        <xdr:nvSpPr>
          <xdr:cNvPr id="6" name="ZoneTexte 5">
            <a:extLst>
              <a:ext uri="{FF2B5EF4-FFF2-40B4-BE49-F238E27FC236}">
                <a16:creationId xmlns="" xmlns:a16="http://schemas.microsoft.com/office/drawing/2014/main" id="{A20FEBED-AB73-4476-BB94-10F317DF6C4B}"/>
              </a:ext>
            </a:extLst>
          </xdr:cNvPr>
          <xdr:cNvSpPr txBox="1"/>
        </xdr:nvSpPr>
        <xdr:spPr>
          <a:xfrm>
            <a:off x="3687535" y="4000500"/>
            <a:ext cx="952500" cy="2585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1B565FD-5706-41E7-93F6-EC5D91461253}" type="TxLink">
              <a:rPr lang="en-US" sz="16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 29 601 </a:t>
            </a:fld>
            <a:endParaRPr lang="en-US" sz="2000" b="1"/>
          </a:p>
        </xdr:txBody>
      </xdr:sp>
      <xdr:sp macro="" textlink="">
        <xdr:nvSpPr>
          <xdr:cNvPr id="7" name="ZoneTexte 6">
            <a:extLst>
              <a:ext uri="{FF2B5EF4-FFF2-40B4-BE49-F238E27FC236}">
                <a16:creationId xmlns="" xmlns:a16="http://schemas.microsoft.com/office/drawing/2014/main" id="{3F404B71-87ED-4B2A-AC3D-C8CA31313416}"/>
              </a:ext>
            </a:extLst>
          </xdr:cNvPr>
          <xdr:cNvSpPr txBox="1"/>
        </xdr:nvSpPr>
        <xdr:spPr>
          <a:xfrm>
            <a:off x="1959430" y="4000500"/>
            <a:ext cx="1700892" cy="2585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ESV Nord Kivu :</a:t>
            </a:r>
          </a:p>
        </xdr:txBody>
      </xdr:sp>
    </xdr:grpSp>
    <xdr:clientData/>
  </xdr:twoCellAnchor>
  <xdr:twoCellAnchor>
    <xdr:from>
      <xdr:col>10</xdr:col>
      <xdr:colOff>231321</xdr:colOff>
      <xdr:row>24</xdr:row>
      <xdr:rowOff>40822</xdr:rowOff>
    </xdr:from>
    <xdr:to>
      <xdr:col>21</xdr:col>
      <xdr:colOff>612321</xdr:colOff>
      <xdr:row>54</xdr:row>
      <xdr:rowOff>27214</xdr:rowOff>
    </xdr:to>
    <xdr:grpSp>
      <xdr:nvGrpSpPr>
        <xdr:cNvPr id="40" name="Groupe 39">
          <a:extLst>
            <a:ext uri="{FF2B5EF4-FFF2-40B4-BE49-F238E27FC236}">
              <a16:creationId xmlns="" xmlns:a16="http://schemas.microsoft.com/office/drawing/2014/main" id="{B35C7F8D-BB6A-40E6-8DCB-F8BF9FAF3E14}"/>
            </a:ext>
          </a:extLst>
        </xdr:cNvPr>
        <xdr:cNvGrpSpPr/>
      </xdr:nvGrpSpPr>
      <xdr:grpSpPr>
        <a:xfrm>
          <a:off x="8921750" y="3959679"/>
          <a:ext cx="9325428" cy="4884964"/>
          <a:chOff x="8531678" y="3959679"/>
          <a:chExt cx="8926286" cy="4884964"/>
        </a:xfrm>
      </xdr:grpSpPr>
      <xdr:graphicFrame macro="">
        <xdr:nvGraphicFramePr>
          <xdr:cNvPr id="14" name="Graphique 13">
            <a:extLst>
              <a:ext uri="{FF2B5EF4-FFF2-40B4-BE49-F238E27FC236}">
                <a16:creationId xmlns="" xmlns:a16="http://schemas.microsoft.com/office/drawing/2014/main" id="{A71E0B33-12F6-469A-A343-096C316486CA}"/>
              </a:ext>
            </a:extLst>
          </xdr:cNvPr>
          <xdr:cNvGraphicFramePr/>
        </xdr:nvGraphicFramePr>
        <xdr:xfrm>
          <a:off x="8531678" y="4316186"/>
          <a:ext cx="4245428" cy="45284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7" name="Graphique 16">
            <a:extLst>
              <a:ext uri="{FF2B5EF4-FFF2-40B4-BE49-F238E27FC236}">
                <a16:creationId xmlns="" xmlns:a16="http://schemas.microsoft.com/office/drawing/2014/main" id="{B492775D-FCBB-4B5B-950D-7946B2230B11}"/>
              </a:ext>
            </a:extLst>
          </xdr:cNvPr>
          <xdr:cNvGraphicFramePr/>
        </xdr:nvGraphicFramePr>
        <xdr:xfrm>
          <a:off x="12981214" y="4316185"/>
          <a:ext cx="4476750" cy="45284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sp macro="" textlink="Data_Entry!AK671">
        <xdr:nvSpPr>
          <xdr:cNvPr id="18" name="ZoneTexte 17">
            <a:extLst>
              <a:ext uri="{FF2B5EF4-FFF2-40B4-BE49-F238E27FC236}">
                <a16:creationId xmlns="" xmlns:a16="http://schemas.microsoft.com/office/drawing/2014/main" id="{1E717539-AF9B-4EA7-BC09-1E09FF0F195C}"/>
              </a:ext>
            </a:extLst>
          </xdr:cNvPr>
          <xdr:cNvSpPr txBox="1"/>
        </xdr:nvSpPr>
        <xdr:spPr>
          <a:xfrm>
            <a:off x="12994821" y="3959679"/>
            <a:ext cx="1074965" cy="2993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5FBF067C-0678-4068-B0D8-AC77114E3BC5}" type="TxLink">
              <a:rPr lang="en-US" sz="1800" b="1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 33 217 </a:t>
            </a:fld>
            <a:endParaRPr lang="en-US" sz="2400" b="1"/>
          </a:p>
        </xdr:txBody>
      </xdr:sp>
      <xdr:sp macro="" textlink="">
        <xdr:nvSpPr>
          <xdr:cNvPr id="42" name="ZoneTexte 41">
            <a:extLst>
              <a:ext uri="{FF2B5EF4-FFF2-40B4-BE49-F238E27FC236}">
                <a16:creationId xmlns="" xmlns:a16="http://schemas.microsoft.com/office/drawing/2014/main" id="{437FA502-54AB-491B-855A-0C868DB48C70}"/>
              </a:ext>
            </a:extLst>
          </xdr:cNvPr>
          <xdr:cNvSpPr txBox="1"/>
        </xdr:nvSpPr>
        <xdr:spPr>
          <a:xfrm>
            <a:off x="11266714" y="3986893"/>
            <a:ext cx="1700892" cy="25853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EZD Nord Kivu: :</a:t>
            </a:r>
          </a:p>
        </xdr:txBody>
      </xdr:sp>
    </xdr:grpSp>
    <xdr:clientData/>
  </xdr:twoCellAnchor>
  <xdr:twoCellAnchor>
    <xdr:from>
      <xdr:col>8</xdr:col>
      <xdr:colOff>408214</xdr:colOff>
      <xdr:row>1</xdr:row>
      <xdr:rowOff>27214</xdr:rowOff>
    </xdr:from>
    <xdr:to>
      <xdr:col>21</xdr:col>
      <xdr:colOff>408214</xdr:colOff>
      <xdr:row>23</xdr:row>
      <xdr:rowOff>27215</xdr:rowOff>
    </xdr:to>
    <xdr:graphicFrame macro="">
      <xdr:nvGraphicFramePr>
        <xdr:cNvPr id="26" name="Graphique 25">
          <a:extLst>
            <a:ext uri="{FF2B5EF4-FFF2-40B4-BE49-F238E27FC236}">
              <a16:creationId xmlns="" xmlns:a16="http://schemas.microsoft.com/office/drawing/2014/main" id="{EFE7E75A-2CF6-4CBB-BBBF-037735520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95249</xdr:colOff>
      <xdr:row>1</xdr:row>
      <xdr:rowOff>40821</xdr:rowOff>
    </xdr:from>
    <xdr:to>
      <xdr:col>8</xdr:col>
      <xdr:colOff>312963</xdr:colOff>
      <xdr:row>23</xdr:row>
      <xdr:rowOff>40821</xdr:rowOff>
    </xdr:to>
    <xdr:graphicFrame macro="">
      <xdr:nvGraphicFramePr>
        <xdr:cNvPr id="24" name="Graphique 23">
          <a:extLst>
            <a:ext uri="{FF2B5EF4-FFF2-40B4-BE49-F238E27FC236}">
              <a16:creationId xmlns="" xmlns:a16="http://schemas.microsoft.com/office/drawing/2014/main" id="{DD27CED4-BF46-47CF-ACDD-B221EF8D3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0.73608</cdr:x>
      <cdr:y>0.06553</cdr:y>
    </cdr:from>
    <cdr:to>
      <cdr:x>0.97526</cdr:x>
      <cdr:y>0.12536</cdr:y>
    </cdr:to>
    <cdr:sp macro="" textlink="Graphiques_Routine!$B$47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FF002F9F-8088-462C-BCAA-46BD381C77ED}"/>
            </a:ext>
          </a:extLst>
        </cdr:cNvPr>
        <cdr:cNvSpPr txBox="1"/>
      </cdr:nvSpPr>
      <cdr:spPr>
        <a:xfrm xmlns:a="http://schemas.openxmlformats.org/drawingml/2006/main">
          <a:off x="2428876" y="312963"/>
          <a:ext cx="789214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F7BAF380-08DC-4F1A-9C9A-30D7B04321D9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8555</a:t>
          </a:fld>
          <a:endParaRPr lang="en-US" sz="1800" b="1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0.65923</cdr:x>
      <cdr:y>0.07376</cdr:y>
    </cdr:from>
    <cdr:to>
      <cdr:x>0.81101</cdr:x>
      <cdr:y>0.12521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588B2925-D953-4A89-81B6-7C25A89DE508}"/>
            </a:ext>
          </a:extLst>
        </cdr:cNvPr>
        <cdr:cNvSpPr txBox="1"/>
      </cdr:nvSpPr>
      <cdr:spPr>
        <a:xfrm xmlns:a="http://schemas.openxmlformats.org/drawingml/2006/main">
          <a:off x="3013983" y="351063"/>
          <a:ext cx="693964" cy="244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0.65327</cdr:x>
      <cdr:y>0.06518</cdr:y>
    </cdr:from>
    <cdr:to>
      <cdr:x>0.8497</cdr:x>
      <cdr:y>0.13093</cdr:y>
    </cdr:to>
    <cdr:sp macro="" textlink="Graphiques_Routine!$H$47">
      <cdr:nvSpPr>
        <cdr:cNvPr id="3" name="ZoneTexte 2">
          <a:extLst xmlns:a="http://schemas.openxmlformats.org/drawingml/2006/main">
            <a:ext uri="{FF2B5EF4-FFF2-40B4-BE49-F238E27FC236}">
              <a16:creationId xmlns="" xmlns:a16="http://schemas.microsoft.com/office/drawing/2014/main" id="{A25C56EF-5608-4BA5-8D65-453458725BFE}"/>
            </a:ext>
          </a:extLst>
        </cdr:cNvPr>
        <cdr:cNvSpPr txBox="1"/>
      </cdr:nvSpPr>
      <cdr:spPr>
        <a:xfrm xmlns:a="http://schemas.openxmlformats.org/drawingml/2006/main">
          <a:off x="2986769" y="310242"/>
          <a:ext cx="898072" cy="312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378D2AD-8C70-426D-B199-E3DCA90E155B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21046</a:t>
          </a:fld>
          <a:endParaRPr lang="en-US" sz="1800" b="1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0.69872</cdr:x>
      <cdr:y>0.06851</cdr:y>
    </cdr:from>
    <cdr:to>
      <cdr:x>0.86859</cdr:x>
      <cdr:y>0.11659</cdr:y>
    </cdr:to>
    <cdr:sp macro="" textlink="Graphiques_Routine!$M$46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B1A930C6-FB44-4349-843B-668A30A80B51}"/>
            </a:ext>
          </a:extLst>
        </cdr:cNvPr>
        <cdr:cNvSpPr txBox="1"/>
      </cdr:nvSpPr>
      <cdr:spPr>
        <a:xfrm xmlns:a="http://schemas.openxmlformats.org/drawingml/2006/main">
          <a:off x="2966357" y="310242"/>
          <a:ext cx="721179" cy="2177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D45EC2B-4500-48B0-A794-8BD5CB8821DD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16944</a:t>
          </a:fld>
          <a:endParaRPr lang="en-US" sz="1800" b="1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0.65179</cdr:x>
      <cdr:y>0.06802</cdr:y>
    </cdr:from>
    <cdr:to>
      <cdr:x>0.80952</cdr:x>
      <cdr:y>0.15235</cdr:y>
    </cdr:to>
    <cdr:sp macro="" textlink="Graphiques_Routine!$R$46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6A094489-71E2-4E9E-9B8E-A665F618F3F1}"/>
            </a:ext>
          </a:extLst>
        </cdr:cNvPr>
        <cdr:cNvSpPr txBox="1"/>
      </cdr:nvSpPr>
      <cdr:spPr>
        <a:xfrm xmlns:a="http://schemas.openxmlformats.org/drawingml/2006/main">
          <a:off x="2979965" y="308040"/>
          <a:ext cx="721178" cy="381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523D2C-DD93-41EA-8D85-D514E0D4B3DD}" type="TxLink">
            <a:rPr lang="en-US" sz="14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16273</a:t>
          </a:fld>
          <a:endParaRPr lang="en-US" sz="1800" b="1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22411</xdr:colOff>
      <xdr:row>2</xdr:row>
      <xdr:rowOff>0</xdr:rowOff>
    </xdr:from>
    <xdr:to>
      <xdr:col>10</xdr:col>
      <xdr:colOff>56028</xdr:colOff>
      <xdr:row>38</xdr:row>
      <xdr:rowOff>78441</xdr:rowOff>
    </xdr:to>
    <xdr:grpSp>
      <xdr:nvGrpSpPr>
        <xdr:cNvPr id="6" name="Groupe 5">
          <a:extLst>
            <a:ext uri="{FF2B5EF4-FFF2-40B4-BE49-F238E27FC236}">
              <a16:creationId xmlns="" xmlns:a16="http://schemas.microsoft.com/office/drawing/2014/main" id="{99FC6F8C-01AF-4434-8EE9-18F0A4FFDD55}"/>
            </a:ext>
          </a:extLst>
        </xdr:cNvPr>
        <xdr:cNvGrpSpPr/>
      </xdr:nvGrpSpPr>
      <xdr:grpSpPr>
        <a:xfrm>
          <a:off x="22411" y="326571"/>
          <a:ext cx="7163760" cy="5793441"/>
          <a:chOff x="5397274" y="208515"/>
          <a:chExt cx="6837118" cy="5793394"/>
        </a:xfrm>
      </xdr:grpSpPr>
      <xdr:graphicFrame macro="">
        <xdr:nvGraphicFramePr>
          <xdr:cNvPr id="3" name="Graphique 2">
            <a:extLst>
              <a:ext uri="{FF2B5EF4-FFF2-40B4-BE49-F238E27FC236}">
                <a16:creationId xmlns="" xmlns:a16="http://schemas.microsoft.com/office/drawing/2014/main" id="{F578BC8B-4BB3-4BFF-9A19-6E74534F3B75}"/>
              </a:ext>
            </a:extLst>
          </xdr:cNvPr>
          <xdr:cNvGraphicFramePr/>
        </xdr:nvGraphicFramePr>
        <xdr:xfrm>
          <a:off x="5397274" y="208515"/>
          <a:ext cx="6837118" cy="57933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38">
        <xdr:nvSpPr>
          <xdr:cNvPr id="4" name="Ellipse 3">
            <a:extLst>
              <a:ext uri="{FF2B5EF4-FFF2-40B4-BE49-F238E27FC236}">
                <a16:creationId xmlns="" xmlns:a16="http://schemas.microsoft.com/office/drawing/2014/main" id="{3AEF73C2-5F1D-4D50-8801-B670D7989981}"/>
              </a:ext>
            </a:extLst>
          </xdr:cNvPr>
          <xdr:cNvSpPr/>
        </xdr:nvSpPr>
        <xdr:spPr>
          <a:xfrm>
            <a:off x="6027965" y="1632857"/>
            <a:ext cx="817566" cy="860377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A589CB25-6407-4DC4-A27A-13A25412F12B}" type="TxLink">
              <a:rPr lang="en-US" sz="1400" b="1" i="0" u="none" strike="noStrike">
                <a:solidFill>
                  <a:srgbClr val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l"/>
              <a:t>99%</a:t>
            </a:fld>
            <a:endParaRPr lang="en-US" sz="1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6">
        <xdr:nvSpPr>
          <xdr:cNvPr id="5" name="Rectangle 4">
            <a:extLst>
              <a:ext uri="{FF2B5EF4-FFF2-40B4-BE49-F238E27FC236}">
                <a16:creationId xmlns="" xmlns:a16="http://schemas.microsoft.com/office/drawing/2014/main" id="{53C22311-1E67-4526-9515-E28AF790555D}"/>
              </a:ext>
            </a:extLst>
          </xdr:cNvPr>
          <xdr:cNvSpPr/>
        </xdr:nvSpPr>
        <xdr:spPr>
          <a:xfrm>
            <a:off x="5470071" y="231321"/>
            <a:ext cx="4027715" cy="2449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C86317D-822C-450F-83EA-8D4BDE01E4C7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CV Penta 3 au Nord Kivu Janvier-Octobre 2024</a:t>
            </a:fld>
            <a:endParaRPr lang="en-US" sz="16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40</xdr:row>
      <xdr:rowOff>155131</xdr:rowOff>
    </xdr:from>
    <xdr:to>
      <xdr:col>10</xdr:col>
      <xdr:colOff>71239</xdr:colOff>
      <xdr:row>76</xdr:row>
      <xdr:rowOff>44019</xdr:rowOff>
    </xdr:to>
    <xdr:grpSp>
      <xdr:nvGrpSpPr>
        <xdr:cNvPr id="7" name="Groupe 6">
          <a:extLst>
            <a:ext uri="{FF2B5EF4-FFF2-40B4-BE49-F238E27FC236}">
              <a16:creationId xmlns="" xmlns:a16="http://schemas.microsoft.com/office/drawing/2014/main" id="{953389FD-D139-4406-A8CE-C7A2FD1D5845}"/>
            </a:ext>
          </a:extLst>
        </xdr:cNvPr>
        <xdr:cNvGrpSpPr/>
      </xdr:nvGrpSpPr>
      <xdr:grpSpPr>
        <a:xfrm>
          <a:off x="0" y="6523274"/>
          <a:ext cx="7201382" cy="5767174"/>
          <a:chOff x="5333998" y="701487"/>
          <a:chExt cx="6874810" cy="5629035"/>
        </a:xfrm>
      </xdr:grpSpPr>
      <xdr:graphicFrame macro="">
        <xdr:nvGraphicFramePr>
          <xdr:cNvPr id="8" name="Graphique 7">
            <a:extLst>
              <a:ext uri="{FF2B5EF4-FFF2-40B4-BE49-F238E27FC236}">
                <a16:creationId xmlns="" xmlns:a16="http://schemas.microsoft.com/office/drawing/2014/main" id="{44E4398D-CC98-4804-A845-BC423204F37E}"/>
              </a:ext>
            </a:extLst>
          </xdr:cNvPr>
          <xdr:cNvGraphicFramePr/>
        </xdr:nvGraphicFramePr>
        <xdr:xfrm>
          <a:off x="5333998" y="701487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77">
        <xdr:nvSpPr>
          <xdr:cNvPr id="9" name="Ellipse 8">
            <a:extLst>
              <a:ext uri="{FF2B5EF4-FFF2-40B4-BE49-F238E27FC236}">
                <a16:creationId xmlns="" xmlns:a16="http://schemas.microsoft.com/office/drawing/2014/main" id="{F019F363-72BC-46EE-B0E0-EF4357F8B764}"/>
              </a:ext>
            </a:extLst>
          </xdr:cNvPr>
          <xdr:cNvSpPr/>
        </xdr:nvSpPr>
        <xdr:spPr>
          <a:xfrm>
            <a:off x="6109608" y="1592358"/>
            <a:ext cx="762000" cy="73478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05036A31-4701-433E-829E-C8F118BD0936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4%</a:t>
            </a:fld>
            <a:endParaRPr lang="en-US" sz="3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44">
        <xdr:nvSpPr>
          <xdr:cNvPr id="10" name="Rectangle 9">
            <a:extLst>
              <a:ext uri="{FF2B5EF4-FFF2-40B4-BE49-F238E27FC236}">
                <a16:creationId xmlns="" xmlns:a16="http://schemas.microsoft.com/office/drawing/2014/main" id="{A61A5069-0441-4F7D-AA9E-06BAE2CCBA1D}"/>
              </a:ext>
            </a:extLst>
          </xdr:cNvPr>
          <xdr:cNvSpPr/>
        </xdr:nvSpPr>
        <xdr:spPr>
          <a:xfrm>
            <a:off x="5361214" y="709447"/>
            <a:ext cx="4531178" cy="244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5C4BE1B-DB53-490E-9A62-0209C6CC0D53}" type="TxLink">
              <a:rPr lang="en-US" sz="11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Tx_Abandon Penta1 - Penta 3 au Nord Kivu de Janvier-Octobre 2024</a:t>
            </a:fld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2</xdr:colOff>
      <xdr:row>81</xdr:row>
      <xdr:rowOff>11528</xdr:rowOff>
    </xdr:from>
    <xdr:to>
      <xdr:col>10</xdr:col>
      <xdr:colOff>71241</xdr:colOff>
      <xdr:row>115</xdr:row>
      <xdr:rowOff>82445</xdr:rowOff>
    </xdr:to>
    <xdr:grpSp>
      <xdr:nvGrpSpPr>
        <xdr:cNvPr id="11" name="Groupe 10">
          <a:extLst>
            <a:ext uri="{FF2B5EF4-FFF2-40B4-BE49-F238E27FC236}">
              <a16:creationId xmlns="" xmlns:a16="http://schemas.microsoft.com/office/drawing/2014/main" id="{DAA0ED8A-5334-4FD7-9831-96F24D9B3A78}"/>
            </a:ext>
          </a:extLst>
        </xdr:cNvPr>
        <xdr:cNvGrpSpPr/>
      </xdr:nvGrpSpPr>
      <xdr:grpSpPr>
        <a:xfrm>
          <a:off x="2" y="13074385"/>
          <a:ext cx="7201382" cy="5622631"/>
          <a:chOff x="5333998" y="211630"/>
          <a:chExt cx="6874810" cy="5629035"/>
        </a:xfrm>
      </xdr:grpSpPr>
      <xdr:graphicFrame macro="">
        <xdr:nvGraphicFramePr>
          <xdr:cNvPr id="12" name="Graphique 11">
            <a:extLst>
              <a:ext uri="{FF2B5EF4-FFF2-40B4-BE49-F238E27FC236}">
                <a16:creationId xmlns="" xmlns:a16="http://schemas.microsoft.com/office/drawing/2014/main" id="{4D8B8443-ED7F-4CCA-A73F-32BF7E68280F}"/>
              </a:ext>
            </a:extLst>
          </xdr:cNvPr>
          <xdr:cNvGraphicFramePr/>
        </xdr:nvGraphicFramePr>
        <xdr:xfrm>
          <a:off x="5333998" y="211630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J$83">
        <xdr:nvSpPr>
          <xdr:cNvPr id="14" name="Rectangle 13">
            <a:extLst>
              <a:ext uri="{FF2B5EF4-FFF2-40B4-BE49-F238E27FC236}">
                <a16:creationId xmlns="" xmlns:a16="http://schemas.microsoft.com/office/drawing/2014/main" id="{8018B4D4-2CC8-4BCF-BDEE-3E35BA19E260}"/>
              </a:ext>
            </a:extLst>
          </xdr:cNvPr>
          <xdr:cNvSpPr/>
        </xdr:nvSpPr>
        <xdr:spPr>
          <a:xfrm>
            <a:off x="5470071" y="231321"/>
            <a:ext cx="3986893" cy="2449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8DF2D13-64B2-4823-BACE-96BAE1B2395C}" type="TxLink">
              <a:rPr lang="en-US" sz="11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Stratification des ZS par Catégores de Janvier-Octobre 2024</a:t>
            </a:fld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11</xdr:col>
      <xdr:colOff>56028</xdr:colOff>
      <xdr:row>3</xdr:row>
      <xdr:rowOff>56030</xdr:rowOff>
    </xdr:from>
    <xdr:to>
      <xdr:col>20</xdr:col>
      <xdr:colOff>56028</xdr:colOff>
      <xdr:row>37</xdr:row>
      <xdr:rowOff>78341</xdr:rowOff>
    </xdr:to>
    <xdr:grpSp>
      <xdr:nvGrpSpPr>
        <xdr:cNvPr id="29" name="Groupe 28">
          <a:extLst>
            <a:ext uri="{FF2B5EF4-FFF2-40B4-BE49-F238E27FC236}">
              <a16:creationId xmlns="" xmlns:a16="http://schemas.microsoft.com/office/drawing/2014/main" id="{68886EF5-A6F7-498E-ADD3-8399082590B9}"/>
            </a:ext>
          </a:extLst>
        </xdr:cNvPr>
        <xdr:cNvGrpSpPr/>
      </xdr:nvGrpSpPr>
      <xdr:grpSpPr>
        <a:xfrm>
          <a:off x="7984457" y="382601"/>
          <a:ext cx="7184571" cy="5574026"/>
          <a:chOff x="7608793" y="369795"/>
          <a:chExt cx="6858000" cy="5412441"/>
        </a:xfrm>
      </xdr:grpSpPr>
      <xdr:grpSp>
        <xdr:nvGrpSpPr>
          <xdr:cNvPr id="23" name="Groupe 22">
            <a:extLst>
              <a:ext uri="{FF2B5EF4-FFF2-40B4-BE49-F238E27FC236}">
                <a16:creationId xmlns="" xmlns:a16="http://schemas.microsoft.com/office/drawing/2014/main" id="{75D74593-4694-40FC-AEEB-47EB2ACAA74A}"/>
              </a:ext>
            </a:extLst>
          </xdr:cNvPr>
          <xdr:cNvGrpSpPr/>
        </xdr:nvGrpSpPr>
        <xdr:grpSpPr>
          <a:xfrm>
            <a:off x="7608793" y="369795"/>
            <a:ext cx="6858000" cy="5412441"/>
            <a:chOff x="7597588" y="324971"/>
            <a:chExt cx="6858000" cy="5412441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="" xmlns:a16="http://schemas.microsoft.com/office/drawing/2014/main" id="{0185944E-4B74-497D-B2B8-50B152D1EC28}"/>
                </a:ext>
              </a:extLst>
            </xdr:cNvPr>
            <xdr:cNvSpPr/>
          </xdr:nvSpPr>
          <xdr:spPr>
            <a:xfrm>
              <a:off x="7597588" y="324971"/>
              <a:ext cx="6858000" cy="5412441"/>
            </a:xfrm>
            <a:prstGeom prst="rect">
              <a:avLst/>
            </a:prstGeom>
            <a:blipFill dpi="0" rotWithShape="1">
              <a:blip xmlns:r="http://schemas.openxmlformats.org/officeDocument/2006/relationships" r:embed="rId4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1" name="Graphique 20">
              <a:extLst>
                <a:ext uri="{FF2B5EF4-FFF2-40B4-BE49-F238E27FC236}">
                  <a16:creationId xmlns="" xmlns:a16="http://schemas.microsoft.com/office/drawing/2014/main" id="{2A65809F-D44C-492B-BA16-2836A1C8208C}"/>
                </a:ext>
              </a:extLst>
            </xdr:cNvPr>
            <xdr:cNvGraphicFramePr>
              <a:graphicFrameLocks/>
            </xdr:cNvGraphicFramePr>
          </xdr:nvGraphicFramePr>
          <xdr:xfrm>
            <a:off x="7608795" y="336177"/>
            <a:ext cx="2857499" cy="2521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graphicFrame macro="">
          <xdr:nvGraphicFramePr>
            <xdr:cNvPr id="22" name="Graphique 21">
              <a:extLst>
                <a:ext uri="{FF2B5EF4-FFF2-40B4-BE49-F238E27FC236}">
                  <a16:creationId xmlns="" xmlns:a16="http://schemas.microsoft.com/office/drawing/2014/main" id="{AB901618-2AC9-4984-B037-64A1BD80F028}"/>
                </a:ext>
              </a:extLst>
            </xdr:cNvPr>
            <xdr:cNvGraphicFramePr>
              <a:graphicFrameLocks/>
            </xdr:cNvGraphicFramePr>
          </xdr:nvGraphicFramePr>
          <xdr:xfrm>
            <a:off x="7631206" y="2868706"/>
            <a:ext cx="2835088" cy="28462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Data_Entry!AK671">
        <xdr:nvSpPr>
          <xdr:cNvPr id="27" name="ZoneTexte 26">
            <a:extLst>
              <a:ext uri="{FF2B5EF4-FFF2-40B4-BE49-F238E27FC236}">
                <a16:creationId xmlns="" xmlns:a16="http://schemas.microsoft.com/office/drawing/2014/main" id="{01099DD4-45BF-4F44-BE30-6D326C0722D3}"/>
              </a:ext>
            </a:extLst>
          </xdr:cNvPr>
          <xdr:cNvSpPr txBox="1"/>
        </xdr:nvSpPr>
        <xdr:spPr>
          <a:xfrm>
            <a:off x="10287002" y="2129235"/>
            <a:ext cx="705969" cy="299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68C3B14-0006-4CB2-8C07-5A3303A4E206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/>
              <a:t> 33 217 </a:t>
            </a:fld>
            <a:endParaRPr lang="en-US" sz="2800" b="1">
              <a:solidFill>
                <a:schemeClr val="tx1"/>
              </a:solidFill>
            </a:endParaRPr>
          </a:p>
        </xdr:txBody>
      </xdr:sp>
      <xdr:sp macro="" textlink="">
        <xdr:nvSpPr>
          <xdr:cNvPr id="28" name="ZoneTexte 27">
            <a:extLst>
              <a:ext uri="{FF2B5EF4-FFF2-40B4-BE49-F238E27FC236}">
                <a16:creationId xmlns="" xmlns:a16="http://schemas.microsoft.com/office/drawing/2014/main" id="{7999DD26-1DD2-41F8-9F5B-BCFA29082FDF}"/>
              </a:ext>
            </a:extLst>
          </xdr:cNvPr>
          <xdr:cNvSpPr txBox="1"/>
        </xdr:nvSpPr>
        <xdr:spPr>
          <a:xfrm>
            <a:off x="10085294" y="2129118"/>
            <a:ext cx="481853" cy="24653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N=</a:t>
            </a:r>
          </a:p>
        </xdr:txBody>
      </xdr:sp>
    </xdr:grpSp>
    <xdr:clientData/>
  </xdr:twoCellAnchor>
  <xdr:twoCellAnchor>
    <xdr:from>
      <xdr:col>11</xdr:col>
      <xdr:colOff>44825</xdr:colOff>
      <xdr:row>41</xdr:row>
      <xdr:rowOff>11205</xdr:rowOff>
    </xdr:from>
    <xdr:to>
      <xdr:col>20</xdr:col>
      <xdr:colOff>56029</xdr:colOff>
      <xdr:row>75</xdr:row>
      <xdr:rowOff>78441</xdr:rowOff>
    </xdr:to>
    <xdr:grpSp>
      <xdr:nvGrpSpPr>
        <xdr:cNvPr id="35" name="Groupe 34">
          <a:extLst>
            <a:ext uri="{FF2B5EF4-FFF2-40B4-BE49-F238E27FC236}">
              <a16:creationId xmlns="" xmlns:a16="http://schemas.microsoft.com/office/drawing/2014/main" id="{A907298A-A417-40AD-8BD4-C93BEE3D8641}"/>
            </a:ext>
          </a:extLst>
        </xdr:cNvPr>
        <xdr:cNvGrpSpPr/>
      </xdr:nvGrpSpPr>
      <xdr:grpSpPr>
        <a:xfrm>
          <a:off x="7973254" y="6542634"/>
          <a:ext cx="7195775" cy="5618950"/>
          <a:chOff x="7597590" y="6286499"/>
          <a:chExt cx="6869204" cy="5401236"/>
        </a:xfrm>
      </xdr:grpSpPr>
      <xdr:grpSp>
        <xdr:nvGrpSpPr>
          <xdr:cNvPr id="26" name="Groupe 25">
            <a:extLst>
              <a:ext uri="{FF2B5EF4-FFF2-40B4-BE49-F238E27FC236}">
                <a16:creationId xmlns="" xmlns:a16="http://schemas.microsoft.com/office/drawing/2014/main" id="{A9A0BC55-1D11-4AB6-9117-027760C27101}"/>
              </a:ext>
            </a:extLst>
          </xdr:cNvPr>
          <xdr:cNvGrpSpPr/>
        </xdr:nvGrpSpPr>
        <xdr:grpSpPr>
          <a:xfrm>
            <a:off x="7597590" y="6286499"/>
            <a:ext cx="6869204" cy="5401236"/>
            <a:chOff x="7597590" y="6286499"/>
            <a:chExt cx="6869204" cy="5401236"/>
          </a:xfrm>
        </xdr:grpSpPr>
        <xdr:sp macro="" textlink="">
          <xdr:nvSpPr>
            <xdr:cNvPr id="18" name="Rectangle 17">
              <a:extLst>
                <a:ext uri="{FF2B5EF4-FFF2-40B4-BE49-F238E27FC236}">
                  <a16:creationId xmlns="" xmlns:a16="http://schemas.microsoft.com/office/drawing/2014/main" id="{394AD3ED-0A1E-46A0-B58F-564E424985D8}"/>
                </a:ext>
              </a:extLst>
            </xdr:cNvPr>
            <xdr:cNvSpPr/>
          </xdr:nvSpPr>
          <xdr:spPr>
            <a:xfrm>
              <a:off x="7597590" y="6286499"/>
              <a:ext cx="6869204" cy="5401236"/>
            </a:xfrm>
            <a:prstGeom prst="rect">
              <a:avLst/>
            </a:prstGeom>
            <a:blipFill dpi="0" rotWithShape="1">
              <a:blip xmlns:r="http://schemas.openxmlformats.org/officeDocument/2006/relationships" r:embed="rId7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/>
              <a:stretch>
                <a:fillRect/>
              </a:stretch>
            </a:blip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4" name="Graphique 23">
              <a:extLst>
                <a:ext uri="{FF2B5EF4-FFF2-40B4-BE49-F238E27FC236}">
                  <a16:creationId xmlns="" xmlns:a16="http://schemas.microsoft.com/office/drawing/2014/main" id="{3410DF32-3F06-4FB8-B052-F33D0EC803EF}"/>
                </a:ext>
              </a:extLst>
            </xdr:cNvPr>
            <xdr:cNvGraphicFramePr>
              <a:graphicFrameLocks/>
            </xdr:cNvGraphicFramePr>
          </xdr:nvGraphicFramePr>
          <xdr:xfrm>
            <a:off x="7608794" y="6297706"/>
            <a:ext cx="2745441" cy="246529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8"/>
            </a:graphicData>
          </a:graphic>
        </xdr:graphicFrame>
        <xdr:graphicFrame macro="">
          <xdr:nvGraphicFramePr>
            <xdr:cNvPr id="25" name="Graphique 24">
              <a:extLst>
                <a:ext uri="{FF2B5EF4-FFF2-40B4-BE49-F238E27FC236}">
                  <a16:creationId xmlns="" xmlns:a16="http://schemas.microsoft.com/office/drawing/2014/main" id="{1B214989-E40A-4799-AAC8-27F9BEB80748}"/>
                </a:ext>
              </a:extLst>
            </xdr:cNvPr>
            <xdr:cNvGraphicFramePr>
              <a:graphicFrameLocks/>
            </xdr:cNvGraphicFramePr>
          </xdr:nvGraphicFramePr>
          <xdr:xfrm>
            <a:off x="7613598" y="8647263"/>
            <a:ext cx="2516520" cy="30180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9"/>
            </a:graphicData>
          </a:graphic>
        </xdr:graphicFrame>
      </xdr:grpSp>
      <xdr:sp macro="" textlink="Data_Entry!AL671">
        <xdr:nvSpPr>
          <xdr:cNvPr id="32" name="ZoneTexte 31">
            <a:extLst>
              <a:ext uri="{FF2B5EF4-FFF2-40B4-BE49-F238E27FC236}">
                <a16:creationId xmlns="" xmlns:a16="http://schemas.microsoft.com/office/drawing/2014/main" id="{583A630D-DB11-4816-B04D-8DD8BFB6F989}"/>
              </a:ext>
            </a:extLst>
          </xdr:cNvPr>
          <xdr:cNvSpPr txBox="1"/>
        </xdr:nvSpPr>
        <xdr:spPr>
          <a:xfrm>
            <a:off x="10152531" y="7676029"/>
            <a:ext cx="952500" cy="2585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B1B565FD-5706-41E7-93F6-EC5D91461253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ctr"/>
              <a:t> 29 601 </a:t>
            </a:fld>
            <a:endParaRPr lang="en-US" sz="1600" b="1"/>
          </a:p>
        </xdr:txBody>
      </xdr:sp>
      <xdr:sp macro="" textlink="">
        <xdr:nvSpPr>
          <xdr:cNvPr id="34" name="ZoneTexte 33">
            <a:extLst>
              <a:ext uri="{FF2B5EF4-FFF2-40B4-BE49-F238E27FC236}">
                <a16:creationId xmlns="" xmlns:a16="http://schemas.microsoft.com/office/drawing/2014/main" id="{0181B272-080A-427A-A52A-6921C78388BC}"/>
              </a:ext>
            </a:extLst>
          </xdr:cNvPr>
          <xdr:cNvSpPr txBox="1"/>
        </xdr:nvSpPr>
        <xdr:spPr>
          <a:xfrm>
            <a:off x="10074089" y="7687235"/>
            <a:ext cx="481853" cy="2439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N=</a:t>
            </a:r>
          </a:p>
        </xdr:txBody>
      </xdr:sp>
    </xdr:grp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0.67193</cdr:x>
      <cdr:y>0.0079</cdr:y>
    </cdr:from>
    <cdr:to>
      <cdr:x>0.95536</cdr:x>
      <cdr:y>0.0947</cdr:y>
    </cdr:to>
    <cdr:sp macro="" textlink="Graphiques_Routine!$M$46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B1A930C6-FB44-4349-843B-668A30A80B51}"/>
            </a:ext>
          </a:extLst>
        </cdr:cNvPr>
        <cdr:cNvSpPr txBox="1"/>
      </cdr:nvSpPr>
      <cdr:spPr>
        <a:xfrm xmlns:a="http://schemas.openxmlformats.org/drawingml/2006/main">
          <a:off x="1686635" y="23383"/>
          <a:ext cx="711424" cy="256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D45EC2B-4500-48B0-A794-8BD5CB8821DD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16944</a:t>
          </a:fld>
          <a:endParaRPr lang="en-US" sz="1100" b="1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0.70179</cdr:x>
      <cdr:y>0.01181</cdr:y>
    </cdr:from>
    <cdr:to>
      <cdr:x>0.93636</cdr:x>
      <cdr:y>0.08542</cdr:y>
    </cdr:to>
    <cdr:sp macro="" textlink="Graphiques_Routine!$R$46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6A094489-71E2-4E9E-9B8E-A665F618F3F1}"/>
            </a:ext>
          </a:extLst>
        </cdr:cNvPr>
        <cdr:cNvSpPr txBox="1"/>
      </cdr:nvSpPr>
      <cdr:spPr>
        <a:xfrm xmlns:a="http://schemas.openxmlformats.org/drawingml/2006/main">
          <a:off x="1730119" y="33618"/>
          <a:ext cx="578293" cy="20951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8523D2C-DD93-41EA-8D85-D514E0D4B3DD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16273</a:t>
          </a:fld>
          <a:endParaRPr lang="en-US" sz="1100" b="1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0.64853</cdr:x>
      <cdr:y>0.02008</cdr:y>
    </cdr:from>
    <cdr:to>
      <cdr:x>0.87347</cdr:x>
      <cdr:y>0.1</cdr:y>
    </cdr:to>
    <cdr:sp macro="" textlink="Graphiques_Routine!$B$47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FF002F9F-8088-462C-BCAA-46BD381C77ED}"/>
            </a:ext>
          </a:extLst>
        </cdr:cNvPr>
        <cdr:cNvSpPr txBox="1"/>
      </cdr:nvSpPr>
      <cdr:spPr>
        <a:xfrm xmlns:a="http://schemas.openxmlformats.org/drawingml/2006/main">
          <a:off x="1780514" y="49493"/>
          <a:ext cx="617546" cy="1970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F7BAF380-08DC-4F1A-9C9A-30D7B04321D9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8555</a:t>
          </a:fld>
          <a:endParaRPr lang="en-US" sz="1100" b="1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0.65923</cdr:x>
      <cdr:y>0.07376</cdr:y>
    </cdr:from>
    <cdr:to>
      <cdr:x>0.81101</cdr:x>
      <cdr:y>0.12521</cdr:y>
    </cdr:to>
    <cdr:sp macro="" textlink="">
      <cdr:nvSpPr>
        <cdr:cNvPr id="2" name="ZoneTexte 1">
          <a:extLst xmlns:a="http://schemas.openxmlformats.org/drawingml/2006/main">
            <a:ext uri="{FF2B5EF4-FFF2-40B4-BE49-F238E27FC236}">
              <a16:creationId xmlns="" xmlns:a16="http://schemas.microsoft.com/office/drawing/2014/main" id="{588B2925-D953-4A89-81B6-7C25A89DE508}"/>
            </a:ext>
          </a:extLst>
        </cdr:cNvPr>
        <cdr:cNvSpPr txBox="1"/>
      </cdr:nvSpPr>
      <cdr:spPr>
        <a:xfrm xmlns:a="http://schemas.openxmlformats.org/drawingml/2006/main">
          <a:off x="3013983" y="351063"/>
          <a:ext cx="693964" cy="2449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0.60878</cdr:x>
      <cdr:y>0.01236</cdr:y>
    </cdr:from>
    <cdr:to>
      <cdr:x>0.85305</cdr:x>
      <cdr:y>0.07176</cdr:y>
    </cdr:to>
    <cdr:sp macro="" textlink="Graphiques_Routine!$H$47">
      <cdr:nvSpPr>
        <cdr:cNvPr id="3" name="ZoneTexte 2">
          <a:extLst xmlns:a="http://schemas.openxmlformats.org/drawingml/2006/main">
            <a:ext uri="{FF2B5EF4-FFF2-40B4-BE49-F238E27FC236}">
              <a16:creationId xmlns="" xmlns:a16="http://schemas.microsoft.com/office/drawing/2014/main" id="{A25C56EF-5608-4BA5-8D65-453458725BFE}"/>
            </a:ext>
          </a:extLst>
        </cdr:cNvPr>
        <cdr:cNvSpPr txBox="1"/>
      </cdr:nvSpPr>
      <cdr:spPr>
        <a:xfrm xmlns:a="http://schemas.openxmlformats.org/drawingml/2006/main">
          <a:off x="1532019" y="37303"/>
          <a:ext cx="614708" cy="179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9378D2AD-8C70-426D-B199-E3DCA90E155B}" type="TxLink">
            <a:rPr lang="en-US" sz="1000" b="1" i="0" u="none" strike="noStrike">
              <a:solidFill>
                <a:srgbClr val="000000"/>
              </a:solidFill>
              <a:latin typeface="Arial"/>
              <a:cs typeface="Arial"/>
            </a:rPr>
            <a:pPr/>
            <a:t>21046</a:t>
          </a:fld>
          <a:endParaRPr lang="en-US" sz="1100" b="1"/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13606</xdr:colOff>
      <xdr:row>0</xdr:row>
      <xdr:rowOff>108856</xdr:rowOff>
    </xdr:from>
    <xdr:to>
      <xdr:col>10</xdr:col>
      <xdr:colOff>84845</xdr:colOff>
      <xdr:row>36</xdr:row>
      <xdr:rowOff>57629</xdr:rowOff>
    </xdr:to>
    <xdr:grpSp>
      <xdr:nvGrpSpPr>
        <xdr:cNvPr id="2" name="Groupe 1">
          <a:extLst>
            <a:ext uri="{FF2B5EF4-FFF2-40B4-BE49-F238E27FC236}">
              <a16:creationId xmlns="" xmlns:a16="http://schemas.microsoft.com/office/drawing/2014/main" id="{F3CECF6B-D13D-4D40-8244-0E7B8C32581C}"/>
            </a:ext>
          </a:extLst>
        </xdr:cNvPr>
        <xdr:cNvGrpSpPr/>
      </xdr:nvGrpSpPr>
      <xdr:grpSpPr>
        <a:xfrm>
          <a:off x="13606" y="108856"/>
          <a:ext cx="7201382" cy="5827059"/>
          <a:chOff x="5374820" y="163285"/>
          <a:chExt cx="6874810" cy="5663773"/>
        </a:xfrm>
      </xdr:grpSpPr>
      <xdr:graphicFrame macro="">
        <xdr:nvGraphicFramePr>
          <xdr:cNvPr id="3" name="Graphique 2">
            <a:extLst>
              <a:ext uri="{FF2B5EF4-FFF2-40B4-BE49-F238E27FC236}">
                <a16:creationId xmlns="" xmlns:a16="http://schemas.microsoft.com/office/drawing/2014/main" id="{30E4306E-3479-4CAA-A23D-53C3AF2F768E}"/>
              </a:ext>
            </a:extLst>
          </xdr:cNvPr>
          <xdr:cNvGraphicFramePr/>
        </xdr:nvGraphicFramePr>
        <xdr:xfrm>
          <a:off x="5374820" y="198023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21">
        <xdr:nvSpPr>
          <xdr:cNvPr id="4" name="Ellipse 3">
            <a:extLst>
              <a:ext uri="{FF2B5EF4-FFF2-40B4-BE49-F238E27FC236}">
                <a16:creationId xmlns="" xmlns:a16="http://schemas.microsoft.com/office/drawing/2014/main" id="{F0674024-4A39-4254-99DC-FB81D4C85F6C}"/>
              </a:ext>
            </a:extLst>
          </xdr:cNvPr>
          <xdr:cNvSpPr/>
        </xdr:nvSpPr>
        <xdr:spPr>
          <a:xfrm>
            <a:off x="6027965" y="1632857"/>
            <a:ext cx="762000" cy="73478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45F5445E-77BC-4015-A5EE-8A48DD611DA2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107%</a:t>
            </a:fld>
            <a:endParaRPr lang="en-US" sz="3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6">
        <xdr:nvSpPr>
          <xdr:cNvPr id="5" name="Rectangle 4">
            <a:extLst>
              <a:ext uri="{FF2B5EF4-FFF2-40B4-BE49-F238E27FC236}">
                <a16:creationId xmlns="" xmlns:a16="http://schemas.microsoft.com/office/drawing/2014/main" id="{F5F6A1FE-4F48-41AD-A9B5-E0F32E906D3D}"/>
              </a:ext>
            </a:extLst>
          </xdr:cNvPr>
          <xdr:cNvSpPr/>
        </xdr:nvSpPr>
        <xdr:spPr>
          <a:xfrm>
            <a:off x="5470071" y="163285"/>
            <a:ext cx="4027715" cy="2449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AD263099-9DCC-41E4-A9B8-D8945BAF0628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CV Penta 3 de Janvier-Octobre 2024</a:t>
            </a:fld>
            <a:endParaRPr lang="en-US" sz="24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39</xdr:row>
      <xdr:rowOff>108856</xdr:rowOff>
    </xdr:from>
    <xdr:to>
      <xdr:col>10</xdr:col>
      <xdr:colOff>71239</xdr:colOff>
      <xdr:row>74</xdr:row>
      <xdr:rowOff>57627</xdr:rowOff>
    </xdr:to>
    <xdr:grpSp>
      <xdr:nvGrpSpPr>
        <xdr:cNvPr id="6" name="Groupe 5">
          <a:extLst>
            <a:ext uri="{FF2B5EF4-FFF2-40B4-BE49-F238E27FC236}">
              <a16:creationId xmlns="" xmlns:a16="http://schemas.microsoft.com/office/drawing/2014/main" id="{C10509D7-F86E-43E7-B444-292A632CF4EF}"/>
            </a:ext>
          </a:extLst>
        </xdr:cNvPr>
        <xdr:cNvGrpSpPr/>
      </xdr:nvGrpSpPr>
      <xdr:grpSpPr>
        <a:xfrm>
          <a:off x="0" y="6476999"/>
          <a:ext cx="7201382" cy="5500485"/>
          <a:chOff x="5333998" y="176894"/>
          <a:chExt cx="6874810" cy="5663771"/>
        </a:xfrm>
      </xdr:grpSpPr>
      <xdr:graphicFrame macro="">
        <xdr:nvGraphicFramePr>
          <xdr:cNvPr id="7" name="Graphique 6">
            <a:extLst>
              <a:ext uri="{FF2B5EF4-FFF2-40B4-BE49-F238E27FC236}">
                <a16:creationId xmlns="" xmlns:a16="http://schemas.microsoft.com/office/drawing/2014/main" id="{2DE36F79-ADF8-4279-9FEF-809B42E1148D}"/>
              </a:ext>
            </a:extLst>
          </xdr:cNvPr>
          <xdr:cNvGraphicFramePr/>
        </xdr:nvGraphicFramePr>
        <xdr:xfrm>
          <a:off x="5333998" y="211630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60">
        <xdr:nvSpPr>
          <xdr:cNvPr id="8" name="Ellipse 7">
            <a:extLst>
              <a:ext uri="{FF2B5EF4-FFF2-40B4-BE49-F238E27FC236}">
                <a16:creationId xmlns="" xmlns:a16="http://schemas.microsoft.com/office/drawing/2014/main" id="{EA888D18-4978-4AB5-B4AA-312D4CBF6602}"/>
              </a:ext>
            </a:extLst>
          </xdr:cNvPr>
          <xdr:cNvSpPr/>
        </xdr:nvSpPr>
        <xdr:spPr>
          <a:xfrm>
            <a:off x="6027965" y="1632857"/>
            <a:ext cx="762000" cy="73478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E0AA99B3-9C0B-4311-8E02-A6DAD749E9EC}" type="TxLink">
              <a:rPr lang="en-US" sz="16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5%</a:t>
            </a:fld>
            <a:endParaRPr lang="en-US" sz="9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44">
        <xdr:nvSpPr>
          <xdr:cNvPr id="9" name="Rectangle 8">
            <a:extLst>
              <a:ext uri="{FF2B5EF4-FFF2-40B4-BE49-F238E27FC236}">
                <a16:creationId xmlns="" xmlns:a16="http://schemas.microsoft.com/office/drawing/2014/main" id="{B799A1C7-6231-496D-8F82-E27F879EC964}"/>
              </a:ext>
            </a:extLst>
          </xdr:cNvPr>
          <xdr:cNvSpPr/>
        </xdr:nvSpPr>
        <xdr:spPr>
          <a:xfrm>
            <a:off x="5402035" y="176894"/>
            <a:ext cx="4531178" cy="244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7034AEB9-C7D9-41BC-85E3-B6027A2B1AEE}" type="TxLink">
              <a:rPr lang="en-US" sz="11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Tx_Abandon Penta1 - Penta 3 de Janvier-Octobre 2024</a:t>
            </a:fld>
            <a:endParaRPr lang="en-US" sz="18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13</xdr:colOff>
      <xdr:row>79</xdr:row>
      <xdr:rowOff>95250</xdr:rowOff>
    </xdr:from>
    <xdr:to>
      <xdr:col>10</xdr:col>
      <xdr:colOff>71252</xdr:colOff>
      <xdr:row>114</xdr:row>
      <xdr:rowOff>57629</xdr:rowOff>
    </xdr:to>
    <xdr:grpSp>
      <xdr:nvGrpSpPr>
        <xdr:cNvPr id="10" name="Groupe 9">
          <a:extLst>
            <a:ext uri="{FF2B5EF4-FFF2-40B4-BE49-F238E27FC236}">
              <a16:creationId xmlns="" xmlns:a16="http://schemas.microsoft.com/office/drawing/2014/main" id="{24A5CA06-FD84-4D59-B874-9B5982C279E9}"/>
            </a:ext>
          </a:extLst>
        </xdr:cNvPr>
        <xdr:cNvGrpSpPr/>
      </xdr:nvGrpSpPr>
      <xdr:grpSpPr>
        <a:xfrm>
          <a:off x="13" y="12831536"/>
          <a:ext cx="7201382" cy="5677379"/>
          <a:chOff x="5333998" y="163285"/>
          <a:chExt cx="6874810" cy="5677380"/>
        </a:xfrm>
      </xdr:grpSpPr>
      <xdr:graphicFrame macro="">
        <xdr:nvGraphicFramePr>
          <xdr:cNvPr id="11" name="Graphique 10">
            <a:extLst>
              <a:ext uri="{FF2B5EF4-FFF2-40B4-BE49-F238E27FC236}">
                <a16:creationId xmlns="" xmlns:a16="http://schemas.microsoft.com/office/drawing/2014/main" id="{F3E328F2-52BB-4FD6-8A25-EB8CFA0BF1D1}"/>
              </a:ext>
            </a:extLst>
          </xdr:cNvPr>
          <xdr:cNvGraphicFramePr/>
        </xdr:nvGraphicFramePr>
        <xdr:xfrm>
          <a:off x="5333998" y="211630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J$83">
        <xdr:nvSpPr>
          <xdr:cNvPr id="12" name="Rectangle 11">
            <a:extLst>
              <a:ext uri="{FF2B5EF4-FFF2-40B4-BE49-F238E27FC236}">
                <a16:creationId xmlns="" xmlns:a16="http://schemas.microsoft.com/office/drawing/2014/main" id="{9682D97B-8E60-48D0-BB15-64C69E40BA9F}"/>
              </a:ext>
            </a:extLst>
          </xdr:cNvPr>
          <xdr:cNvSpPr/>
        </xdr:nvSpPr>
        <xdr:spPr>
          <a:xfrm>
            <a:off x="5374821" y="163285"/>
            <a:ext cx="3986893" cy="2449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8DF2D13-64B2-4823-BACE-96BAE1B2395C}" type="TxLink">
              <a:rPr lang="en-US" sz="11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Stratification des ZS par Catégores de Janvier-Octobre 2024</a:t>
            </a:fld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81641</xdr:rowOff>
    </xdr:from>
    <xdr:to>
      <xdr:col>10</xdr:col>
      <xdr:colOff>71239</xdr:colOff>
      <xdr:row>36</xdr:row>
      <xdr:rowOff>30414</xdr:rowOff>
    </xdr:to>
    <xdr:grpSp>
      <xdr:nvGrpSpPr>
        <xdr:cNvPr id="2" name="Groupe 1">
          <a:extLst>
            <a:ext uri="{FF2B5EF4-FFF2-40B4-BE49-F238E27FC236}">
              <a16:creationId xmlns="" xmlns:a16="http://schemas.microsoft.com/office/drawing/2014/main" id="{18560A2C-54CC-4C68-BE01-016824EE4A4E}"/>
            </a:ext>
          </a:extLst>
        </xdr:cNvPr>
        <xdr:cNvGrpSpPr/>
      </xdr:nvGrpSpPr>
      <xdr:grpSpPr>
        <a:xfrm>
          <a:off x="0" y="81641"/>
          <a:ext cx="7201382" cy="5827059"/>
          <a:chOff x="5374820" y="163285"/>
          <a:chExt cx="6874810" cy="5663773"/>
        </a:xfrm>
      </xdr:grpSpPr>
      <xdr:graphicFrame macro="">
        <xdr:nvGraphicFramePr>
          <xdr:cNvPr id="3" name="Graphique 2">
            <a:extLst>
              <a:ext uri="{FF2B5EF4-FFF2-40B4-BE49-F238E27FC236}">
                <a16:creationId xmlns="" xmlns:a16="http://schemas.microsoft.com/office/drawing/2014/main" id="{18EEDBAD-F2DD-4543-8C6E-D743A3ED5308}"/>
              </a:ext>
            </a:extLst>
          </xdr:cNvPr>
          <xdr:cNvGraphicFramePr/>
        </xdr:nvGraphicFramePr>
        <xdr:xfrm>
          <a:off x="5374820" y="198023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$B$21">
        <xdr:nvSpPr>
          <xdr:cNvPr id="4" name="Ellipse 3">
            <a:extLst>
              <a:ext uri="{FF2B5EF4-FFF2-40B4-BE49-F238E27FC236}">
                <a16:creationId xmlns="" xmlns:a16="http://schemas.microsoft.com/office/drawing/2014/main" id="{3BB5D41D-698B-4F88-B16C-0F0CD2AD9998}"/>
              </a:ext>
            </a:extLst>
          </xdr:cNvPr>
          <xdr:cNvSpPr/>
        </xdr:nvSpPr>
        <xdr:spPr>
          <a:xfrm>
            <a:off x="6994072" y="468983"/>
            <a:ext cx="762000" cy="73478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E301451C-8904-4163-84E8-5110C37EEB02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91%</a:t>
            </a:fld>
            <a:endParaRPr lang="en-US" sz="48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6">
        <xdr:nvSpPr>
          <xdr:cNvPr id="5" name="Rectangle 4">
            <a:extLst>
              <a:ext uri="{FF2B5EF4-FFF2-40B4-BE49-F238E27FC236}">
                <a16:creationId xmlns="" xmlns:a16="http://schemas.microsoft.com/office/drawing/2014/main" id="{B74E05C2-9ED1-4C24-9C01-8A1CF436FEEC}"/>
              </a:ext>
            </a:extLst>
          </xdr:cNvPr>
          <xdr:cNvSpPr/>
        </xdr:nvSpPr>
        <xdr:spPr>
          <a:xfrm>
            <a:off x="5470071" y="163285"/>
            <a:ext cx="4027715" cy="24492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E24FDA6-47DB-46A4-9C9A-1C0C131CBCBE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CV Penta 3 de Janvier-Octobre 2024</a:t>
            </a:fld>
            <a:endParaRPr lang="en-US" sz="2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39</xdr:row>
      <xdr:rowOff>108857</xdr:rowOff>
    </xdr:from>
    <xdr:to>
      <xdr:col>10</xdr:col>
      <xdr:colOff>71239</xdr:colOff>
      <xdr:row>74</xdr:row>
      <xdr:rowOff>44020</xdr:rowOff>
    </xdr:to>
    <xdr:grpSp>
      <xdr:nvGrpSpPr>
        <xdr:cNvPr id="6" name="Groupe 5">
          <a:extLst>
            <a:ext uri="{FF2B5EF4-FFF2-40B4-BE49-F238E27FC236}">
              <a16:creationId xmlns="" xmlns:a16="http://schemas.microsoft.com/office/drawing/2014/main" id="{F1193315-CECA-4249-B99C-9556F458D1A5}"/>
            </a:ext>
          </a:extLst>
        </xdr:cNvPr>
        <xdr:cNvGrpSpPr/>
      </xdr:nvGrpSpPr>
      <xdr:grpSpPr>
        <a:xfrm>
          <a:off x="0" y="6477000"/>
          <a:ext cx="7201382" cy="5486877"/>
          <a:chOff x="5333998" y="190502"/>
          <a:chExt cx="6874810" cy="5650163"/>
        </a:xfrm>
      </xdr:grpSpPr>
      <xdr:graphicFrame macro="">
        <xdr:nvGraphicFramePr>
          <xdr:cNvPr id="7" name="Graphique 6">
            <a:extLst>
              <a:ext uri="{FF2B5EF4-FFF2-40B4-BE49-F238E27FC236}">
                <a16:creationId xmlns="" xmlns:a16="http://schemas.microsoft.com/office/drawing/2014/main" id="{C507578D-6270-44A1-B140-5D3627DE9115}"/>
              </a:ext>
            </a:extLst>
          </xdr:cNvPr>
          <xdr:cNvGraphicFramePr/>
        </xdr:nvGraphicFramePr>
        <xdr:xfrm>
          <a:off x="5333998" y="211630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$B$60">
        <xdr:nvSpPr>
          <xdr:cNvPr id="8" name="Ellipse 7">
            <a:extLst>
              <a:ext uri="{FF2B5EF4-FFF2-40B4-BE49-F238E27FC236}">
                <a16:creationId xmlns="" xmlns:a16="http://schemas.microsoft.com/office/drawing/2014/main" id="{0868EFA0-E459-4592-BB1A-60B83AB0D7B3}"/>
              </a:ext>
            </a:extLst>
          </xdr:cNvPr>
          <xdr:cNvSpPr/>
        </xdr:nvSpPr>
        <xdr:spPr>
          <a:xfrm>
            <a:off x="7102930" y="530678"/>
            <a:ext cx="762000" cy="734786"/>
          </a:xfrm>
          <a:prstGeom prst="ellipse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fld id="{F5CCBC5F-1CF9-4629-A6E7-884DF33111BC}" type="TxLink">
              <a:rPr lang="en-US" sz="14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4%</a:t>
            </a:fld>
            <a:endParaRPr lang="en-US" sz="199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$J$44">
        <xdr:nvSpPr>
          <xdr:cNvPr id="9" name="Rectangle 8">
            <a:extLst>
              <a:ext uri="{FF2B5EF4-FFF2-40B4-BE49-F238E27FC236}">
                <a16:creationId xmlns="" xmlns:a16="http://schemas.microsoft.com/office/drawing/2014/main" id="{AF790FA6-1A0A-4F91-A16E-FBA5F9B8447F}"/>
              </a:ext>
            </a:extLst>
          </xdr:cNvPr>
          <xdr:cNvSpPr/>
        </xdr:nvSpPr>
        <xdr:spPr>
          <a:xfrm>
            <a:off x="5402035" y="190502"/>
            <a:ext cx="4531178" cy="2449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B3811CCE-7DA4-4371-BA61-02C3F367C6D8}" type="TxLink">
              <a:rPr lang="en-US" sz="12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Tx_Abandon Penta1 - Penta 3 de Janvier-Octobre 2024</a:t>
            </a:fld>
            <a:endParaRPr lang="en-US" sz="20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78</xdr:row>
      <xdr:rowOff>157201</xdr:rowOff>
    </xdr:from>
    <xdr:to>
      <xdr:col>10</xdr:col>
      <xdr:colOff>71239</xdr:colOff>
      <xdr:row>113</xdr:row>
      <xdr:rowOff>71235</xdr:rowOff>
    </xdr:to>
    <xdr:grpSp>
      <xdr:nvGrpSpPr>
        <xdr:cNvPr id="10" name="Groupe 9">
          <a:extLst>
            <a:ext uri="{FF2B5EF4-FFF2-40B4-BE49-F238E27FC236}">
              <a16:creationId xmlns="" xmlns:a16="http://schemas.microsoft.com/office/drawing/2014/main" id="{2635229F-A69C-4B31-ABFA-63FEC89DB92C}"/>
            </a:ext>
          </a:extLst>
        </xdr:cNvPr>
        <xdr:cNvGrpSpPr/>
      </xdr:nvGrpSpPr>
      <xdr:grpSpPr>
        <a:xfrm>
          <a:off x="0" y="12730201"/>
          <a:ext cx="7201382" cy="5629034"/>
          <a:chOff x="5333998" y="211630"/>
          <a:chExt cx="6874810" cy="5629035"/>
        </a:xfrm>
      </xdr:grpSpPr>
      <xdr:graphicFrame macro="">
        <xdr:nvGraphicFramePr>
          <xdr:cNvPr id="11" name="Graphique 10">
            <a:extLst>
              <a:ext uri="{FF2B5EF4-FFF2-40B4-BE49-F238E27FC236}">
                <a16:creationId xmlns="" xmlns:a16="http://schemas.microsoft.com/office/drawing/2014/main" id="{5383F03B-8A34-4D44-9805-B206C6FAF35C}"/>
              </a:ext>
            </a:extLst>
          </xdr:cNvPr>
          <xdr:cNvGraphicFramePr/>
        </xdr:nvGraphicFramePr>
        <xdr:xfrm>
          <a:off x="5333998" y="211630"/>
          <a:ext cx="6874810" cy="56290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$J$82">
        <xdr:nvSpPr>
          <xdr:cNvPr id="12" name="Rectangle 11">
            <a:extLst>
              <a:ext uri="{FF2B5EF4-FFF2-40B4-BE49-F238E27FC236}">
                <a16:creationId xmlns="" xmlns:a16="http://schemas.microsoft.com/office/drawing/2014/main" id="{3D848647-E0F7-45DA-874F-D51759ACF2D5}"/>
              </a:ext>
            </a:extLst>
          </xdr:cNvPr>
          <xdr:cNvSpPr/>
        </xdr:nvSpPr>
        <xdr:spPr>
          <a:xfrm>
            <a:off x="5470071" y="231321"/>
            <a:ext cx="3986893" cy="24493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38DF2D13-64B2-4823-BACE-96BAE1B2395C}" type="TxLink">
              <a:rPr lang="en-US" sz="1100" b="1" i="0" u="none" strike="noStrike">
                <a:solidFill>
                  <a:srgbClr val="000000"/>
                </a:solidFill>
                <a:latin typeface="Arial"/>
                <a:cs typeface="Arial"/>
              </a:rPr>
              <a:pPr algn="l"/>
              <a:t>Stratification des ZS par Catégores de Janvier-Octobre 2024</a:t>
            </a:fld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unicef-my.sharepoint.com/personal/bbulindi_unicef_org/Documents/Desktop/UNICEF/2020/PEV/CCIA/DECEMBRE%202024/NK_Courbe_Couv_antig&#232;nes_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G"/>
      <sheetName val="VPO3"/>
      <sheetName val="PENTA3"/>
      <sheetName val="PCV-13 3"/>
      <sheetName val="VPI1"/>
      <sheetName val="Rota3"/>
      <sheetName val="VAR1"/>
      <sheetName val="VAA"/>
      <sheetName val="VPI2"/>
      <sheetName val="VAR2"/>
      <sheetName val="Td2+"/>
    </sheetNames>
    <sheetDataSet>
      <sheetData sheetId="0">
        <row r="29">
          <cell r="C29" t="str">
            <v>janvier</v>
          </cell>
          <cell r="D29" t="str">
            <v>février</v>
          </cell>
          <cell r="E29" t="str">
            <v>mars</v>
          </cell>
          <cell r="F29" t="str">
            <v>avril</v>
          </cell>
          <cell r="G29" t="str">
            <v xml:space="preserve">mai </v>
          </cell>
          <cell r="H29" t="str">
            <v>juin</v>
          </cell>
          <cell r="I29" t="str">
            <v>juillet</v>
          </cell>
          <cell r="J29" t="str">
            <v>août</v>
          </cell>
          <cell r="K29" t="str">
            <v>septembre</v>
          </cell>
          <cell r="L29" t="str">
            <v>octobre</v>
          </cell>
          <cell r="M29" t="str">
            <v>novembre</v>
          </cell>
          <cell r="N29" t="str">
            <v>décembre</v>
          </cell>
        </row>
        <row r="32">
          <cell r="A32" t="str">
            <v>Couverture idéale</v>
          </cell>
        </row>
        <row r="33">
          <cell r="A33" t="str">
            <v>Couverture poursuivie</v>
          </cell>
        </row>
        <row r="34">
          <cell r="A34" t="str">
            <v>Couverture vaccinale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HP" refreshedDate="45621.242000115744" createdVersion="6" refreshedVersion="6" recordCount="666">
  <cacheSource type="worksheet">
    <worksheetSource name="Tableau2"/>
  </cacheSource>
  <cacheFields count="66">
    <cacheField name="Province" numFmtId="0">
      <sharedItems/>
    </cacheField>
    <cacheField name="Antenne" numFmtId="0">
      <sharedItems count="2">
        <s v="Butembo"/>
        <s v="Goma"/>
      </sharedItems>
    </cacheField>
    <cacheField name="ZS" numFmtId="0">
      <sharedItems count="34">
        <s v=" Alimbongo"/>
        <s v=" Bambo"/>
        <s v=" Beni"/>
        <s v=" Biena"/>
        <s v=" Binza"/>
        <s v=" Birambizo"/>
        <s v=" Butembo"/>
        <s v=" Goma"/>
        <s v=" Itebero"/>
        <s v=" Kalunguta"/>
        <s v=" Kamango"/>
        <s v=" Karisimbi"/>
        <s v=" Katoyi"/>
        <s v=" Katwa"/>
        <s v=" Kayna"/>
        <s v=" Kibirizi"/>
        <s v=" Kibua"/>
        <s v=" Kirotshe"/>
        <s v=" Kyondo"/>
        <s v=" Lubero"/>
        <s v=" Mabalako"/>
        <s v=" Manguredjipa"/>
        <s v=" Masereka"/>
        <s v=" Masisi"/>
        <s v=" Musienene"/>
        <s v=" Mutwanga"/>
        <s v=" Mweso"/>
        <s v=" Nyiragongo"/>
        <s v=" Oicha"/>
        <s v=" Pinga"/>
        <s v=" Rutshuru"/>
        <s v=" Rwanguba"/>
        <s v=" Vuhovi"/>
        <s v=" Walikale"/>
      </sharedItems>
    </cacheField>
    <cacheField name="AS" numFmtId="0">
      <sharedItems/>
    </cacheField>
    <cacheField name="Pop_Totale_2024" numFmtId="165">
      <sharedItems containsMixedTypes="1" containsNumber="1" containsInteger="1" minValue="2196" maxValue="98712"/>
    </cacheField>
    <cacheField name="Cible 3,49%" numFmtId="165">
      <sharedItems containsMixedTypes="1" containsNumber="1" minValue="76.6404" maxValue="3445.0488"/>
    </cacheField>
    <cacheField name="Cible 4%" numFmtId="165">
      <sharedItems containsMixedTypes="1" containsNumber="1" minValue="87.84" maxValue="3948.48"/>
    </cacheField>
    <cacheField name="Cible_Cumulée 3,49%" numFmtId="165">
      <sharedItems containsMixedTypes="1" containsNumber="1" minValue="63.867000000000004" maxValue="2870.8739999999998"/>
    </cacheField>
    <cacheField name="Cible_Cumulée 4%" numFmtId="165">
      <sharedItems containsMixedTypes="1" containsNumber="1" minValue="73.2" maxValue="3290.4"/>
    </cacheField>
    <cacheField name="BCG" numFmtId="165">
      <sharedItems containsMixedTypes="1" containsNumber="1" containsInteger="1" minValue="9" maxValue="5789"/>
    </cacheField>
    <cacheField name="VPO 0" numFmtId="165">
      <sharedItems containsMixedTypes="1" containsNumber="1" containsInteger="1" minValue="2" maxValue="5500"/>
    </cacheField>
    <cacheField name="VPO 1" numFmtId="165">
      <sharedItems containsMixedTypes="1" containsNumber="1" containsInteger="1" minValue="5" maxValue="5932"/>
    </cacheField>
    <cacheField name="VPO 2" numFmtId="165">
      <sharedItems containsMixedTypes="1" containsNumber="1" containsInteger="1" minValue="1" maxValue="4162"/>
    </cacheField>
    <cacheField name="VPO 3" numFmtId="165">
      <sharedItems containsMixedTypes="1" containsNumber="1" containsInteger="1" minValue="1" maxValue="5708"/>
    </cacheField>
    <cacheField name="Penta 1" numFmtId="165">
      <sharedItems containsMixedTypes="1" containsNumber="1" containsInteger="1" minValue="6" maxValue="5906"/>
    </cacheField>
    <cacheField name="Penta 2" numFmtId="165">
      <sharedItems containsMixedTypes="1" containsNumber="1" containsInteger="1" minValue="6" maxValue="3929"/>
    </cacheField>
    <cacheField name="Penta 3" numFmtId="165">
      <sharedItems containsMixedTypes="1" containsNumber="1" containsInteger="1" minValue="3" maxValue="4167"/>
    </cacheField>
    <cacheField name="PCV-13 (1)" numFmtId="165">
      <sharedItems containsMixedTypes="1" containsNumber="1" containsInteger="1" minValue="5" maxValue="5915"/>
    </cacheField>
    <cacheField name="PCV-13 (2)" numFmtId="165">
      <sharedItems containsMixedTypes="1" containsNumber="1" containsInteger="1" minValue="1" maxValue="4020"/>
    </cacheField>
    <cacheField name="PCV-13 (3)" numFmtId="165">
      <sharedItems containsMixedTypes="1" containsNumber="1" containsInteger="1" minValue="2" maxValue="4315"/>
    </cacheField>
    <cacheField name="Rota 1" numFmtId="165">
      <sharedItems containsMixedTypes="1" containsNumber="1" containsInteger="1" minValue="5" maxValue="5287"/>
    </cacheField>
    <cacheField name="Rota 2" numFmtId="165">
      <sharedItems containsMixedTypes="1" containsNumber="1" containsInteger="1" minValue="4" maxValue="3784"/>
    </cacheField>
    <cacheField name="Rota 3" numFmtId="165">
      <sharedItems containsMixedTypes="1" containsNumber="1" containsInteger="1" minValue="2" maxValue="4348"/>
    </cacheField>
    <cacheField name="VAR1" numFmtId="165">
      <sharedItems containsMixedTypes="1" containsNumber="1" containsInteger="1" minValue="6" maxValue="4870"/>
    </cacheField>
    <cacheField name="VAR 2/RR 2" numFmtId="165">
      <sharedItems containsMixedTypes="1" containsNumber="1" containsInteger="1" minValue="1" maxValue="6410"/>
    </cacheField>
    <cacheField name="VAA" numFmtId="165">
      <sharedItems containsMixedTypes="1" containsNumber="1" containsInteger="1" minValue="6" maxValue="4474"/>
    </cacheField>
    <cacheField name="VPI1" numFmtId="165">
      <sharedItems containsMixedTypes="1" containsNumber="1" containsInteger="1" minValue="1" maxValue="4693"/>
    </cacheField>
    <cacheField name="VPI 2" numFmtId="165">
      <sharedItems containsMixedTypes="1" containsNumber="1" containsInteger="1" minValue="1" maxValue="4452"/>
    </cacheField>
    <cacheField name="Td 1" numFmtId="165">
      <sharedItems containsMixedTypes="1" containsNumber="1" containsInteger="1" minValue="2" maxValue="2243"/>
    </cacheField>
    <cacheField name="Td 2" numFmtId="165">
      <sharedItems containsMixedTypes="1" containsNumber="1" containsInteger="1" minValue="1" maxValue="1665"/>
    </cacheField>
    <cacheField name="Td 3" numFmtId="165">
      <sharedItems containsMixedTypes="1" containsNumber="1" containsInteger="1" minValue="1" maxValue="1493"/>
    </cacheField>
    <cacheField name="Td 4" numFmtId="165">
      <sharedItems containsMixedTypes="1" containsNumber="1" containsInteger="1" minValue="1" maxValue="1249"/>
    </cacheField>
    <cacheField name="Td 5" numFmtId="165">
      <sharedItems containsMixedTypes="1" containsNumber="1" containsInteger="1" minValue="1" maxValue="891"/>
    </cacheField>
    <cacheField name="Td2+" numFmtId="165">
      <sharedItems containsSemiMixedTypes="0" containsString="0" containsNumber="1" containsInteger="1" minValue="0" maxValue="4435"/>
    </cacheField>
    <cacheField name="Promptitude" numFmtId="165">
      <sharedItems containsMixedTypes="1" containsNumber="1" minValue="8.3000000000000007" maxValue="108.3"/>
    </cacheField>
    <cacheField name="Completude" numFmtId="165">
      <sharedItems containsSemiMixedTypes="0" containsString="0" containsNumber="1" containsInteger="1" minValue="100" maxValue="100"/>
    </cacheField>
    <cacheField name="EZD" numFmtId="165">
      <sharedItems containsSemiMixedTypes="0" containsString="0" containsNumber="1" minValue="0" maxValue="1223.715083333333"/>
    </cacheField>
    <cacheField name="ESV" numFmtId="165">
      <sharedItems containsSemiMixedTypes="0" containsString="0" containsNumber="1" containsInteger="1" minValue="0" maxValue="1036"/>
    </cacheField>
    <cacheField name="ECV" numFmtId="165">
      <sharedItems containsSemiMixedTypes="0" containsString="0" containsNumber="1" containsInteger="1" minValue="0" maxValue="4474"/>
    </cacheField>
    <cacheField name="CV_BCG" numFmtId="0" formula="BCG/'Cible_Cumulée 4%'" databaseField="0"/>
    <cacheField name="CV_VPI" numFmtId="0" formula="VPI1/'Cible_Cumulée 3,49%'" databaseField="0"/>
    <cacheField name="CV_VPO3" numFmtId="0" formula="'VPO 3'/'Cible_Cumulée 3,49%'" databaseField="0"/>
    <cacheField name="CV_DTC1" numFmtId="0" formula="'Penta 1'/'Cible_Cumulée 3,49%'" databaseField="0"/>
    <cacheField name="CV_DTC3" numFmtId="0" formula="'Penta 3'/'Cible_Cumulée 3,49%'" databaseField="0"/>
    <cacheField name="CV_PCV13 1" numFmtId="0" formula="'PCV-13 (1)'/'Cible_Cumulée 3,49%'" databaseField="0"/>
    <cacheField name="CV_PCV13 3" numFmtId="0" formula="'PCV-13 (3)'/'Cible_Cumulée 3,49%'" databaseField="0"/>
    <cacheField name="Rota1" numFmtId="0" formula="'Rota 1'/'Cible_Cumulée 3,49%'" databaseField="0"/>
    <cacheField name="Rota3" numFmtId="0" formula="'Rota 3'/'Cible_Cumulée 3,49%'" databaseField="0"/>
    <cacheField name="CV_VAR1" numFmtId="0" formula="VAR1/'Cible_Cumulée 3,49%'" databaseField="0"/>
    <cacheField name="CV_VAR2" numFmtId="0" formula="'VAR 2/RR 2'/'Cible_Cumulée 3,49%'" databaseField="0"/>
    <cacheField name="CV_VAA" numFmtId="0" formula="VAA/'Cible_Cumulée 3,49%'" databaseField="0"/>
    <cacheField name="CV_VPI2" numFmtId="0" formula="'VPI 2'/'Cible_Cumulée 3,49%'" databaseField="0"/>
    <cacheField name="CV_Td1" numFmtId="0" formula="'Td 1'/'Cible_Cumulée 4%'" databaseField="0"/>
    <cacheField name="CV_Td2+" numFmtId="0" formula="'Td2+2'/'Cible_Cumulée 4%'" databaseField="0"/>
    <cacheField name="Tx_Abandon Penta 1-3" numFmtId="0" formula="IF((('Penta 1'-'Penta 3') /'Penta 1') &lt;0,0,('Penta 1'-'Penta 3') /'Penta 1')" databaseField="0"/>
    <cacheField name="Enfants_0 Dose" numFmtId="0" formula="IF(('Cible_Cumulée 3,49%'-'Penta 1')&lt;0,&quot;&quot;,'Cible_Cumulée 3,49%'-'Penta 1')" databaseField="0"/>
    <cacheField name="Nb_ESV" numFmtId="0" formula="IF('Penta 1'-VAR1&lt;0,&quot;&quot;,'Penta 1'-VAR1)" databaseField="0"/>
    <cacheField name="Categorisation" numFmtId="0" formula="IF('Tx_Abandon Penta 1-3'&lt;=0,&quot;CAT4&quot;,IF(AND(CV_DTC1&gt;80%,'Tx_Abandon Penta 1-3'&lt;10%),&quot;CAT1&quot;,IF('Tx_Abandon Penta 1-3'&gt;10%,&quot;CAT2&quot;,IF(AND(CV_DTC1&lt;80%,'Tx_Abandon Penta 1-3'&lt;10%),&quot;CAT3&quot;,IF('Tx_Abandon Penta 1-3'&gt;10%,&quot;CAT4&quot;)))))" databaseField="0"/>
    <cacheField name="Td2+2" numFmtId="0" formula="'Td 2'+'Td 3'+'Td 4'+'Td 5'" databaseField="0"/>
    <cacheField name="CV_VPO 0" numFmtId="0" formula="'VPO 0'/'Cible_Cumulée 3,49%'" databaseField="0"/>
    <cacheField name="CV_VPO 1" numFmtId="0" formula="'VPO 1'/'Cible_Cumulée 3,49%'" databaseField="0"/>
    <cacheField name="CV_VPO 2" numFmtId="0" formula="'VPO 2'/'Cible_Cumulée 3,49%'" databaseField="0"/>
    <cacheField name="CV_Penta 2" numFmtId="0" formula="'Penta 2'/'Cible_Cumulée 3,49%'" databaseField="0"/>
    <cacheField name="CV_PCV-13 2" numFmtId="0" formula="'PCV-13 (2)'/'Cible_Cumulée 3,49%'" databaseField="0"/>
    <cacheField name="CV_Rota 2" numFmtId="0" formula="'Rota 2'/'Cible_Cumulée 3,49%'" databaseField="0"/>
    <cacheField name="ECV2" numFmtId="0" formula="MIN(VAR1,VAA)/'Cible_Cumulée 3,49%'" databaseField="0"/>
  </cacheFields>
  <extLst>
    <ext xmlns:x14="http://schemas.microsoft.com/office/spreadsheetml/2009/9/main" uri="{725AE2AE-9491-48be-B2B4-4EB974FC3084}">
      <x14:pivotCacheDefinition pivotCacheId="2229279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">
  <r>
    <s v="Nord Kivu"/>
    <x v="0"/>
    <x v="0"/>
    <s v=" Alimbongo"/>
    <n v="12959"/>
    <n v="452.26909999999998"/>
    <n v="518.36"/>
    <n v="376.89091666666661"/>
    <n v="431.96666666666664"/>
    <n v="371"/>
    <n v="209"/>
    <n v="429"/>
    <n v="390"/>
    <n v="399"/>
    <n v="406"/>
    <n v="367"/>
    <n v="367"/>
    <n v="354"/>
    <n v="304"/>
    <n v="296"/>
    <n v="386"/>
    <n v="360"/>
    <n v="358"/>
    <n v="388"/>
    <n v="146"/>
    <n v="379"/>
    <n v="397"/>
    <n v="390"/>
    <n v="161"/>
    <n v="108"/>
    <n v="102"/>
    <n v="152"/>
    <n v="71"/>
    <n v="433"/>
    <n v="58.3"/>
    <n v="100"/>
    <n v="0"/>
    <n v="18"/>
    <n v="379"/>
  </r>
  <r>
    <s v="Nord Kivu"/>
    <x v="0"/>
    <x v="0"/>
    <s v=" Bingi"/>
    <n v="14117"/>
    <n v="492.68330000000003"/>
    <n v="564.68000000000006"/>
    <n v="410.56941666666665"/>
    <n v="470.56666666666672"/>
    <n v="490"/>
    <n v="1398"/>
    <n v="617"/>
    <n v="453"/>
    <n v="595"/>
    <n v="617"/>
    <n v="452"/>
    <n v="595"/>
    <n v="559"/>
    <n v="420"/>
    <n v="539"/>
    <n v="617"/>
    <n v="460"/>
    <n v="600"/>
    <n v="583"/>
    <n v="177"/>
    <n v="583"/>
    <n v="892"/>
    <n v="583"/>
    <n v="224"/>
    <n v="130"/>
    <n v="154"/>
    <n v="138"/>
    <n v="150"/>
    <n v="572"/>
    <n v="62.5"/>
    <n v="100"/>
    <n v="0"/>
    <n v="34"/>
    <n v="583"/>
  </r>
  <r>
    <s v="Nord Kivu"/>
    <x v="0"/>
    <x v="0"/>
    <s v=" Bunyatenge"/>
    <n v="17821"/>
    <n v="621.9529"/>
    <n v="712.84"/>
    <n v="518.29408333333333"/>
    <n v="594.0333333333333"/>
    <n v="415"/>
    <n v="408"/>
    <n v="631"/>
    <n v="604"/>
    <n v="594"/>
    <n v="555"/>
    <n v="543"/>
    <n v="517"/>
    <n v="576"/>
    <n v="551"/>
    <n v="527"/>
    <n v="631"/>
    <n v="610"/>
    <n v="589"/>
    <n v="615"/>
    <n v="357"/>
    <n v="547"/>
    <n v="602"/>
    <n v="421"/>
    <n v="264"/>
    <n v="130"/>
    <n v="86"/>
    <n v="90"/>
    <n v="129"/>
    <n v="435"/>
    <n v="62.5"/>
    <n v="100"/>
    <n v="0"/>
    <n v="0"/>
    <n v="547"/>
  </r>
  <r>
    <s v="Nord Kivu"/>
    <x v="0"/>
    <x v="0"/>
    <s v=" Caritas Kaseghe"/>
    <n v="14630"/>
    <n v="510.58699999999999"/>
    <n v="585.20000000000005"/>
    <n v="425.48916666666662"/>
    <n v="487.66666666666674"/>
    <n v="278"/>
    <n v="14"/>
    <n v="255"/>
    <n v="226"/>
    <n v="187"/>
    <n v="262"/>
    <n v="222"/>
    <n v="181"/>
    <n v="201"/>
    <n v="230"/>
    <n v="193"/>
    <n v="259"/>
    <n v="243"/>
    <n v="214"/>
    <n v="296"/>
    <n v="74"/>
    <n v="247"/>
    <n v="208"/>
    <n v="186"/>
    <n v="103"/>
    <n v="87"/>
    <n v="43"/>
    <n v="37"/>
    <n v="33"/>
    <n v="200"/>
    <n v="54.2"/>
    <n v="100"/>
    <n v="163.48916666666662"/>
    <n v="0"/>
    <n v="247"/>
  </r>
  <r>
    <s v="Nord Kivu"/>
    <x v="0"/>
    <x v="0"/>
    <s v=" Fatua"/>
    <n v="7629"/>
    <n v="266.25209999999998"/>
    <n v="305.16000000000003"/>
    <n v="221.87674999999999"/>
    <n v="254.30000000000004"/>
    <s v=""/>
    <n v="141"/>
    <n v="177"/>
    <n v="155"/>
    <n v="150"/>
    <n v="181"/>
    <n v="180"/>
    <n v="171"/>
    <n v="198"/>
    <n v="141"/>
    <n v="139"/>
    <n v="140"/>
    <n v="123"/>
    <n v="137"/>
    <n v="218"/>
    <n v="148"/>
    <n v="227"/>
    <n v="195"/>
    <n v="102"/>
    <n v="179"/>
    <n v="85"/>
    <n v="77"/>
    <n v="58"/>
    <n v="62"/>
    <n v="282"/>
    <n v="58.3"/>
    <n v="100"/>
    <n v="40.876749999999987"/>
    <n v="0"/>
    <n v="218"/>
  </r>
  <r>
    <s v="Nord Kivu"/>
    <x v="0"/>
    <x v="0"/>
    <s v=" Itundwe "/>
    <n v="10164"/>
    <n v="354.72360000000003"/>
    <n v="406.56"/>
    <n v="295.60300000000001"/>
    <n v="338.8"/>
    <n v="198"/>
    <n v="105"/>
    <n v="391"/>
    <n v="384"/>
    <n v="403"/>
    <n v="387"/>
    <n v="377"/>
    <n v="370"/>
    <n v="347"/>
    <n v="331"/>
    <n v="376"/>
    <n v="405"/>
    <n v="380"/>
    <n v="414"/>
    <n v="436"/>
    <n v="106"/>
    <n v="435"/>
    <n v="423"/>
    <n v="341"/>
    <n v="112"/>
    <n v="55"/>
    <n v="69"/>
    <n v="38"/>
    <n v="26"/>
    <n v="188"/>
    <n v="50"/>
    <n v="100"/>
    <n v="0"/>
    <n v="0"/>
    <n v="435"/>
  </r>
  <r>
    <s v="Nord Kivu"/>
    <x v="0"/>
    <x v="0"/>
    <s v=" Kalimba"/>
    <n v="10467"/>
    <n v="365.29829999999998"/>
    <n v="418.68"/>
    <n v="304.41525000000001"/>
    <n v="348.9"/>
    <n v="236"/>
    <n v="439"/>
    <n v="313"/>
    <n v="298"/>
    <n v="348"/>
    <n v="340"/>
    <n v="329"/>
    <n v="329"/>
    <n v="306"/>
    <n v="287"/>
    <n v="306"/>
    <n v="357"/>
    <n v="337"/>
    <n v="357"/>
    <n v="401"/>
    <n v="263"/>
    <n v="366"/>
    <n v="245"/>
    <n v="207"/>
    <n v="81"/>
    <n v="52"/>
    <n v="53"/>
    <n v="42"/>
    <n v="24"/>
    <n v="171"/>
    <n v="62.5"/>
    <n v="100"/>
    <n v="0"/>
    <n v="0"/>
    <n v="366"/>
  </r>
  <r>
    <s v="Nord Kivu"/>
    <x v="0"/>
    <x v="0"/>
    <s v=" Kalungu"/>
    <n v="18343"/>
    <n v="640.17070000000001"/>
    <n v="733.72"/>
    <n v="533.47558333333336"/>
    <n v="611.43333333333339"/>
    <n v="354"/>
    <n v="642"/>
    <n v="540"/>
    <n v="527"/>
    <n v="541"/>
    <n v="539"/>
    <n v="530"/>
    <n v="540"/>
    <n v="540"/>
    <n v="529"/>
    <n v="487"/>
    <n v="540"/>
    <n v="529"/>
    <n v="542"/>
    <n v="639"/>
    <n v="206"/>
    <n v="629"/>
    <n v="487"/>
    <n v="274"/>
    <n v="696"/>
    <n v="392"/>
    <n v="353"/>
    <n v="315"/>
    <n v="128"/>
    <n v="1188"/>
    <n v="52.8"/>
    <n v="100"/>
    <n v="0"/>
    <n v="0"/>
    <n v="629"/>
  </r>
  <r>
    <s v="Nord Kivu"/>
    <x v="0"/>
    <x v="0"/>
    <s v=" Kaseghe CBCA"/>
    <n v="9186"/>
    <n v="320.59140000000002"/>
    <n v="367.44"/>
    <n v="267.15950000000004"/>
    <n v="306.2"/>
    <n v="12"/>
    <n v="7"/>
    <n v="288"/>
    <n v="276"/>
    <n v="293"/>
    <n v="208"/>
    <n v="197"/>
    <n v="215"/>
    <n v="213"/>
    <n v="202"/>
    <n v="220"/>
    <n v="240"/>
    <n v="204"/>
    <n v="221"/>
    <n v="267"/>
    <n v="35"/>
    <n v="263"/>
    <n v="306"/>
    <n v="254"/>
    <n v="191"/>
    <n v="135"/>
    <n v="99"/>
    <n v="78"/>
    <n v="45"/>
    <n v="357"/>
    <n v="50"/>
    <n v="100"/>
    <n v="59.159500000000037"/>
    <n v="0"/>
    <n v="263"/>
  </r>
  <r>
    <s v="Nord Kivu"/>
    <x v="0"/>
    <x v="0"/>
    <s v=" Kasingiri"/>
    <n v="12955"/>
    <n v="452.12950000000001"/>
    <n v="518.20000000000005"/>
    <n v="376.77458333333334"/>
    <n v="431.83333333333337"/>
    <n v="283"/>
    <n v="121"/>
    <n v="178"/>
    <n v="165"/>
    <n v="167"/>
    <n v="301"/>
    <n v="291"/>
    <n v="269"/>
    <n v="299"/>
    <n v="282"/>
    <n v="265"/>
    <n v="333"/>
    <n v="295"/>
    <n v="309"/>
    <n v="406"/>
    <n v="174"/>
    <n v="304"/>
    <n v="256"/>
    <n v="167"/>
    <n v="31"/>
    <n v="18"/>
    <n v="35"/>
    <n v="29"/>
    <n v="24"/>
    <n v="106"/>
    <n v="54.2"/>
    <n v="100"/>
    <n v="75.774583333333339"/>
    <n v="0"/>
    <n v="304"/>
  </r>
  <r>
    <s v="Nord Kivu"/>
    <x v="0"/>
    <x v="0"/>
    <s v=" Kikyo"/>
    <n v="13850"/>
    <n v="483.36500000000001"/>
    <n v="554"/>
    <n v="402.80416666666667"/>
    <n v="461.66666666666663"/>
    <n v="128"/>
    <s v=""/>
    <n v="166"/>
    <n v="158"/>
    <n v="163"/>
    <n v="169"/>
    <n v="159"/>
    <n v="147"/>
    <n v="171"/>
    <n v="158"/>
    <n v="148"/>
    <n v="160"/>
    <n v="152"/>
    <n v="154"/>
    <n v="167"/>
    <n v="30"/>
    <n v="166"/>
    <n v="164"/>
    <n v="156"/>
    <n v="77"/>
    <n v="40"/>
    <n v="17"/>
    <n v="11"/>
    <n v="16"/>
    <n v="84"/>
    <n v="45.8"/>
    <n v="100"/>
    <n v="233.80416666666667"/>
    <n v="2"/>
    <n v="166"/>
  </r>
  <r>
    <s v="Nord Kivu"/>
    <x v="0"/>
    <x v="0"/>
    <s v=" Kilonge"/>
    <n v="10570"/>
    <n v="368.89300000000003"/>
    <n v="422.8"/>
    <n v="307.41083333333336"/>
    <n v="352.33333333333337"/>
    <n v="231"/>
    <n v="191"/>
    <n v="368"/>
    <n v="350"/>
    <n v="335"/>
    <n v="366"/>
    <n v="354"/>
    <n v="334"/>
    <n v="317"/>
    <n v="320"/>
    <n v="283"/>
    <n v="356"/>
    <n v="306"/>
    <n v="315"/>
    <n v="358"/>
    <n v="63"/>
    <n v="311"/>
    <n v="265"/>
    <n v="201"/>
    <n v="562"/>
    <n v="354"/>
    <n v="190"/>
    <n v="125"/>
    <n v="108"/>
    <n v="777"/>
    <n v="58.3"/>
    <n v="100"/>
    <n v="0"/>
    <n v="8"/>
    <n v="311"/>
  </r>
  <r>
    <s v="Nord Kivu"/>
    <x v="0"/>
    <x v="0"/>
    <s v=" Kiribata"/>
    <n v="8336"/>
    <n v="290.9264"/>
    <n v="333.44"/>
    <n v="242.43866666666665"/>
    <n v="277.86666666666667"/>
    <n v="226"/>
    <n v="31"/>
    <n v="268"/>
    <n v="254"/>
    <n v="258"/>
    <n v="293"/>
    <n v="272"/>
    <n v="270"/>
    <n v="283"/>
    <n v="271"/>
    <n v="268"/>
    <n v="239"/>
    <n v="240"/>
    <n v="224"/>
    <n v="274"/>
    <n v="109"/>
    <n v="264"/>
    <n v="225"/>
    <n v="215"/>
    <n v="77"/>
    <n v="57"/>
    <n v="63"/>
    <n v="60"/>
    <n v="63"/>
    <n v="243"/>
    <n v="58.3"/>
    <n v="100"/>
    <n v="0"/>
    <n v="19"/>
    <n v="264"/>
  </r>
  <r>
    <s v="Nord Kivu"/>
    <x v="0"/>
    <x v="0"/>
    <s v=" Kitsombiro"/>
    <n v="17192"/>
    <n v="600.00080000000003"/>
    <n v="687.68000000000006"/>
    <n v="500.00066666666669"/>
    <n v="573.06666666666672"/>
    <n v="454"/>
    <n v="428"/>
    <n v="425"/>
    <n v="402"/>
    <n v="395"/>
    <n v="432"/>
    <n v="404"/>
    <n v="387"/>
    <n v="435"/>
    <n v="419"/>
    <n v="391"/>
    <n v="368"/>
    <n v="299"/>
    <n v="212"/>
    <n v="508"/>
    <n v="170"/>
    <n v="435"/>
    <n v="397"/>
    <n v="260"/>
    <n v="172"/>
    <n v="140"/>
    <n v="101"/>
    <n v="92"/>
    <n v="243"/>
    <n v="576"/>
    <n v="58.3"/>
    <n v="100"/>
    <n v="68.000666666666689"/>
    <n v="0"/>
    <n v="435"/>
  </r>
  <r>
    <s v="Nord Kivu"/>
    <x v="0"/>
    <x v="0"/>
    <s v=" Kyambali"/>
    <n v="11082"/>
    <n v="386.76179999999999"/>
    <n v="443.28000000000003"/>
    <n v="322.30150000000003"/>
    <n v="369.40000000000003"/>
    <n v="188"/>
    <n v="28"/>
    <n v="187"/>
    <n v="172"/>
    <n v="190"/>
    <n v="178"/>
    <n v="170"/>
    <n v="183"/>
    <n v="174"/>
    <n v="149"/>
    <n v="173"/>
    <n v="182"/>
    <n v="177"/>
    <n v="187"/>
    <n v="231"/>
    <n v="55"/>
    <n v="208"/>
    <n v="212"/>
    <n v="232"/>
    <n v="42"/>
    <n v="4"/>
    <n v="9"/>
    <n v="29"/>
    <n v="35"/>
    <n v="77"/>
    <n v="50"/>
    <n v="100"/>
    <n v="144.30150000000003"/>
    <n v="0"/>
    <n v="208"/>
  </r>
  <r>
    <s v="Nord Kivu"/>
    <x v="0"/>
    <x v="0"/>
    <s v=" Lubango"/>
    <n v="16481"/>
    <n v="575.18690000000004"/>
    <n v="659.24"/>
    <n v="479.3224166666667"/>
    <n v="549.36666666666667"/>
    <n v="565"/>
    <n v="596"/>
    <n v="534"/>
    <n v="521"/>
    <n v="543"/>
    <n v="519"/>
    <n v="487"/>
    <n v="492"/>
    <n v="507"/>
    <n v="462"/>
    <n v="457"/>
    <n v="538"/>
    <n v="486"/>
    <n v="505"/>
    <n v="540"/>
    <n v="167"/>
    <n v="563"/>
    <n v="547"/>
    <n v="443"/>
    <n v="490"/>
    <n v="340"/>
    <n v="126"/>
    <n v="75"/>
    <n v="25"/>
    <n v="566"/>
    <n v="58.3"/>
    <n v="100"/>
    <n v="0"/>
    <n v="0"/>
    <n v="540"/>
  </r>
  <r>
    <s v="Nord Kivu"/>
    <x v="0"/>
    <x v="0"/>
    <s v=" Lunyasenge"/>
    <n v="13216"/>
    <n v="461.23840000000001"/>
    <n v="528.64"/>
    <n v="384.36533333333335"/>
    <n v="440.53333333333336"/>
    <n v="340"/>
    <n v="284"/>
    <n v="289"/>
    <n v="231"/>
    <n v="257"/>
    <n v="299"/>
    <n v="267"/>
    <n v="244"/>
    <n v="260"/>
    <n v="233"/>
    <n v="221"/>
    <n v="323"/>
    <n v="256"/>
    <n v="256"/>
    <n v="337"/>
    <n v="90"/>
    <n v="298"/>
    <n v="227"/>
    <n v="228"/>
    <n v="169"/>
    <n v="90"/>
    <n v="32"/>
    <n v="18"/>
    <n v="22"/>
    <n v="162"/>
    <n v="66.7"/>
    <n v="100"/>
    <n v="85.365333333333353"/>
    <n v="0"/>
    <n v="298"/>
  </r>
  <r>
    <s v="Nord Kivu"/>
    <x v="0"/>
    <x v="0"/>
    <s v=" Luseke"/>
    <n v="17854"/>
    <n v="623.1046"/>
    <n v="714.16"/>
    <n v="519.25383333333332"/>
    <n v="595.13333333333333"/>
    <n v="494"/>
    <n v="436"/>
    <n v="388"/>
    <n v="407"/>
    <n v="374"/>
    <n v="442"/>
    <n v="444"/>
    <n v="421"/>
    <n v="430"/>
    <n v="425"/>
    <n v="413"/>
    <n v="409"/>
    <n v="425"/>
    <n v="461"/>
    <n v="585"/>
    <n v="218"/>
    <n v="534"/>
    <n v="470"/>
    <n v="333"/>
    <n v="169"/>
    <n v="107"/>
    <n v="128"/>
    <n v="124"/>
    <n v="103"/>
    <n v="462"/>
    <n v="58.3"/>
    <n v="100"/>
    <n v="77.253833333333318"/>
    <n v="0"/>
    <n v="534"/>
  </r>
  <r>
    <s v="Nord Kivu"/>
    <x v="0"/>
    <x v="0"/>
    <s v=" Masika"/>
    <n v="8599"/>
    <n v="300.10509999999999"/>
    <n v="343.96"/>
    <n v="250.08758333333333"/>
    <n v="286.63333333333333"/>
    <n v="283"/>
    <n v="254"/>
    <n v="475"/>
    <n v="379"/>
    <n v="346"/>
    <n v="446"/>
    <n v="351"/>
    <n v="274"/>
    <n v="412"/>
    <n v="342"/>
    <n v="289"/>
    <n v="385"/>
    <n v="300"/>
    <n v="242"/>
    <n v="315"/>
    <n v="213"/>
    <n v="315"/>
    <n v="294"/>
    <n v="202"/>
    <n v="64"/>
    <n v="87"/>
    <n v="95"/>
    <n v="51"/>
    <n v="48"/>
    <n v="281"/>
    <n v="58.3"/>
    <n v="100"/>
    <n v="0"/>
    <n v="131"/>
    <n v="315"/>
  </r>
  <r>
    <s v="Nord Kivu"/>
    <x v="0"/>
    <x v="0"/>
    <s v=" Matembe"/>
    <n v="9885"/>
    <n v="344.98649999999998"/>
    <n v="395.40000000000003"/>
    <n v="287.48874999999998"/>
    <n v="329.5"/>
    <n v="91"/>
    <n v="106"/>
    <n v="189"/>
    <n v="148"/>
    <n v="180"/>
    <n v="168"/>
    <n v="124"/>
    <n v="180"/>
    <n v="168"/>
    <n v="124"/>
    <n v="160"/>
    <n v="184"/>
    <n v="144"/>
    <n v="170"/>
    <n v="215"/>
    <n v="41"/>
    <n v="213"/>
    <n v="180"/>
    <n v="179"/>
    <n v="63"/>
    <n v="38"/>
    <n v="17"/>
    <n v="22"/>
    <n v="20"/>
    <n v="97"/>
    <n v="54.2"/>
    <n v="100"/>
    <n v="119.48874999999998"/>
    <n v="0"/>
    <n v="213"/>
  </r>
  <r>
    <s v="Nord Kivu"/>
    <x v="0"/>
    <x v="0"/>
    <s v=" Ndoluma"/>
    <n v="12794"/>
    <n v="446.51060000000001"/>
    <n v="511.76"/>
    <n v="372.09216666666669"/>
    <n v="426.4666666666667"/>
    <n v="311"/>
    <n v="139"/>
    <n v="370"/>
    <n v="363"/>
    <n v="370"/>
    <n v="351"/>
    <n v="361"/>
    <n v="370"/>
    <n v="333"/>
    <n v="325"/>
    <n v="333"/>
    <n v="370"/>
    <n v="361"/>
    <n v="368"/>
    <n v="450"/>
    <n v="145"/>
    <n v="368"/>
    <n v="370"/>
    <n v="180"/>
    <n v="103"/>
    <n v="57"/>
    <n v="59"/>
    <n v="58"/>
    <n v="51"/>
    <n v="225"/>
    <n v="58.3"/>
    <n v="100"/>
    <n v="21.092166666666685"/>
    <n v="0"/>
    <n v="368"/>
  </r>
  <r>
    <s v="Nord Kivu"/>
    <x v="0"/>
    <x v="0"/>
    <s v=" Ngekeni"/>
    <n v="7048"/>
    <n v="245.9752"/>
    <n v="281.92"/>
    <n v="204.97933333333333"/>
    <n v="234.93333333333337"/>
    <n v="295"/>
    <n v="192"/>
    <n v="311"/>
    <n v="212"/>
    <n v="221"/>
    <n v="261"/>
    <n v="212"/>
    <n v="221"/>
    <n v="261"/>
    <n v="212"/>
    <n v="221"/>
    <n v="244"/>
    <n v="203"/>
    <n v="212"/>
    <n v="197"/>
    <n v="116"/>
    <n v="197"/>
    <n v="221"/>
    <n v="100"/>
    <n v="76"/>
    <n v="76"/>
    <n v="84"/>
    <n v="52"/>
    <n v="21"/>
    <n v="233"/>
    <n v="58.3"/>
    <n v="100"/>
    <n v="0"/>
    <n v="64"/>
    <n v="197"/>
  </r>
  <r>
    <s v="Nord Kivu"/>
    <x v="0"/>
    <x v="0"/>
    <s v=" Taliha"/>
    <n v="11191"/>
    <n v="390.5659"/>
    <n v="447.64"/>
    <n v="325.47158333333334"/>
    <n v="373.03333333333336"/>
    <n v="316"/>
    <n v="146"/>
    <n v="338"/>
    <n v="299"/>
    <n v="281"/>
    <n v="294"/>
    <n v="277"/>
    <n v="253"/>
    <n v="305"/>
    <n v="269"/>
    <n v="253"/>
    <n v="374"/>
    <n v="333"/>
    <n v="313"/>
    <n v="334"/>
    <n v="75"/>
    <n v="319"/>
    <n v="244"/>
    <n v="88"/>
    <n v="255"/>
    <n v="195"/>
    <n v="90"/>
    <n v="39"/>
    <n v="68"/>
    <n v="392"/>
    <n v="58.3"/>
    <n v="100"/>
    <n v="31.471583333333342"/>
    <n v="0"/>
    <n v="319"/>
  </r>
  <r>
    <s v="Nord Kivu"/>
    <x v="0"/>
    <x v="0"/>
    <s v=" Vutsorovia"/>
    <n v="12999"/>
    <n v="453.6651"/>
    <n v="519.96"/>
    <n v="378.05425000000002"/>
    <n v="433.30000000000007"/>
    <n v="474"/>
    <n v="154"/>
    <n v="330"/>
    <n v="318"/>
    <n v="268"/>
    <n v="360"/>
    <n v="346"/>
    <n v="304"/>
    <n v="348"/>
    <n v="344"/>
    <n v="289"/>
    <n v="355"/>
    <n v="352"/>
    <n v="284"/>
    <n v="339"/>
    <n v="175"/>
    <n v="345"/>
    <n v="217"/>
    <n v="185"/>
    <n v="94"/>
    <n v="84"/>
    <n v="60"/>
    <n v="51"/>
    <n v="48"/>
    <n v="243"/>
    <n v="52.8"/>
    <n v="100"/>
    <n v="18.054250000000025"/>
    <n v="21"/>
    <n v="339"/>
  </r>
  <r>
    <s v="Nord Kivu"/>
    <x v="1"/>
    <x v="1"/>
    <s v=" Butare"/>
    <n v="21546"/>
    <n v="751.95540000000005"/>
    <n v="861.84"/>
    <n v="626.62950000000001"/>
    <n v="718.2"/>
    <n v="643"/>
    <n v="393"/>
    <n v="589"/>
    <n v="568"/>
    <n v="555"/>
    <n v="589"/>
    <n v="568"/>
    <n v="555"/>
    <n v="589"/>
    <n v="568"/>
    <n v="555"/>
    <n v="585"/>
    <n v="568"/>
    <n v="555"/>
    <n v="608"/>
    <n v="118"/>
    <n v="578"/>
    <n v="555"/>
    <n v="57"/>
    <n v="335"/>
    <n v="385"/>
    <n v="125"/>
    <n v="62"/>
    <s v=""/>
    <n v="572"/>
    <n v="50"/>
    <n v="100"/>
    <n v="37.629500000000007"/>
    <n v="0"/>
    <n v="578"/>
  </r>
  <r>
    <s v="Nord Kivu"/>
    <x v="1"/>
    <x v="1"/>
    <s v=" CBCA Bambo"/>
    <n v="17294"/>
    <n v="603.56060000000002"/>
    <n v="691.76"/>
    <n v="502.96716666666669"/>
    <n v="576.4666666666667"/>
    <n v="1205"/>
    <n v="685"/>
    <n v="644"/>
    <n v="624"/>
    <n v="634"/>
    <n v="644"/>
    <n v="624"/>
    <n v="634"/>
    <n v="644"/>
    <n v="625"/>
    <n v="634"/>
    <n v="643"/>
    <n v="624"/>
    <n v="634"/>
    <n v="634"/>
    <n v="182"/>
    <n v="634"/>
    <n v="634"/>
    <n v="280"/>
    <n v="390"/>
    <n v="324"/>
    <n v="285"/>
    <n v="228"/>
    <n v="198"/>
    <n v="1035"/>
    <n v="58.3"/>
    <n v="100"/>
    <n v="0"/>
    <n v="10"/>
    <n v="634"/>
  </r>
  <r>
    <s v="Nord Kivu"/>
    <x v="1"/>
    <x v="1"/>
    <s v=" CEBCE Bambo"/>
    <n v="15244"/>
    <n v="532.01560000000006"/>
    <n v="609.76"/>
    <n v="443.34633333333335"/>
    <n v="508.13333333333333"/>
    <n v="565"/>
    <n v="362"/>
    <n v="401"/>
    <n v="371"/>
    <n v="390"/>
    <n v="463"/>
    <n v="431"/>
    <n v="450"/>
    <n v="463"/>
    <n v="431"/>
    <n v="450"/>
    <n v="463"/>
    <n v="395"/>
    <n v="450"/>
    <n v="454"/>
    <n v="195"/>
    <n v="452"/>
    <n v="448"/>
    <n v="258"/>
    <n v="84"/>
    <n v="62"/>
    <n v="77"/>
    <n v="43"/>
    <n v="55"/>
    <n v="237"/>
    <n v="58.3"/>
    <n v="100"/>
    <n v="0"/>
    <n v="9"/>
    <n v="452"/>
  </r>
  <r>
    <s v="Nord Kivu"/>
    <x v="1"/>
    <x v="1"/>
    <s v=" Faraja"/>
    <n v="17893"/>
    <n v="624.46569999999997"/>
    <n v="715.72"/>
    <n v="520.38808333333327"/>
    <n v="596.43333333333339"/>
    <n v="596"/>
    <n v="313"/>
    <n v="540"/>
    <n v="493"/>
    <n v="491"/>
    <n v="595"/>
    <n v="545"/>
    <n v="538"/>
    <n v="595"/>
    <n v="545"/>
    <n v="538"/>
    <n v="595"/>
    <n v="545"/>
    <n v="538"/>
    <n v="542"/>
    <n v="505"/>
    <n v="494"/>
    <n v="538"/>
    <n v="328"/>
    <n v="85"/>
    <n v="38"/>
    <n v="57"/>
    <n v="32"/>
    <n v="48"/>
    <n v="175"/>
    <n v="58.3"/>
    <n v="100"/>
    <n v="0"/>
    <n v="53"/>
    <n v="494"/>
  </r>
  <r>
    <s v="Nord Kivu"/>
    <x v="1"/>
    <x v="1"/>
    <s v=" Kabizo"/>
    <n v="21628"/>
    <n v="754.81719999999996"/>
    <n v="865.12"/>
    <n v="629.0143333333333"/>
    <n v="720.93333333333339"/>
    <n v="569"/>
    <n v="554"/>
    <n v="393"/>
    <n v="375"/>
    <n v="357"/>
    <n v="549"/>
    <n v="524"/>
    <n v="511"/>
    <n v="549"/>
    <n v="522"/>
    <n v="511"/>
    <n v="549"/>
    <n v="524"/>
    <n v="511"/>
    <n v="326"/>
    <n v="86"/>
    <n v="191"/>
    <n v="264"/>
    <n v="84"/>
    <n v="137"/>
    <n v="99"/>
    <n v="108"/>
    <n v="93"/>
    <n v="147"/>
    <n v="447"/>
    <n v="58.3"/>
    <n v="100"/>
    <n v="80.014333333333298"/>
    <n v="223"/>
    <n v="191"/>
  </r>
  <r>
    <s v="Nord Kivu"/>
    <x v="1"/>
    <x v="1"/>
    <s v=" Kamena"/>
    <n v="17723"/>
    <n v="618.53269999999998"/>
    <n v="708.92"/>
    <n v="515.44391666666661"/>
    <n v="590.76666666666665"/>
    <n v="514"/>
    <n v="235"/>
    <n v="515"/>
    <n v="500"/>
    <n v="521"/>
    <n v="515"/>
    <n v="500"/>
    <n v="521"/>
    <n v="519"/>
    <n v="500"/>
    <n v="521"/>
    <n v="515"/>
    <n v="500"/>
    <n v="521"/>
    <n v="484"/>
    <n v="211"/>
    <n v="506"/>
    <n v="521"/>
    <n v="400"/>
    <n v="384"/>
    <n v="216"/>
    <n v="59"/>
    <n v="59"/>
    <n v="63"/>
    <n v="397"/>
    <n v="58.3"/>
    <n v="100"/>
    <n v="0.44391666666660967"/>
    <n v="31"/>
    <n v="484"/>
  </r>
  <r>
    <s v="Nord Kivu"/>
    <x v="1"/>
    <x v="1"/>
    <s v=" Kirumba"/>
    <n v="19416"/>
    <n v="677.61840000000007"/>
    <n v="776.64"/>
    <n v="564.68200000000002"/>
    <n v="647.20000000000005"/>
    <n v="720"/>
    <n v="479"/>
    <n v="556"/>
    <n v="554"/>
    <n v="551"/>
    <n v="556"/>
    <n v="554"/>
    <n v="550"/>
    <n v="556"/>
    <n v="554"/>
    <n v="551"/>
    <n v="565"/>
    <n v="554"/>
    <n v="550"/>
    <n v="537"/>
    <n v="553"/>
    <n v="537"/>
    <n v="551"/>
    <n v="258"/>
    <n v="248"/>
    <n v="225"/>
    <n v="193"/>
    <n v="143"/>
    <n v="142"/>
    <n v="703"/>
    <n v="58.3"/>
    <n v="100"/>
    <n v="8.6820000000000164"/>
    <n v="19"/>
    <n v="537"/>
  </r>
  <r>
    <s v="Nord Kivu"/>
    <x v="1"/>
    <x v="1"/>
    <s v=" Kishishe"/>
    <n v="16150"/>
    <n v="563.63499999999999"/>
    <n v="646"/>
    <n v="469.69583333333333"/>
    <n v="538.33333333333337"/>
    <n v="445"/>
    <n v="195"/>
    <n v="380"/>
    <n v="352"/>
    <n v="362"/>
    <n v="380"/>
    <n v="352"/>
    <n v="362"/>
    <n v="380"/>
    <n v="362"/>
    <n v="362"/>
    <n v="380"/>
    <n v="362"/>
    <n v="362"/>
    <n v="399"/>
    <n v="201"/>
    <n v="399"/>
    <n v="362"/>
    <n v="284"/>
    <n v="100"/>
    <n v="88"/>
    <n v="22"/>
    <n v="24"/>
    <n v="59"/>
    <n v="193"/>
    <n v="58.3"/>
    <n v="100"/>
    <n v="89.695833333333326"/>
    <n v="0"/>
    <n v="399"/>
  </r>
  <r>
    <s v="Nord Kivu"/>
    <x v="1"/>
    <x v="1"/>
    <s v=" Marangara"/>
    <n v="6986"/>
    <n v="243.81139999999999"/>
    <n v="279.44"/>
    <n v="203.17616666666666"/>
    <n v="232.86666666666665"/>
    <n v="224"/>
    <n v="224"/>
    <n v="191"/>
    <n v="168"/>
    <n v="176"/>
    <n v="194"/>
    <n v="168"/>
    <n v="176"/>
    <n v="184"/>
    <n v="168"/>
    <n v="176"/>
    <n v="196"/>
    <n v="168"/>
    <n v="176"/>
    <n v="182"/>
    <n v="41"/>
    <n v="182"/>
    <n v="176"/>
    <n v="40"/>
    <n v="128"/>
    <n v="84"/>
    <n v="42"/>
    <n v="7"/>
    <s v=""/>
    <n v="133"/>
    <n v="58.3"/>
    <n v="100"/>
    <n v="9.1761666666666599"/>
    <n v="12"/>
    <n v="182"/>
  </r>
  <r>
    <s v="Nord Kivu"/>
    <x v="1"/>
    <x v="1"/>
    <s v=" Mushababwe"/>
    <n v="14728"/>
    <n v="514.00720000000001"/>
    <n v="589.12"/>
    <n v="428.33933333333334"/>
    <n v="490.93333333333334"/>
    <n v="431"/>
    <n v="234"/>
    <n v="365"/>
    <n v="320"/>
    <n v="349"/>
    <n v="365"/>
    <n v="320"/>
    <n v="349"/>
    <n v="365"/>
    <n v="320"/>
    <n v="349"/>
    <n v="365"/>
    <n v="320"/>
    <n v="349"/>
    <n v="382"/>
    <n v="94"/>
    <n v="382"/>
    <n v="349"/>
    <n v="5"/>
    <n v="268"/>
    <n v="179"/>
    <n v="73"/>
    <n v="47"/>
    <n v="30"/>
    <n v="329"/>
    <n v="58.3"/>
    <n v="100"/>
    <n v="63.339333333333343"/>
    <n v="0"/>
    <n v="382"/>
  </r>
  <r>
    <s v="Nord Kivu"/>
    <x v="1"/>
    <x v="1"/>
    <s v=" Rebero"/>
    <n v="8215"/>
    <n v="286.70350000000002"/>
    <n v="328.6"/>
    <n v="238.91958333333335"/>
    <n v="273.83333333333337"/>
    <n v="441"/>
    <n v="383"/>
    <n v="250"/>
    <n v="214"/>
    <n v="209"/>
    <n v="250"/>
    <n v="214"/>
    <n v="209"/>
    <n v="250"/>
    <n v="214"/>
    <n v="209"/>
    <n v="250"/>
    <n v="214"/>
    <n v="209"/>
    <n v="298"/>
    <n v="93"/>
    <n v="298"/>
    <n v="223"/>
    <n v="117"/>
    <n v="93"/>
    <n v="55"/>
    <n v="48"/>
    <n v="28"/>
    <n v="27"/>
    <n v="158"/>
    <n v="58.3"/>
    <n v="100"/>
    <n v="0"/>
    <n v="0"/>
    <n v="298"/>
  </r>
  <r>
    <s v="Nord Kivu"/>
    <x v="1"/>
    <x v="1"/>
    <s v=" Rushovu"/>
    <n v="13391"/>
    <n v="467.34590000000003"/>
    <n v="535.64"/>
    <n v="389.45491666666669"/>
    <n v="446.36666666666662"/>
    <n v="578"/>
    <n v="259"/>
    <n v="525"/>
    <n v="459"/>
    <n v="515"/>
    <n v="517"/>
    <n v="459"/>
    <n v="515"/>
    <n v="516"/>
    <n v="459"/>
    <n v="515"/>
    <n v="525"/>
    <n v="459"/>
    <n v="515"/>
    <n v="507"/>
    <n v="181"/>
    <n v="356"/>
    <n v="515"/>
    <n v="199"/>
    <n v="485"/>
    <n v="318"/>
    <n v="184"/>
    <n v="30"/>
    <n v="13"/>
    <n v="545"/>
    <n v="58.3"/>
    <n v="100"/>
    <n v="0"/>
    <n v="10"/>
    <n v="356"/>
  </r>
  <r>
    <s v="Nord Kivu"/>
    <x v="1"/>
    <x v="1"/>
    <s v=" Tongo"/>
    <n v="22737"/>
    <n v="793.5213"/>
    <n v="909.48"/>
    <n v="661.26774999999998"/>
    <n v="757.90000000000009"/>
    <n v="870"/>
    <n v="589"/>
    <n v="467"/>
    <n v="430"/>
    <n v="446"/>
    <n v="657"/>
    <n v="620"/>
    <n v="644"/>
    <n v="657"/>
    <n v="620"/>
    <n v="644"/>
    <n v="657"/>
    <n v="620"/>
    <n v="644"/>
    <n v="709"/>
    <n v="412"/>
    <n v="576"/>
    <n v="582"/>
    <n v="431"/>
    <n v="531"/>
    <n v="391"/>
    <n v="62"/>
    <n v="13"/>
    <s v=""/>
    <n v="466"/>
    <n v="58.3"/>
    <n v="100"/>
    <n v="4.2677499999999782"/>
    <n v="0"/>
    <n v="576"/>
  </r>
  <r>
    <s v="Nord Kivu"/>
    <x v="0"/>
    <x v="2"/>
    <s v=" Boikene"/>
    <n v="5645"/>
    <n v="197.01050000000001"/>
    <n v="225.8"/>
    <n v="164.17541666666668"/>
    <n v="188.16666666666666"/>
    <n v="201"/>
    <n v="80"/>
    <n v="291"/>
    <n v="313"/>
    <n v="293"/>
    <n v="308"/>
    <n v="291"/>
    <n v="305"/>
    <n v="299"/>
    <n v="283"/>
    <n v="267"/>
    <n v="269"/>
    <n v="222"/>
    <n v="181"/>
    <n v="300"/>
    <n v="101"/>
    <n v="260"/>
    <n v="310"/>
    <n v="280"/>
    <n v="83"/>
    <n v="49"/>
    <n v="125"/>
    <n v="57"/>
    <n v="48"/>
    <n v="279"/>
    <n v="33.299999999999997"/>
    <n v="100"/>
    <n v="0"/>
    <n v="8"/>
    <n v="260"/>
  </r>
  <r>
    <s v="Nord Kivu"/>
    <x v="0"/>
    <x v="2"/>
    <s v=" Bundji"/>
    <n v="10330"/>
    <n v="360.517"/>
    <n v="413.2"/>
    <n v="300.43083333333334"/>
    <n v="344.33333333333331"/>
    <n v="322"/>
    <n v="422"/>
    <n v="655"/>
    <n v="718"/>
    <n v="750"/>
    <n v="602"/>
    <n v="579"/>
    <n v="602"/>
    <n v="602"/>
    <n v="579"/>
    <n v="602"/>
    <n v="602"/>
    <n v="579"/>
    <n v="602"/>
    <n v="487"/>
    <n v="91"/>
    <n v="333"/>
    <n v="750"/>
    <n v="479"/>
    <n v="484"/>
    <n v="330"/>
    <n v="99"/>
    <n v="11"/>
    <n v="5"/>
    <n v="445"/>
    <n v="33.299999999999997"/>
    <n v="100"/>
    <n v="0"/>
    <n v="115"/>
    <n v="333"/>
  </r>
  <r>
    <s v="Nord Kivu"/>
    <x v="0"/>
    <x v="2"/>
    <s v=" Butanuka"/>
    <n v="18878"/>
    <n v="658.84220000000005"/>
    <n v="755.12"/>
    <n v="549.03516666666667"/>
    <n v="629.26666666666665"/>
    <n v="342"/>
    <n v="455"/>
    <n v="558"/>
    <n v="545"/>
    <n v="541"/>
    <n v="448"/>
    <n v="454"/>
    <n v="435"/>
    <n v="422"/>
    <n v="401"/>
    <n v="396"/>
    <n v="377"/>
    <n v="325"/>
    <n v="293"/>
    <n v="550"/>
    <n v="342"/>
    <n v="439"/>
    <n v="480"/>
    <n v="489"/>
    <n v="399"/>
    <n v="285"/>
    <n v="266"/>
    <n v="143"/>
    <n v="58"/>
    <n v="752"/>
    <n v="33.299999999999997"/>
    <n v="100"/>
    <n v="101.03516666666667"/>
    <n v="0"/>
    <n v="439"/>
  </r>
  <r>
    <s v="Nord Kivu"/>
    <x v="0"/>
    <x v="2"/>
    <s v=" Butsili"/>
    <n v="29690"/>
    <n v="1036.181"/>
    <n v="1187.6000000000001"/>
    <n v="863.48416666666662"/>
    <n v="989.66666666666686"/>
    <n v="753"/>
    <n v="792"/>
    <n v="1145"/>
    <n v="1266"/>
    <n v="1173"/>
    <n v="1195"/>
    <n v="2108"/>
    <n v="1178"/>
    <n v="1108"/>
    <n v="1131"/>
    <n v="1963"/>
    <n v="1840"/>
    <n v="1794"/>
    <n v="870"/>
    <n v="997"/>
    <n v="280"/>
    <n v="870"/>
    <n v="1214"/>
    <n v="1138"/>
    <n v="488"/>
    <n v="254"/>
    <n v="301"/>
    <n v="232"/>
    <n v="164"/>
    <n v="951"/>
    <n v="33.299999999999997"/>
    <n v="100"/>
    <n v="0"/>
    <n v="198"/>
    <n v="870"/>
  </r>
  <r>
    <s v="Nord Kivu"/>
    <x v="0"/>
    <x v="2"/>
    <s v=" Kanzulinzuli"/>
    <n v="39094"/>
    <n v="1364.3806"/>
    <n v="1563.76"/>
    <n v="1136.9838333333332"/>
    <n v="1303.1333333333332"/>
    <n v="996"/>
    <n v="253"/>
    <n v="1210"/>
    <n v="1167"/>
    <n v="1161"/>
    <n v="1081"/>
    <n v="1043"/>
    <n v="2589"/>
    <n v="913"/>
    <n v="877"/>
    <n v="874"/>
    <n v="1032"/>
    <n v="992"/>
    <n v="989"/>
    <n v="947"/>
    <n v="317"/>
    <n v="880"/>
    <n v="1068"/>
    <n v="883"/>
    <n v="604"/>
    <n v="524"/>
    <n v="363"/>
    <n v="295"/>
    <n v="221"/>
    <n v="1403"/>
    <n v="41.7"/>
    <n v="100"/>
    <n v="55.983833333333223"/>
    <n v="134"/>
    <n v="880"/>
  </r>
  <r>
    <s v="Nord Kivu"/>
    <x v="0"/>
    <x v="2"/>
    <s v=" Kasabinyole"/>
    <n v="27911"/>
    <n v="974.09389999999996"/>
    <n v="1116.44"/>
    <n v="811.74491666666665"/>
    <n v="930.36666666666679"/>
    <n v="425"/>
    <n v="158"/>
    <n v="842"/>
    <n v="602"/>
    <n v="646"/>
    <n v="715"/>
    <n v="630"/>
    <n v="654"/>
    <n v="710"/>
    <n v="626"/>
    <n v="646"/>
    <n v="626"/>
    <n v="528"/>
    <n v="536"/>
    <n v="868"/>
    <n v="311"/>
    <n v="653"/>
    <n v="653"/>
    <n v="767"/>
    <n v="373"/>
    <n v="275"/>
    <n v="166"/>
    <n v="124"/>
    <n v="155"/>
    <n v="720"/>
    <n v="33.299999999999997"/>
    <n v="100"/>
    <n v="96.744916666666654"/>
    <n v="0"/>
    <n v="653"/>
  </r>
  <r>
    <s v="Nord Kivu"/>
    <x v="0"/>
    <x v="2"/>
    <s v=" Kasanga"/>
    <n v="45046"/>
    <n v="1572.1053999999999"/>
    <n v="1801.8400000000001"/>
    <n v="1310.0878333333333"/>
    <n v="1501.5333333333333"/>
    <n v="804"/>
    <n v="557"/>
    <n v="1112"/>
    <n v="1192"/>
    <n v="1054"/>
    <n v="1143"/>
    <n v="1073"/>
    <n v="1000"/>
    <n v="1038"/>
    <n v="1045"/>
    <n v="977"/>
    <n v="806"/>
    <n v="860"/>
    <n v="926"/>
    <n v="1207"/>
    <n v="461"/>
    <n v="1159"/>
    <n v="1027"/>
    <n v="1242"/>
    <n v="242"/>
    <n v="265"/>
    <n v="160"/>
    <n v="134"/>
    <n v="107"/>
    <n v="666"/>
    <n v="33.299999999999997"/>
    <n v="100"/>
    <n v="167.08783333333326"/>
    <n v="0"/>
    <n v="1159"/>
  </r>
  <r>
    <s v="Nord Kivu"/>
    <x v="0"/>
    <x v="2"/>
    <s v=" Kuka"/>
    <n v="17284"/>
    <n v="603.21159999999998"/>
    <n v="691.36"/>
    <n v="502.67633333333328"/>
    <n v="576.13333333333333"/>
    <n v="249"/>
    <n v="26"/>
    <n v="497"/>
    <n v="406"/>
    <n v="333"/>
    <n v="477"/>
    <n v="429"/>
    <n v="602"/>
    <n v="421"/>
    <n v="290"/>
    <n v="228"/>
    <n v="404"/>
    <n v="308"/>
    <n v="227"/>
    <n v="411"/>
    <n v="189"/>
    <n v="334"/>
    <n v="368"/>
    <n v="407"/>
    <n v="70"/>
    <n v="49"/>
    <n v="96"/>
    <n v="39"/>
    <n v="46"/>
    <n v="230"/>
    <n v="33.299999999999997"/>
    <n v="100"/>
    <n v="25.676333333333275"/>
    <n v="66"/>
    <n v="334"/>
  </r>
  <r>
    <s v="Nord Kivu"/>
    <x v="0"/>
    <x v="2"/>
    <s v=" Mabakanga"/>
    <n v="23020"/>
    <n v="803.39800000000002"/>
    <n v="920.80000000000007"/>
    <n v="669.49833333333333"/>
    <n v="767.33333333333337"/>
    <n v="499"/>
    <n v="584"/>
    <n v="794"/>
    <n v="747"/>
    <n v="767"/>
    <n v="668"/>
    <n v="629"/>
    <n v="616"/>
    <n v="626"/>
    <n v="595"/>
    <n v="605"/>
    <n v="512"/>
    <n v="484"/>
    <n v="492"/>
    <n v="760"/>
    <n v="202"/>
    <n v="645"/>
    <n v="712"/>
    <n v="638"/>
    <n v="650"/>
    <n v="570"/>
    <n v="732"/>
    <n v="689"/>
    <n v="643"/>
    <n v="2634"/>
    <n v="33.299999999999997"/>
    <n v="100"/>
    <n v="1.4983333333333348"/>
    <n v="0"/>
    <n v="645"/>
  </r>
  <r>
    <s v="Nord Kivu"/>
    <x v="0"/>
    <x v="2"/>
    <s v=" Mabolio"/>
    <n v="24701"/>
    <n v="862.06489999999997"/>
    <n v="988.04000000000008"/>
    <n v="718.3874166666667"/>
    <n v="823.36666666666679"/>
    <n v="748"/>
    <n v="160"/>
    <n v="908"/>
    <n v="728"/>
    <n v="753"/>
    <n v="632"/>
    <n v="608"/>
    <n v="649"/>
    <n v="582"/>
    <n v="538"/>
    <n v="538"/>
    <n v="636"/>
    <n v="556"/>
    <n v="523"/>
    <n v="661"/>
    <n v="234"/>
    <n v="520"/>
    <n v="753"/>
    <n v="560"/>
    <n v="516"/>
    <n v="457"/>
    <n v="202"/>
    <n v="128"/>
    <n v="65"/>
    <n v="852"/>
    <n v="41.7"/>
    <n v="100"/>
    <n v="86.387416666666695"/>
    <n v="0"/>
    <n v="520"/>
  </r>
  <r>
    <s v="Nord Kivu"/>
    <x v="0"/>
    <x v="2"/>
    <s v=" Madrandele"/>
    <n v="42050"/>
    <n v="1467.5450000000001"/>
    <n v="1682"/>
    <n v="1222.9541666666667"/>
    <n v="1401.6666666666665"/>
    <n v="580"/>
    <n v="802"/>
    <n v="1221"/>
    <n v="1169"/>
    <n v="1138"/>
    <n v="1037"/>
    <n v="998"/>
    <n v="955"/>
    <n v="1001"/>
    <n v="968"/>
    <n v="950"/>
    <n v="950"/>
    <n v="894"/>
    <n v="867"/>
    <n v="1330"/>
    <n v="445"/>
    <n v="944"/>
    <n v="1206"/>
    <n v="938"/>
    <n v="267"/>
    <n v="162"/>
    <n v="256"/>
    <n v="174"/>
    <n v="174"/>
    <n v="766"/>
    <n v="33.299999999999997"/>
    <n v="100"/>
    <n v="185.95416666666665"/>
    <n v="0"/>
    <n v="944"/>
  </r>
  <r>
    <s v="Nord Kivu"/>
    <x v="0"/>
    <x v="2"/>
    <s v=" Malepe"/>
    <n v="36589"/>
    <n v="1276.9561000000001"/>
    <n v="1463.56"/>
    <n v="1064.1300833333335"/>
    <n v="1219.6333333333332"/>
    <n v="1747"/>
    <n v="623"/>
    <n v="1229"/>
    <n v="2325"/>
    <n v="2336"/>
    <n v="1070"/>
    <n v="984"/>
    <n v="991"/>
    <n v="872"/>
    <n v="876"/>
    <n v="872"/>
    <n v="942"/>
    <n v="946"/>
    <n v="932"/>
    <n v="1221"/>
    <n v="797"/>
    <n v="994"/>
    <n v="1229"/>
    <n v="1221"/>
    <n v="380"/>
    <n v="294"/>
    <n v="351"/>
    <n v="319"/>
    <n v="269"/>
    <n v="1233"/>
    <n v="29.2"/>
    <n v="100"/>
    <n v="0"/>
    <n v="0"/>
    <n v="994"/>
  </r>
  <r>
    <s v="Nord Kivu"/>
    <x v="0"/>
    <x v="2"/>
    <s v=" Mangothe"/>
    <n v="17734"/>
    <n v="618.91660000000002"/>
    <n v="709.36"/>
    <n v="515.76383333333331"/>
    <n v="591.13333333333333"/>
    <n v="1243"/>
    <n v="277"/>
    <n v="1158"/>
    <n v="981"/>
    <n v="1059"/>
    <n v="1048"/>
    <n v="934"/>
    <n v="1012"/>
    <n v="974"/>
    <n v="860"/>
    <n v="939"/>
    <n v="1015"/>
    <n v="934"/>
    <n v="1003"/>
    <n v="1041"/>
    <n v="377"/>
    <n v="984"/>
    <n v="1066"/>
    <n v="1042"/>
    <n v="246"/>
    <n v="140"/>
    <n v="166"/>
    <n v="162"/>
    <n v="198"/>
    <n v="666"/>
    <n v="33.299999999999997"/>
    <n v="100"/>
    <n v="0"/>
    <n v="7"/>
    <n v="984"/>
  </r>
  <r>
    <s v="Nord Kivu"/>
    <x v="0"/>
    <x v="2"/>
    <s v=" Mukulya"/>
    <n v="12768"/>
    <n v="445.60320000000002"/>
    <n v="510.72"/>
    <n v="371.33600000000001"/>
    <n v="425.6"/>
    <n v="479"/>
    <n v="56"/>
    <n v="507"/>
    <n v="481"/>
    <n v="497"/>
    <n v="443"/>
    <n v="422"/>
    <n v="450"/>
    <n v="425"/>
    <n v="414"/>
    <n v="418"/>
    <n v="385"/>
    <n v="376"/>
    <n v="383"/>
    <n v="396"/>
    <n v="197"/>
    <n v="391"/>
    <n v="481"/>
    <n v="358"/>
    <n v="109"/>
    <n v="76"/>
    <n v="88"/>
    <n v="76"/>
    <n v="45"/>
    <n v="285"/>
    <n v="33.299999999999997"/>
    <n v="100"/>
    <n v="0"/>
    <n v="47"/>
    <n v="391"/>
  </r>
  <r>
    <s v="Nord Kivu"/>
    <x v="0"/>
    <x v="2"/>
    <s v=" Ndindi"/>
    <n v="13926"/>
    <n v="486.01740000000001"/>
    <n v="557.04"/>
    <n v="405.0145"/>
    <n v="464.19999999999993"/>
    <n v="303"/>
    <n v="479"/>
    <n v="448"/>
    <n v="397"/>
    <n v="385"/>
    <n v="405"/>
    <n v="368"/>
    <n v="354"/>
    <n v="435"/>
    <n v="379"/>
    <n v="385"/>
    <n v="340"/>
    <n v="323"/>
    <n v="322"/>
    <n v="391"/>
    <n v="90"/>
    <n v="359"/>
    <n v="411"/>
    <n v="400"/>
    <n v="156"/>
    <n v="66"/>
    <n v="70"/>
    <n v="55"/>
    <n v="46"/>
    <n v="237"/>
    <n v="25"/>
    <n v="100"/>
    <n v="1.4499999999998181E-2"/>
    <n v="14"/>
    <n v="359"/>
  </r>
  <r>
    <s v="Nord Kivu"/>
    <x v="0"/>
    <x v="2"/>
    <s v=" Ngadi"/>
    <n v="4844"/>
    <n v="169.0556"/>
    <n v="193.76"/>
    <n v="140.87966666666665"/>
    <n v="161.46666666666664"/>
    <n v="106"/>
    <n v="4"/>
    <n v="89"/>
    <n v="122"/>
    <n v="116"/>
    <n v="105"/>
    <n v="104"/>
    <n v="104"/>
    <n v="124"/>
    <n v="114"/>
    <n v="110"/>
    <n v="98"/>
    <n v="74"/>
    <n v="56"/>
    <n v="87"/>
    <n v="19"/>
    <n v="85"/>
    <n v="90"/>
    <n v="66"/>
    <n v="50"/>
    <n v="16"/>
    <n v="23"/>
    <n v="13"/>
    <n v="4"/>
    <n v="56"/>
    <n v="8.3000000000000007"/>
    <n v="100"/>
    <n v="35.879666666666651"/>
    <n v="18"/>
    <n v="85"/>
  </r>
  <r>
    <s v="Nord Kivu"/>
    <x v="0"/>
    <x v="2"/>
    <s v=" Ngilinga"/>
    <n v="25330"/>
    <n v="884.01700000000005"/>
    <n v="1013.2"/>
    <n v="736.68083333333345"/>
    <n v="844.33333333333337"/>
    <n v="443"/>
    <n v="139"/>
    <n v="807"/>
    <n v="752"/>
    <n v="775"/>
    <n v="656"/>
    <n v="610"/>
    <n v="643"/>
    <n v="655"/>
    <n v="611"/>
    <n v="643"/>
    <n v="563"/>
    <n v="610"/>
    <n v="643"/>
    <n v="749"/>
    <n v="261"/>
    <n v="619"/>
    <n v="772"/>
    <n v="750"/>
    <n v="334"/>
    <n v="361"/>
    <n v="353"/>
    <n v="230"/>
    <n v="159"/>
    <n v="1103"/>
    <n v="33.299999999999997"/>
    <n v="100"/>
    <n v="80.680833333333453"/>
    <n v="0"/>
    <n v="619"/>
  </r>
  <r>
    <s v="Nord Kivu"/>
    <x v="0"/>
    <x v="2"/>
    <s v=" Ngongolio"/>
    <n v="46447"/>
    <n v="1621.0002999999999"/>
    <n v="1857.88"/>
    <n v="1350.8335833333333"/>
    <n v="1548.2333333333336"/>
    <n v="1341"/>
    <n v="417"/>
    <n v="1581"/>
    <n v="1396"/>
    <n v="1557"/>
    <n v="1456"/>
    <n v="1285"/>
    <n v="1434"/>
    <n v="1342"/>
    <n v="1176"/>
    <n v="1291"/>
    <n v="1283"/>
    <n v="1132"/>
    <n v="1267"/>
    <n v="1495"/>
    <n v="834"/>
    <n v="1498"/>
    <n v="1527"/>
    <n v="930"/>
    <n v="514"/>
    <n v="863"/>
    <n v="253"/>
    <n v="208"/>
    <n v="193"/>
    <n v="1517"/>
    <n v="41.7"/>
    <n v="100"/>
    <n v="0"/>
    <n v="0"/>
    <n v="1495"/>
  </r>
  <r>
    <s v="Nord Kivu"/>
    <x v="0"/>
    <x v="2"/>
    <s v=" Nzuma"/>
    <n v="4632"/>
    <n v="161.6568"/>
    <n v="185.28"/>
    <n v="134.714"/>
    <n v="154.4"/>
    <n v="145"/>
    <n v="43"/>
    <n v="175"/>
    <n v="136"/>
    <n v="164"/>
    <n v="141"/>
    <n v="108"/>
    <n v="131"/>
    <n v="141"/>
    <n v="108"/>
    <n v="131"/>
    <n v="127"/>
    <n v="92"/>
    <n v="108"/>
    <n v="112"/>
    <n v="28"/>
    <n v="94"/>
    <n v="170"/>
    <n v="99"/>
    <n v="179"/>
    <n v="87"/>
    <n v="91"/>
    <n v="59"/>
    <n v="15"/>
    <n v="252"/>
    <n v="16.7"/>
    <n v="100"/>
    <n v="0"/>
    <n v="29"/>
    <n v="94"/>
  </r>
  <r>
    <s v="Nord Kivu"/>
    <x v="0"/>
    <x v="2"/>
    <s v=" Paida"/>
    <n v="14272"/>
    <n v="498.09280000000001"/>
    <n v="570.88"/>
    <n v="415.07733333333334"/>
    <n v="475.73333333333329"/>
    <n v="282"/>
    <n v="110"/>
    <n v="408"/>
    <n v="391"/>
    <n v="386"/>
    <n v="346"/>
    <n v="327"/>
    <n v="334"/>
    <n v="345"/>
    <n v="327"/>
    <n v="334"/>
    <n v="339"/>
    <n v="371"/>
    <n v="335"/>
    <n v="382"/>
    <n v="74"/>
    <n v="305"/>
    <n v="394"/>
    <n v="333"/>
    <n v="157"/>
    <n v="101"/>
    <n v="142"/>
    <n v="107"/>
    <n v="99"/>
    <n v="449"/>
    <n v="25"/>
    <n v="100"/>
    <n v="69.077333333333343"/>
    <n v="0"/>
    <n v="305"/>
  </r>
  <r>
    <s v="Nord Kivu"/>
    <x v="0"/>
    <x v="2"/>
    <s v=" Rwangoma"/>
    <n v="29626"/>
    <n v="1033.9474"/>
    <n v="1185.04"/>
    <n v="861.62283333333335"/>
    <n v="987.5333333333333"/>
    <n v="740"/>
    <n v="296"/>
    <n v="932"/>
    <n v="909"/>
    <n v="887"/>
    <n v="834"/>
    <n v="1267"/>
    <n v="790"/>
    <n v="834"/>
    <n v="826"/>
    <n v="790"/>
    <n v="834"/>
    <n v="826"/>
    <n v="790"/>
    <n v="782"/>
    <n v="578"/>
    <n v="662"/>
    <n v="887"/>
    <n v="722"/>
    <n v="225"/>
    <n v="157"/>
    <n v="190"/>
    <n v="231"/>
    <n v="345"/>
    <n v="923"/>
    <n v="33.299999999999997"/>
    <n v="100"/>
    <n v="27.622833333333347"/>
    <n v="52"/>
    <n v="662"/>
  </r>
  <r>
    <s v="Nord Kivu"/>
    <x v="0"/>
    <x v="2"/>
    <s v=" Sayo"/>
    <n v="7389"/>
    <n v="257.87610000000001"/>
    <n v="295.56"/>
    <n v="214.89675000000003"/>
    <n v="246.29999999999998"/>
    <n v="259"/>
    <n v="74"/>
    <n v="271"/>
    <n v="234"/>
    <n v="255"/>
    <n v="271"/>
    <n v="234"/>
    <n v="254"/>
    <n v="209"/>
    <n v="179"/>
    <n v="191"/>
    <n v="207"/>
    <n v="179"/>
    <n v="195"/>
    <n v="196"/>
    <n v="97"/>
    <n v="194"/>
    <n v="263"/>
    <n v="194"/>
    <n v="79"/>
    <n v="79"/>
    <n v="34"/>
    <n v="36"/>
    <n v="25"/>
    <n v="174"/>
    <n v="33.299999999999997"/>
    <n v="100"/>
    <n v="0"/>
    <n v="75"/>
    <n v="194"/>
  </r>
  <r>
    <s v="Nord Kivu"/>
    <x v="0"/>
    <x v="2"/>
    <s v=" Supa"/>
    <n v="2196"/>
    <n v="76.6404"/>
    <n v="87.84"/>
    <n v="63.867000000000004"/>
    <n v="73.2"/>
    <n v="15"/>
    <s v=""/>
    <n v="39"/>
    <n v="28"/>
    <n v="25"/>
    <n v="34"/>
    <n v="25"/>
    <n v="22"/>
    <n v="36"/>
    <n v="22"/>
    <n v="19"/>
    <n v="34"/>
    <n v="23"/>
    <n v="19"/>
    <n v="40"/>
    <n v="13"/>
    <n v="34"/>
    <n v="36"/>
    <n v="24"/>
    <s v=""/>
    <s v=""/>
    <s v=""/>
    <s v=""/>
    <s v=""/>
    <n v="0"/>
    <n v="41.7"/>
    <n v="100"/>
    <n v="29.867000000000004"/>
    <n v="0"/>
    <n v="34"/>
  </r>
  <r>
    <s v="Nord Kivu"/>
    <x v="0"/>
    <x v="2"/>
    <s v=" Tamende"/>
    <n v="18315"/>
    <n v="639.19349999999997"/>
    <n v="732.6"/>
    <n v="532.66125"/>
    <n v="610.5"/>
    <n v="579"/>
    <n v="173"/>
    <n v="614"/>
    <n v="498"/>
    <n v="559"/>
    <n v="500"/>
    <n v="457"/>
    <n v="473"/>
    <n v="510"/>
    <n v="464"/>
    <n v="1178"/>
    <n v="368"/>
    <n v="343"/>
    <n v="352"/>
    <n v="525"/>
    <n v="250"/>
    <n v="491"/>
    <n v="559"/>
    <n v="407"/>
    <n v="173"/>
    <n v="150"/>
    <n v="124"/>
    <n v="73"/>
    <n v="57"/>
    <n v="404"/>
    <n v="33.299999999999997"/>
    <n v="100"/>
    <n v="32.661249999999995"/>
    <n v="0"/>
    <n v="491"/>
  </r>
  <r>
    <s v="Nord Kivu"/>
    <x v="0"/>
    <x v="2"/>
    <s v=" Tuungane"/>
    <n v="16040"/>
    <n v="559.79600000000005"/>
    <n v="641.6"/>
    <n v="466.49666666666667"/>
    <n v="534.66666666666674"/>
    <n v="552"/>
    <n v="256"/>
    <n v="511"/>
    <n v="486"/>
    <n v="577"/>
    <n v="480"/>
    <n v="467"/>
    <n v="492"/>
    <n v="519"/>
    <n v="373"/>
    <n v="1273"/>
    <n v="439"/>
    <n v="420"/>
    <n v="418"/>
    <n v="479"/>
    <n v="154"/>
    <n v="459"/>
    <n v="496"/>
    <n v="440"/>
    <n v="89"/>
    <n v="25"/>
    <n v="104"/>
    <n v="72"/>
    <n v="57"/>
    <n v="258"/>
    <n v="25"/>
    <n v="100"/>
    <n v="0"/>
    <n v="1"/>
    <n v="459"/>
  </r>
  <r>
    <s v="Nord Kivu"/>
    <x v="0"/>
    <x v="3"/>
    <s v=" Anuarite"/>
    <n v="18281"/>
    <n v="638.00689999999997"/>
    <n v="731.24"/>
    <n v="531.67241666666666"/>
    <n v="609.36666666666667"/>
    <n v="340"/>
    <n v="168"/>
    <n v="482"/>
    <n v="435"/>
    <n v="453"/>
    <n v="484"/>
    <n v="425"/>
    <n v="448"/>
    <n v="373"/>
    <n v="313"/>
    <n v="335"/>
    <n v="408"/>
    <n v="371"/>
    <n v="331"/>
    <n v="450"/>
    <n v="136"/>
    <n v="418"/>
    <n v="442"/>
    <n v="423"/>
    <n v="79"/>
    <n v="79"/>
    <n v="82"/>
    <n v="40"/>
    <n v="31"/>
    <n v="232"/>
    <n v="50"/>
    <n v="100"/>
    <n v="47.672416666666663"/>
    <n v="34"/>
    <n v="418"/>
  </r>
  <r>
    <s v="Nord Kivu"/>
    <x v="0"/>
    <x v="3"/>
    <s v=" Biambwe"/>
    <n v="13847"/>
    <n v="483.26030000000003"/>
    <n v="553.88"/>
    <n v="402.71691666666669"/>
    <n v="461.56666666666666"/>
    <n v="144"/>
    <n v="116"/>
    <n v="301"/>
    <n v="245"/>
    <n v="265"/>
    <n v="266"/>
    <n v="221"/>
    <n v="245"/>
    <n v="214"/>
    <n v="178"/>
    <n v="160"/>
    <n v="237"/>
    <n v="202"/>
    <n v="193"/>
    <n v="284"/>
    <n v="62"/>
    <n v="249"/>
    <n v="245"/>
    <n v="230"/>
    <n v="99"/>
    <n v="62"/>
    <n v="83"/>
    <n v="43"/>
    <n v="35"/>
    <n v="223"/>
    <n v="54.2"/>
    <n v="100"/>
    <n v="136.71691666666669"/>
    <n v="0"/>
    <n v="249"/>
  </r>
  <r>
    <s v="Nord Kivu"/>
    <x v="0"/>
    <x v="3"/>
    <s v=" Kaheku"/>
    <n v="6508"/>
    <n v="227.1292"/>
    <n v="260.32"/>
    <n v="189.27433333333335"/>
    <n v="216.93333333333331"/>
    <n v="141"/>
    <n v="204"/>
    <n v="222"/>
    <n v="182"/>
    <n v="213"/>
    <n v="222"/>
    <n v="182"/>
    <n v="213"/>
    <n v="170"/>
    <n v="145"/>
    <n v="163"/>
    <n v="197"/>
    <n v="160"/>
    <n v="189"/>
    <n v="156"/>
    <n v="33"/>
    <n v="156"/>
    <n v="194"/>
    <n v="115"/>
    <n v="69"/>
    <n v="50"/>
    <n v="34"/>
    <n v="21"/>
    <n v="16"/>
    <n v="121"/>
    <n v="50"/>
    <n v="100"/>
    <n v="0"/>
    <n v="66"/>
    <n v="156"/>
  </r>
  <r>
    <s v="Nord Kivu"/>
    <x v="0"/>
    <x v="3"/>
    <s v=" Katanga"/>
    <n v="9275"/>
    <n v="323.69749999999999"/>
    <n v="371"/>
    <n v="269.74791666666664"/>
    <n v="309.16666666666669"/>
    <n v="146"/>
    <n v="118"/>
    <n v="207"/>
    <n v="194"/>
    <n v="202"/>
    <n v="207"/>
    <n v="195"/>
    <n v="203"/>
    <n v="207"/>
    <n v="194"/>
    <n v="202"/>
    <n v="147"/>
    <n v="146"/>
    <n v="138"/>
    <n v="217"/>
    <n v="76"/>
    <n v="217"/>
    <n v="199"/>
    <n v="171"/>
    <n v="78"/>
    <n v="62"/>
    <n v="77"/>
    <n v="55"/>
    <n v="35"/>
    <n v="229"/>
    <n v="50"/>
    <n v="100"/>
    <n v="62.74791666666664"/>
    <n v="0"/>
    <n v="217"/>
  </r>
  <r>
    <s v="Nord Kivu"/>
    <x v="0"/>
    <x v="3"/>
    <s v=" Kiragho"/>
    <n v="7880"/>
    <n v="275.012"/>
    <n v="315.2"/>
    <n v="229.17666666666665"/>
    <n v="262.66666666666663"/>
    <n v="177"/>
    <n v="73"/>
    <n v="189"/>
    <n v="179"/>
    <n v="178"/>
    <n v="242"/>
    <n v="215"/>
    <n v="211"/>
    <n v="167"/>
    <n v="151"/>
    <n v="146"/>
    <n v="174"/>
    <n v="157"/>
    <n v="154"/>
    <n v="259"/>
    <n v="44"/>
    <n v="259"/>
    <n v="178"/>
    <n v="191"/>
    <n v="123"/>
    <n v="66"/>
    <n v="74"/>
    <n v="22"/>
    <n v="11"/>
    <n v="173"/>
    <n v="58.3"/>
    <n v="100"/>
    <n v="0"/>
    <n v="0"/>
    <n v="259"/>
  </r>
  <r>
    <s v="Nord Kivu"/>
    <x v="0"/>
    <x v="3"/>
    <s v=" Kirima"/>
    <n v="12175"/>
    <n v="424.90750000000003"/>
    <n v="487"/>
    <n v="354.08958333333339"/>
    <n v="405.83333333333337"/>
    <n v="207"/>
    <n v="48"/>
    <n v="220"/>
    <n v="205"/>
    <n v="213"/>
    <n v="292"/>
    <n v="257"/>
    <n v="290"/>
    <n v="215"/>
    <n v="185"/>
    <n v="219"/>
    <n v="249"/>
    <n v="200"/>
    <n v="227"/>
    <n v="291"/>
    <n v="52"/>
    <n v="257"/>
    <n v="187"/>
    <n v="149"/>
    <n v="87"/>
    <n v="54"/>
    <n v="40"/>
    <n v="54"/>
    <n v="53"/>
    <n v="201"/>
    <n v="58.3"/>
    <n v="100"/>
    <n v="62.089583333333394"/>
    <n v="1"/>
    <n v="257"/>
  </r>
  <r>
    <s v="Nord Kivu"/>
    <x v="0"/>
    <x v="3"/>
    <s v=" Maeba"/>
    <n v="11122"/>
    <n v="388.15780000000001"/>
    <n v="444.88"/>
    <n v="323.46483333333333"/>
    <n v="370.73333333333329"/>
    <n v="85"/>
    <n v="4"/>
    <n v="192"/>
    <n v="149"/>
    <n v="120"/>
    <n v="270"/>
    <n v="189"/>
    <n v="173"/>
    <n v="208"/>
    <n v="153"/>
    <n v="112"/>
    <n v="172"/>
    <n v="106"/>
    <n v="115"/>
    <n v="162"/>
    <n v="32"/>
    <n v="168"/>
    <n v="145"/>
    <n v="151"/>
    <n v="122"/>
    <n v="59"/>
    <n v="44"/>
    <n v="22"/>
    <n v="14"/>
    <n v="139"/>
    <n v="58.3"/>
    <n v="100"/>
    <n v="53.464833333333331"/>
    <n v="108"/>
    <n v="162"/>
  </r>
  <r>
    <s v="Nord Kivu"/>
    <x v="0"/>
    <x v="3"/>
    <s v=" Mambowa"/>
    <n v="13683"/>
    <n v="477.5367"/>
    <n v="547.32000000000005"/>
    <n v="397.94725"/>
    <n v="456.10000000000008"/>
    <n v="433"/>
    <n v="128"/>
    <n v="333"/>
    <n v="314"/>
    <n v="280"/>
    <n v="399"/>
    <n v="342"/>
    <n v="296"/>
    <n v="404"/>
    <n v="305"/>
    <n v="283"/>
    <n v="406"/>
    <n v="327"/>
    <n v="320"/>
    <n v="407"/>
    <n v="140"/>
    <n v="395"/>
    <n v="323"/>
    <n v="395"/>
    <n v="224"/>
    <n v="133"/>
    <n v="129"/>
    <n v="84"/>
    <n v="71"/>
    <n v="417"/>
    <n v="50"/>
    <n v="100"/>
    <n v="0"/>
    <n v="0"/>
    <n v="395"/>
  </r>
  <r>
    <s v="Nord Kivu"/>
    <x v="0"/>
    <x v="3"/>
    <s v=" Mandelya"/>
    <n v="8939"/>
    <n v="311.97109999999998"/>
    <n v="357.56"/>
    <n v="259.97591666666665"/>
    <n v="297.9666666666667"/>
    <n v="96"/>
    <n v="84"/>
    <n v="185"/>
    <n v="251"/>
    <n v="144"/>
    <n v="177"/>
    <n v="178"/>
    <n v="143"/>
    <n v="222"/>
    <n v="117"/>
    <n v="44"/>
    <n v="222"/>
    <n v="119"/>
    <n v="45"/>
    <n v="236"/>
    <n v="52"/>
    <n v="224"/>
    <n v="220"/>
    <n v="124"/>
    <n v="40"/>
    <n v="27"/>
    <n v="42"/>
    <n v="20"/>
    <n v="12"/>
    <n v="101"/>
    <n v="50"/>
    <n v="100"/>
    <n v="82.975916666666649"/>
    <n v="0"/>
    <n v="224"/>
  </r>
  <r>
    <s v="Nord Kivu"/>
    <x v="0"/>
    <x v="3"/>
    <s v=" Masayi"/>
    <n v="6455"/>
    <n v="225.27950000000001"/>
    <n v="258.2"/>
    <n v="187.73291666666668"/>
    <n v="215.16666666666666"/>
    <n v="43"/>
    <n v="7"/>
    <n v="130"/>
    <n v="137"/>
    <n v="115"/>
    <n v="119"/>
    <n v="117"/>
    <n v="98"/>
    <n v="70"/>
    <n v="77"/>
    <n v="44"/>
    <n v="99"/>
    <n v="84"/>
    <n v="86"/>
    <n v="110"/>
    <n v="18"/>
    <n v="75"/>
    <n v="106"/>
    <n v="70"/>
    <n v="31"/>
    <n v="42"/>
    <n v="21"/>
    <n v="24"/>
    <n v="9"/>
    <n v="96"/>
    <n v="58.3"/>
    <n v="100"/>
    <n v="68.732916666666682"/>
    <n v="9"/>
    <n v="75"/>
  </r>
  <r>
    <s v="Nord Kivu"/>
    <x v="0"/>
    <x v="3"/>
    <s v=" Masingi"/>
    <n v="10262"/>
    <n v="358.1438"/>
    <n v="410.48"/>
    <n v="298.45316666666668"/>
    <n v="342.06666666666672"/>
    <n v="55"/>
    <n v="101"/>
    <n v="156"/>
    <n v="147"/>
    <n v="151"/>
    <n v="156"/>
    <n v="150"/>
    <n v="154"/>
    <n v="102"/>
    <n v="97"/>
    <n v="101"/>
    <n v="127"/>
    <n v="121"/>
    <n v="121"/>
    <n v="166"/>
    <n v="112"/>
    <n v="154"/>
    <n v="124"/>
    <n v="110"/>
    <n v="56"/>
    <n v="42"/>
    <n v="44"/>
    <n v="33"/>
    <n v="28"/>
    <n v="147"/>
    <n v="50"/>
    <n v="100"/>
    <n v="142.45316666666668"/>
    <n v="0"/>
    <n v="154"/>
  </r>
  <r>
    <s v="Nord Kivu"/>
    <x v="0"/>
    <x v="3"/>
    <s v=" Masoya"/>
    <n v="7975"/>
    <n v="278.32749999999999"/>
    <n v="319"/>
    <n v="231.9395833333333"/>
    <n v="265.83333333333331"/>
    <n v="254"/>
    <n v="150"/>
    <n v="235"/>
    <n v="244"/>
    <n v="231"/>
    <n v="249"/>
    <n v="210"/>
    <n v="213"/>
    <n v="195"/>
    <n v="176"/>
    <n v="163"/>
    <n v="224"/>
    <n v="200"/>
    <n v="177"/>
    <n v="240"/>
    <n v="133"/>
    <n v="226"/>
    <n v="205"/>
    <n v="203"/>
    <n v="90"/>
    <n v="30"/>
    <n v="16"/>
    <n v="9"/>
    <n v="3"/>
    <n v="58"/>
    <n v="62.5"/>
    <n v="100"/>
    <n v="0"/>
    <n v="9"/>
    <n v="226"/>
  </r>
  <r>
    <s v="Nord Kivu"/>
    <x v="0"/>
    <x v="3"/>
    <s v=" Mateto"/>
    <n v="12949"/>
    <n v="451.92009999999999"/>
    <n v="517.96"/>
    <n v="376.60008333333332"/>
    <n v="431.63333333333333"/>
    <n v="224"/>
    <n v="128"/>
    <n v="264"/>
    <n v="247"/>
    <n v="237"/>
    <n v="284"/>
    <n v="266"/>
    <n v="236"/>
    <n v="261"/>
    <n v="226"/>
    <n v="157"/>
    <n v="297"/>
    <n v="276"/>
    <n v="189"/>
    <n v="290"/>
    <n v="73"/>
    <n v="289"/>
    <n v="234"/>
    <n v="263"/>
    <n v="46"/>
    <n v="40"/>
    <n v="47"/>
    <n v="43"/>
    <n v="35"/>
    <n v="165"/>
    <n v="54.2"/>
    <n v="100"/>
    <n v="92.600083333333316"/>
    <n v="0"/>
    <n v="289"/>
  </r>
  <r>
    <s v="Nord Kivu"/>
    <x v="0"/>
    <x v="3"/>
    <s v=" Mausa"/>
    <n v="5438"/>
    <n v="189.78620000000001"/>
    <n v="217.52"/>
    <n v="158.15516666666667"/>
    <n v="181.26666666666668"/>
    <n v="123"/>
    <n v="13"/>
    <n v="144"/>
    <n v="142"/>
    <n v="131"/>
    <n v="144"/>
    <n v="142"/>
    <n v="131"/>
    <n v="119"/>
    <n v="115"/>
    <n v="101"/>
    <n v="137"/>
    <n v="127"/>
    <n v="116"/>
    <n v="103"/>
    <n v="45"/>
    <n v="100"/>
    <n v="131"/>
    <n v="104"/>
    <n v="11"/>
    <n v="9"/>
    <n v="3"/>
    <n v="5"/>
    <n v="3"/>
    <n v="20"/>
    <n v="58.3"/>
    <n v="100"/>
    <n v="14.155166666666673"/>
    <n v="41"/>
    <n v="100"/>
  </r>
  <r>
    <s v="Nord Kivu"/>
    <x v="0"/>
    <x v="3"/>
    <s v=" Musenge"/>
    <n v="5440"/>
    <n v="189.85599999999999"/>
    <n v="217.6"/>
    <n v="158.21333333333334"/>
    <n v="181.33333333333331"/>
    <n v="123"/>
    <n v="71"/>
    <n v="138"/>
    <n v="124"/>
    <n v="132"/>
    <n v="142"/>
    <n v="132"/>
    <n v="135"/>
    <n v="126"/>
    <n v="116"/>
    <n v="119"/>
    <n v="153"/>
    <n v="139"/>
    <n v="146"/>
    <n v="155"/>
    <n v="94"/>
    <n v="155"/>
    <n v="202"/>
    <n v="113"/>
    <n v="55"/>
    <n v="55"/>
    <n v="41"/>
    <n v="34"/>
    <n v="24"/>
    <n v="154"/>
    <n v="58.3"/>
    <n v="100"/>
    <n v="16.213333333333338"/>
    <n v="0"/>
    <n v="155"/>
  </r>
  <r>
    <s v="Nord Kivu"/>
    <x v="0"/>
    <x v="3"/>
    <s v=" Pombi"/>
    <n v="7504"/>
    <n v="261.88960000000003"/>
    <n v="300.16000000000003"/>
    <n v="218.24133333333336"/>
    <n v="250.13333333333335"/>
    <n v="212"/>
    <n v="102"/>
    <n v="295"/>
    <n v="275"/>
    <n v="280"/>
    <n v="296"/>
    <n v="275"/>
    <n v="280"/>
    <n v="221"/>
    <n v="204"/>
    <n v="210"/>
    <n v="242"/>
    <n v="217"/>
    <n v="216"/>
    <n v="364"/>
    <n v="68"/>
    <n v="313"/>
    <n v="282"/>
    <n v="324"/>
    <n v="76"/>
    <n v="51"/>
    <n v="49"/>
    <n v="35"/>
    <n v="14"/>
    <n v="149"/>
    <n v="58.3"/>
    <n v="100"/>
    <n v="0"/>
    <n v="0"/>
    <n v="313"/>
  </r>
  <r>
    <s v="Nord Kivu"/>
    <x v="0"/>
    <x v="3"/>
    <s v=" Somea"/>
    <n v="8121"/>
    <n v="283.42290000000003"/>
    <n v="324.84000000000003"/>
    <n v="236.18575000000004"/>
    <n v="270.70000000000005"/>
    <n v="55"/>
    <n v="53"/>
    <n v="93"/>
    <n v="88"/>
    <n v="85"/>
    <n v="152"/>
    <n v="145"/>
    <n v="141"/>
    <n v="85"/>
    <n v="83"/>
    <n v="80"/>
    <n v="152"/>
    <n v="146"/>
    <n v="141"/>
    <n v="156"/>
    <n v="122"/>
    <n v="103"/>
    <n v="156"/>
    <n v="144"/>
    <n v="61"/>
    <n v="43"/>
    <n v="38"/>
    <n v="34"/>
    <n v="27"/>
    <n v="142"/>
    <n v="50"/>
    <n v="100"/>
    <n v="84.185750000000041"/>
    <n v="0"/>
    <n v="103"/>
  </r>
  <r>
    <s v="Nord Kivu"/>
    <x v="1"/>
    <x v="4"/>
    <s v=" Buramba"/>
    <n v="15846"/>
    <n v="553.02539999999999"/>
    <n v="633.84"/>
    <n v="460.85450000000003"/>
    <n v="528.20000000000005"/>
    <n v="354"/>
    <n v="204"/>
    <n v="341"/>
    <n v="354"/>
    <n v="397"/>
    <n v="384"/>
    <n v="400"/>
    <n v="431"/>
    <n v="381"/>
    <n v="400"/>
    <n v="431"/>
    <n v="368"/>
    <n v="377"/>
    <n v="394"/>
    <n v="489"/>
    <n v="474"/>
    <n v="489"/>
    <n v="438"/>
    <n v="489"/>
    <n v="231"/>
    <n v="219"/>
    <n v="131"/>
    <n v="112"/>
    <n v="139"/>
    <n v="601"/>
    <n v="56.3"/>
    <n v="100"/>
    <n v="76.85450000000003"/>
    <n v="0"/>
    <n v="489"/>
  </r>
  <r>
    <s v="Nord Kivu"/>
    <x v="1"/>
    <x v="4"/>
    <s v=" Camps 5 Heures"/>
    <n v="17018"/>
    <n v="593.92820000000006"/>
    <n v="680.72"/>
    <n v="494.94016666666676"/>
    <n v="567.26666666666665"/>
    <n v="528"/>
    <n v="147"/>
    <n v="529"/>
    <n v="516"/>
    <n v="525"/>
    <n v="529"/>
    <n v="516"/>
    <n v="525"/>
    <n v="529"/>
    <n v="515"/>
    <n v="525"/>
    <n v="529"/>
    <n v="516"/>
    <n v="525"/>
    <n v="560"/>
    <n v="587"/>
    <n v="554"/>
    <n v="525"/>
    <n v="549"/>
    <n v="142"/>
    <n v="113"/>
    <n v="133"/>
    <n v="104"/>
    <n v="111"/>
    <n v="461"/>
    <n v="58.3"/>
    <n v="100"/>
    <n v="0"/>
    <n v="0"/>
    <n v="554"/>
  </r>
  <r>
    <s v="Nord Kivu"/>
    <x v="1"/>
    <x v="4"/>
    <s v=" Ishasha"/>
    <n v="9615"/>
    <n v="335.56349999999998"/>
    <n v="384.6"/>
    <n v="279.63624999999996"/>
    <n v="320.50000000000006"/>
    <n v="392"/>
    <n v="354"/>
    <n v="396"/>
    <n v="385"/>
    <n v="389"/>
    <n v="387"/>
    <n v="371"/>
    <n v="384"/>
    <n v="388"/>
    <n v="374"/>
    <n v="385"/>
    <n v="387"/>
    <n v="371"/>
    <n v="384"/>
    <n v="351"/>
    <n v="257"/>
    <n v="351"/>
    <n v="381"/>
    <n v="350"/>
    <n v="77"/>
    <n v="74"/>
    <n v="55"/>
    <n v="54"/>
    <n v="46"/>
    <n v="229"/>
    <n v="44.4"/>
    <n v="100"/>
    <n v="0"/>
    <n v="36"/>
    <n v="351"/>
  </r>
  <r>
    <s v="Nord Kivu"/>
    <x v="1"/>
    <x v="4"/>
    <s v=" Kasave "/>
    <n v="7229"/>
    <n v="252.2921"/>
    <n v="289.16000000000003"/>
    <n v="210.24341666666669"/>
    <n v="240.96666666666667"/>
    <n v="217"/>
    <n v="164"/>
    <n v="217"/>
    <n v="223"/>
    <n v="226"/>
    <n v="213"/>
    <n v="223"/>
    <n v="226"/>
    <n v="217"/>
    <n v="223"/>
    <n v="226"/>
    <n v="217"/>
    <n v="223"/>
    <n v="226"/>
    <n v="214"/>
    <n v="192"/>
    <n v="214"/>
    <n v="226"/>
    <n v="214"/>
    <n v="36"/>
    <n v="40"/>
    <n v="55"/>
    <n v="37"/>
    <n v="15"/>
    <n v="147"/>
    <n v="58.3"/>
    <n v="100"/>
    <n v="0"/>
    <n v="0"/>
    <n v="214"/>
  </r>
  <r>
    <s v="Nord Kivu"/>
    <x v="1"/>
    <x v="4"/>
    <s v=" Katwiguru"/>
    <n v="22752"/>
    <n v="794.04480000000001"/>
    <n v="910.08"/>
    <n v="661.70399999999995"/>
    <n v="758.40000000000009"/>
    <n v="741"/>
    <n v="425"/>
    <n v="720"/>
    <n v="670"/>
    <n v="717"/>
    <n v="734"/>
    <n v="694"/>
    <n v="734"/>
    <n v="734"/>
    <n v="694"/>
    <n v="724"/>
    <n v="734"/>
    <n v="694"/>
    <n v="734"/>
    <n v="675"/>
    <n v="614"/>
    <n v="675"/>
    <n v="734"/>
    <n v="675"/>
    <n v="163"/>
    <n v="160"/>
    <n v="153"/>
    <n v="123"/>
    <n v="104"/>
    <n v="540"/>
    <n v="58.3"/>
    <n v="100"/>
    <n v="0"/>
    <n v="59"/>
    <n v="675"/>
  </r>
  <r>
    <s v="Nord Kivu"/>
    <x v="1"/>
    <x v="4"/>
    <s v=" Kiseguru"/>
    <n v="37466"/>
    <n v="1307.5634"/>
    <n v="1498.64"/>
    <n v="1089.6361666666667"/>
    <n v="1248.8666666666668"/>
    <n v="1195"/>
    <n v="772"/>
    <n v="1146"/>
    <n v="1095"/>
    <n v="1104"/>
    <n v="1188"/>
    <n v="1140"/>
    <n v="1131"/>
    <n v="1188"/>
    <n v="1140"/>
    <n v="1128"/>
    <n v="1162"/>
    <n v="1120"/>
    <n v="1115"/>
    <n v="1070"/>
    <n v="809"/>
    <n v="1070"/>
    <n v="1131"/>
    <n v="1068"/>
    <n v="222"/>
    <n v="258"/>
    <n v="235"/>
    <n v="210"/>
    <n v="238"/>
    <n v="941"/>
    <n v="58.3"/>
    <n v="100"/>
    <n v="0"/>
    <n v="118"/>
    <n v="1070"/>
  </r>
  <r>
    <s v="Nord Kivu"/>
    <x v="1"/>
    <x v="4"/>
    <s v=" Kisharo"/>
    <n v="14599"/>
    <n v="509.50510000000003"/>
    <n v="583.96"/>
    <n v="424.58758333333333"/>
    <n v="486.63333333333333"/>
    <n v="456"/>
    <n v="233"/>
    <n v="396"/>
    <n v="390"/>
    <n v="397"/>
    <n v="396"/>
    <n v="390"/>
    <n v="398"/>
    <n v="396"/>
    <n v="390"/>
    <n v="397"/>
    <n v="349"/>
    <n v="345"/>
    <n v="347"/>
    <n v="428"/>
    <n v="260"/>
    <n v="388"/>
    <n v="429"/>
    <n v="320"/>
    <n v="103"/>
    <n v="99"/>
    <n v="72"/>
    <n v="58"/>
    <n v="52"/>
    <n v="281"/>
    <n v="58.3"/>
    <n v="100"/>
    <n v="28.587583333333328"/>
    <n v="0"/>
    <n v="388"/>
  </r>
  <r>
    <s v="Nord Kivu"/>
    <x v="1"/>
    <x v="4"/>
    <s v=" Majengo "/>
    <n v="14632"/>
    <n v="510.65680000000003"/>
    <n v="585.28"/>
    <n v="425.54733333333337"/>
    <n v="487.73333333333335"/>
    <n v="399"/>
    <n v="190"/>
    <n v="465"/>
    <n v="529"/>
    <n v="467"/>
    <n v="465"/>
    <n v="458"/>
    <n v="467"/>
    <n v="465"/>
    <n v="458"/>
    <n v="467"/>
    <n v="435"/>
    <n v="411"/>
    <n v="407"/>
    <n v="452"/>
    <n v="271"/>
    <n v="452"/>
    <n v="467"/>
    <n v="452"/>
    <n v="87"/>
    <n v="67"/>
    <n v="76"/>
    <n v="56"/>
    <n v="37"/>
    <n v="236"/>
    <n v="58.3"/>
    <n v="100"/>
    <n v="0"/>
    <n v="13"/>
    <n v="452"/>
  </r>
  <r>
    <s v="Nord Kivu"/>
    <x v="1"/>
    <x v="4"/>
    <s v=" Munyaga"/>
    <n v="9775"/>
    <n v="341.14749999999998"/>
    <n v="391"/>
    <n v="284.28958333333333"/>
    <n v="325.83333333333337"/>
    <n v="304"/>
    <n v="217"/>
    <n v="315"/>
    <n v="313"/>
    <n v="324"/>
    <n v="315"/>
    <n v="313"/>
    <n v="322"/>
    <n v="325"/>
    <n v="313"/>
    <n v="320"/>
    <n v="311"/>
    <n v="293"/>
    <n v="308"/>
    <n v="300"/>
    <n v="154"/>
    <n v="304"/>
    <n v="322"/>
    <n v="304"/>
    <n v="54"/>
    <n v="61"/>
    <n v="52"/>
    <n v="47"/>
    <n v="46"/>
    <n v="206"/>
    <n v="58.3"/>
    <n v="100"/>
    <n v="0"/>
    <n v="15"/>
    <n v="300"/>
  </r>
  <r>
    <s v="Nord Kivu"/>
    <x v="1"/>
    <x v="4"/>
    <s v=" Nyabanira"/>
    <n v="10612"/>
    <n v="370.35880000000003"/>
    <n v="424.48"/>
    <n v="308.63233333333335"/>
    <n v="353.73333333333335"/>
    <n v="386"/>
    <n v="275"/>
    <n v="314"/>
    <n v="343"/>
    <n v="329"/>
    <n v="307"/>
    <n v="315"/>
    <n v="311"/>
    <n v="307"/>
    <n v="315"/>
    <n v="311"/>
    <n v="290"/>
    <n v="302"/>
    <n v="320"/>
    <n v="347"/>
    <n v="268"/>
    <n v="338"/>
    <n v="312"/>
    <n v="338"/>
    <n v="51"/>
    <n v="50"/>
    <n v="51"/>
    <n v="52"/>
    <n v="56"/>
    <n v="209"/>
    <n v="58.3"/>
    <n v="100"/>
    <n v="1.6323333333333494"/>
    <n v="0"/>
    <n v="338"/>
  </r>
  <r>
    <s v="Nord Kivu"/>
    <x v="1"/>
    <x v="4"/>
    <s v=" Nyakahanga"/>
    <n v="5988"/>
    <n v="208.9812"/>
    <n v="239.52"/>
    <n v="174.15099999999998"/>
    <n v="199.60000000000002"/>
    <n v="187"/>
    <n v="98"/>
    <n v="155"/>
    <n v="155"/>
    <n v="155"/>
    <n v="155"/>
    <n v="155"/>
    <n v="155"/>
    <n v="155"/>
    <n v="155"/>
    <n v="155"/>
    <n v="154"/>
    <n v="155"/>
    <n v="155"/>
    <n v="165"/>
    <n v="95"/>
    <n v="159"/>
    <n v="155"/>
    <n v="161"/>
    <n v="29"/>
    <n v="25"/>
    <n v="25"/>
    <n v="20"/>
    <n v="11"/>
    <n v="81"/>
    <n v="58.3"/>
    <n v="100"/>
    <n v="19.150999999999982"/>
    <n v="0"/>
    <n v="159"/>
  </r>
  <r>
    <s v="Nord Kivu"/>
    <x v="1"/>
    <x v="4"/>
    <s v=" Nyakakoma"/>
    <n v="11975"/>
    <n v="417.92750000000001"/>
    <n v="479"/>
    <n v="348.27291666666667"/>
    <n v="399.16666666666663"/>
    <n v="405"/>
    <n v="73"/>
    <n v="420"/>
    <n v="406"/>
    <n v="417"/>
    <n v="420"/>
    <n v="427"/>
    <n v="422"/>
    <n v="420"/>
    <n v="406"/>
    <n v="417"/>
    <n v="363"/>
    <n v="375"/>
    <n v="401"/>
    <n v="384"/>
    <n v="227"/>
    <n v="390"/>
    <n v="417"/>
    <n v="386"/>
    <n v="51"/>
    <n v="46"/>
    <n v="57"/>
    <n v="61"/>
    <n v="69"/>
    <n v="233"/>
    <n v="58.3"/>
    <n v="100"/>
    <n v="0"/>
    <n v="36"/>
    <n v="384"/>
  </r>
  <r>
    <s v="Nord Kivu"/>
    <x v="1"/>
    <x v="4"/>
    <s v=" Nyamilima"/>
    <n v="29201"/>
    <n v="1019.1149"/>
    <n v="1168.04"/>
    <n v="849.2624166666667"/>
    <n v="973.36666666666656"/>
    <n v="879"/>
    <n v="615"/>
    <n v="762"/>
    <n v="720"/>
    <n v="741"/>
    <n v="762"/>
    <n v="693"/>
    <n v="756"/>
    <n v="762"/>
    <n v="693"/>
    <n v="756"/>
    <n v="762"/>
    <n v="693"/>
    <n v="756"/>
    <n v="822"/>
    <n v="365"/>
    <n v="774"/>
    <n v="756"/>
    <n v="742"/>
    <n v="177"/>
    <n v="170"/>
    <n v="167"/>
    <n v="127"/>
    <n v="114"/>
    <n v="578"/>
    <n v="54.2"/>
    <n v="100"/>
    <n v="87.262416666666695"/>
    <n v="0"/>
    <n v="774"/>
  </r>
  <r>
    <s v="Nord Kivu"/>
    <x v="1"/>
    <x v="4"/>
    <s v=" Nyaruhange"/>
    <n v="13327"/>
    <n v="465.1123"/>
    <n v="533.08000000000004"/>
    <n v="387.5935833333333"/>
    <n v="444.23333333333341"/>
    <n v="409"/>
    <n v="144"/>
    <n v="450"/>
    <n v="459"/>
    <n v="473"/>
    <n v="450"/>
    <n v="459"/>
    <n v="473"/>
    <n v="450"/>
    <n v="459"/>
    <n v="472"/>
    <n v="425"/>
    <n v="431"/>
    <n v="457"/>
    <n v="407"/>
    <n v="195"/>
    <n v="407"/>
    <n v="473"/>
    <n v="407"/>
    <n v="91"/>
    <n v="60"/>
    <n v="83"/>
    <n v="70"/>
    <n v="86"/>
    <n v="299"/>
    <n v="58.3"/>
    <n v="100"/>
    <n v="0"/>
    <n v="43"/>
    <n v="407"/>
  </r>
  <r>
    <s v="Nord Kivu"/>
    <x v="1"/>
    <x v="5"/>
    <s v=" Birambizo"/>
    <n v="31077"/>
    <n v="1084.5872999999999"/>
    <n v="1243.08"/>
    <n v="903.82274999999993"/>
    <n v="1035.8999999999999"/>
    <n v="875"/>
    <n v="580"/>
    <n v="970"/>
    <n v="924"/>
    <n v="873"/>
    <n v="970"/>
    <n v="924"/>
    <n v="873"/>
    <n v="970"/>
    <n v="924"/>
    <n v="873"/>
    <n v="864"/>
    <n v="835"/>
    <n v="792"/>
    <n v="684"/>
    <n v="497"/>
    <n v="752"/>
    <n v="873"/>
    <n v="465"/>
    <n v="404"/>
    <n v="294"/>
    <n v="240"/>
    <n v="197"/>
    <n v="131"/>
    <n v="862"/>
    <n v="58.3"/>
    <n v="100"/>
    <n v="0"/>
    <n v="286"/>
    <n v="684"/>
  </r>
  <r>
    <s v="Nord Kivu"/>
    <x v="1"/>
    <x v="5"/>
    <s v=" Bishusha"/>
    <n v="18115"/>
    <n v="632.21349999999995"/>
    <n v="724.6"/>
    <n v="526.84458333333328"/>
    <n v="603.83333333333337"/>
    <n v="578"/>
    <n v="458"/>
    <n v="530"/>
    <n v="509"/>
    <n v="517"/>
    <n v="530"/>
    <n v="508"/>
    <n v="517"/>
    <n v="530"/>
    <n v="509"/>
    <n v="517"/>
    <n v="369"/>
    <n v="356"/>
    <n v="356"/>
    <n v="405"/>
    <n v="250"/>
    <n v="445"/>
    <n v="425"/>
    <n v="331"/>
    <n v="279"/>
    <n v="242"/>
    <n v="126"/>
    <n v="85"/>
    <n v="77"/>
    <n v="530"/>
    <n v="58.3"/>
    <n v="100"/>
    <n v="0"/>
    <n v="125"/>
    <n v="405"/>
  </r>
  <r>
    <s v="Nord Kivu"/>
    <x v="1"/>
    <x v="5"/>
    <s v=" Bwiza"/>
    <n v="9149"/>
    <n v="319.30009999999999"/>
    <n v="365.96"/>
    <n v="266.08341666666666"/>
    <n v="304.96666666666664"/>
    <n v="366"/>
    <n v="138"/>
    <n v="314"/>
    <n v="260"/>
    <n v="306"/>
    <n v="314"/>
    <n v="260"/>
    <n v="305"/>
    <n v="314"/>
    <n v="260"/>
    <n v="305"/>
    <n v="215"/>
    <n v="179"/>
    <n v="209"/>
    <n v="277"/>
    <n v="146"/>
    <n v="268"/>
    <n v="239"/>
    <n v="97"/>
    <n v="298"/>
    <n v="256"/>
    <n v="177"/>
    <n v="68"/>
    <n v="30"/>
    <n v="531"/>
    <n v="58.3"/>
    <n v="100"/>
    <n v="0"/>
    <n v="37"/>
    <n v="268"/>
  </r>
  <r>
    <s v="Nord Kivu"/>
    <x v="1"/>
    <x v="5"/>
    <s v=" JTN"/>
    <n v="11790"/>
    <n v="411.471"/>
    <n v="471.6"/>
    <n v="342.89250000000004"/>
    <n v="393.00000000000006"/>
    <n v="304"/>
    <n v="128"/>
    <n v="350"/>
    <n v="316"/>
    <n v="324"/>
    <n v="350"/>
    <n v="316"/>
    <n v="324"/>
    <n v="350"/>
    <n v="316"/>
    <n v="324"/>
    <n v="350"/>
    <n v="316"/>
    <n v="324"/>
    <n v="340"/>
    <n v="169"/>
    <n v="330"/>
    <n v="331"/>
    <n v="268"/>
    <n v="273"/>
    <n v="210"/>
    <n v="141"/>
    <n v="88"/>
    <n v="25"/>
    <n v="464"/>
    <n v="58.3"/>
    <n v="100"/>
    <n v="0"/>
    <n v="10"/>
    <n v="330"/>
  </r>
  <r>
    <s v="Nord Kivu"/>
    <x v="1"/>
    <x v="5"/>
    <s v=" Kahe"/>
    <n v="34690"/>
    <n v="1210.681"/>
    <n v="1387.6000000000001"/>
    <n v="1008.9008333333334"/>
    <n v="1156.3333333333335"/>
    <n v="841"/>
    <n v="102"/>
    <n v="886"/>
    <n v="861"/>
    <n v="859"/>
    <n v="876"/>
    <n v="861"/>
    <n v="854"/>
    <n v="886"/>
    <n v="862"/>
    <n v="859"/>
    <n v="886"/>
    <n v="861"/>
    <n v="859"/>
    <n v="758"/>
    <n v="449"/>
    <n v="840"/>
    <n v="859"/>
    <n v="775"/>
    <n v="95"/>
    <n v="31"/>
    <n v="6"/>
    <n v="5"/>
    <n v="10"/>
    <n v="52"/>
    <n v="58.3"/>
    <n v="100"/>
    <n v="132.90083333333337"/>
    <n v="118"/>
    <n v="758"/>
  </r>
  <r>
    <s v="Nord Kivu"/>
    <x v="1"/>
    <x v="5"/>
    <s v=" Kanyangohe"/>
    <n v="10806"/>
    <n v="377.12940000000003"/>
    <n v="432.24"/>
    <n v="314.27450000000005"/>
    <n v="360.20000000000005"/>
    <n v="348"/>
    <n v="111"/>
    <n v="374"/>
    <n v="362"/>
    <n v="326"/>
    <n v="374"/>
    <n v="362"/>
    <n v="326"/>
    <n v="374"/>
    <n v="364"/>
    <n v="326"/>
    <n v="374"/>
    <n v="362"/>
    <n v="326"/>
    <n v="293"/>
    <n v="337"/>
    <n v="301"/>
    <n v="326"/>
    <n v="273"/>
    <n v="63"/>
    <n v="57"/>
    <n v="39"/>
    <n v="17"/>
    <n v="24"/>
    <n v="137"/>
    <n v="58.3"/>
    <n v="100"/>
    <n v="0"/>
    <n v="81"/>
    <n v="293"/>
  </r>
  <r>
    <s v="Nord Kivu"/>
    <x v="1"/>
    <x v="5"/>
    <s v=" Katsiru"/>
    <n v="27360"/>
    <n v="954.86400000000003"/>
    <n v="1094.4000000000001"/>
    <n v="795.72"/>
    <n v="912"/>
    <n v="773"/>
    <n v="595"/>
    <n v="639"/>
    <n v="566"/>
    <n v="584"/>
    <n v="775"/>
    <n v="714"/>
    <n v="726"/>
    <n v="775"/>
    <n v="714"/>
    <n v="726"/>
    <n v="775"/>
    <n v="714"/>
    <n v="726"/>
    <n v="673"/>
    <n v="361"/>
    <n v="653"/>
    <n v="607"/>
    <n v="455"/>
    <n v="656"/>
    <n v="403"/>
    <n v="180"/>
    <n v="77"/>
    <n v="9"/>
    <n v="669"/>
    <n v="50"/>
    <n v="100"/>
    <n v="20.720000000000027"/>
    <n v="102"/>
    <n v="653"/>
  </r>
  <r>
    <s v="Nord Kivu"/>
    <x v="1"/>
    <x v="5"/>
    <s v=" Kizimba"/>
    <n v="10277"/>
    <n v="358.66730000000001"/>
    <n v="411.08"/>
    <n v="298.88941666666665"/>
    <n v="342.56666666666666"/>
    <n v="318"/>
    <n v="318"/>
    <n v="296"/>
    <n v="291"/>
    <n v="290"/>
    <n v="296"/>
    <n v="291"/>
    <n v="290"/>
    <n v="296"/>
    <n v="291"/>
    <n v="290"/>
    <n v="296"/>
    <n v="291"/>
    <n v="290"/>
    <n v="485"/>
    <n v="230"/>
    <n v="435"/>
    <n v="290"/>
    <n v="435"/>
    <n v="214"/>
    <n v="128"/>
    <n v="95"/>
    <n v="64"/>
    <n v="50"/>
    <n v="337"/>
    <n v="58.3"/>
    <n v="100"/>
    <n v="2.8894166666666479"/>
    <n v="0"/>
    <n v="435"/>
  </r>
  <r>
    <s v="Nord Kivu"/>
    <x v="1"/>
    <x v="5"/>
    <s v=" Luya"/>
    <n v="13906"/>
    <n v="485.31940000000003"/>
    <n v="556.24"/>
    <n v="404.43283333333335"/>
    <n v="463.5333333333333"/>
    <n v="527"/>
    <n v="345"/>
    <n v="439"/>
    <n v="327"/>
    <n v="404"/>
    <n v="439"/>
    <n v="327"/>
    <n v="399"/>
    <n v="439"/>
    <n v="327"/>
    <n v="404"/>
    <n v="442"/>
    <n v="329"/>
    <n v="403"/>
    <n v="407"/>
    <n v="292"/>
    <n v="406"/>
    <n v="404"/>
    <n v="328"/>
    <n v="340"/>
    <n v="234"/>
    <n v="91"/>
    <n v="11"/>
    <s v=""/>
    <n v="336"/>
    <n v="58.3"/>
    <n v="100"/>
    <n v="0"/>
    <n v="32"/>
    <n v="406"/>
  </r>
  <r>
    <s v="Nord Kivu"/>
    <x v="1"/>
    <x v="5"/>
    <s v=" Mulimbi"/>
    <n v="16689"/>
    <n v="582.4461"/>
    <n v="667.56000000000006"/>
    <n v="485.37174999999996"/>
    <n v="556.30000000000007"/>
    <n v="538"/>
    <n v="538"/>
    <n v="502"/>
    <n v="475"/>
    <n v="484"/>
    <n v="502"/>
    <n v="472"/>
    <n v="484"/>
    <n v="502"/>
    <n v="475"/>
    <n v="484"/>
    <n v="502"/>
    <n v="475"/>
    <n v="484"/>
    <n v="436"/>
    <n v="334"/>
    <n v="471"/>
    <n v="484"/>
    <n v="471"/>
    <n v="431"/>
    <n v="259"/>
    <n v="138"/>
    <n v="50"/>
    <n v="30"/>
    <n v="477"/>
    <n v="58.3"/>
    <n v="100"/>
    <n v="0"/>
    <n v="66"/>
    <n v="436"/>
  </r>
  <r>
    <s v="Nord Kivu"/>
    <x v="1"/>
    <x v="5"/>
    <s v=" Mushebere"/>
    <n v="12465"/>
    <n v="435.02850000000001"/>
    <n v="498.6"/>
    <n v="362.52375000000001"/>
    <n v="415.50000000000006"/>
    <n v="344"/>
    <n v="287"/>
    <n v="342"/>
    <n v="312"/>
    <n v="287"/>
    <n v="342"/>
    <n v="312"/>
    <n v="287"/>
    <n v="342"/>
    <n v="312"/>
    <n v="287"/>
    <n v="338"/>
    <n v="312"/>
    <n v="285"/>
    <n v="297"/>
    <n v="230"/>
    <n v="261"/>
    <n v="285"/>
    <n v="234"/>
    <n v="129"/>
    <n v="76"/>
    <n v="58"/>
    <n v="29"/>
    <n v="13"/>
    <n v="176"/>
    <n v="58.3"/>
    <n v="100"/>
    <n v="20.523750000000007"/>
    <n v="45"/>
    <n v="261"/>
  </r>
  <r>
    <s v="Nord Kivu"/>
    <x v="1"/>
    <x v="5"/>
    <s v=" Ngogholo"/>
    <n v="17605"/>
    <n v="614.41449999999998"/>
    <n v="704.2"/>
    <n v="512.01208333333329"/>
    <n v="586.83333333333337"/>
    <n v="524"/>
    <n v="462"/>
    <n v="546"/>
    <n v="488"/>
    <n v="514"/>
    <n v="546"/>
    <n v="498"/>
    <n v="514"/>
    <n v="546"/>
    <n v="496"/>
    <n v="514"/>
    <n v="546"/>
    <n v="488"/>
    <n v="514"/>
    <n v="411"/>
    <n v="141"/>
    <n v="429"/>
    <n v="516"/>
    <n v="197"/>
    <n v="384"/>
    <n v="181"/>
    <n v="91"/>
    <n v="27"/>
    <n v="7"/>
    <n v="306"/>
    <n v="58.3"/>
    <n v="100"/>
    <n v="0"/>
    <n v="135"/>
    <n v="411"/>
  </r>
  <r>
    <s v="Nord Kivu"/>
    <x v="1"/>
    <x v="5"/>
    <s v=" Rusekera"/>
    <n v="14384"/>
    <n v="502.0016"/>
    <n v="575.36"/>
    <n v="418.33466666666664"/>
    <n v="479.46666666666664"/>
    <n v="457"/>
    <n v="474"/>
    <n v="417"/>
    <n v="380"/>
    <n v="384"/>
    <n v="417"/>
    <n v="380"/>
    <n v="384"/>
    <n v="417"/>
    <n v="380"/>
    <n v="384"/>
    <n v="417"/>
    <n v="380"/>
    <n v="384"/>
    <n v="400"/>
    <n v="228"/>
    <n v="410"/>
    <n v="378"/>
    <n v="400"/>
    <n v="126"/>
    <n v="64"/>
    <n v="37"/>
    <n v="31"/>
    <n v="28"/>
    <n v="160"/>
    <n v="58.3"/>
    <n v="100"/>
    <n v="1.3346666666666351"/>
    <n v="17"/>
    <n v="400"/>
  </r>
  <r>
    <s v="Nord Kivu"/>
    <x v="1"/>
    <x v="5"/>
    <s v=" Rwindi"/>
    <n v="12845"/>
    <n v="448.29050000000001"/>
    <n v="513.79999999999995"/>
    <n v="373.57541666666668"/>
    <n v="428.16666666666663"/>
    <n v="316"/>
    <n v="316"/>
    <n v="534"/>
    <n v="433"/>
    <n v="428"/>
    <n v="534"/>
    <n v="433"/>
    <n v="428"/>
    <n v="534"/>
    <n v="433"/>
    <n v="428"/>
    <n v="534"/>
    <n v="433"/>
    <n v="428"/>
    <n v="469"/>
    <n v="319"/>
    <n v="461"/>
    <n v="434"/>
    <n v="407"/>
    <n v="264"/>
    <n v="217"/>
    <n v="145"/>
    <n v="26"/>
    <n v="2"/>
    <n v="390"/>
    <n v="58.3"/>
    <n v="100"/>
    <n v="0"/>
    <n v="65"/>
    <n v="461"/>
  </r>
  <r>
    <s v="Nord Kivu"/>
    <x v="0"/>
    <x v="6"/>
    <s v=" Katsya"/>
    <n v="22568"/>
    <n v="787.6232"/>
    <n v="902.72"/>
    <n v="656.35266666666666"/>
    <n v="752.26666666666677"/>
    <n v="490"/>
    <n v="85"/>
    <n v="598"/>
    <n v="540"/>
    <n v="565"/>
    <n v="533"/>
    <n v="484"/>
    <n v="506"/>
    <n v="533"/>
    <n v="484"/>
    <n v="506"/>
    <n v="528"/>
    <n v="480"/>
    <n v="507"/>
    <n v="529"/>
    <n v="44"/>
    <n v="529"/>
    <n v="575"/>
    <n v="529"/>
    <n v="62"/>
    <n v="33"/>
    <n v="26"/>
    <n v="19"/>
    <n v="13"/>
    <n v="91"/>
    <n v="58.3"/>
    <n v="100"/>
    <n v="123.35266666666666"/>
    <n v="4"/>
    <n v="529"/>
  </r>
  <r>
    <s v="Nord Kivu"/>
    <x v="0"/>
    <x v="6"/>
    <s v=" Kyangike"/>
    <n v="16032"/>
    <n v="559.51679999999999"/>
    <n v="641.28"/>
    <n v="466.26399999999995"/>
    <n v="534.4"/>
    <n v="411"/>
    <n v="52"/>
    <n v="409"/>
    <n v="404"/>
    <n v="379"/>
    <n v="444"/>
    <n v="404"/>
    <n v="391"/>
    <n v="442"/>
    <n v="403"/>
    <n v="325"/>
    <n v="283"/>
    <n v="273"/>
    <n v="259"/>
    <n v="456"/>
    <n v="50"/>
    <n v="319"/>
    <n v="376"/>
    <n v="378"/>
    <n v="687"/>
    <n v="424"/>
    <n v="79"/>
    <n v="16"/>
    <n v="13"/>
    <n v="532"/>
    <n v="50"/>
    <n v="100"/>
    <n v="22.263999999999953"/>
    <n v="0"/>
    <n v="319"/>
  </r>
  <r>
    <s v="Nord Kivu"/>
    <x v="0"/>
    <x v="6"/>
    <s v=" Makasi"/>
    <n v="12822"/>
    <n v="447.48779999999999"/>
    <n v="512.88"/>
    <n v="372.90649999999999"/>
    <n v="427.40000000000003"/>
    <n v="645"/>
    <n v="348"/>
    <n v="315"/>
    <n v="286"/>
    <n v="271"/>
    <n v="330"/>
    <n v="295"/>
    <n v="283"/>
    <n v="323"/>
    <n v="301"/>
    <n v="274"/>
    <n v="340"/>
    <n v="302"/>
    <n v="305"/>
    <n v="304"/>
    <n v="56"/>
    <n v="277"/>
    <n v="284"/>
    <n v="304"/>
    <n v="806"/>
    <n v="656"/>
    <n v="371"/>
    <n v="288"/>
    <n v="209"/>
    <n v="1524"/>
    <n v="58.3"/>
    <n v="100"/>
    <n v="42.906499999999994"/>
    <n v="26"/>
    <n v="277"/>
  </r>
  <r>
    <s v="Nord Kivu"/>
    <x v="0"/>
    <x v="6"/>
    <s v=" Malende"/>
    <n v="10516"/>
    <n v="367.00839999999999"/>
    <n v="420.64"/>
    <n v="305.84033333333332"/>
    <n v="350.53333333333336"/>
    <n v="250"/>
    <n v="84"/>
    <n v="299"/>
    <n v="272"/>
    <n v="299"/>
    <n v="235"/>
    <n v="231"/>
    <n v="261"/>
    <n v="282"/>
    <n v="238"/>
    <n v="262"/>
    <n v="315"/>
    <n v="254"/>
    <n v="198"/>
    <n v="320"/>
    <n v="3"/>
    <n v="296"/>
    <n v="293"/>
    <n v="318"/>
    <n v="138"/>
    <n v="112"/>
    <n v="103"/>
    <n v="93"/>
    <n v="56"/>
    <n v="364"/>
    <n v="50"/>
    <n v="100"/>
    <n v="70.840333333333319"/>
    <n v="0"/>
    <n v="296"/>
  </r>
  <r>
    <s v="Nord Kivu"/>
    <x v="0"/>
    <x v="6"/>
    <s v=" Mama Musayi"/>
    <n v="15729"/>
    <n v="548.94209999999998"/>
    <n v="629.16"/>
    <n v="457.45174999999995"/>
    <n v="524.29999999999995"/>
    <n v="328"/>
    <n v="40"/>
    <n v="272"/>
    <n v="307"/>
    <n v="371"/>
    <n v="323"/>
    <n v="317"/>
    <n v="330"/>
    <n v="362"/>
    <n v="353"/>
    <n v="370"/>
    <n v="335"/>
    <n v="326"/>
    <n v="345"/>
    <n v="357"/>
    <n v="108"/>
    <n v="357"/>
    <n v="370"/>
    <n v="193"/>
    <n v="118"/>
    <n v="60"/>
    <n v="15"/>
    <n v="8"/>
    <n v="1"/>
    <n v="84"/>
    <n v="58.3"/>
    <n v="100"/>
    <n v="134.45174999999995"/>
    <n v="0"/>
    <n v="357"/>
  </r>
  <r>
    <s v="Nord Kivu"/>
    <x v="0"/>
    <x v="6"/>
    <s v=" Matanda"/>
    <n v="14776"/>
    <n v="515.68240000000003"/>
    <n v="591.04"/>
    <n v="429.73533333333336"/>
    <n v="492.5333333333333"/>
    <n v="164"/>
    <n v="53"/>
    <n v="360"/>
    <n v="354"/>
    <n v="320"/>
    <n v="316"/>
    <n v="303"/>
    <n v="296"/>
    <n v="328"/>
    <n v="306"/>
    <n v="289"/>
    <n v="327"/>
    <n v="316"/>
    <n v="287"/>
    <n v="354"/>
    <n v="45"/>
    <n v="335"/>
    <n v="313"/>
    <n v="354"/>
    <n v="48"/>
    <n v="39"/>
    <n v="37"/>
    <n v="30"/>
    <n v="18"/>
    <n v="124"/>
    <n v="58.3"/>
    <n v="100"/>
    <n v="113.73533333333336"/>
    <n v="0"/>
    <n v="335"/>
  </r>
  <r>
    <s v="Nord Kivu"/>
    <x v="0"/>
    <x v="6"/>
    <s v=" Mondo"/>
    <n v="18987"/>
    <n v="662.6463"/>
    <n v="759.48"/>
    <n v="552.20524999999998"/>
    <n v="632.9"/>
    <n v="546"/>
    <n v="154"/>
    <n v="519"/>
    <n v="490"/>
    <n v="507"/>
    <n v="488"/>
    <n v="405"/>
    <n v="422"/>
    <n v="445"/>
    <n v="423"/>
    <n v="438"/>
    <n v="448"/>
    <n v="423"/>
    <n v="438"/>
    <n v="530"/>
    <n v="143"/>
    <n v="482"/>
    <n v="511"/>
    <n v="587"/>
    <n v="124"/>
    <n v="91"/>
    <n v="186"/>
    <n v="43"/>
    <n v="19"/>
    <n v="339"/>
    <n v="58.3"/>
    <n v="100"/>
    <n v="64.205249999999978"/>
    <n v="0"/>
    <n v="482"/>
  </r>
  <r>
    <s v="Nord Kivu"/>
    <x v="0"/>
    <x v="6"/>
    <s v=" Munzambaye"/>
    <n v="23425"/>
    <n v="817.53250000000003"/>
    <n v="937"/>
    <n v="681.27708333333328"/>
    <n v="780.83333333333326"/>
    <n v="451"/>
    <n v="194"/>
    <n v="614"/>
    <n v="464"/>
    <n v="560"/>
    <n v="549"/>
    <n v="410"/>
    <n v="505"/>
    <n v="566"/>
    <n v="411"/>
    <n v="496"/>
    <n v="531"/>
    <n v="360"/>
    <n v="409"/>
    <n v="582"/>
    <n v="56"/>
    <n v="503"/>
    <n v="557"/>
    <n v="582"/>
    <n v="57"/>
    <n v="25"/>
    <n v="31"/>
    <n v="15"/>
    <n v="18"/>
    <n v="89"/>
    <n v="58.3"/>
    <n v="100"/>
    <n v="132.27708333333328"/>
    <n v="0"/>
    <n v="503"/>
  </r>
  <r>
    <s v="Nord Kivu"/>
    <x v="0"/>
    <x v="6"/>
    <s v=" Ngengere"/>
    <n v="11463"/>
    <n v="400.05869999999999"/>
    <n v="458.52"/>
    <n v="333.38225"/>
    <n v="382.1"/>
    <n v="383"/>
    <n v="34"/>
    <n v="461"/>
    <n v="442"/>
    <n v="398"/>
    <n v="447"/>
    <n v="432"/>
    <n v="390"/>
    <n v="454"/>
    <n v="435"/>
    <n v="390"/>
    <n v="434"/>
    <n v="420"/>
    <n v="371"/>
    <n v="396"/>
    <n v="37"/>
    <n v="396"/>
    <n v="398"/>
    <n v="365"/>
    <n v="63"/>
    <n v="20"/>
    <n v="1"/>
    <n v="1"/>
    <s v=""/>
    <n v="22"/>
    <n v="58.3"/>
    <n v="100"/>
    <n v="0"/>
    <n v="51"/>
    <n v="396"/>
  </r>
  <r>
    <s v="Nord Kivu"/>
    <x v="0"/>
    <x v="6"/>
    <s v=" Vulamba"/>
    <n v="18173"/>
    <n v="634.23770000000002"/>
    <n v="726.92"/>
    <n v="528.5314166666667"/>
    <n v="605.76666666666665"/>
    <n v="482"/>
    <s v=""/>
    <n v="491"/>
    <n v="422"/>
    <n v="465"/>
    <n v="502"/>
    <n v="354"/>
    <n v="380"/>
    <n v="481"/>
    <n v="382"/>
    <n v="413"/>
    <n v="514"/>
    <n v="349"/>
    <n v="371"/>
    <n v="441"/>
    <n v="56"/>
    <n v="441"/>
    <n v="465"/>
    <n v="411"/>
    <n v="124"/>
    <n v="59"/>
    <n v="9"/>
    <n v="1"/>
    <n v="1"/>
    <n v="70"/>
    <n v="58.3"/>
    <n v="100"/>
    <n v="26.531416666666701"/>
    <n v="61"/>
    <n v="441"/>
  </r>
  <r>
    <s v="Nord Kivu"/>
    <x v="0"/>
    <x v="6"/>
    <s v=" Vulindi"/>
    <n v="17670"/>
    <n v="616.68299999999999"/>
    <n v="706.80000000000007"/>
    <n v="513.90250000000003"/>
    <n v="589"/>
    <n v="582"/>
    <n v="138"/>
    <n v="598"/>
    <n v="546"/>
    <n v="569"/>
    <n v="546"/>
    <n v="492"/>
    <n v="512"/>
    <n v="591"/>
    <n v="541"/>
    <n v="562"/>
    <n v="517"/>
    <n v="468"/>
    <n v="489"/>
    <n v="537"/>
    <n v="158"/>
    <n v="442"/>
    <n v="619"/>
    <n v="468"/>
    <n v="155"/>
    <n v="113"/>
    <n v="80"/>
    <n v="61"/>
    <n v="56"/>
    <n v="310"/>
    <n v="58.3"/>
    <n v="100"/>
    <n v="0"/>
    <n v="9"/>
    <n v="442"/>
  </r>
  <r>
    <s v="Nord Kivu"/>
    <x v="0"/>
    <x v="6"/>
    <s v=" Vusenzera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257"/>
    <n v="158"/>
    <n v="17"/>
    <n v="6"/>
    <n v="15"/>
    <n v="196"/>
    <s v=""/>
    <n v="100"/>
    <n v="0"/>
    <n v="0"/>
    <n v="0"/>
  </r>
  <r>
    <s v="Nord Kivu"/>
    <x v="0"/>
    <x v="6"/>
    <s v=" Vutetse"/>
    <n v="29565"/>
    <n v="1031.8185000000001"/>
    <n v="1182.6000000000001"/>
    <n v="859.84875"/>
    <n v="985.50000000000011"/>
    <n v="507"/>
    <n v="54"/>
    <n v="797"/>
    <n v="756"/>
    <n v="791"/>
    <n v="621"/>
    <n v="584"/>
    <n v="612"/>
    <n v="621"/>
    <n v="583"/>
    <n v="599"/>
    <n v="634"/>
    <n v="1356"/>
    <n v="593"/>
    <n v="819"/>
    <n v="87"/>
    <n v="621"/>
    <n v="777"/>
    <n v="763"/>
    <n v="55"/>
    <n v="30"/>
    <n v="43"/>
    <n v="22"/>
    <n v="11"/>
    <n v="106"/>
    <n v="58.3"/>
    <n v="100"/>
    <n v="238.84875"/>
    <n v="0"/>
    <n v="621"/>
  </r>
  <r>
    <s v="Nord Kivu"/>
    <x v="0"/>
    <x v="6"/>
    <s v=" Vutike"/>
    <n v="17882"/>
    <n v="624.08180000000004"/>
    <n v="715.28"/>
    <n v="520.06816666666668"/>
    <n v="596.06666666666661"/>
    <n v="493"/>
    <n v="44"/>
    <n v="352"/>
    <n v="280"/>
    <n v="338"/>
    <n v="519"/>
    <n v="465"/>
    <n v="441"/>
    <n v="523"/>
    <n v="467"/>
    <n v="452"/>
    <n v="525"/>
    <n v="456"/>
    <n v="422"/>
    <n v="438"/>
    <n v="84"/>
    <n v="421"/>
    <n v="447"/>
    <n v="429"/>
    <n v="288"/>
    <n v="99"/>
    <n v="70"/>
    <n v="41"/>
    <n v="29"/>
    <n v="239"/>
    <n v="58.3"/>
    <n v="100"/>
    <n v="1.0681666666666843"/>
    <n v="81"/>
    <n v="421"/>
  </r>
  <r>
    <s v="Nord Kivu"/>
    <x v="0"/>
    <x v="6"/>
    <s v=" Vutsundo"/>
    <n v="22480"/>
    <n v="784.55200000000002"/>
    <n v="899.2"/>
    <n v="653.79333333333329"/>
    <n v="749.33333333333337"/>
    <n v="272"/>
    <n v="33"/>
    <n v="397"/>
    <n v="365"/>
    <n v="375"/>
    <n v="373"/>
    <n v="343"/>
    <n v="348"/>
    <n v="388"/>
    <n v="361"/>
    <n v="372"/>
    <n v="350"/>
    <n v="320"/>
    <n v="321"/>
    <n v="359"/>
    <n v="30"/>
    <n v="359"/>
    <n v="375"/>
    <n v="349"/>
    <n v="14"/>
    <n v="7"/>
    <n v="5"/>
    <n v="3"/>
    <n v="5"/>
    <n v="20"/>
    <n v="58.3"/>
    <n v="100"/>
    <n v="280.79333333333329"/>
    <n v="14"/>
    <n v="359"/>
  </r>
  <r>
    <s v="Nord Kivu"/>
    <x v="0"/>
    <x v="6"/>
    <s v=" Vuvatsi"/>
    <n v="16442"/>
    <n v="573.82579999999996"/>
    <n v="657.68000000000006"/>
    <n v="478.18816666666663"/>
    <n v="548.06666666666672"/>
    <n v="540"/>
    <n v="99"/>
    <n v="499"/>
    <n v="438"/>
    <n v="464"/>
    <n v="495"/>
    <n v="415"/>
    <n v="420"/>
    <n v="482"/>
    <n v="418"/>
    <n v="416"/>
    <n v="532"/>
    <n v="420"/>
    <n v="369"/>
    <n v="485"/>
    <n v="104"/>
    <n v="415"/>
    <n v="500"/>
    <n v="485"/>
    <n v="87"/>
    <n v="65"/>
    <n v="69"/>
    <n v="46"/>
    <n v="27"/>
    <n v="207"/>
    <n v="58.3"/>
    <n v="100"/>
    <n v="0"/>
    <n v="10"/>
    <n v="415"/>
  </r>
  <r>
    <s v="Nord Kivu"/>
    <x v="1"/>
    <x v="7"/>
    <s v=" Buhimba"/>
    <n v="20039"/>
    <n v="699.36109999999996"/>
    <n v="801.56000000000006"/>
    <n v="582.80091666666658"/>
    <n v="667.9666666666667"/>
    <n v="5789"/>
    <n v="1548"/>
    <n v="4302"/>
    <n v="3684"/>
    <n v="3660"/>
    <n v="4302"/>
    <n v="3697"/>
    <n v="3690"/>
    <n v="4302"/>
    <n v="3691"/>
    <n v="3690"/>
    <n v="4241"/>
    <n v="3639"/>
    <n v="3639"/>
    <n v="3463"/>
    <n v="2232"/>
    <n v="3429"/>
    <n v="3607"/>
    <n v="2492"/>
    <n v="1296"/>
    <n v="920"/>
    <n v="730"/>
    <n v="587"/>
    <n v="514"/>
    <n v="2751"/>
    <n v="58.3"/>
    <n v="100"/>
    <n v="0"/>
    <n v="839"/>
    <n v="3429"/>
  </r>
  <r>
    <s v="Nord Kivu"/>
    <x v="1"/>
    <x v="7"/>
    <s v=" CASOP"/>
    <n v="11725"/>
    <n v="409.20249999999999"/>
    <n v="469"/>
    <n v="341.00208333333336"/>
    <n v="390.83333333333337"/>
    <n v="337"/>
    <n v="99"/>
    <n v="379"/>
    <n v="98"/>
    <n v="370"/>
    <n v="325"/>
    <n v="98"/>
    <n v="370"/>
    <n v="379"/>
    <n v="98"/>
    <n v="370"/>
    <n v="379"/>
    <n v="98"/>
    <n v="366"/>
    <n v="334"/>
    <n v="128"/>
    <n v="334"/>
    <n v="377"/>
    <n v="327"/>
    <n v="81"/>
    <n v="54"/>
    <n v="56"/>
    <n v="48"/>
    <n v="58"/>
    <n v="216"/>
    <n v="58.3"/>
    <n v="100"/>
    <n v="16.00208333333336"/>
    <n v="0"/>
    <n v="334"/>
  </r>
  <r>
    <s v="Nord Kivu"/>
    <x v="1"/>
    <x v="7"/>
    <s v=" CCLK"/>
    <n v="49578"/>
    <n v="1730.2722000000001"/>
    <n v="1983.1200000000001"/>
    <n v="1441.8935000000001"/>
    <n v="1652.6000000000001"/>
    <n v="2703"/>
    <n v="497"/>
    <n v="2739"/>
    <n v="2667"/>
    <n v="2552"/>
    <n v="2739"/>
    <n v="2664"/>
    <n v="2552"/>
    <n v="2737"/>
    <n v="2667"/>
    <n v="2552"/>
    <n v="2739"/>
    <n v="2667"/>
    <n v="2552"/>
    <n v="1824"/>
    <n v="104"/>
    <n v="1816"/>
    <n v="2552"/>
    <n v="1752"/>
    <n v="534"/>
    <n v="473"/>
    <n v="378"/>
    <n v="314"/>
    <n v="284"/>
    <n v="1449"/>
    <n v="54.2"/>
    <n v="100"/>
    <n v="0"/>
    <n v="915"/>
    <n v="1816"/>
  </r>
  <r>
    <s v="Nord Kivu"/>
    <x v="1"/>
    <x v="7"/>
    <s v=" Carmel"/>
    <n v="28155"/>
    <n v="982.60950000000003"/>
    <n v="1126.2"/>
    <n v="818.84124999999995"/>
    <n v="938.50000000000011"/>
    <n v="863"/>
    <n v="809"/>
    <n v="891"/>
    <n v="856"/>
    <n v="838"/>
    <n v="890"/>
    <n v="856"/>
    <n v="838"/>
    <n v="886"/>
    <n v="856"/>
    <n v="838"/>
    <n v="891"/>
    <n v="853"/>
    <n v="838"/>
    <n v="826"/>
    <n v="454"/>
    <n v="832"/>
    <n v="843"/>
    <n v="831"/>
    <n v="225"/>
    <n v="164"/>
    <n v="151"/>
    <n v="130"/>
    <n v="108"/>
    <n v="553"/>
    <n v="50"/>
    <n v="100"/>
    <n v="0"/>
    <n v="64"/>
    <n v="826"/>
  </r>
  <r>
    <s v="Nord Kivu"/>
    <x v="1"/>
    <x v="7"/>
    <s v=" Heal Africa"/>
    <n v="18133"/>
    <n v="632.84170000000006"/>
    <n v="725.32"/>
    <n v="527.3680833333334"/>
    <n v="604.43333333333339"/>
    <n v="1406"/>
    <n v="1260"/>
    <n v="871"/>
    <n v="792"/>
    <n v="786"/>
    <n v="871"/>
    <n v="792"/>
    <n v="789"/>
    <n v="871"/>
    <n v="792"/>
    <n v="789"/>
    <n v="871"/>
    <n v="792"/>
    <n v="789"/>
    <n v="1130"/>
    <n v="461"/>
    <n v="775"/>
    <n v="789"/>
    <n v="796"/>
    <n v="436"/>
    <n v="349"/>
    <n v="349"/>
    <n v="263"/>
    <n v="226"/>
    <n v="1187"/>
    <n v="50"/>
    <n v="100"/>
    <n v="0"/>
    <n v="0"/>
    <n v="775"/>
  </r>
  <r>
    <s v="Nord Kivu"/>
    <x v="1"/>
    <x v="7"/>
    <s v=" Himbi"/>
    <n v="37283"/>
    <n v="1301.1767"/>
    <n v="1491.32"/>
    <n v="1084.3139166666667"/>
    <n v="1242.7666666666667"/>
    <n v="932"/>
    <n v="671"/>
    <n v="935"/>
    <n v="728"/>
    <n v="886"/>
    <n v="935"/>
    <n v="735"/>
    <n v="892"/>
    <n v="935"/>
    <n v="728"/>
    <n v="886"/>
    <n v="935"/>
    <n v="728"/>
    <n v="886"/>
    <n v="959"/>
    <n v="268"/>
    <n v="959"/>
    <n v="900"/>
    <n v="927"/>
    <n v="272"/>
    <n v="192"/>
    <n v="185"/>
    <n v="108"/>
    <n v="68"/>
    <n v="553"/>
    <n v="58.3"/>
    <n v="100"/>
    <n v="149.31391666666673"/>
    <n v="0"/>
    <n v="959"/>
  </r>
  <r>
    <s v="Nord Kivu"/>
    <x v="1"/>
    <x v="7"/>
    <s v=" Katindo"/>
    <n v="28178"/>
    <n v="983.41219999999998"/>
    <n v="1127.1200000000001"/>
    <n v="819.51016666666658"/>
    <n v="939.26666666666677"/>
    <n v="744"/>
    <n v="260"/>
    <n v="692"/>
    <n v="685"/>
    <n v="676"/>
    <n v="698"/>
    <n v="689"/>
    <n v="676"/>
    <n v="698"/>
    <n v="689"/>
    <n v="672"/>
    <n v="698"/>
    <n v="689"/>
    <n v="672"/>
    <n v="697"/>
    <n v="489"/>
    <n v="655"/>
    <n v="677"/>
    <n v="697"/>
    <n v="292"/>
    <n v="221"/>
    <n v="197"/>
    <n v="121"/>
    <n v="80"/>
    <n v="619"/>
    <n v="58.3"/>
    <n v="100"/>
    <n v="121.51016666666658"/>
    <n v="1"/>
    <n v="655"/>
  </r>
  <r>
    <s v="Nord Kivu"/>
    <x v="1"/>
    <x v="7"/>
    <s v=" Keshero"/>
    <n v="47455"/>
    <n v="1656.1795"/>
    <n v="1898.2"/>
    <n v="1380.1495833333333"/>
    <n v="1581.8333333333335"/>
    <n v="2567"/>
    <n v="1872"/>
    <n v="1969"/>
    <n v="1995"/>
    <n v="1932"/>
    <n v="1969"/>
    <n v="1995"/>
    <n v="1932"/>
    <n v="1969"/>
    <n v="1995"/>
    <n v="1918"/>
    <n v="1969"/>
    <n v="1981"/>
    <n v="1932"/>
    <n v="1726"/>
    <n v="777"/>
    <n v="1723"/>
    <n v="1932"/>
    <n v="1221"/>
    <n v="604"/>
    <n v="469"/>
    <n v="470"/>
    <n v="378"/>
    <n v="282"/>
    <n v="1599"/>
    <n v="58.3"/>
    <n v="100"/>
    <n v="0"/>
    <n v="243"/>
    <n v="1723"/>
  </r>
  <r>
    <s v="Nord Kivu"/>
    <x v="1"/>
    <x v="7"/>
    <s v=" Mapendo"/>
    <n v="47617"/>
    <n v="1661.8333"/>
    <n v="1904.68"/>
    <n v="1384.8610833333332"/>
    <n v="1587.2333333333333"/>
    <n v="1344"/>
    <n v="791"/>
    <n v="1185"/>
    <n v="1216"/>
    <n v="1251"/>
    <n v="1199"/>
    <n v="1237"/>
    <n v="1208"/>
    <n v="1199"/>
    <n v="1237"/>
    <n v="1208"/>
    <n v="1199"/>
    <n v="1237"/>
    <n v="1208"/>
    <n v="1071"/>
    <n v="233"/>
    <n v="1071"/>
    <n v="1251"/>
    <n v="1068"/>
    <n v="395"/>
    <n v="336"/>
    <n v="306"/>
    <n v="212"/>
    <n v="186"/>
    <n v="1040"/>
    <n v="50"/>
    <n v="100"/>
    <n v="185.86108333333323"/>
    <n v="128"/>
    <n v="1071"/>
  </r>
  <r>
    <s v="Nord Kivu"/>
    <x v="1"/>
    <x v="7"/>
    <s v=" Umoja"/>
    <n v="41376"/>
    <n v="1444.0224000000001"/>
    <n v="1655.04"/>
    <n v="1203.3520000000001"/>
    <n v="1379.1999999999998"/>
    <n v="1463"/>
    <n v="672"/>
    <n v="1281"/>
    <n v="1303"/>
    <n v="1337"/>
    <n v="1281"/>
    <n v="1303"/>
    <n v="1337"/>
    <n v="1281"/>
    <n v="1302"/>
    <n v="1337"/>
    <n v="1269"/>
    <n v="1267"/>
    <n v="1308"/>
    <n v="1299"/>
    <n v="490"/>
    <n v="1174"/>
    <n v="1228"/>
    <n v="1119"/>
    <n v="425"/>
    <n v="319"/>
    <n v="259"/>
    <n v="209"/>
    <n v="182"/>
    <n v="969"/>
    <n v="50"/>
    <n v="100"/>
    <n v="0"/>
    <n v="0"/>
    <n v="1174"/>
  </r>
  <r>
    <s v="Nord Kivu"/>
    <x v="1"/>
    <x v="8"/>
    <s v=" Biriko"/>
    <n v="9676"/>
    <n v="337.69240000000002"/>
    <n v="387.04"/>
    <n v="281.41033333333337"/>
    <n v="322.53333333333336"/>
    <n v="297"/>
    <n v="212"/>
    <n v="226"/>
    <n v="209"/>
    <n v="205"/>
    <n v="282"/>
    <n v="261"/>
    <n v="252"/>
    <n v="282"/>
    <n v="259"/>
    <n v="247"/>
    <n v="257"/>
    <n v="237"/>
    <n v="234"/>
    <n v="239"/>
    <n v="206"/>
    <n v="224"/>
    <n v="167"/>
    <n v="150"/>
    <n v="133"/>
    <n v="93"/>
    <n v="53"/>
    <n v="6"/>
    <s v=""/>
    <n v="152"/>
    <n v="50"/>
    <n v="100"/>
    <n v="0"/>
    <n v="43"/>
    <n v="224"/>
  </r>
  <r>
    <s v="Nord Kivu"/>
    <x v="1"/>
    <x v="8"/>
    <s v=" Bongo Bongo"/>
    <n v="6323"/>
    <n v="220.67269999999999"/>
    <n v="252.92000000000002"/>
    <n v="183.89391666666666"/>
    <n v="210.76666666666668"/>
    <n v="169"/>
    <n v="177"/>
    <n v="170"/>
    <n v="176"/>
    <n v="167"/>
    <n v="188"/>
    <n v="175"/>
    <n v="168"/>
    <n v="187"/>
    <n v="175"/>
    <n v="168"/>
    <n v="187"/>
    <n v="175"/>
    <n v="168"/>
    <n v="162"/>
    <n v="140"/>
    <n v="162"/>
    <n v="168"/>
    <n v="159"/>
    <n v="188"/>
    <n v="170"/>
    <n v="151"/>
    <n v="132"/>
    <s v=""/>
    <n v="453"/>
    <n v="41.7"/>
    <n v="100"/>
    <n v="0"/>
    <n v="26"/>
    <n v="162"/>
  </r>
  <r>
    <s v="Nord Kivu"/>
    <x v="1"/>
    <x v="8"/>
    <s v=" Busurungi"/>
    <n v="7423"/>
    <n v="259.06270000000001"/>
    <n v="296.92"/>
    <n v="215.88558333333336"/>
    <n v="247.43333333333337"/>
    <n v="264"/>
    <n v="237"/>
    <n v="322"/>
    <n v="318"/>
    <n v="339"/>
    <n v="316"/>
    <n v="426"/>
    <n v="339"/>
    <n v="322"/>
    <n v="342"/>
    <n v="360"/>
    <n v="345"/>
    <n v="342"/>
    <n v="362"/>
    <n v="318"/>
    <n v="171"/>
    <n v="328"/>
    <n v="344"/>
    <n v="90"/>
    <n v="472"/>
    <n v="416"/>
    <n v="336"/>
    <n v="16"/>
    <s v=""/>
    <n v="768"/>
    <n v="41.7"/>
    <n v="100"/>
    <n v="0"/>
    <n v="0"/>
    <n v="318"/>
  </r>
  <r>
    <s v="Nord Kivu"/>
    <x v="1"/>
    <x v="8"/>
    <s v=" Chambucha"/>
    <n v="16880"/>
    <n v="589.11199999999997"/>
    <n v="675.2"/>
    <n v="490.92666666666668"/>
    <n v="562.66666666666674"/>
    <n v="640"/>
    <n v="191"/>
    <n v="603"/>
    <n v="594"/>
    <n v="579"/>
    <n v="640"/>
    <n v="620"/>
    <n v="621"/>
    <n v="586"/>
    <n v="788"/>
    <n v="566"/>
    <n v="510"/>
    <n v="456"/>
    <n v="508"/>
    <n v="583"/>
    <n v="350"/>
    <n v="543"/>
    <n v="508"/>
    <n v="453"/>
    <n v="297"/>
    <n v="294"/>
    <n v="244"/>
    <n v="201"/>
    <n v="189"/>
    <n v="928"/>
    <n v="33.299999999999997"/>
    <n v="100"/>
    <n v="0"/>
    <n v="57"/>
    <n v="543"/>
  </r>
  <r>
    <s v="Nord Kivu"/>
    <x v="1"/>
    <x v="8"/>
    <s v=" Hombo"/>
    <n v="12687"/>
    <n v="442.77629999999999"/>
    <n v="507.48"/>
    <n v="368.98024999999996"/>
    <n v="422.9"/>
    <n v="379"/>
    <n v="240"/>
    <n v="268"/>
    <n v="246"/>
    <n v="261"/>
    <n v="340"/>
    <n v="311"/>
    <n v="331"/>
    <n v="339"/>
    <n v="298"/>
    <n v="331"/>
    <n v="339"/>
    <n v="311"/>
    <n v="331"/>
    <n v="334"/>
    <n v="229"/>
    <n v="279"/>
    <n v="261"/>
    <n v="245"/>
    <n v="134"/>
    <n v="78"/>
    <n v="13"/>
    <n v="4"/>
    <s v=""/>
    <n v="95"/>
    <n v="41.7"/>
    <n v="100"/>
    <n v="28.980249999999955"/>
    <n v="6"/>
    <n v="279"/>
  </r>
  <r>
    <s v="Nord Kivu"/>
    <x v="1"/>
    <x v="8"/>
    <s v=" Ibanga"/>
    <n v="6414"/>
    <n v="223.8486"/>
    <n v="256.56"/>
    <n v="186.54050000000001"/>
    <n v="213.79999999999998"/>
    <n v="92"/>
    <n v="84"/>
    <n v="151"/>
    <n v="152"/>
    <n v="180"/>
    <n v="170"/>
    <n v="171"/>
    <n v="197"/>
    <n v="170"/>
    <n v="175"/>
    <n v="199"/>
    <n v="169"/>
    <n v="175"/>
    <n v="199"/>
    <n v="202"/>
    <n v="120"/>
    <n v="187"/>
    <n v="180"/>
    <n v="113"/>
    <n v="139"/>
    <n v="120"/>
    <n v="78"/>
    <n v="2"/>
    <n v="2"/>
    <n v="202"/>
    <n v="33.299999999999997"/>
    <n v="100"/>
    <n v="16.540500000000009"/>
    <n v="0"/>
    <n v="187"/>
  </r>
  <r>
    <s v="Nord Kivu"/>
    <x v="1"/>
    <x v="8"/>
    <s v=" Idipo"/>
    <n v="5186"/>
    <n v="180.9914"/>
    <n v="207.44"/>
    <n v="150.82616666666667"/>
    <n v="172.86666666666665"/>
    <n v="95"/>
    <n v="45"/>
    <n v="141"/>
    <n v="78"/>
    <n v="127"/>
    <n v="115"/>
    <n v="73"/>
    <n v="132"/>
    <n v="112"/>
    <n v="77"/>
    <n v="125"/>
    <n v="106"/>
    <n v="69"/>
    <n v="114"/>
    <n v="108"/>
    <n v="19"/>
    <n v="118"/>
    <n v="121"/>
    <n v="24"/>
    <n v="108"/>
    <n v="86"/>
    <s v=""/>
    <s v=""/>
    <s v=""/>
    <n v="86"/>
    <n v="41.7"/>
    <n v="100"/>
    <n v="35.826166666666666"/>
    <n v="7"/>
    <n v="108"/>
  </r>
  <r>
    <s v="Nord Kivu"/>
    <x v="1"/>
    <x v="8"/>
    <s v=" Isangi"/>
    <n v="5196"/>
    <n v="181.34039999999999"/>
    <n v="207.84"/>
    <n v="151.11699999999999"/>
    <n v="173.2"/>
    <n v="159"/>
    <n v="8"/>
    <n v="169"/>
    <n v="169"/>
    <n v="171"/>
    <n v="169"/>
    <n v="168"/>
    <n v="170"/>
    <n v="169"/>
    <n v="169"/>
    <n v="170"/>
    <n v="169"/>
    <n v="169"/>
    <n v="170"/>
    <n v="145"/>
    <n v="109"/>
    <n v="162"/>
    <n v="170"/>
    <n v="157"/>
    <n v="163"/>
    <n v="155"/>
    <n v="40"/>
    <s v=""/>
    <s v=""/>
    <n v="195"/>
    <n v="33.299999999999997"/>
    <n v="100"/>
    <n v="0"/>
    <n v="24"/>
    <n v="145"/>
  </r>
  <r>
    <s v="Nord Kivu"/>
    <x v="1"/>
    <x v="8"/>
    <s v=" Itebero"/>
    <n v="11610"/>
    <n v="405.18900000000002"/>
    <n v="464.40000000000003"/>
    <n v="337.65750000000003"/>
    <n v="387"/>
    <n v="355"/>
    <n v="272"/>
    <n v="446"/>
    <n v="488"/>
    <n v="493"/>
    <n v="442"/>
    <n v="463"/>
    <n v="496"/>
    <n v="443"/>
    <n v="471"/>
    <n v="495"/>
    <n v="453"/>
    <n v="470"/>
    <n v="490"/>
    <n v="389"/>
    <n v="203"/>
    <n v="410"/>
    <n v="427"/>
    <n v="182"/>
    <n v="471"/>
    <n v="403"/>
    <n v="297"/>
    <n v="25"/>
    <n v="20"/>
    <n v="745"/>
    <n v="25"/>
    <n v="100"/>
    <n v="0"/>
    <n v="53"/>
    <n v="389"/>
  </r>
  <r>
    <s v="Nord Kivu"/>
    <x v="1"/>
    <x v="8"/>
    <s v=" Kabamba"/>
    <n v="6659"/>
    <n v="232.3991"/>
    <n v="266.36"/>
    <n v="193.66591666666667"/>
    <n v="221.9666666666667"/>
    <n v="129"/>
    <n v="33"/>
    <n v="175"/>
    <n v="166"/>
    <n v="163"/>
    <n v="175"/>
    <n v="202"/>
    <n v="163"/>
    <n v="175"/>
    <n v="166"/>
    <n v="165"/>
    <n v="154"/>
    <n v="146"/>
    <n v="155"/>
    <n v="163"/>
    <n v="116"/>
    <n v="163"/>
    <n v="171"/>
    <n v="145"/>
    <n v="154"/>
    <n v="140"/>
    <s v=""/>
    <s v=""/>
    <s v=""/>
    <n v="140"/>
    <n v="33.299999999999997"/>
    <n v="100"/>
    <n v="18.665916666666675"/>
    <n v="12"/>
    <n v="163"/>
  </r>
  <r>
    <s v="Nord Kivu"/>
    <x v="1"/>
    <x v="8"/>
    <s v=" Karete"/>
    <n v="8267"/>
    <n v="288.51830000000001"/>
    <n v="330.68"/>
    <n v="240.43191666666669"/>
    <n v="275.56666666666666"/>
    <n v="238"/>
    <n v="197"/>
    <n v="238"/>
    <n v="235"/>
    <n v="235"/>
    <n v="238"/>
    <n v="236"/>
    <n v="387"/>
    <n v="238"/>
    <n v="235"/>
    <n v="234"/>
    <n v="214"/>
    <n v="212"/>
    <n v="210"/>
    <n v="229"/>
    <n v="215"/>
    <n v="229"/>
    <n v="167"/>
    <n v="139"/>
    <n v="281"/>
    <n v="243"/>
    <n v="217"/>
    <n v="145"/>
    <n v="66"/>
    <n v="671"/>
    <n v="50"/>
    <n v="100"/>
    <n v="2.4319166666666945"/>
    <n v="9"/>
    <n v="229"/>
  </r>
  <r>
    <s v="Nord Kivu"/>
    <x v="1"/>
    <x v="8"/>
    <s v=" Katambira"/>
    <n v="7113"/>
    <n v="248.24369999999999"/>
    <n v="284.52"/>
    <n v="206.86975000000001"/>
    <n v="237.09999999999997"/>
    <n v="208"/>
    <n v="9"/>
    <n v="186"/>
    <n v="154"/>
    <n v="163"/>
    <n v="197"/>
    <n v="144"/>
    <n v="163"/>
    <n v="186"/>
    <n v="152"/>
    <n v="163"/>
    <n v="187"/>
    <n v="155"/>
    <n v="166"/>
    <n v="169"/>
    <n v="113"/>
    <n v="172"/>
    <n v="149"/>
    <n v="118"/>
    <n v="225"/>
    <n v="210"/>
    <n v="51"/>
    <n v="7"/>
    <s v=""/>
    <n v="268"/>
    <n v="33.299999999999997"/>
    <n v="100"/>
    <n v="9.8697500000000105"/>
    <n v="28"/>
    <n v="169"/>
  </r>
  <r>
    <s v="Nord Kivu"/>
    <x v="1"/>
    <x v="8"/>
    <s v=" Katatwa"/>
    <n v="6569"/>
    <n v="229.25810000000001"/>
    <n v="262.76"/>
    <n v="191.0484166666667"/>
    <n v="218.96666666666664"/>
    <n v="200"/>
    <n v="76"/>
    <n v="198"/>
    <n v="168"/>
    <n v="186"/>
    <n v="198"/>
    <n v="170"/>
    <n v="186"/>
    <n v="198"/>
    <n v="170"/>
    <n v="186"/>
    <n v="197"/>
    <n v="171"/>
    <n v="186"/>
    <n v="184"/>
    <n v="186"/>
    <n v="184"/>
    <n v="187"/>
    <n v="201"/>
    <n v="180"/>
    <n v="158"/>
    <n v="51"/>
    <n v="4"/>
    <s v=""/>
    <n v="213"/>
    <n v="25"/>
    <n v="100"/>
    <n v="0"/>
    <n v="14"/>
    <n v="184"/>
  </r>
  <r>
    <s v="Nord Kivu"/>
    <x v="1"/>
    <x v="8"/>
    <s v=" Kifuruka"/>
    <n v="10717"/>
    <n v="374.02330000000001"/>
    <n v="428.68"/>
    <n v="311.68608333333333"/>
    <n v="357.23333333333335"/>
    <n v="277"/>
    <n v="32"/>
    <n v="258"/>
    <n v="258"/>
    <n v="226"/>
    <n v="320"/>
    <n v="319"/>
    <n v="289"/>
    <n v="287"/>
    <n v="284"/>
    <n v="322"/>
    <n v="258"/>
    <n v="258"/>
    <n v="261"/>
    <n v="282"/>
    <n v="265"/>
    <n v="282"/>
    <n v="133"/>
    <n v="130"/>
    <n v="210"/>
    <n v="229"/>
    <n v="205"/>
    <n v="253"/>
    <n v="222"/>
    <n v="909"/>
    <n v="33.299999999999997"/>
    <n v="100"/>
    <n v="0"/>
    <n v="38"/>
    <n v="282"/>
  </r>
  <r>
    <s v="Nord Kivu"/>
    <x v="1"/>
    <x v="8"/>
    <s v=" Kilambo"/>
    <n v="7648"/>
    <n v="266.91520000000003"/>
    <n v="305.92"/>
    <n v="222.42933333333337"/>
    <n v="254.93333333333337"/>
    <n v="176"/>
    <n v="65"/>
    <n v="189"/>
    <n v="141"/>
    <n v="179"/>
    <n v="250"/>
    <n v="191"/>
    <n v="236"/>
    <n v="250"/>
    <n v="191"/>
    <n v="237"/>
    <n v="248"/>
    <n v="183"/>
    <n v="236"/>
    <n v="209"/>
    <n v="161"/>
    <n v="209"/>
    <n v="125"/>
    <n v="88"/>
    <n v="213"/>
    <n v="169"/>
    <n v="112"/>
    <n v="51"/>
    <s v=""/>
    <n v="332"/>
    <n v="41.7"/>
    <n v="100"/>
    <n v="0"/>
    <n v="41"/>
    <n v="209"/>
  </r>
  <r>
    <s v="Nord Kivu"/>
    <x v="1"/>
    <x v="8"/>
    <s v=" Kiuli"/>
    <n v="10771"/>
    <n v="375.90789999999998"/>
    <n v="430.84000000000003"/>
    <n v="313.25658333333331"/>
    <n v="359.03333333333336"/>
    <n v="343"/>
    <n v="320"/>
    <n v="316"/>
    <n v="306"/>
    <n v="323"/>
    <n v="316"/>
    <n v="298"/>
    <n v="312"/>
    <n v="324"/>
    <n v="300"/>
    <n v="312"/>
    <n v="325"/>
    <n v="302"/>
    <n v="313"/>
    <n v="325"/>
    <n v="238"/>
    <n v="308"/>
    <n v="271"/>
    <n v="229"/>
    <n v="320"/>
    <n v="296"/>
    <s v=""/>
    <s v=""/>
    <s v=""/>
    <n v="296"/>
    <n v="50"/>
    <n v="100"/>
    <n v="0"/>
    <n v="0"/>
    <n v="308"/>
  </r>
  <r>
    <s v="Nord Kivu"/>
    <x v="1"/>
    <x v="8"/>
    <s v=" Lowa"/>
    <n v="7073"/>
    <n v="246.8477"/>
    <n v="282.92"/>
    <n v="205.70641666666666"/>
    <n v="235.76666666666668"/>
    <n v="193"/>
    <n v="120"/>
    <n v="207"/>
    <n v="197"/>
    <n v="187"/>
    <n v="207"/>
    <n v="200"/>
    <n v="187"/>
    <n v="207"/>
    <n v="197"/>
    <n v="196"/>
    <n v="208"/>
    <n v="201"/>
    <n v="190"/>
    <n v="189"/>
    <n v="128"/>
    <n v="189"/>
    <n v="187"/>
    <n v="175"/>
    <n v="160"/>
    <n v="140"/>
    <n v="115"/>
    <n v="76"/>
    <s v=""/>
    <n v="331"/>
    <n v="33.299999999999997"/>
    <n v="100"/>
    <n v="0"/>
    <n v="18"/>
    <n v="189"/>
  </r>
  <r>
    <s v="Nord Kivu"/>
    <x v="1"/>
    <x v="8"/>
    <s v=" Lukaraba"/>
    <n v="12895"/>
    <n v="450.03550000000001"/>
    <n v="515.79999999999995"/>
    <n v="375.02958333333333"/>
    <n v="429.83333333333326"/>
    <n v="613"/>
    <n v="212"/>
    <n v="372"/>
    <n v="337"/>
    <n v="353"/>
    <n v="370"/>
    <n v="336"/>
    <n v="343"/>
    <n v="370"/>
    <n v="338"/>
    <n v="355"/>
    <n v="370"/>
    <n v="336"/>
    <n v="355"/>
    <n v="345"/>
    <n v="223"/>
    <n v="345"/>
    <n v="353"/>
    <n v="334"/>
    <n v="394"/>
    <n v="294"/>
    <n v="257"/>
    <s v=""/>
    <s v=""/>
    <n v="551"/>
    <n v="25"/>
    <n v="100"/>
    <n v="5.0295833333333348"/>
    <n v="25"/>
    <n v="345"/>
  </r>
  <r>
    <s v="Nord Kivu"/>
    <x v="1"/>
    <x v="8"/>
    <s v=" Malembe"/>
    <n v="11598"/>
    <n v="404.77019999999999"/>
    <n v="463.92"/>
    <n v="337.30849999999998"/>
    <n v="386.6"/>
    <n v="370"/>
    <s v=""/>
    <n v="302"/>
    <n v="298"/>
    <n v="299"/>
    <n v="336"/>
    <n v="330"/>
    <n v="332"/>
    <n v="334"/>
    <n v="330"/>
    <n v="332"/>
    <n v="336"/>
    <n v="329"/>
    <n v="331"/>
    <n v="298"/>
    <n v="268"/>
    <n v="298"/>
    <n v="299"/>
    <n v="299"/>
    <n v="192"/>
    <n v="189"/>
    <n v="4"/>
    <n v="1"/>
    <s v=""/>
    <n v="194"/>
    <n v="41.7"/>
    <n v="100"/>
    <n v="1.3084999999999809"/>
    <n v="38"/>
    <n v="298"/>
  </r>
  <r>
    <s v="Nord Kivu"/>
    <x v="1"/>
    <x v="8"/>
    <s v=" Mandje"/>
    <n v="6579"/>
    <n v="229.6071"/>
    <n v="263.16000000000003"/>
    <n v="191.33925000000002"/>
    <n v="219.30000000000004"/>
    <n v="190"/>
    <n v="67"/>
    <n v="104"/>
    <n v="91"/>
    <n v="96"/>
    <n v="174"/>
    <n v="160"/>
    <n v="168"/>
    <n v="174"/>
    <n v="160"/>
    <n v="168"/>
    <n v="155"/>
    <n v="141"/>
    <n v="150"/>
    <n v="172"/>
    <n v="124"/>
    <n v="172"/>
    <n v="96"/>
    <n v="86"/>
    <n v="71"/>
    <n v="29"/>
    <n v="17"/>
    <n v="14"/>
    <n v="8"/>
    <n v="68"/>
    <n v="41.7"/>
    <n v="100"/>
    <n v="17.339250000000021"/>
    <n v="2"/>
    <n v="172"/>
  </r>
  <r>
    <s v="Nord Kivu"/>
    <x v="1"/>
    <x v="8"/>
    <s v=" Mianga"/>
    <n v="7188"/>
    <n v="250.8612"/>
    <n v="287.52"/>
    <n v="209.05100000000002"/>
    <n v="239.59999999999997"/>
    <n v="243"/>
    <n v="109"/>
    <n v="204"/>
    <n v="205"/>
    <n v="206"/>
    <n v="204"/>
    <n v="205"/>
    <n v="206"/>
    <n v="204"/>
    <n v="205"/>
    <n v="206"/>
    <n v="208"/>
    <n v="202"/>
    <n v="206"/>
    <n v="227"/>
    <n v="178"/>
    <n v="237"/>
    <n v="221"/>
    <n v="150"/>
    <n v="110"/>
    <n v="95"/>
    <n v="78"/>
    <n v="37"/>
    <n v="17"/>
    <n v="227"/>
    <n v="25"/>
    <n v="100"/>
    <n v="5.0510000000000161"/>
    <n v="0"/>
    <n v="227"/>
  </r>
  <r>
    <s v="Nord Kivu"/>
    <x v="1"/>
    <x v="8"/>
    <s v=" Mifuti 55ème CEBCE"/>
    <n v="5540"/>
    <n v="193.346"/>
    <n v="221.6"/>
    <n v="161.12166666666667"/>
    <n v="184.66666666666666"/>
    <n v="154"/>
    <n v="72"/>
    <n v="167"/>
    <n v="147"/>
    <n v="130"/>
    <n v="137"/>
    <n v="140"/>
    <n v="144"/>
    <n v="139"/>
    <n v="147"/>
    <n v="151"/>
    <n v="167"/>
    <n v="138"/>
    <n v="152"/>
    <n v="129"/>
    <n v="84"/>
    <n v="142"/>
    <n v="88"/>
    <n v="98"/>
    <n v="161"/>
    <n v="130"/>
    <n v="20"/>
    <s v=""/>
    <s v=""/>
    <n v="150"/>
    <n v="33.299999999999997"/>
    <n v="100"/>
    <n v="24.12166666666667"/>
    <n v="8"/>
    <n v="129"/>
  </r>
  <r>
    <s v="Nord Kivu"/>
    <x v="1"/>
    <x v="8"/>
    <s v=" Mifuti 8ème CEPAC"/>
    <n v="5119"/>
    <n v="178.65309999999999"/>
    <n v="204.76"/>
    <n v="148.87758333333332"/>
    <n v="170.63333333333333"/>
    <n v="133"/>
    <n v="82"/>
    <n v="115"/>
    <n v="110"/>
    <n v="112"/>
    <n v="115"/>
    <n v="110"/>
    <n v="112"/>
    <n v="115"/>
    <n v="110"/>
    <n v="112"/>
    <n v="115"/>
    <n v="110"/>
    <n v="113"/>
    <n v="140"/>
    <n v="101"/>
    <n v="104"/>
    <n v="112"/>
    <n v="104"/>
    <n v="148"/>
    <n v="103"/>
    <s v=""/>
    <s v=""/>
    <s v=""/>
    <n v="103"/>
    <n v="33.299999999999997"/>
    <n v="100"/>
    <n v="33.87758333333332"/>
    <n v="0"/>
    <n v="104"/>
  </r>
  <r>
    <s v="Nord Kivu"/>
    <x v="1"/>
    <x v="8"/>
    <s v=" Muruo"/>
    <n v="6553"/>
    <n v="228.69970000000001"/>
    <n v="262.12"/>
    <n v="190.58308333333332"/>
    <n v="218.43333333333334"/>
    <n v="167"/>
    <n v="43"/>
    <n v="169"/>
    <n v="155"/>
    <n v="147"/>
    <n v="169"/>
    <n v="155"/>
    <n v="147"/>
    <n v="169"/>
    <n v="155"/>
    <n v="147"/>
    <n v="169"/>
    <n v="155"/>
    <n v="147"/>
    <n v="151"/>
    <n v="116"/>
    <n v="151"/>
    <n v="147"/>
    <n v="145"/>
    <n v="165"/>
    <n v="152"/>
    <n v="105"/>
    <s v=""/>
    <s v=""/>
    <n v="257"/>
    <n v="33.299999999999997"/>
    <n v="100"/>
    <n v="21.58308333333332"/>
    <n v="18"/>
    <n v="151"/>
  </r>
  <r>
    <s v="Nord Kivu"/>
    <x v="1"/>
    <x v="8"/>
    <s v=" Musenge"/>
    <n v="8589"/>
    <n v="299.7561"/>
    <n v="343.56"/>
    <n v="249.79675"/>
    <n v="286.3"/>
    <n v="276"/>
    <n v="116"/>
    <n v="224"/>
    <n v="208"/>
    <n v="222"/>
    <n v="224"/>
    <n v="208"/>
    <n v="222"/>
    <n v="223"/>
    <n v="208"/>
    <n v="222"/>
    <n v="225"/>
    <n v="213"/>
    <n v="223"/>
    <n v="215"/>
    <n v="188"/>
    <n v="222"/>
    <n v="221"/>
    <n v="192"/>
    <n v="270"/>
    <n v="250"/>
    <n v="2"/>
    <n v="1"/>
    <s v=""/>
    <n v="253"/>
    <n v="50"/>
    <n v="100"/>
    <n v="25.796750000000003"/>
    <n v="9"/>
    <n v="215"/>
  </r>
  <r>
    <s v="Nord Kivu"/>
    <x v="1"/>
    <x v="8"/>
    <s v=" Nyamimba"/>
    <n v="7739"/>
    <n v="270.09109999999998"/>
    <n v="309.56"/>
    <n v="225.07591666666667"/>
    <n v="257.9666666666667"/>
    <n v="416"/>
    <n v="360"/>
    <n v="423"/>
    <n v="407"/>
    <n v="393"/>
    <n v="423"/>
    <n v="407"/>
    <n v="393"/>
    <n v="423"/>
    <n v="433"/>
    <n v="393"/>
    <n v="423"/>
    <n v="399"/>
    <n v="393"/>
    <n v="314"/>
    <n v="219"/>
    <n v="363"/>
    <n v="393"/>
    <n v="210"/>
    <n v="387"/>
    <n v="278"/>
    <n v="215"/>
    <n v="111"/>
    <n v="47"/>
    <n v="651"/>
    <n v="33.299999999999997"/>
    <n v="100"/>
    <n v="0"/>
    <n v="109"/>
    <n v="314"/>
  </r>
  <r>
    <s v="Nord Kivu"/>
    <x v="1"/>
    <x v="8"/>
    <s v=" Otobora"/>
    <n v="13625"/>
    <n v="475.51249999999999"/>
    <n v="545"/>
    <n v="396.26041666666663"/>
    <n v="454.16666666666663"/>
    <n v="444"/>
    <n v="82"/>
    <n v="426"/>
    <n v="372"/>
    <n v="377"/>
    <n v="417"/>
    <n v="408"/>
    <n v="419"/>
    <n v="426"/>
    <n v="372"/>
    <n v="410"/>
    <n v="417"/>
    <n v="372"/>
    <n v="424"/>
    <n v="398"/>
    <n v="269"/>
    <n v="399"/>
    <n v="341"/>
    <n v="391"/>
    <n v="376"/>
    <n v="297"/>
    <n v="196"/>
    <n v="10"/>
    <n v="5"/>
    <n v="508"/>
    <n v="41.7"/>
    <n v="100"/>
    <n v="0"/>
    <n v="19"/>
    <n v="398"/>
  </r>
  <r>
    <s v="Nord Kivu"/>
    <x v="1"/>
    <x v="8"/>
    <s v=" Tusoke"/>
    <n v="6470"/>
    <n v="225.803"/>
    <n v="258.8"/>
    <n v="188.16916666666668"/>
    <n v="215.66666666666666"/>
    <n v="91"/>
    <n v="114"/>
    <n v="156"/>
    <n v="147"/>
    <n v="163"/>
    <n v="156"/>
    <n v="147"/>
    <n v="163"/>
    <n v="156"/>
    <n v="147"/>
    <n v="163"/>
    <n v="156"/>
    <n v="147"/>
    <n v="163"/>
    <n v="119"/>
    <n v="109"/>
    <n v="119"/>
    <n v="167"/>
    <n v="59"/>
    <n v="57"/>
    <n v="28"/>
    <n v="21"/>
    <n v="10"/>
    <n v="1"/>
    <n v="60"/>
    <n v="33.299999999999997"/>
    <n v="100"/>
    <n v="32.169166666666683"/>
    <n v="37"/>
    <n v="119"/>
  </r>
  <r>
    <s v="Nord Kivu"/>
    <x v="0"/>
    <x v="9"/>
    <s v=" Amani Kisungu"/>
    <n v="16416"/>
    <n v="572.91840000000002"/>
    <n v="656.64"/>
    <n v="477.43200000000002"/>
    <n v="547.20000000000005"/>
    <n v="582"/>
    <n v="373"/>
    <n v="479"/>
    <n v="380"/>
    <n v="471"/>
    <n v="368"/>
    <n v="262"/>
    <n v="332"/>
    <n v="404"/>
    <n v="305"/>
    <n v="377"/>
    <n v="445"/>
    <n v="339"/>
    <n v="433"/>
    <n v="436"/>
    <n v="454"/>
    <n v="390"/>
    <n v="471"/>
    <n v="391"/>
    <n v="314"/>
    <n v="90"/>
    <n v="71"/>
    <n v="76"/>
    <n v="51"/>
    <n v="288"/>
    <n v="58.3"/>
    <n v="100"/>
    <n v="109.43200000000002"/>
    <n v="0"/>
    <n v="390"/>
  </r>
  <r>
    <s v="Nord Kivu"/>
    <x v="0"/>
    <x v="9"/>
    <s v=" Butuhe"/>
    <n v="14311"/>
    <n v="499.45390000000003"/>
    <n v="572.44000000000005"/>
    <n v="416.21158333333335"/>
    <n v="477.03333333333342"/>
    <n v="438"/>
    <n v="352"/>
    <n v="377"/>
    <n v="371"/>
    <n v="392"/>
    <n v="359"/>
    <n v="332"/>
    <n v="548"/>
    <n v="348"/>
    <n v="335"/>
    <n v="346"/>
    <n v="348"/>
    <n v="327"/>
    <n v="346"/>
    <n v="435"/>
    <n v="193"/>
    <n v="426"/>
    <n v="386"/>
    <n v="311"/>
    <n v="134"/>
    <n v="98"/>
    <n v="42"/>
    <n v="5"/>
    <n v="41"/>
    <n v="186"/>
    <n v="58.3"/>
    <n v="100"/>
    <n v="57.211583333333351"/>
    <n v="0"/>
    <n v="426"/>
  </r>
  <r>
    <s v="Nord Kivu"/>
    <x v="0"/>
    <x v="9"/>
    <s v=" Kabasha"/>
    <n v="11700"/>
    <n v="408.33"/>
    <n v="468"/>
    <n v="340.27499999999998"/>
    <n v="390"/>
    <n v="504"/>
    <n v="421"/>
    <n v="481"/>
    <n v="476"/>
    <n v="462"/>
    <n v="448"/>
    <n v="415"/>
    <n v="487"/>
    <n v="434"/>
    <n v="405"/>
    <n v="407"/>
    <n v="443"/>
    <n v="503"/>
    <n v="411"/>
    <n v="441"/>
    <n v="294"/>
    <n v="441"/>
    <n v="440"/>
    <n v="386"/>
    <n v="285"/>
    <n v="208"/>
    <n v="102"/>
    <n v="63"/>
    <n v="53"/>
    <n v="426"/>
    <n v="58.3"/>
    <n v="100"/>
    <n v="0"/>
    <n v="7"/>
    <n v="441"/>
  </r>
  <r>
    <s v="Nord Kivu"/>
    <x v="0"/>
    <x v="9"/>
    <s v=" Kahamba"/>
    <n v="8514"/>
    <n v="297.1386"/>
    <n v="340.56"/>
    <n v="247.6155"/>
    <n v="283.8"/>
    <n v="320"/>
    <n v="251"/>
    <n v="256"/>
    <n v="259"/>
    <n v="281"/>
    <n v="232"/>
    <n v="239"/>
    <n v="266"/>
    <n v="206"/>
    <n v="202"/>
    <n v="228"/>
    <n v="215"/>
    <n v="195"/>
    <n v="240"/>
    <n v="252"/>
    <n v="164"/>
    <n v="211"/>
    <n v="231"/>
    <n v="173"/>
    <n v="75"/>
    <n v="82"/>
    <n v="49"/>
    <n v="46"/>
    <n v="39"/>
    <n v="216"/>
    <n v="58.3"/>
    <n v="100"/>
    <n v="15.615499999999997"/>
    <n v="0"/>
    <n v="211"/>
  </r>
  <r>
    <s v="Nord Kivu"/>
    <x v="0"/>
    <x v="9"/>
    <s v=" Kalunguta"/>
    <n v="15999"/>
    <n v="558.36509999999998"/>
    <n v="639.96"/>
    <n v="465.30425000000002"/>
    <n v="533.30000000000007"/>
    <n v="566"/>
    <n v="321"/>
    <n v="498"/>
    <n v="469"/>
    <n v="489"/>
    <n v="376"/>
    <n v="359"/>
    <n v="368"/>
    <n v="399"/>
    <n v="394"/>
    <n v="395"/>
    <n v="343"/>
    <n v="316"/>
    <n v="332"/>
    <n v="503"/>
    <n v="166"/>
    <n v="393"/>
    <n v="459"/>
    <n v="310"/>
    <n v="434"/>
    <n v="291"/>
    <n v="149"/>
    <n v="43"/>
    <n v="31"/>
    <n v="514"/>
    <n v="58.3"/>
    <n v="100"/>
    <n v="89.304250000000025"/>
    <n v="0"/>
    <n v="393"/>
  </r>
  <r>
    <s v="Nord Kivu"/>
    <x v="0"/>
    <x v="9"/>
    <s v=" Kanyihunga"/>
    <n v="14977"/>
    <n v="522.69730000000004"/>
    <n v="599.08000000000004"/>
    <n v="435.58108333333337"/>
    <n v="499.23333333333341"/>
    <n v="404"/>
    <n v="392"/>
    <n v="511"/>
    <n v="459"/>
    <n v="492"/>
    <n v="435"/>
    <n v="399"/>
    <n v="399"/>
    <n v="439"/>
    <n v="448"/>
    <n v="426"/>
    <n v="372"/>
    <n v="391"/>
    <n v="370"/>
    <n v="474"/>
    <n v="376"/>
    <n v="474"/>
    <n v="488"/>
    <n v="445"/>
    <n v="60"/>
    <n v="61"/>
    <n v="27"/>
    <n v="17"/>
    <n v="6"/>
    <n v="111"/>
    <n v="50"/>
    <n v="100"/>
    <n v="0.58108333333336759"/>
    <n v="0"/>
    <n v="474"/>
  </r>
  <r>
    <s v="Nord Kivu"/>
    <x v="0"/>
    <x v="9"/>
    <s v=" Kasebere"/>
    <n v="15153"/>
    <n v="528.83969999999999"/>
    <n v="606.12"/>
    <n v="440.69974999999999"/>
    <n v="505.09999999999997"/>
    <n v="272"/>
    <n v="149"/>
    <n v="430"/>
    <n v="427"/>
    <n v="421"/>
    <n v="777"/>
    <n v="364"/>
    <n v="356"/>
    <n v="372"/>
    <n v="364"/>
    <n v="358"/>
    <n v="372"/>
    <n v="358"/>
    <n v="358"/>
    <n v="387"/>
    <n v="101"/>
    <n v="368"/>
    <n v="319"/>
    <n v="125"/>
    <n v="254"/>
    <n v="136"/>
    <n v="91"/>
    <n v="63"/>
    <n v="65"/>
    <n v="355"/>
    <n v="58.3"/>
    <n v="100"/>
    <n v="0"/>
    <n v="390"/>
    <n v="368"/>
  </r>
  <r>
    <s v="Nord Kivu"/>
    <x v="0"/>
    <x v="9"/>
    <s v=" Kavakubi"/>
    <n v="7459"/>
    <n v="260.31909999999999"/>
    <n v="298.36"/>
    <n v="216.93258333333333"/>
    <n v="248.63333333333333"/>
    <n v="282"/>
    <n v="115"/>
    <n v="230"/>
    <n v="230"/>
    <n v="219"/>
    <n v="252"/>
    <n v="232"/>
    <n v="233"/>
    <n v="271"/>
    <n v="227"/>
    <n v="236"/>
    <n v="266"/>
    <n v="234"/>
    <n v="236"/>
    <n v="250"/>
    <n v="81"/>
    <n v="250"/>
    <n v="230"/>
    <n v="230"/>
    <n v="159"/>
    <n v="77"/>
    <n v="47"/>
    <n v="27"/>
    <n v="10"/>
    <n v="161"/>
    <n v="41.7"/>
    <n v="100"/>
    <n v="0"/>
    <n v="2"/>
    <n v="250"/>
  </r>
  <r>
    <s v="Nord Kivu"/>
    <x v="0"/>
    <x v="9"/>
    <s v=" Kitovo"/>
    <n v="7117"/>
    <n v="248.38329999999999"/>
    <n v="284.68"/>
    <n v="206.98608333333334"/>
    <n v="237.23333333333332"/>
    <n v="134"/>
    <n v="114"/>
    <n v="126"/>
    <n v="120"/>
    <n v="129"/>
    <n v="104"/>
    <n v="99"/>
    <n v="105"/>
    <n v="126"/>
    <n v="120"/>
    <n v="129"/>
    <n v="124"/>
    <n v="120"/>
    <n v="129"/>
    <n v="120"/>
    <n v="75"/>
    <n v="120"/>
    <n v="129"/>
    <n v="120"/>
    <n v="58"/>
    <n v="21"/>
    <n v="16"/>
    <n v="11"/>
    <n v="12"/>
    <n v="60"/>
    <n v="41.7"/>
    <n v="100"/>
    <n v="102.98608333333334"/>
    <n v="0"/>
    <n v="120"/>
  </r>
  <r>
    <s v="Nord Kivu"/>
    <x v="0"/>
    <x v="9"/>
    <s v=" Kivetya"/>
    <n v="11521"/>
    <n v="402.0829"/>
    <n v="460.84000000000003"/>
    <n v="335.06908333333337"/>
    <n v="384.03333333333336"/>
    <n v="385"/>
    <n v="527"/>
    <n v="364"/>
    <n v="360"/>
    <n v="355"/>
    <n v="373"/>
    <n v="379"/>
    <n v="347"/>
    <n v="385"/>
    <n v="386"/>
    <n v="384"/>
    <n v="384"/>
    <n v="385"/>
    <n v="363"/>
    <n v="366"/>
    <n v="290"/>
    <n v="341"/>
    <n v="359"/>
    <n v="340"/>
    <n v="152"/>
    <n v="147"/>
    <n v="91"/>
    <n v="60"/>
    <n v="74"/>
    <n v="372"/>
    <n v="54.2"/>
    <n v="100"/>
    <n v="0"/>
    <n v="7"/>
    <n v="341"/>
  </r>
  <r>
    <s v="Nord Kivu"/>
    <x v="0"/>
    <x v="9"/>
    <s v=" Kyavisogho"/>
    <n v="5500"/>
    <n v="191.95"/>
    <n v="220"/>
    <n v="159.95833333333331"/>
    <n v="183.33333333333331"/>
    <n v="186"/>
    <n v="140"/>
    <n v="168"/>
    <n v="159"/>
    <n v="169"/>
    <n v="170"/>
    <n v="159"/>
    <n v="169"/>
    <n v="169"/>
    <n v="152"/>
    <n v="205"/>
    <n v="168"/>
    <n v="161"/>
    <n v="169"/>
    <n v="170"/>
    <n v="180"/>
    <n v="170"/>
    <n v="170"/>
    <n v="136"/>
    <n v="60"/>
    <n v="57"/>
    <n v="23"/>
    <n v="18"/>
    <n v="20"/>
    <n v="118"/>
    <n v="58.3"/>
    <n v="100"/>
    <n v="0"/>
    <n v="0"/>
    <n v="170"/>
  </r>
  <r>
    <s v="Nord Kivu"/>
    <x v="0"/>
    <x v="9"/>
    <s v=" Lisasa"/>
    <n v="14286"/>
    <n v="498.58140000000003"/>
    <n v="571.44000000000005"/>
    <n v="415.48450000000003"/>
    <n v="476.20000000000005"/>
    <n v="215"/>
    <n v="15"/>
    <n v="281"/>
    <n v="244"/>
    <n v="232"/>
    <n v="244"/>
    <n v="203"/>
    <n v="228"/>
    <n v="258"/>
    <n v="210"/>
    <n v="221"/>
    <n v="252"/>
    <n v="180"/>
    <n v="186"/>
    <n v="291"/>
    <n v="91"/>
    <n v="245"/>
    <n v="233"/>
    <n v="184"/>
    <n v="84"/>
    <n v="39"/>
    <n v="11"/>
    <n v="5"/>
    <n v="5"/>
    <n v="60"/>
    <n v="58.3"/>
    <n v="100"/>
    <n v="171.48450000000003"/>
    <n v="0"/>
    <n v="245"/>
  </r>
  <r>
    <s v="Nord Kivu"/>
    <x v="0"/>
    <x v="9"/>
    <s v=" Maboya"/>
    <n v="22017"/>
    <n v="768.39329999999995"/>
    <n v="880.68000000000006"/>
    <n v="640.32775000000004"/>
    <n v="733.9"/>
    <n v="779"/>
    <n v="660"/>
    <n v="666"/>
    <n v="668"/>
    <n v="673"/>
    <n v="552"/>
    <n v="557"/>
    <n v="510"/>
    <n v="607"/>
    <n v="603"/>
    <n v="583"/>
    <n v="635"/>
    <n v="623"/>
    <n v="561"/>
    <n v="488"/>
    <n v="146"/>
    <n v="488"/>
    <n v="648"/>
    <n v="358"/>
    <n v="715"/>
    <n v="486"/>
    <n v="45"/>
    <n v="25"/>
    <n v="21"/>
    <n v="577"/>
    <n v="58.3"/>
    <n v="100"/>
    <n v="88.327750000000037"/>
    <n v="64"/>
    <n v="488"/>
  </r>
  <r>
    <s v="Nord Kivu"/>
    <x v="0"/>
    <x v="9"/>
    <s v=" Mabuku"/>
    <n v="29008"/>
    <n v="1012.3792"/>
    <n v="1160.32"/>
    <n v="843.64933333333329"/>
    <n v="966.93333333333328"/>
    <n v="697"/>
    <n v="391"/>
    <n v="704"/>
    <n v="555"/>
    <n v="562"/>
    <n v="611"/>
    <n v="565"/>
    <n v="929"/>
    <n v="636"/>
    <n v="592"/>
    <n v="608"/>
    <n v="669"/>
    <n v="617"/>
    <n v="986"/>
    <n v="779"/>
    <n v="196"/>
    <n v="716"/>
    <n v="649"/>
    <n v="683"/>
    <n v="448"/>
    <n v="333"/>
    <n v="135"/>
    <n v="80"/>
    <n v="81"/>
    <n v="629"/>
    <n v="58.3"/>
    <n v="100"/>
    <n v="232.64933333333329"/>
    <n v="0"/>
    <n v="716"/>
  </r>
  <r>
    <s v="Nord Kivu"/>
    <x v="0"/>
    <x v="9"/>
    <s v=" Makoko"/>
    <n v="4221"/>
    <n v="147.31290000000001"/>
    <n v="168.84"/>
    <n v="122.76075"/>
    <n v="140.69999999999999"/>
    <n v="124"/>
    <n v="52"/>
    <n v="140"/>
    <n v="127"/>
    <n v="138"/>
    <n v="126"/>
    <n v="114"/>
    <n v="124"/>
    <n v="112"/>
    <n v="101"/>
    <n v="110"/>
    <n v="136"/>
    <n v="114"/>
    <n v="124"/>
    <n v="137"/>
    <n v="157"/>
    <n v="137"/>
    <n v="123"/>
    <n v="122"/>
    <n v="21"/>
    <n v="16"/>
    <n v="27"/>
    <n v="16"/>
    <n v="19"/>
    <n v="78"/>
    <n v="58.3"/>
    <n v="100"/>
    <n v="0"/>
    <n v="0"/>
    <n v="137"/>
  </r>
  <r>
    <s v="Nord Kivu"/>
    <x v="0"/>
    <x v="9"/>
    <s v=" Mambingi"/>
    <n v="6238"/>
    <n v="217.7062"/>
    <n v="249.52"/>
    <n v="181.42183333333332"/>
    <n v="207.93333333333334"/>
    <n v="158"/>
    <n v="115"/>
    <n v="136"/>
    <n v="115"/>
    <n v="118"/>
    <n v="135"/>
    <n v="116"/>
    <n v="111"/>
    <n v="123"/>
    <n v="102"/>
    <n v="102"/>
    <n v="149"/>
    <n v="128"/>
    <n v="125"/>
    <n v="126"/>
    <n v="46"/>
    <n v="140"/>
    <n v="131"/>
    <n v="129"/>
    <n v="81"/>
    <n v="55"/>
    <n v="35"/>
    <n v="15"/>
    <n v="11"/>
    <n v="116"/>
    <n v="58.3"/>
    <n v="100"/>
    <n v="46.421833333333325"/>
    <n v="9"/>
    <n v="126"/>
  </r>
  <r>
    <s v="Nord Kivu"/>
    <x v="0"/>
    <x v="9"/>
    <s v=" Mataba"/>
    <n v="9513"/>
    <n v="332.00369999999998"/>
    <n v="380.52"/>
    <n v="276.66974999999996"/>
    <n v="317.09999999999997"/>
    <n v="207"/>
    <n v="77"/>
    <n v="258"/>
    <n v="217"/>
    <n v="240"/>
    <n v="263"/>
    <n v="213"/>
    <n v="260"/>
    <n v="259"/>
    <n v="212"/>
    <n v="235"/>
    <n v="261"/>
    <n v="223"/>
    <n v="225"/>
    <n v="245"/>
    <n v="43"/>
    <n v="245"/>
    <n v="239"/>
    <n v="241"/>
    <n v="172"/>
    <n v="113"/>
    <n v="15"/>
    <n v="16"/>
    <n v="12"/>
    <n v="156"/>
    <n v="58.3"/>
    <n v="100"/>
    <n v="13.669749999999965"/>
    <n v="18"/>
    <n v="245"/>
  </r>
  <r>
    <s v="Nord Kivu"/>
    <x v="0"/>
    <x v="9"/>
    <s v=" Mbilinga"/>
    <n v="7393"/>
    <n v="258.01569999999998"/>
    <n v="295.72000000000003"/>
    <n v="215.0130833333333"/>
    <n v="246.43333333333334"/>
    <n v="230"/>
    <n v="233"/>
    <n v="226"/>
    <n v="196"/>
    <n v="217"/>
    <n v="226"/>
    <n v="196"/>
    <n v="217"/>
    <n v="226"/>
    <n v="196"/>
    <n v="217"/>
    <n v="216"/>
    <n v="191"/>
    <n v="209"/>
    <n v="216"/>
    <n v="158"/>
    <n v="216"/>
    <n v="208"/>
    <n v="211"/>
    <n v="67"/>
    <n v="43"/>
    <n v="47"/>
    <n v="32"/>
    <n v="35"/>
    <n v="157"/>
    <n v="58.3"/>
    <n v="100"/>
    <n v="0"/>
    <n v="10"/>
    <n v="216"/>
  </r>
  <r>
    <s v="Nord Kivu"/>
    <x v="0"/>
    <x v="9"/>
    <s v=" Rwahwa"/>
    <n v="10046"/>
    <n v="350.60540000000003"/>
    <n v="401.84000000000003"/>
    <n v="292.17116666666669"/>
    <n v="334.86666666666673"/>
    <n v="383"/>
    <n v="281"/>
    <n v="384"/>
    <n v="374"/>
    <n v="386"/>
    <n v="312"/>
    <n v="300"/>
    <n v="298"/>
    <n v="332"/>
    <n v="314"/>
    <n v="290"/>
    <n v="332"/>
    <n v="314"/>
    <n v="314"/>
    <n v="383"/>
    <n v="347"/>
    <n v="383"/>
    <n v="366"/>
    <n v="325"/>
    <n v="169"/>
    <n v="92"/>
    <n v="68"/>
    <n v="62"/>
    <n v="74"/>
    <n v="296"/>
    <n v="58.3"/>
    <n v="100"/>
    <n v="0"/>
    <n v="0"/>
    <n v="383"/>
  </r>
  <r>
    <s v="Nord Kivu"/>
    <x v="0"/>
    <x v="9"/>
    <s v=" Vurondo"/>
    <n v="7287"/>
    <n v="254.31630000000001"/>
    <n v="291.48"/>
    <n v="211.93025000000003"/>
    <n v="242.90000000000003"/>
    <n v="224"/>
    <n v="109"/>
    <n v="224"/>
    <n v="214"/>
    <n v="191"/>
    <n v="191"/>
    <n v="150"/>
    <n v="157"/>
    <n v="193"/>
    <n v="171"/>
    <n v="179"/>
    <n v="193"/>
    <n v="171"/>
    <n v="179"/>
    <n v="199"/>
    <n v="121"/>
    <n v="199"/>
    <n v="202"/>
    <n v="184"/>
    <n v="45"/>
    <n v="43"/>
    <n v="43"/>
    <n v="30"/>
    <n v="14"/>
    <n v="130"/>
    <n v="58.3"/>
    <n v="100"/>
    <n v="20.930250000000029"/>
    <n v="0"/>
    <n v="199"/>
  </r>
  <r>
    <s v="Nord Kivu"/>
    <x v="0"/>
    <x v="10"/>
    <s v=" Bugando"/>
    <n v="9376"/>
    <n v="327.22239999999999"/>
    <n v="375.04"/>
    <n v="272.68533333333335"/>
    <n v="312.53333333333336"/>
    <n v="302"/>
    <n v="306"/>
    <n v="255"/>
    <n v="215"/>
    <n v="219"/>
    <n v="301"/>
    <n v="269"/>
    <n v="270"/>
    <n v="301"/>
    <n v="269"/>
    <n v="270"/>
    <n v="301"/>
    <n v="269"/>
    <n v="236"/>
    <n v="404"/>
    <n v="84"/>
    <n v="404"/>
    <n v="277"/>
    <n v="134"/>
    <n v="215"/>
    <n v="105"/>
    <n v="64"/>
    <n v="33"/>
    <n v="46"/>
    <n v="248"/>
    <n v="50"/>
    <n v="100"/>
    <n v="0"/>
    <n v="0"/>
    <n v="404"/>
  </r>
  <r>
    <s v="Nord Kivu"/>
    <x v="0"/>
    <x v="10"/>
    <s v=" Bukohwa"/>
    <n v="6103"/>
    <n v="212.99469999999999"/>
    <n v="244.12"/>
    <n v="177.49558333333334"/>
    <n v="203.43333333333334"/>
    <n v="164"/>
    <n v="164"/>
    <n v="174"/>
    <n v="144"/>
    <n v="154"/>
    <n v="174"/>
    <n v="144"/>
    <n v="154"/>
    <n v="174"/>
    <n v="144"/>
    <n v="154"/>
    <n v="174"/>
    <n v="144"/>
    <n v="154"/>
    <n v="168"/>
    <n v="139"/>
    <n v="192"/>
    <n v="154"/>
    <n v="85"/>
    <n v="55"/>
    <n v="25"/>
    <n v="16"/>
    <s v=""/>
    <s v=""/>
    <n v="41"/>
    <n v="50"/>
    <n v="100"/>
    <n v="3.495583333333343"/>
    <n v="6"/>
    <n v="168"/>
  </r>
  <r>
    <s v="Nord Kivu"/>
    <x v="0"/>
    <x v="10"/>
    <s v=" Kahondo"/>
    <n v="8427"/>
    <n v="294.10230000000001"/>
    <n v="337.08"/>
    <n v="245.08525000000003"/>
    <n v="280.89999999999998"/>
    <n v="333"/>
    <n v="256"/>
    <n v="347"/>
    <n v="303"/>
    <n v="276"/>
    <n v="347"/>
    <n v="303"/>
    <n v="276"/>
    <n v="312"/>
    <n v="276"/>
    <n v="248"/>
    <n v="347"/>
    <n v="303"/>
    <n v="276"/>
    <n v="362"/>
    <n v="11"/>
    <n v="362"/>
    <n v="236"/>
    <n v="84"/>
    <n v="127"/>
    <n v="105"/>
    <n v="90"/>
    <n v="54"/>
    <n v="56"/>
    <n v="305"/>
    <n v="58.3"/>
    <n v="100"/>
    <n v="0"/>
    <n v="0"/>
    <n v="362"/>
  </r>
  <r>
    <s v="Nord Kivu"/>
    <x v="0"/>
    <x v="10"/>
    <s v=" Kamango"/>
    <n v="16656"/>
    <n v="581.2944"/>
    <n v="666.24"/>
    <n v="484.41200000000003"/>
    <n v="555.20000000000005"/>
    <n v="370"/>
    <n v="471"/>
    <n v="621"/>
    <n v="550"/>
    <n v="615"/>
    <n v="621"/>
    <n v="550"/>
    <n v="615"/>
    <n v="620"/>
    <n v="555"/>
    <n v="615"/>
    <n v="621"/>
    <n v="555"/>
    <n v="615"/>
    <n v="584"/>
    <n v="139"/>
    <n v="462"/>
    <n v="615"/>
    <n v="482"/>
    <n v="216"/>
    <n v="124"/>
    <n v="130"/>
    <n v="80"/>
    <n v="101"/>
    <n v="435"/>
    <n v="47.2"/>
    <n v="100"/>
    <n v="0"/>
    <n v="37"/>
    <n v="462"/>
  </r>
  <r>
    <s v="Nord Kivu"/>
    <x v="0"/>
    <x v="10"/>
    <s v=" Kamanzara"/>
    <n v="6641"/>
    <n v="231.77090000000001"/>
    <n v="265.64"/>
    <n v="193.14241666666669"/>
    <n v="221.36666666666667"/>
    <n v="206"/>
    <n v="244"/>
    <n v="245"/>
    <n v="218"/>
    <n v="236"/>
    <n v="245"/>
    <n v="225"/>
    <n v="249"/>
    <n v="181"/>
    <n v="163"/>
    <n v="177"/>
    <n v="228"/>
    <n v="191"/>
    <n v="208"/>
    <n v="232"/>
    <n v="157"/>
    <n v="232"/>
    <n v="211"/>
    <n v="99"/>
    <n v="131"/>
    <n v="99"/>
    <n v="76"/>
    <n v="53"/>
    <n v="23"/>
    <n v="251"/>
    <n v="50"/>
    <n v="100"/>
    <n v="0"/>
    <n v="13"/>
    <n v="232"/>
  </r>
  <r>
    <s v="Nord Kivu"/>
    <x v="0"/>
    <x v="10"/>
    <s v=" Kikingi"/>
    <n v="7148"/>
    <n v="249.46520000000001"/>
    <n v="285.92"/>
    <n v="207.88766666666669"/>
    <n v="238.26666666666668"/>
    <n v="304"/>
    <n v="180"/>
    <n v="334"/>
    <n v="323"/>
    <n v="305"/>
    <n v="334"/>
    <n v="323"/>
    <n v="314"/>
    <n v="284"/>
    <n v="260"/>
    <n v="253"/>
    <n v="281"/>
    <n v="265"/>
    <n v="238"/>
    <n v="181"/>
    <n v="15"/>
    <n v="176"/>
    <n v="324"/>
    <n v="124"/>
    <n v="106"/>
    <n v="51"/>
    <n v="45"/>
    <n v="48"/>
    <n v="32"/>
    <n v="176"/>
    <n v="58.3"/>
    <n v="100"/>
    <n v="0"/>
    <n v="153"/>
    <n v="176"/>
  </r>
  <r>
    <s v="Nord Kivu"/>
    <x v="0"/>
    <x v="10"/>
    <s v=" Kikura"/>
    <n v="7147"/>
    <n v="249.43030000000002"/>
    <n v="285.88"/>
    <n v="207.85858333333334"/>
    <n v="238.23333333333335"/>
    <n v="246"/>
    <n v="152"/>
    <n v="269"/>
    <n v="207"/>
    <n v="227"/>
    <n v="293"/>
    <n v="224"/>
    <n v="249"/>
    <n v="314"/>
    <n v="244"/>
    <n v="279"/>
    <n v="293"/>
    <n v="222"/>
    <n v="259"/>
    <n v="287"/>
    <n v="52"/>
    <n v="276"/>
    <n v="218"/>
    <n v="105"/>
    <n v="79"/>
    <n v="66"/>
    <n v="48"/>
    <n v="34"/>
    <n v="29"/>
    <n v="177"/>
    <n v="58.3"/>
    <n v="100"/>
    <n v="0"/>
    <n v="6"/>
    <n v="276"/>
  </r>
  <r>
    <s v="Nord Kivu"/>
    <x v="0"/>
    <x v="10"/>
    <s v=" Kitimba"/>
    <n v="11843"/>
    <n v="413.32069999999999"/>
    <n v="473.72"/>
    <n v="344.43391666666662"/>
    <n v="394.76666666666665"/>
    <n v="286"/>
    <n v="336"/>
    <n v="218"/>
    <n v="210"/>
    <n v="205"/>
    <n v="218"/>
    <n v="210"/>
    <n v="205"/>
    <n v="218"/>
    <n v="210"/>
    <n v="203"/>
    <n v="218"/>
    <n v="210"/>
    <n v="60"/>
    <n v="399"/>
    <n v="39"/>
    <n v="285"/>
    <n v="192"/>
    <n v="30"/>
    <n v="169"/>
    <n v="53"/>
    <n v="42"/>
    <n v="31"/>
    <n v="24"/>
    <n v="150"/>
    <n v="50"/>
    <n v="100"/>
    <n v="126.43391666666662"/>
    <n v="0"/>
    <n v="285"/>
  </r>
  <r>
    <s v="Nord Kivu"/>
    <x v="0"/>
    <x v="10"/>
    <s v=" Luanoli"/>
    <n v="14756"/>
    <n v="514.98440000000005"/>
    <n v="590.24"/>
    <n v="429.15366666666671"/>
    <n v="491.86666666666667"/>
    <n v="317"/>
    <n v="357"/>
    <n v="359"/>
    <n v="357"/>
    <n v="350"/>
    <n v="359"/>
    <n v="360"/>
    <n v="350"/>
    <n v="402"/>
    <n v="402"/>
    <n v="390"/>
    <n v="363"/>
    <n v="362"/>
    <n v="350"/>
    <n v="397"/>
    <s v=""/>
    <n v="397"/>
    <n v="390"/>
    <s v=""/>
    <n v="220"/>
    <n v="164"/>
    <n v="127"/>
    <n v="88"/>
    <n v="57"/>
    <n v="436"/>
    <n v="58.3"/>
    <n v="100"/>
    <n v="70.153666666666709"/>
    <n v="0"/>
    <n v="397"/>
  </r>
  <r>
    <s v="Nord Kivu"/>
    <x v="0"/>
    <x v="10"/>
    <s v=" Maale"/>
    <n v="8329"/>
    <n v="290.68209999999999"/>
    <n v="333.16"/>
    <n v="242.23508333333331"/>
    <n v="277.63333333333333"/>
    <n v="130"/>
    <n v="161"/>
    <n v="219"/>
    <n v="199"/>
    <n v="211"/>
    <n v="222"/>
    <n v="205"/>
    <n v="210"/>
    <n v="195"/>
    <n v="185"/>
    <n v="191"/>
    <n v="195"/>
    <n v="185"/>
    <n v="191"/>
    <n v="250"/>
    <n v="209"/>
    <n v="246"/>
    <n v="212"/>
    <n v="189"/>
    <n v="73"/>
    <n v="54"/>
    <n v="52"/>
    <n v="38"/>
    <n v="38"/>
    <n v="182"/>
    <n v="50"/>
    <n v="100"/>
    <n v="20.235083333333307"/>
    <n v="0"/>
    <n v="246"/>
  </r>
  <r>
    <s v="Nord Kivu"/>
    <x v="0"/>
    <x v="10"/>
    <s v=" Mulopia"/>
    <n v="9711"/>
    <n v="338.91390000000001"/>
    <n v="388.44"/>
    <n v="282.42824999999999"/>
    <n v="323.7"/>
    <n v="120"/>
    <n v="75"/>
    <n v="253"/>
    <n v="193"/>
    <n v="226"/>
    <n v="245"/>
    <n v="192"/>
    <n v="235"/>
    <n v="190"/>
    <n v="161"/>
    <n v="181"/>
    <n v="245"/>
    <n v="192"/>
    <n v="235"/>
    <n v="253"/>
    <n v="26"/>
    <n v="122"/>
    <n v="170"/>
    <n v="91"/>
    <n v="31"/>
    <n v="48"/>
    <n v="21"/>
    <n v="14"/>
    <n v="12"/>
    <n v="95"/>
    <n v="50"/>
    <n v="100"/>
    <n v="37.428249999999991"/>
    <n v="0"/>
    <n v="122"/>
  </r>
  <r>
    <s v="Nord Kivu"/>
    <x v="0"/>
    <x v="10"/>
    <s v=" Musale"/>
    <n v="7833"/>
    <n v="273.37169999999998"/>
    <n v="313.32"/>
    <n v="227.80974999999998"/>
    <n v="261.10000000000002"/>
    <n v="177"/>
    <n v="129"/>
    <n v="220"/>
    <n v="197"/>
    <n v="201"/>
    <n v="220"/>
    <n v="197"/>
    <n v="201"/>
    <n v="195"/>
    <n v="177"/>
    <n v="183"/>
    <n v="220"/>
    <n v="197"/>
    <n v="201"/>
    <n v="180"/>
    <n v="12"/>
    <n v="183"/>
    <n v="201"/>
    <n v="47"/>
    <n v="39"/>
    <n v="19"/>
    <n v="11"/>
    <s v=""/>
    <s v=""/>
    <n v="30"/>
    <n v="50"/>
    <n v="100"/>
    <n v="7.8097499999999798"/>
    <n v="40"/>
    <n v="180"/>
  </r>
  <r>
    <s v="Nord Kivu"/>
    <x v="0"/>
    <x v="10"/>
    <s v=" Ndama"/>
    <n v="6833"/>
    <n v="238.4717"/>
    <n v="273.32"/>
    <n v="198.72641666666667"/>
    <n v="227.76666666666668"/>
    <n v="223"/>
    <n v="241"/>
    <n v="267"/>
    <n v="246"/>
    <n v="271"/>
    <n v="268"/>
    <n v="246"/>
    <n v="271"/>
    <n v="221"/>
    <n v="205"/>
    <n v="228"/>
    <n v="268"/>
    <n v="246"/>
    <n v="271"/>
    <n v="225"/>
    <n v="63"/>
    <n v="221"/>
    <n v="252"/>
    <n v="139"/>
    <n v="181"/>
    <n v="74"/>
    <n v="46"/>
    <n v="26"/>
    <n v="17"/>
    <n v="163"/>
    <n v="50"/>
    <n v="100"/>
    <n v="0"/>
    <n v="43"/>
    <n v="221"/>
  </r>
  <r>
    <s v="Nord Kivu"/>
    <x v="0"/>
    <x v="10"/>
    <s v=" Njiapanda"/>
    <n v="17090"/>
    <n v="596.44100000000003"/>
    <n v="683.6"/>
    <n v="497.03416666666669"/>
    <n v="569.66666666666674"/>
    <n v="844"/>
    <n v="712"/>
    <n v="946"/>
    <n v="801"/>
    <n v="815"/>
    <n v="940"/>
    <n v="801"/>
    <n v="815"/>
    <n v="830"/>
    <n v="737"/>
    <n v="744"/>
    <n v="820"/>
    <n v="737"/>
    <n v="744"/>
    <n v="574"/>
    <n v="35"/>
    <n v="430"/>
    <n v="815"/>
    <n v="519"/>
    <n v="283"/>
    <n v="216"/>
    <n v="151"/>
    <n v="137"/>
    <n v="104"/>
    <n v="608"/>
    <n v="50"/>
    <n v="100"/>
    <n v="0"/>
    <n v="366"/>
    <n v="430"/>
  </r>
  <r>
    <s v="Nord Kivu"/>
    <x v="0"/>
    <x v="10"/>
    <s v=" Nsungu"/>
    <n v="9188"/>
    <n v="320.66120000000001"/>
    <n v="367.52"/>
    <n v="267.21766666666667"/>
    <n v="306.26666666666665"/>
    <n v="215"/>
    <n v="305"/>
    <n v="218"/>
    <n v="193"/>
    <n v="191"/>
    <n v="267"/>
    <n v="198"/>
    <n v="187"/>
    <n v="151"/>
    <n v="139"/>
    <n v="137"/>
    <n v="200"/>
    <n v="185"/>
    <n v="177"/>
    <n v="191"/>
    <n v="92"/>
    <n v="168"/>
    <n v="191"/>
    <n v="79"/>
    <n v="38"/>
    <n v="31"/>
    <n v="31"/>
    <n v="19"/>
    <n v="8"/>
    <n v="89"/>
    <n v="33.299999999999997"/>
    <n v="100"/>
    <n v="0.21766666666667334"/>
    <n v="76"/>
    <n v="168"/>
  </r>
  <r>
    <s v="Nord Kivu"/>
    <x v="1"/>
    <x v="11"/>
    <s v=" Albert Barthel"/>
    <n v="38967"/>
    <n v="1359.9483"/>
    <n v="1558.68"/>
    <n v="1133.29025"/>
    <n v="1298.9000000000001"/>
    <n v="941"/>
    <n v="365"/>
    <n v="806"/>
    <n v="761"/>
    <n v="746"/>
    <n v="815"/>
    <n v="766"/>
    <n v="753"/>
    <n v="808"/>
    <n v="766"/>
    <n v="754"/>
    <n v="739"/>
    <n v="733"/>
    <n v="703"/>
    <n v="650"/>
    <n v="168"/>
    <n v="637"/>
    <n v="755"/>
    <n v="366"/>
    <n v="148"/>
    <n v="110"/>
    <n v="89"/>
    <n v="72"/>
    <n v="69"/>
    <n v="340"/>
    <n v="54.2"/>
    <n v="100"/>
    <n v="318.29025000000001"/>
    <n v="165"/>
    <n v="637"/>
  </r>
  <r>
    <s v="Nord Kivu"/>
    <x v="1"/>
    <x v="11"/>
    <s v=" Amani"/>
    <n v="23497"/>
    <n v="820.0453"/>
    <n v="939.88"/>
    <n v="683.37108333333333"/>
    <n v="783.23333333333335"/>
    <n v="533"/>
    <n v="34"/>
    <n v="650"/>
    <n v="599"/>
    <n v="617"/>
    <n v="650"/>
    <n v="599"/>
    <n v="617"/>
    <n v="650"/>
    <n v="599"/>
    <n v="617"/>
    <n v="586"/>
    <n v="540"/>
    <n v="553"/>
    <n v="736"/>
    <n v="116"/>
    <n v="676"/>
    <n v="617"/>
    <n v="631"/>
    <n v="100"/>
    <n v="67"/>
    <n v="61"/>
    <n v="66"/>
    <n v="59"/>
    <n v="253"/>
    <n v="54.2"/>
    <n v="100"/>
    <n v="33.371083333333331"/>
    <n v="0"/>
    <n v="676"/>
  </r>
  <r>
    <s v="Nord Kivu"/>
    <x v="1"/>
    <x v="11"/>
    <s v=" Baraka"/>
    <n v="27257"/>
    <n v="951.26930000000004"/>
    <n v="1090.28"/>
    <n v="792.72441666666668"/>
    <n v="908.56666666666672"/>
    <n v="997"/>
    <n v="970"/>
    <n v="917"/>
    <n v="1060"/>
    <n v="881"/>
    <n v="960"/>
    <n v="813"/>
    <n v="917"/>
    <n v="960"/>
    <n v="813"/>
    <n v="820"/>
    <n v="695"/>
    <n v="578"/>
    <n v="685"/>
    <n v="822"/>
    <n v="121"/>
    <n v="738"/>
    <n v="1001"/>
    <n v="744"/>
    <n v="471"/>
    <n v="310"/>
    <n v="239"/>
    <n v="219"/>
    <n v="361"/>
    <n v="1129"/>
    <n v="55.6"/>
    <n v="100"/>
    <n v="0"/>
    <n v="138"/>
    <n v="738"/>
  </r>
  <r>
    <s v="Nord Kivu"/>
    <x v="1"/>
    <x v="11"/>
    <s v=" Bujovu"/>
    <n v="42154"/>
    <n v="1471.1746000000001"/>
    <n v="1686.16"/>
    <n v="1225.9788333333333"/>
    <n v="1405.1333333333334"/>
    <n v="1805"/>
    <n v="446"/>
    <n v="1650"/>
    <n v="1541"/>
    <n v="1434"/>
    <n v="1800"/>
    <n v="1654"/>
    <n v="1560"/>
    <n v="1791"/>
    <n v="1663"/>
    <n v="1560"/>
    <n v="1719"/>
    <n v="1574"/>
    <n v="1466"/>
    <n v="1443"/>
    <n v="45"/>
    <n v="1435"/>
    <n v="1884"/>
    <n v="953"/>
    <n v="459"/>
    <n v="314"/>
    <n v="365"/>
    <n v="268"/>
    <n v="258"/>
    <n v="1205"/>
    <n v="47.2"/>
    <n v="100"/>
    <n v="0"/>
    <n v="357"/>
    <n v="1435"/>
  </r>
  <r>
    <s v="Nord Kivu"/>
    <x v="1"/>
    <x v="11"/>
    <s v=" Hebron"/>
    <n v="62965"/>
    <n v="2197.4785000000002"/>
    <n v="2518.6"/>
    <n v="1831.2320833333333"/>
    <n v="2098.833333333333"/>
    <n v="1841"/>
    <n v="345"/>
    <n v="1152"/>
    <n v="1123"/>
    <n v="1174"/>
    <n v="1093"/>
    <n v="1063"/>
    <n v="1181"/>
    <n v="1155"/>
    <n v="1124"/>
    <n v="1216"/>
    <n v="1131"/>
    <n v="1068"/>
    <n v="1189"/>
    <n v="1083"/>
    <n v="266"/>
    <n v="1094"/>
    <n v="1157"/>
    <n v="529"/>
    <n v="351"/>
    <n v="158"/>
    <n v="195"/>
    <n v="136"/>
    <n v="104"/>
    <n v="593"/>
    <n v="58.3"/>
    <n v="100"/>
    <n v="738.23208333333332"/>
    <n v="10"/>
    <n v="1083"/>
  </r>
  <r>
    <s v="Nord Kivu"/>
    <x v="1"/>
    <x v="11"/>
    <s v=" Kahembe"/>
    <n v="10422"/>
    <n v="363.7278"/>
    <n v="416.88"/>
    <n v="303.10649999999998"/>
    <n v="347.40000000000003"/>
    <n v="291"/>
    <n v="212"/>
    <n v="318"/>
    <n v="328"/>
    <n v="313"/>
    <n v="316"/>
    <n v="329"/>
    <n v="314"/>
    <n v="316"/>
    <n v="329"/>
    <n v="314"/>
    <n v="622"/>
    <n v="329"/>
    <n v="305"/>
    <n v="344"/>
    <n v="81"/>
    <n v="348"/>
    <n v="610"/>
    <n v="339"/>
    <n v="125"/>
    <n v="94"/>
    <n v="79"/>
    <n v="54"/>
    <n v="31"/>
    <n v="258"/>
    <n v="50"/>
    <n v="100"/>
    <n v="0"/>
    <n v="0"/>
    <n v="344"/>
  </r>
  <r>
    <s v="Nord Kivu"/>
    <x v="1"/>
    <x v="11"/>
    <s v=" Kasika"/>
    <n v="24733"/>
    <n v="863.18169999999998"/>
    <n v="989.32"/>
    <n v="719.31808333333333"/>
    <n v="824.43333333333339"/>
    <n v="623"/>
    <n v="326"/>
    <n v="701"/>
    <n v="678"/>
    <n v="775"/>
    <n v="701"/>
    <n v="678"/>
    <n v="775"/>
    <n v="701"/>
    <n v="678"/>
    <n v="775"/>
    <n v="600"/>
    <n v="591"/>
    <n v="679"/>
    <n v="709"/>
    <n v="84"/>
    <n v="709"/>
    <n v="775"/>
    <n v="415"/>
    <n v="227"/>
    <n v="179"/>
    <n v="151"/>
    <n v="125"/>
    <n v="51"/>
    <n v="506"/>
    <n v="54.2"/>
    <n v="100"/>
    <n v="18.318083333333334"/>
    <n v="0"/>
    <n v="709"/>
  </r>
  <r>
    <s v="Nord Kivu"/>
    <x v="1"/>
    <x v="11"/>
    <s v=" Katoyi"/>
    <n v="74569"/>
    <n v="2602.4580999999998"/>
    <n v="2982.76"/>
    <n v="2168.715083333333"/>
    <n v="2485.6333333333337"/>
    <n v="1444"/>
    <n v="630"/>
    <n v="922"/>
    <n v="847"/>
    <n v="826"/>
    <n v="945"/>
    <n v="844"/>
    <n v="828"/>
    <n v="922"/>
    <n v="847"/>
    <n v="798"/>
    <n v="941"/>
    <n v="878"/>
    <n v="865"/>
    <n v="1026"/>
    <n v="183"/>
    <n v="894"/>
    <n v="761"/>
    <n v="650"/>
    <n v="747"/>
    <n v="434"/>
    <n v="483"/>
    <n v="367"/>
    <n v="239"/>
    <n v="1523"/>
    <n v="50"/>
    <n v="100"/>
    <n v="1223.715083333333"/>
    <n v="0"/>
    <n v="894"/>
  </r>
  <r>
    <s v="Nord Kivu"/>
    <x v="1"/>
    <x v="11"/>
    <s v=" Lubango"/>
    <n v="40597"/>
    <n v="1416.8353"/>
    <n v="1623.88"/>
    <n v="1180.6960833333333"/>
    <n v="1353.2333333333336"/>
    <n v="1018"/>
    <n v="480"/>
    <n v="1077"/>
    <n v="1051"/>
    <n v="1060"/>
    <n v="1112"/>
    <n v="1085"/>
    <n v="1088"/>
    <n v="1112"/>
    <n v="1085"/>
    <n v="1088"/>
    <n v="983"/>
    <n v="958"/>
    <n v="954"/>
    <n v="1038"/>
    <n v="191"/>
    <n v="1023"/>
    <n v="1080"/>
    <n v="916"/>
    <n v="184"/>
    <n v="124"/>
    <n v="135"/>
    <n v="125"/>
    <n v="50"/>
    <n v="434"/>
    <n v="54.2"/>
    <n v="100"/>
    <n v="68.696083333333263"/>
    <n v="74"/>
    <n v="1023"/>
  </r>
  <r>
    <s v="Nord Kivu"/>
    <x v="1"/>
    <x v="11"/>
    <s v=" Mabanga"/>
    <n v="30135"/>
    <n v="1051.7115000000001"/>
    <n v="1205.4000000000001"/>
    <n v="876.4262500000001"/>
    <n v="1004.5"/>
    <n v="742"/>
    <n v="323"/>
    <n v="412"/>
    <n v="421"/>
    <n v="391"/>
    <n v="409"/>
    <n v="406"/>
    <n v="393"/>
    <n v="408"/>
    <n v="405"/>
    <n v="390"/>
    <n v="381"/>
    <n v="372"/>
    <n v="376"/>
    <n v="495"/>
    <n v="43"/>
    <n v="472"/>
    <n v="402"/>
    <n v="55"/>
    <n v="158"/>
    <n v="133"/>
    <n v="92"/>
    <n v="82"/>
    <n v="41"/>
    <n v="348"/>
    <n v="50"/>
    <n v="100"/>
    <n v="467.4262500000001"/>
    <n v="0"/>
    <n v="472"/>
  </r>
  <r>
    <s v="Nord Kivu"/>
    <x v="1"/>
    <x v="11"/>
    <s v=" Majengo"/>
    <n v="45015"/>
    <n v="1571.0235"/>
    <n v="1800.6000000000001"/>
    <n v="1309.18625"/>
    <n v="1500.5"/>
    <n v="1405"/>
    <n v="736"/>
    <n v="1258"/>
    <n v="1152"/>
    <n v="1167"/>
    <n v="1259"/>
    <n v="1157"/>
    <n v="1173"/>
    <n v="1258"/>
    <n v="1157"/>
    <n v="1166"/>
    <n v="1102"/>
    <n v="1026"/>
    <n v="994"/>
    <n v="1303"/>
    <n v="43"/>
    <n v="1197"/>
    <n v="1173"/>
    <n v="1252"/>
    <n v="377"/>
    <n v="331"/>
    <n v="215"/>
    <n v="172"/>
    <n v="113"/>
    <n v="831"/>
    <n v="56.3"/>
    <n v="100"/>
    <n v="50.186249999999973"/>
    <n v="0"/>
    <n v="1197"/>
  </r>
  <r>
    <s v="Nord Kivu"/>
    <x v="1"/>
    <x v="11"/>
    <s v=" Mugunga 3"/>
    <n v="23585"/>
    <n v="823.11649999999997"/>
    <n v="943.4"/>
    <n v="685.93041666666659"/>
    <n v="786.16666666666663"/>
    <n v="555"/>
    <n v="109"/>
    <n v="395"/>
    <n v="324"/>
    <n v="384"/>
    <n v="386"/>
    <n v="330"/>
    <n v="384"/>
    <n v="397"/>
    <n v="322"/>
    <n v="384"/>
    <n v="395"/>
    <n v="324"/>
    <n v="384"/>
    <n v="542"/>
    <n v="71"/>
    <n v="542"/>
    <n v="381"/>
    <n v="200"/>
    <n v="158"/>
    <n v="116"/>
    <n v="109"/>
    <n v="77"/>
    <n v="72"/>
    <n v="374"/>
    <n v="50"/>
    <n v="100"/>
    <n v="299.93041666666659"/>
    <n v="0"/>
    <n v="542"/>
  </r>
  <r>
    <s v="Nord Kivu"/>
    <x v="1"/>
    <x v="11"/>
    <s v=" Mugunga"/>
    <n v="28206"/>
    <n v="984.38940000000002"/>
    <n v="1128.24"/>
    <n v="820.32449999999994"/>
    <n v="940.19999999999993"/>
    <n v="5700"/>
    <n v="1284"/>
    <n v="5932"/>
    <n v="4162"/>
    <n v="4334"/>
    <n v="5906"/>
    <n v="3929"/>
    <n v="4167"/>
    <n v="5915"/>
    <n v="4020"/>
    <n v="4315"/>
    <n v="5287"/>
    <n v="3784"/>
    <n v="4023"/>
    <n v="4870"/>
    <n v="4887"/>
    <n v="1327"/>
    <n v="4693"/>
    <n v="2810"/>
    <n v="1437"/>
    <n v="877"/>
    <n v="761"/>
    <n v="566"/>
    <n v="443"/>
    <n v="2647"/>
    <n v="58.3"/>
    <n v="100"/>
    <n v="0"/>
    <n v="1036"/>
    <n v="1327"/>
  </r>
  <r>
    <s v="Nord Kivu"/>
    <x v="1"/>
    <x v="11"/>
    <s v=" Murara"/>
    <n v="15043"/>
    <n v="525.00070000000005"/>
    <n v="601.72"/>
    <n v="437.50058333333334"/>
    <n v="501.43333333333339"/>
    <n v="461"/>
    <n v="274"/>
    <n v="463"/>
    <n v="442"/>
    <n v="421"/>
    <n v="457"/>
    <n v="442"/>
    <n v="418"/>
    <n v="460"/>
    <n v="441"/>
    <n v="418"/>
    <n v="479"/>
    <n v="448"/>
    <n v="429"/>
    <n v="402"/>
    <n v="123"/>
    <n v="397"/>
    <n v="421"/>
    <n v="272"/>
    <n v="186"/>
    <n v="112"/>
    <n v="141"/>
    <n v="95"/>
    <n v="73"/>
    <n v="421"/>
    <n v="58.3"/>
    <n v="100"/>
    <n v="0"/>
    <n v="55"/>
    <n v="397"/>
  </r>
  <r>
    <s v="Nord Kivu"/>
    <x v="1"/>
    <x v="11"/>
    <s v=" Muungano Resurrection"/>
    <n v="49423"/>
    <n v="1724.8627000000001"/>
    <n v="1976.92"/>
    <n v="1437.3855833333334"/>
    <n v="1647.4333333333334"/>
    <n v="2275"/>
    <n v="1172"/>
    <n v="1774"/>
    <n v="1694"/>
    <n v="1768"/>
    <n v="1627"/>
    <n v="1515"/>
    <n v="1687"/>
    <n v="1639"/>
    <n v="1528"/>
    <n v="1653"/>
    <n v="1527"/>
    <n v="1413"/>
    <n v="1629"/>
    <n v="2030"/>
    <n v="922"/>
    <n v="2476"/>
    <n v="2259"/>
    <n v="1055"/>
    <n v="795"/>
    <n v="510"/>
    <n v="476"/>
    <n v="272"/>
    <n v="253"/>
    <n v="1511"/>
    <n v="52.1"/>
    <n v="100"/>
    <n v="0"/>
    <n v="0"/>
    <n v="2030"/>
  </r>
  <r>
    <s v="Nord Kivu"/>
    <x v="1"/>
    <x v="11"/>
    <s v=" Muungano Solidarité"/>
    <n v="14601"/>
    <n v="509.57490000000001"/>
    <n v="584.04"/>
    <n v="424.64575000000002"/>
    <n v="486.69999999999993"/>
    <n v="738"/>
    <n v="637"/>
    <n v="437"/>
    <n v="386"/>
    <n v="397"/>
    <n v="420"/>
    <n v="398"/>
    <n v="416"/>
    <n v="385"/>
    <n v="392"/>
    <n v="398"/>
    <n v="445"/>
    <n v="398"/>
    <n v="425"/>
    <n v="441"/>
    <n v="70"/>
    <n v="433"/>
    <n v="396"/>
    <n v="166"/>
    <n v="188"/>
    <n v="138"/>
    <n v="128"/>
    <n v="102"/>
    <n v="113"/>
    <n v="481"/>
    <n v="58.3"/>
    <n v="100"/>
    <n v="4.6457500000000209"/>
    <n v="0"/>
    <n v="433"/>
  </r>
  <r>
    <s v="Nord Kivu"/>
    <x v="1"/>
    <x v="11"/>
    <s v=" Méthodiste Unis de Majengo"/>
    <n v="27464"/>
    <n v="958.49360000000001"/>
    <n v="1098.56"/>
    <n v="798.7446666666666"/>
    <n v="915.4666666666667"/>
    <n v="1955"/>
    <n v="725"/>
    <n v="1604"/>
    <n v="1506"/>
    <n v="1181"/>
    <n v="1535"/>
    <n v="1507"/>
    <n v="1186"/>
    <n v="1604"/>
    <n v="1686"/>
    <n v="1781"/>
    <n v="1604"/>
    <n v="1424"/>
    <n v="883"/>
    <n v="2329"/>
    <s v=""/>
    <n v="2317"/>
    <n v="1249"/>
    <n v="635"/>
    <n v="1907"/>
    <n v="1609"/>
    <n v="1416"/>
    <n v="1249"/>
    <n v="161"/>
    <n v="4435"/>
    <n v="50"/>
    <n v="100"/>
    <n v="0"/>
    <n v="0"/>
    <n v="2317"/>
  </r>
  <r>
    <s v="Nord Kivu"/>
    <x v="1"/>
    <x v="11"/>
    <s v=" Ndosho"/>
    <n v="26378"/>
    <n v="920.59220000000005"/>
    <n v="1055.1200000000001"/>
    <n v="767.16016666666678"/>
    <n v="879.26666666666677"/>
    <n v="962"/>
    <n v="697"/>
    <n v="1127"/>
    <n v="1052"/>
    <n v="1015"/>
    <n v="1121"/>
    <n v="1052"/>
    <n v="1015"/>
    <n v="1127"/>
    <n v="1050"/>
    <n v="1015"/>
    <n v="1127"/>
    <n v="1052"/>
    <n v="1018"/>
    <n v="977"/>
    <n v="186"/>
    <n v="998"/>
    <n v="1007"/>
    <n v="493"/>
    <n v="515"/>
    <n v="349"/>
    <n v="257"/>
    <n v="212"/>
    <n v="134"/>
    <n v="952"/>
    <n v="50"/>
    <n v="100"/>
    <n v="0"/>
    <n v="144"/>
    <n v="977"/>
  </r>
  <r>
    <s v="Nord Kivu"/>
    <x v="1"/>
    <x v="11"/>
    <s v=" Rapha"/>
    <n v="33524"/>
    <n v="1169.9875999999999"/>
    <n v="1340.96"/>
    <n v="974.98966666666661"/>
    <n v="1117.4666666666667"/>
    <n v="772"/>
    <n v="426"/>
    <n v="472"/>
    <n v="486"/>
    <n v="517"/>
    <n v="504"/>
    <n v="493"/>
    <n v="483"/>
    <n v="451"/>
    <n v="461"/>
    <n v="467"/>
    <n v="455"/>
    <n v="455"/>
    <n v="456"/>
    <n v="666"/>
    <n v="68"/>
    <n v="581"/>
    <n v="632"/>
    <n v="150"/>
    <n v="257"/>
    <n v="165"/>
    <n v="176"/>
    <n v="101"/>
    <n v="87"/>
    <n v="529"/>
    <n v="52.8"/>
    <n v="100"/>
    <n v="470.98966666666661"/>
    <n v="0"/>
    <n v="581"/>
  </r>
  <r>
    <s v="Nord Kivu"/>
    <x v="1"/>
    <x v="11"/>
    <s v=" Virunga"/>
    <n v="26719"/>
    <n v="932.49310000000003"/>
    <n v="1068.76"/>
    <n v="777.07758333333334"/>
    <n v="890.63333333333333"/>
    <n v="1168"/>
    <n v="917"/>
    <n v="627"/>
    <n v="515"/>
    <n v="652"/>
    <n v="667"/>
    <n v="515"/>
    <n v="652"/>
    <n v="1294"/>
    <n v="505"/>
    <n v="648"/>
    <n v="585"/>
    <n v="428"/>
    <n v="558"/>
    <n v="712"/>
    <n v="79"/>
    <n v="710"/>
    <n v="697"/>
    <n v="391"/>
    <n v="363"/>
    <n v="212"/>
    <n v="213"/>
    <n v="151"/>
    <n v="140"/>
    <n v="716"/>
    <n v="50"/>
    <n v="100"/>
    <n v="110.07758333333334"/>
    <n v="0"/>
    <n v="710"/>
  </r>
  <r>
    <s v="Nord Kivu"/>
    <x v="1"/>
    <x v="12"/>
    <s v=" Bihambwe"/>
    <n v="26266"/>
    <n v="916.68340000000001"/>
    <n v="1050.6400000000001"/>
    <n v="763.90283333333332"/>
    <n v="875.53333333333342"/>
    <n v="779"/>
    <n v="239"/>
    <n v="859"/>
    <n v="731"/>
    <n v="815"/>
    <n v="1037"/>
    <n v="940"/>
    <n v="966"/>
    <n v="1037"/>
    <n v="916"/>
    <n v="966"/>
    <n v="980"/>
    <n v="913"/>
    <n v="982"/>
    <n v="909"/>
    <n v="724"/>
    <n v="755"/>
    <n v="683"/>
    <n v="757"/>
    <n v="190"/>
    <n v="119"/>
    <n v="87"/>
    <n v="87"/>
    <n v="80"/>
    <n v="373"/>
    <n v="58.3"/>
    <n v="100"/>
    <n v="0"/>
    <n v="128"/>
    <n v="755"/>
  </r>
  <r>
    <s v="Nord Kivu"/>
    <x v="1"/>
    <x v="12"/>
    <s v=" Biolo"/>
    <n v="10509"/>
    <n v="366.76409999999998"/>
    <n v="420.36"/>
    <n v="305.63675000000001"/>
    <n v="350.3"/>
    <n v="360"/>
    <n v="266"/>
    <n v="336"/>
    <n v="323"/>
    <n v="327"/>
    <n v="374"/>
    <n v="359"/>
    <n v="365"/>
    <n v="375"/>
    <n v="359"/>
    <n v="365"/>
    <n v="362"/>
    <n v="352"/>
    <n v="354"/>
    <n v="317"/>
    <n v="609"/>
    <n v="325"/>
    <n v="319"/>
    <n v="489"/>
    <n v="242"/>
    <n v="206"/>
    <n v="177"/>
    <n v="149"/>
    <n v="129"/>
    <n v="661"/>
    <n v="58.3"/>
    <n v="100"/>
    <n v="0"/>
    <n v="57"/>
    <n v="317"/>
  </r>
  <r>
    <s v="Nord Kivu"/>
    <x v="1"/>
    <x v="12"/>
    <s v=" Bitoyi"/>
    <n v="8661"/>
    <n v="302.26890000000003"/>
    <n v="346.44"/>
    <n v="251.89075000000003"/>
    <n v="288.7"/>
    <n v="326"/>
    <n v="170"/>
    <n v="256"/>
    <n v="210"/>
    <n v="233"/>
    <n v="276"/>
    <n v="231"/>
    <n v="253"/>
    <n v="255"/>
    <n v="215"/>
    <n v="232"/>
    <n v="263"/>
    <n v="240"/>
    <n v="263"/>
    <n v="266"/>
    <n v="146"/>
    <n v="317"/>
    <n v="243"/>
    <n v="181"/>
    <n v="231"/>
    <n v="171"/>
    <n v="141"/>
    <n v="113"/>
    <n v="80"/>
    <n v="505"/>
    <n v="58.3"/>
    <n v="100"/>
    <n v="0"/>
    <n v="10"/>
    <n v="266"/>
  </r>
  <r>
    <s v="Nord Kivu"/>
    <x v="1"/>
    <x v="12"/>
    <s v=" Bukuba"/>
    <n v="26056"/>
    <n v="909.35440000000006"/>
    <n v="1042.24"/>
    <n v="757.79533333333336"/>
    <n v="868.53333333333342"/>
    <n v="806"/>
    <n v="590"/>
    <n v="773"/>
    <n v="750"/>
    <n v="709"/>
    <n v="763"/>
    <n v="781"/>
    <n v="767"/>
    <n v="802"/>
    <n v="775"/>
    <n v="824"/>
    <n v="847"/>
    <n v="767"/>
    <n v="741"/>
    <n v="887"/>
    <n v="877"/>
    <n v="842"/>
    <n v="812"/>
    <n v="805"/>
    <n v="114"/>
    <n v="151"/>
    <n v="141"/>
    <n v="113"/>
    <n v="119"/>
    <n v="524"/>
    <n v="50"/>
    <n v="100"/>
    <n v="0"/>
    <n v="0"/>
    <n v="842"/>
  </r>
  <r>
    <s v="Nord Kivu"/>
    <x v="1"/>
    <x v="12"/>
    <s v=" Bukumbirire"/>
    <n v="37700"/>
    <n v="1315.73"/>
    <n v="1508"/>
    <n v="1096.4416666666666"/>
    <n v="1256.6666666666667"/>
    <n v="1343"/>
    <n v="522"/>
    <n v="1134"/>
    <n v="1133"/>
    <n v="1154"/>
    <n v="1134"/>
    <n v="1133"/>
    <n v="1154"/>
    <n v="1134"/>
    <n v="1133"/>
    <n v="1154"/>
    <n v="1134"/>
    <n v="1113"/>
    <n v="1121"/>
    <n v="1091"/>
    <n v="772"/>
    <n v="1091"/>
    <n v="737"/>
    <n v="1054"/>
    <n v="749"/>
    <n v="577"/>
    <n v="300"/>
    <n v="229"/>
    <n v="186"/>
    <n v="1292"/>
    <n v="58.3"/>
    <n v="100"/>
    <n v="0"/>
    <n v="43"/>
    <n v="1091"/>
  </r>
  <r>
    <s v="Nord Kivu"/>
    <x v="1"/>
    <x v="12"/>
    <s v=" Kachihembe"/>
    <n v="21024"/>
    <n v="733.73760000000004"/>
    <n v="840.96"/>
    <n v="611.44800000000009"/>
    <n v="700.8"/>
    <n v="691"/>
    <n v="362"/>
    <n v="886"/>
    <n v="931"/>
    <n v="805"/>
    <n v="812"/>
    <n v="939"/>
    <n v="775"/>
    <n v="954"/>
    <n v="959"/>
    <n v="959"/>
    <n v="1259"/>
    <n v="1274"/>
    <n v="1199"/>
    <n v="882"/>
    <n v="853"/>
    <n v="926"/>
    <n v="948"/>
    <n v="1011"/>
    <n v="139"/>
    <n v="91"/>
    <n v="97"/>
    <n v="94"/>
    <n v="79"/>
    <n v="361"/>
    <n v="100"/>
    <n v="100"/>
    <n v="0"/>
    <n v="0"/>
    <n v="882"/>
  </r>
  <r>
    <s v="Nord Kivu"/>
    <x v="1"/>
    <x v="12"/>
    <s v=" Kasake"/>
    <n v="19125"/>
    <n v="667.46249999999998"/>
    <n v="765"/>
    <n v="556.21875"/>
    <n v="637.5"/>
    <n v="623"/>
    <n v="203"/>
    <n v="521"/>
    <n v="389"/>
    <n v="421"/>
    <n v="708"/>
    <n v="595"/>
    <n v="661"/>
    <n v="708"/>
    <n v="595"/>
    <n v="661"/>
    <n v="660"/>
    <n v="565"/>
    <n v="561"/>
    <n v="590"/>
    <n v="467"/>
    <n v="574"/>
    <n v="661"/>
    <n v="595"/>
    <n v="191"/>
    <n v="122"/>
    <n v="192"/>
    <n v="111"/>
    <n v="99"/>
    <n v="524"/>
    <n v="58.3"/>
    <n v="100"/>
    <n v="0"/>
    <n v="118"/>
    <n v="574"/>
  </r>
  <r>
    <s v="Nord Kivu"/>
    <x v="1"/>
    <x v="12"/>
    <s v=" Kashovu"/>
    <n v="9720"/>
    <n v="339.22800000000001"/>
    <n v="388.8"/>
    <n v="282.69"/>
    <n v="324"/>
    <n v="379"/>
    <n v="94"/>
    <n v="282"/>
    <n v="257"/>
    <n v="294"/>
    <n v="364"/>
    <n v="319"/>
    <n v="327"/>
    <n v="364"/>
    <n v="301"/>
    <n v="339"/>
    <n v="283"/>
    <n v="321"/>
    <n v="381"/>
    <n v="283"/>
    <n v="140"/>
    <n v="244"/>
    <n v="309"/>
    <n v="408"/>
    <n v="132"/>
    <n v="88"/>
    <n v="56"/>
    <n v="40"/>
    <n v="21"/>
    <n v="205"/>
    <n v="41.7"/>
    <n v="100"/>
    <n v="0"/>
    <n v="81"/>
    <n v="244"/>
  </r>
  <r>
    <s v="Nord Kivu"/>
    <x v="1"/>
    <x v="12"/>
    <s v=" Kasinga"/>
    <n v="9281"/>
    <n v="323.90690000000001"/>
    <n v="371.24"/>
    <n v="269.92241666666666"/>
    <n v="309.36666666666667"/>
    <n v="401"/>
    <n v="221"/>
    <n v="322"/>
    <n v="301"/>
    <n v="292"/>
    <n v="384"/>
    <n v="361"/>
    <n v="351"/>
    <n v="384"/>
    <n v="361"/>
    <n v="351"/>
    <n v="331"/>
    <n v="311"/>
    <n v="303"/>
    <n v="293"/>
    <n v="222"/>
    <n v="314"/>
    <n v="185"/>
    <n v="327"/>
    <n v="159"/>
    <n v="156"/>
    <n v="92"/>
    <n v="46"/>
    <n v="42"/>
    <n v="336"/>
    <n v="58.3"/>
    <n v="100"/>
    <n v="0"/>
    <n v="91"/>
    <n v="293"/>
  </r>
  <r>
    <s v="Nord Kivu"/>
    <x v="1"/>
    <x v="12"/>
    <s v=" Katovu"/>
    <n v="18232"/>
    <n v="636.29679999999996"/>
    <n v="729.28"/>
    <n v="530.24733333333324"/>
    <n v="607.73333333333335"/>
    <n v="627"/>
    <n v="324"/>
    <n v="380"/>
    <n v="369"/>
    <n v="365"/>
    <n v="569"/>
    <n v="552"/>
    <n v="541"/>
    <n v="553"/>
    <n v="531"/>
    <n v="521"/>
    <n v="558"/>
    <n v="646"/>
    <n v="757"/>
    <n v="564"/>
    <n v="426"/>
    <n v="583"/>
    <n v="495"/>
    <n v="761"/>
    <n v="218"/>
    <n v="153"/>
    <n v="112"/>
    <n v="103"/>
    <n v="125"/>
    <n v="493"/>
    <n v="58.3"/>
    <n v="100"/>
    <n v="0"/>
    <n v="5"/>
    <n v="564"/>
  </r>
  <r>
    <s v="Nord Kivu"/>
    <x v="1"/>
    <x v="12"/>
    <s v=" Katoyi"/>
    <n v="19170"/>
    <n v="669.03300000000002"/>
    <n v="766.80000000000007"/>
    <n v="557.52750000000003"/>
    <n v="639"/>
    <n v="747"/>
    <n v="439"/>
    <n v="632"/>
    <n v="625"/>
    <n v="619"/>
    <n v="642"/>
    <n v="627"/>
    <n v="620"/>
    <n v="642"/>
    <n v="629"/>
    <n v="621"/>
    <n v="753"/>
    <n v="717"/>
    <n v="677"/>
    <n v="699"/>
    <n v="933"/>
    <n v="574"/>
    <n v="621"/>
    <n v="742"/>
    <n v="391"/>
    <n v="241"/>
    <n v="145"/>
    <n v="93"/>
    <n v="83"/>
    <n v="562"/>
    <n v="58.3"/>
    <n v="100"/>
    <n v="0"/>
    <n v="0"/>
    <n v="574"/>
  </r>
  <r>
    <s v="Nord Kivu"/>
    <x v="1"/>
    <x v="12"/>
    <s v=" Katuunda"/>
    <n v="15273"/>
    <n v="533.02769999999998"/>
    <n v="610.91999999999996"/>
    <n v="444.18974999999995"/>
    <n v="509.09999999999997"/>
    <n v="445"/>
    <n v="197"/>
    <n v="614"/>
    <n v="507"/>
    <n v="585"/>
    <n v="753"/>
    <n v="580"/>
    <n v="658"/>
    <n v="753"/>
    <n v="581"/>
    <n v="657"/>
    <n v="697"/>
    <n v="525"/>
    <n v="602"/>
    <n v="450"/>
    <n v="304"/>
    <n v="495"/>
    <n v="474"/>
    <n v="313"/>
    <n v="603"/>
    <n v="235"/>
    <n v="156"/>
    <n v="76"/>
    <n v="26"/>
    <n v="493"/>
    <n v="100"/>
    <n v="100"/>
    <n v="0"/>
    <n v="303"/>
    <n v="450"/>
  </r>
  <r>
    <s v="Nord Kivu"/>
    <x v="1"/>
    <x v="12"/>
    <s v=" Kibabi"/>
    <n v="30603"/>
    <n v="1068.0446999999999"/>
    <n v="1224.1200000000001"/>
    <n v="890.03724999999986"/>
    <n v="1020.1"/>
    <n v="949"/>
    <n v="659"/>
    <n v="805"/>
    <n v="794"/>
    <n v="789"/>
    <n v="866"/>
    <n v="853"/>
    <n v="857"/>
    <n v="859"/>
    <n v="850"/>
    <n v="854"/>
    <n v="967"/>
    <n v="832"/>
    <n v="849"/>
    <n v="977"/>
    <n v="1001"/>
    <n v="902"/>
    <n v="1076"/>
    <n v="1320"/>
    <n v="337"/>
    <n v="302"/>
    <n v="313"/>
    <n v="139"/>
    <n v="331"/>
    <n v="1085"/>
    <n v="100"/>
    <n v="100"/>
    <n v="24.037249999999858"/>
    <n v="0"/>
    <n v="902"/>
  </r>
  <r>
    <s v="Nord Kivu"/>
    <x v="1"/>
    <x v="12"/>
    <s v=" Kikoma"/>
    <n v="16069"/>
    <n v="560.80809999999997"/>
    <n v="642.76"/>
    <n v="467.34008333333327"/>
    <n v="535.63333333333333"/>
    <n v="316"/>
    <n v="239"/>
    <n v="441"/>
    <n v="438"/>
    <n v="437"/>
    <n v="472"/>
    <n v="465"/>
    <n v="467"/>
    <n v="474"/>
    <n v="466"/>
    <n v="472"/>
    <n v="420"/>
    <n v="423"/>
    <n v="421"/>
    <n v="522"/>
    <n v="406"/>
    <n v="491"/>
    <n v="414"/>
    <n v="490"/>
    <n v="182"/>
    <n v="194"/>
    <n v="138"/>
    <n v="125"/>
    <n v="120"/>
    <n v="577"/>
    <n v="58.3"/>
    <n v="100"/>
    <n v="0"/>
    <n v="0"/>
    <n v="491"/>
  </r>
  <r>
    <s v="Nord Kivu"/>
    <x v="1"/>
    <x v="12"/>
    <s v=" Kinigi"/>
    <n v="24835"/>
    <n v="866.74149999999997"/>
    <n v="993.4"/>
    <n v="722.28458333333333"/>
    <n v="827.83333333333326"/>
    <n v="1042"/>
    <n v="601"/>
    <n v="807"/>
    <n v="787"/>
    <n v="769"/>
    <n v="810"/>
    <n v="779"/>
    <n v="767"/>
    <n v="817"/>
    <n v="784"/>
    <n v="769"/>
    <n v="797"/>
    <n v="774"/>
    <n v="759"/>
    <n v="825"/>
    <n v="686"/>
    <n v="747"/>
    <n v="721"/>
    <n v="681"/>
    <n v="271"/>
    <n v="226"/>
    <n v="200"/>
    <n v="174"/>
    <n v="162"/>
    <n v="762"/>
    <n v="58.3"/>
    <n v="100"/>
    <n v="0"/>
    <n v="0"/>
    <n v="747"/>
  </r>
  <r>
    <s v="Nord Kivu"/>
    <x v="1"/>
    <x v="12"/>
    <s v=" Kirambo"/>
    <n v="11766"/>
    <n v="410.63339999999999"/>
    <n v="470.64"/>
    <n v="342.19450000000001"/>
    <n v="392.2"/>
    <n v="336"/>
    <n v="164"/>
    <n v="306"/>
    <n v="329"/>
    <n v="300"/>
    <n v="376"/>
    <n v="355"/>
    <n v="368"/>
    <n v="360"/>
    <n v="349"/>
    <n v="351"/>
    <n v="559"/>
    <n v="451"/>
    <n v="475"/>
    <n v="337"/>
    <n v="389"/>
    <n v="386"/>
    <n v="356"/>
    <n v="364"/>
    <n v="72"/>
    <n v="74"/>
    <n v="69"/>
    <n v="73"/>
    <n v="56"/>
    <n v="272"/>
    <n v="58.3"/>
    <n v="100"/>
    <n v="0"/>
    <n v="39"/>
    <n v="337"/>
  </r>
  <r>
    <s v="Nord Kivu"/>
    <x v="1"/>
    <x v="12"/>
    <s v=" Kiruli"/>
    <n v="10519"/>
    <n v="367.11310000000003"/>
    <n v="420.76"/>
    <n v="305.92758333333336"/>
    <n v="350.63333333333333"/>
    <n v="329"/>
    <n v="202"/>
    <n v="280"/>
    <n v="274"/>
    <n v="272"/>
    <n v="300"/>
    <n v="289"/>
    <n v="289"/>
    <n v="300"/>
    <n v="289"/>
    <n v="289"/>
    <n v="330"/>
    <n v="313"/>
    <n v="296"/>
    <n v="292"/>
    <n v="354"/>
    <n v="292"/>
    <n v="272"/>
    <n v="338"/>
    <n v="108"/>
    <n v="106"/>
    <n v="126"/>
    <n v="116"/>
    <n v="184"/>
    <n v="532"/>
    <n v="58.3"/>
    <n v="100"/>
    <n v="5.9275833333333594"/>
    <n v="8"/>
    <n v="292"/>
  </r>
  <r>
    <s v="Nord Kivu"/>
    <x v="1"/>
    <x v="12"/>
    <s v=" Mangere"/>
    <n v="7734"/>
    <n v="269.91660000000002"/>
    <n v="309.36"/>
    <n v="224.93049999999999"/>
    <n v="257.8"/>
    <n v="265"/>
    <n v="148"/>
    <n v="185"/>
    <n v="154"/>
    <n v="167"/>
    <n v="335"/>
    <n v="250"/>
    <n v="333"/>
    <n v="319"/>
    <n v="223"/>
    <n v="331"/>
    <n v="231"/>
    <n v="160"/>
    <n v="234"/>
    <n v="286"/>
    <n v="205"/>
    <n v="331"/>
    <n v="273"/>
    <n v="210"/>
    <n v="79"/>
    <n v="62"/>
    <n v="55"/>
    <n v="37"/>
    <n v="20"/>
    <n v="174"/>
    <n v="58.3"/>
    <n v="100"/>
    <n v="0"/>
    <n v="49"/>
    <n v="286"/>
  </r>
  <r>
    <s v="Nord Kivu"/>
    <x v="1"/>
    <x v="12"/>
    <s v=" Nihima"/>
    <n v="9888"/>
    <n v="345.09120000000001"/>
    <n v="395.52"/>
    <n v="287.57600000000002"/>
    <n v="329.6"/>
    <n v="224"/>
    <n v="230"/>
    <n v="291"/>
    <n v="299"/>
    <n v="289"/>
    <n v="305"/>
    <n v="294"/>
    <n v="292"/>
    <n v="299"/>
    <n v="308"/>
    <n v="304"/>
    <n v="297"/>
    <n v="288"/>
    <n v="341"/>
    <n v="294"/>
    <n v="480"/>
    <n v="324"/>
    <n v="239"/>
    <n v="489"/>
    <n v="118"/>
    <n v="106"/>
    <n v="93"/>
    <n v="75"/>
    <n v="61"/>
    <n v="335"/>
    <n v="58.3"/>
    <n v="100"/>
    <n v="0"/>
    <n v="11"/>
    <n v="294"/>
  </r>
  <r>
    <s v="Nord Kivu"/>
    <x v="1"/>
    <x v="12"/>
    <s v=" Nyambisi"/>
    <n v="14524"/>
    <n v="506.88760000000002"/>
    <n v="580.96"/>
    <n v="422.40633333333335"/>
    <n v="484.13333333333333"/>
    <n v="487"/>
    <n v="417"/>
    <n v="494"/>
    <n v="476"/>
    <n v="451"/>
    <n v="498"/>
    <n v="482"/>
    <n v="455"/>
    <n v="498"/>
    <n v="482"/>
    <n v="455"/>
    <n v="493"/>
    <n v="429"/>
    <n v="425"/>
    <n v="418"/>
    <n v="493"/>
    <n v="454"/>
    <n v="424"/>
    <n v="455"/>
    <n v="185"/>
    <n v="147"/>
    <n v="87"/>
    <n v="50"/>
    <n v="10"/>
    <n v="294"/>
    <n v="58.3"/>
    <n v="100"/>
    <n v="0"/>
    <n v="80"/>
    <n v="418"/>
  </r>
  <r>
    <s v="Nord Kivu"/>
    <x v="1"/>
    <x v="12"/>
    <s v=" Nyandeki"/>
    <n v="9476"/>
    <n v="330.7124"/>
    <n v="379.04"/>
    <n v="275.59366666666665"/>
    <n v="315.86666666666667"/>
    <n v="389"/>
    <n v="230"/>
    <n v="305"/>
    <n v="283"/>
    <n v="296"/>
    <n v="313"/>
    <n v="359"/>
    <n v="349"/>
    <n v="275"/>
    <n v="304"/>
    <n v="304"/>
    <n v="347"/>
    <n v="359"/>
    <n v="329"/>
    <n v="297"/>
    <n v="513"/>
    <n v="263"/>
    <n v="290"/>
    <n v="383"/>
    <n v="152"/>
    <n v="128"/>
    <n v="83"/>
    <n v="58"/>
    <n v="53"/>
    <n v="322"/>
    <n v="58.3"/>
    <n v="100"/>
    <n v="0"/>
    <n v="16"/>
    <n v="263"/>
  </r>
  <r>
    <s v="Nord Kivu"/>
    <x v="1"/>
    <x v="12"/>
    <s v=" Ufamandu"/>
    <n v="26714"/>
    <n v="932.31860000000006"/>
    <n v="1068.56"/>
    <n v="776.93216666666672"/>
    <n v="890.4666666666667"/>
    <n v="881"/>
    <n v="607"/>
    <n v="768"/>
    <n v="747"/>
    <n v="734"/>
    <n v="830"/>
    <n v="828"/>
    <n v="814"/>
    <n v="792"/>
    <n v="861"/>
    <n v="798"/>
    <n v="1245"/>
    <n v="1193"/>
    <n v="1120"/>
    <n v="787"/>
    <n v="853"/>
    <n v="771"/>
    <n v="822"/>
    <n v="1177"/>
    <n v="259"/>
    <n v="221"/>
    <n v="213"/>
    <n v="187"/>
    <n v="227"/>
    <n v="848"/>
    <n v="58.3"/>
    <n v="100"/>
    <n v="0"/>
    <n v="43"/>
    <n v="771"/>
  </r>
  <r>
    <s v="Nord Kivu"/>
    <x v="0"/>
    <x v="13"/>
    <s v=" Irangya"/>
    <n v="24318"/>
    <n v="848.69820000000004"/>
    <n v="972.72"/>
    <n v="707.24850000000004"/>
    <n v="810.6"/>
    <n v="749"/>
    <n v="361"/>
    <n v="903"/>
    <n v="787"/>
    <n v="854"/>
    <n v="833"/>
    <n v="729"/>
    <n v="791"/>
    <n v="833"/>
    <n v="729"/>
    <n v="791"/>
    <n v="791"/>
    <n v="691"/>
    <n v="741"/>
    <n v="857"/>
    <n v="414"/>
    <n v="857"/>
    <n v="854"/>
    <n v="804"/>
    <n v="705"/>
    <n v="560"/>
    <n v="244"/>
    <n v="115"/>
    <n v="56"/>
    <n v="975"/>
    <n v="58.3"/>
    <n v="100"/>
    <n v="0"/>
    <n v="0"/>
    <n v="857"/>
  </r>
  <r>
    <s v="Nord Kivu"/>
    <x v="0"/>
    <x v="13"/>
    <s v=" Kambuli"/>
    <n v="13508"/>
    <n v="471.42919999999998"/>
    <n v="540.32000000000005"/>
    <n v="392.85766666666666"/>
    <n v="450.26666666666671"/>
    <n v="347"/>
    <n v="126"/>
    <n v="528"/>
    <n v="445"/>
    <n v="501"/>
    <n v="508"/>
    <n v="437"/>
    <n v="451"/>
    <n v="503"/>
    <n v="410"/>
    <n v="425"/>
    <n v="544"/>
    <n v="438"/>
    <n v="478"/>
    <n v="442"/>
    <n v="93"/>
    <n v="446"/>
    <n v="563"/>
    <n v="436"/>
    <n v="231"/>
    <n v="163"/>
    <n v="56"/>
    <n v="21"/>
    <n v="10"/>
    <n v="250"/>
    <n v="58.3"/>
    <n v="100"/>
    <n v="0"/>
    <n v="66"/>
    <n v="442"/>
  </r>
  <r>
    <s v="Nord Kivu"/>
    <x v="0"/>
    <x v="13"/>
    <s v=" Kihinga"/>
    <n v="14710"/>
    <n v="513.37900000000002"/>
    <n v="588.4"/>
    <n v="427.81583333333339"/>
    <n v="490.33333333333331"/>
    <n v="355"/>
    <n v="104"/>
    <n v="484"/>
    <n v="393"/>
    <n v="423"/>
    <n v="396"/>
    <n v="343"/>
    <n v="375"/>
    <n v="444"/>
    <n v="393"/>
    <n v="423"/>
    <n v="439"/>
    <n v="367"/>
    <n v="416"/>
    <n v="452"/>
    <n v="159"/>
    <n v="427"/>
    <n v="426"/>
    <n v="432"/>
    <n v="255"/>
    <n v="123"/>
    <n v="86"/>
    <n v="39"/>
    <n v="8"/>
    <n v="256"/>
    <n v="58.3"/>
    <n v="100"/>
    <n v="31.815833333333387"/>
    <n v="0"/>
    <n v="427"/>
  </r>
  <r>
    <s v="Nord Kivu"/>
    <x v="0"/>
    <x v="13"/>
    <s v=" Kivika"/>
    <n v="22166"/>
    <n v="773.59339999999997"/>
    <n v="886.64"/>
    <n v="644.66116666666665"/>
    <n v="738.86666666666667"/>
    <n v="606"/>
    <n v="210"/>
    <n v="615"/>
    <n v="532"/>
    <n v="598"/>
    <n v="614"/>
    <n v="628"/>
    <n v="596"/>
    <n v="600"/>
    <n v="594"/>
    <n v="575"/>
    <n v="563"/>
    <n v="548"/>
    <n v="524"/>
    <n v="644"/>
    <n v="180"/>
    <n v="506"/>
    <n v="545"/>
    <n v="587"/>
    <n v="236"/>
    <n v="196"/>
    <n v="34"/>
    <n v="31"/>
    <n v="21"/>
    <n v="282"/>
    <n v="58.3"/>
    <n v="100"/>
    <n v="30.661166666666645"/>
    <n v="0"/>
    <n v="506"/>
  </r>
  <r>
    <s v="Nord Kivu"/>
    <x v="0"/>
    <x v="13"/>
    <s v=" Kyaghala  "/>
    <n v="24251"/>
    <n v="846.35990000000004"/>
    <n v="970.04"/>
    <n v="705.29991666666672"/>
    <n v="808.36666666666656"/>
    <n v="866"/>
    <n v="481"/>
    <n v="797"/>
    <n v="715"/>
    <n v="740"/>
    <n v="1179"/>
    <n v="1007"/>
    <n v="1918"/>
    <n v="1211"/>
    <n v="1061"/>
    <n v="1154"/>
    <n v="1201"/>
    <n v="1035"/>
    <n v="1135"/>
    <n v="1013"/>
    <n v="214"/>
    <n v="1614"/>
    <n v="1376"/>
    <n v="1048"/>
    <n v="202"/>
    <n v="37"/>
    <n v="37"/>
    <n v="19"/>
    <n v="11"/>
    <n v="104"/>
    <n v="58.3"/>
    <n v="100"/>
    <n v="0"/>
    <n v="166"/>
    <n v="1013"/>
  </r>
  <r>
    <s v="Nord Kivu"/>
    <x v="0"/>
    <x v="13"/>
    <s v=" Makangala"/>
    <n v="23498"/>
    <n v="820.08019999999999"/>
    <n v="939.92000000000007"/>
    <n v="683.40016666666668"/>
    <n v="783.26666666666665"/>
    <n v="675"/>
    <n v="621"/>
    <n v="656"/>
    <n v="642"/>
    <n v="625"/>
    <n v="595"/>
    <n v="624"/>
    <n v="608"/>
    <n v="655"/>
    <n v="641"/>
    <n v="624"/>
    <n v="621"/>
    <n v="2479"/>
    <n v="583"/>
    <n v="663"/>
    <n v="91"/>
    <n v="619"/>
    <n v="625"/>
    <n v="661"/>
    <n v="256"/>
    <n v="139"/>
    <n v="52"/>
    <n v="61"/>
    <n v="56"/>
    <n v="308"/>
    <n v="50"/>
    <n v="100"/>
    <n v="88.400166666666678"/>
    <n v="0"/>
    <n v="619"/>
  </r>
  <r>
    <s v="Nord Kivu"/>
    <x v="0"/>
    <x v="13"/>
    <s v=" Makerere"/>
    <n v="20800"/>
    <n v="725.92"/>
    <n v="832"/>
    <n v="604.93333333333328"/>
    <n v="693.33333333333326"/>
    <n v="458"/>
    <n v="319"/>
    <n v="636"/>
    <n v="624"/>
    <n v="632"/>
    <n v="698"/>
    <n v="669"/>
    <n v="672"/>
    <n v="693"/>
    <n v="661"/>
    <n v="660"/>
    <n v="564"/>
    <n v="549"/>
    <n v="537"/>
    <n v="602"/>
    <n v="78"/>
    <n v="611"/>
    <n v="689"/>
    <n v="478"/>
    <n v="173"/>
    <n v="109"/>
    <n v="72"/>
    <n v="48"/>
    <n v="29"/>
    <n v="258"/>
    <n v="58.3"/>
    <n v="100"/>
    <n v="0"/>
    <n v="96"/>
    <n v="602"/>
  </r>
  <r>
    <s v="Nord Kivu"/>
    <x v="0"/>
    <x v="13"/>
    <s v=" Masiki"/>
    <n v="21993"/>
    <n v="767.5557"/>
    <n v="879.72"/>
    <n v="639.62975000000006"/>
    <n v="733.1"/>
    <n v="766"/>
    <n v="246"/>
    <n v="632"/>
    <n v="619"/>
    <n v="607"/>
    <n v="632"/>
    <n v="618"/>
    <n v="612"/>
    <n v="630"/>
    <n v="617"/>
    <n v="609"/>
    <n v="630"/>
    <n v="619"/>
    <n v="609"/>
    <n v="737"/>
    <n v="123"/>
    <n v="773"/>
    <n v="607"/>
    <n v="275"/>
    <n v="156"/>
    <n v="61"/>
    <n v="58"/>
    <n v="36"/>
    <n v="27"/>
    <n v="182"/>
    <n v="58.3"/>
    <n v="100"/>
    <n v="7.6297500000000582"/>
    <n v="0"/>
    <n v="737"/>
  </r>
  <r>
    <s v="Nord Kivu"/>
    <x v="0"/>
    <x v="13"/>
    <s v=" Masuli"/>
    <n v="31007"/>
    <n v="1082.1442999999999"/>
    <n v="1240.28"/>
    <n v="901.78691666666668"/>
    <n v="1033.5666666666666"/>
    <n v="1133"/>
    <n v="1423"/>
    <n v="923"/>
    <n v="877"/>
    <n v="885"/>
    <n v="918"/>
    <n v="872"/>
    <n v="889"/>
    <n v="918"/>
    <n v="872"/>
    <n v="889"/>
    <n v="796"/>
    <n v="779"/>
    <n v="771"/>
    <n v="893"/>
    <n v="361"/>
    <n v="893"/>
    <n v="884"/>
    <n v="893"/>
    <n v="781"/>
    <n v="514"/>
    <n v="316"/>
    <n v="112"/>
    <n v="128"/>
    <n v="1070"/>
    <n v="58.3"/>
    <n v="100"/>
    <n v="0"/>
    <n v="25"/>
    <n v="893"/>
  </r>
  <r>
    <s v="Nord Kivu"/>
    <x v="0"/>
    <x v="13"/>
    <s v=" Misebere"/>
    <n v="27321"/>
    <n v="953.50290000000007"/>
    <n v="1092.8399999999999"/>
    <n v="794.58575000000008"/>
    <n v="910.69999999999993"/>
    <n v="538"/>
    <n v="131"/>
    <n v="698"/>
    <n v="720"/>
    <n v="592"/>
    <n v="868"/>
    <n v="880"/>
    <n v="815"/>
    <n v="876"/>
    <n v="851"/>
    <n v="802"/>
    <n v="901"/>
    <n v="853"/>
    <n v="691"/>
    <n v="855"/>
    <n v="223"/>
    <n v="685"/>
    <n v="1002"/>
    <n v="783"/>
    <n v="175"/>
    <n v="81"/>
    <n v="80"/>
    <n v="49"/>
    <n v="2"/>
    <n v="212"/>
    <n v="58.3"/>
    <n v="100"/>
    <n v="0"/>
    <n v="13"/>
    <n v="685"/>
  </r>
  <r>
    <s v="Nord Kivu"/>
    <x v="0"/>
    <x v="13"/>
    <s v=" Mitoya"/>
    <n v="20127"/>
    <n v="702.43230000000005"/>
    <n v="805.08"/>
    <n v="585.36025000000006"/>
    <n v="670.90000000000009"/>
    <n v="630"/>
    <n v="377"/>
    <n v="551"/>
    <n v="463"/>
    <n v="508"/>
    <n v="531"/>
    <n v="449"/>
    <n v="494"/>
    <n v="537"/>
    <n v="447"/>
    <n v="493"/>
    <n v="537"/>
    <n v="447"/>
    <n v="486"/>
    <n v="565"/>
    <n v="157"/>
    <n v="514"/>
    <n v="512"/>
    <n v="546"/>
    <n v="328"/>
    <n v="226"/>
    <n v="142"/>
    <n v="92"/>
    <n v="84"/>
    <n v="544"/>
    <n v="58.3"/>
    <n v="100"/>
    <n v="54.360250000000065"/>
    <n v="0"/>
    <n v="514"/>
  </r>
  <r>
    <s v="Nord Kivu"/>
    <x v="0"/>
    <x v="13"/>
    <s v=" Muchanga"/>
    <n v="56001"/>
    <n v="1954.4349"/>
    <n v="2240.04"/>
    <n v="1628.6957499999999"/>
    <n v="1866.6999999999998"/>
    <n v="1400"/>
    <n v="159"/>
    <n v="1608"/>
    <n v="1586"/>
    <n v="1570"/>
    <n v="1448"/>
    <n v="1365"/>
    <n v="1375"/>
    <n v="1513"/>
    <n v="1453"/>
    <n v="1746"/>
    <n v="1351"/>
    <n v="1282"/>
    <n v="1280"/>
    <n v="1566"/>
    <n v="290"/>
    <n v="1346"/>
    <n v="1568"/>
    <n v="1560"/>
    <n v="333"/>
    <n v="492"/>
    <n v="275"/>
    <n v="183"/>
    <n v="138"/>
    <n v="1088"/>
    <n v="58.3"/>
    <n v="100"/>
    <n v="180.69574999999986"/>
    <n v="0"/>
    <n v="1346"/>
  </r>
  <r>
    <s v="Nord Kivu"/>
    <x v="0"/>
    <x v="13"/>
    <s v=" Mukuna"/>
    <n v="27732"/>
    <n v="967.84680000000003"/>
    <n v="1109.28"/>
    <n v="806.5390000000001"/>
    <n v="924.4"/>
    <n v="1010"/>
    <n v="584"/>
    <n v="736"/>
    <n v="699"/>
    <n v="747"/>
    <n v="730"/>
    <n v="693"/>
    <n v="711"/>
    <n v="721"/>
    <n v="690"/>
    <n v="710"/>
    <n v="728"/>
    <n v="689"/>
    <n v="710"/>
    <n v="794"/>
    <n v="218"/>
    <n v="702"/>
    <n v="737"/>
    <n v="791"/>
    <n v="727"/>
    <n v="255"/>
    <n v="483"/>
    <n v="201"/>
    <n v="178"/>
    <n v="1117"/>
    <n v="58.3"/>
    <n v="100"/>
    <n v="76.539000000000101"/>
    <n v="0"/>
    <n v="702"/>
  </r>
  <r>
    <s v="Nord Kivu"/>
    <x v="0"/>
    <x v="13"/>
    <s v=" Muyisa"/>
    <n v="22282"/>
    <n v="777.64179999999999"/>
    <n v="891.28"/>
    <n v="648.03483333333338"/>
    <n v="742.73333333333323"/>
    <n v="481"/>
    <n v="33"/>
    <n v="596"/>
    <n v="574"/>
    <n v="579"/>
    <n v="481"/>
    <n v="457"/>
    <n v="517"/>
    <n v="554"/>
    <n v="528"/>
    <n v="526"/>
    <n v="596"/>
    <n v="514"/>
    <n v="579"/>
    <n v="615"/>
    <n v="64"/>
    <n v="520"/>
    <n v="579"/>
    <n v="547"/>
    <n v="32"/>
    <n v="15"/>
    <n v="15"/>
    <n v="8"/>
    <n v="3"/>
    <n v="41"/>
    <n v="58.3"/>
    <n v="100"/>
    <n v="167.03483333333338"/>
    <n v="0"/>
    <n v="520"/>
  </r>
  <r>
    <s v="Nord Kivu"/>
    <x v="0"/>
    <x v="13"/>
    <s v=" Rughenda"/>
    <n v="41863"/>
    <n v="1461.0187000000001"/>
    <n v="1674.52"/>
    <n v="1217.5155833333333"/>
    <n v="1395.4333333333332"/>
    <n v="821"/>
    <n v="50"/>
    <n v="971"/>
    <n v="887"/>
    <n v="838"/>
    <n v="1124"/>
    <n v="1035"/>
    <n v="949"/>
    <n v="1089"/>
    <n v="953"/>
    <n v="1034"/>
    <n v="1072"/>
    <n v="950"/>
    <n v="981"/>
    <n v="1229"/>
    <n v="314"/>
    <n v="1060"/>
    <n v="1305"/>
    <n v="1250"/>
    <n v="250"/>
    <n v="166"/>
    <n v="114"/>
    <n v="51"/>
    <n v="38"/>
    <n v="369"/>
    <n v="58.3"/>
    <n v="100"/>
    <n v="93.515583333333325"/>
    <n v="0"/>
    <n v="1060"/>
  </r>
  <r>
    <s v="Nord Kivu"/>
    <x v="0"/>
    <x v="13"/>
    <s v=" Tulizeni"/>
    <n v="23013"/>
    <n v="803.15369999999996"/>
    <n v="920.52"/>
    <n v="669.29475000000002"/>
    <n v="767.09999999999991"/>
    <n v="653"/>
    <n v="450"/>
    <n v="615"/>
    <n v="575"/>
    <n v="599"/>
    <n v="686"/>
    <n v="644"/>
    <n v="640"/>
    <n v="684"/>
    <n v="648"/>
    <n v="670"/>
    <n v="688"/>
    <n v="646"/>
    <n v="672"/>
    <n v="689"/>
    <n v="327"/>
    <n v="731"/>
    <n v="679"/>
    <n v="689"/>
    <n v="140"/>
    <n v="48"/>
    <n v="24"/>
    <n v="4"/>
    <s v=""/>
    <n v="76"/>
    <n v="58.3"/>
    <n v="100"/>
    <n v="0"/>
    <n v="0"/>
    <n v="689"/>
  </r>
  <r>
    <s v="Nord Kivu"/>
    <x v="0"/>
    <x v="13"/>
    <s v=" Vighole"/>
    <n v="32099"/>
    <n v="1120.2551000000001"/>
    <n v="1283.96"/>
    <n v="933.54591666666681"/>
    <n v="1069.9666666666667"/>
    <n v="1005"/>
    <n v="93"/>
    <n v="1086"/>
    <n v="1076"/>
    <n v="971"/>
    <n v="1152"/>
    <n v="1095"/>
    <n v="1184"/>
    <n v="1188"/>
    <n v="1112"/>
    <n v="1067"/>
    <n v="1197"/>
    <n v="1064"/>
    <n v="1025"/>
    <n v="1060"/>
    <n v="112"/>
    <n v="891"/>
    <n v="1165"/>
    <n v="1060"/>
    <n v="427"/>
    <n v="273"/>
    <n v="79"/>
    <n v="20"/>
    <n v="4"/>
    <n v="376"/>
    <n v="58.3"/>
    <n v="100"/>
    <n v="0"/>
    <n v="92"/>
    <n v="891"/>
  </r>
  <r>
    <s v="Nord Kivu"/>
    <x v="0"/>
    <x v="13"/>
    <s v=" Vuhika"/>
    <n v="28278"/>
    <n v="986.90219999999999"/>
    <n v="1131.1200000000001"/>
    <n v="822.41849999999999"/>
    <n v="942.6"/>
    <n v="785"/>
    <n v="436"/>
    <n v="982"/>
    <n v="847"/>
    <n v="825"/>
    <n v="833"/>
    <n v="761"/>
    <n v="805"/>
    <n v="893"/>
    <n v="783"/>
    <n v="787"/>
    <n v="770"/>
    <n v="676"/>
    <n v="650"/>
    <n v="869"/>
    <n v="286"/>
    <n v="819"/>
    <n v="826"/>
    <n v="803"/>
    <n v="236"/>
    <n v="171"/>
    <n v="220"/>
    <n v="94"/>
    <n v="92"/>
    <n v="577"/>
    <n v="58.3"/>
    <n v="100"/>
    <n v="0"/>
    <n v="0"/>
    <n v="819"/>
  </r>
  <r>
    <s v="Nord Kivu"/>
    <x v="0"/>
    <x v="13"/>
    <s v=" Vungi"/>
    <n v="18159"/>
    <n v="633.7491"/>
    <n v="726.36"/>
    <n v="528.12424999999996"/>
    <n v="605.29999999999995"/>
    <n v="1668"/>
    <n v="4216"/>
    <n v="1099"/>
    <n v="1124"/>
    <n v="1156"/>
    <n v="1250"/>
    <n v="1253"/>
    <n v="1293"/>
    <n v="1258"/>
    <n v="1260"/>
    <n v="1298"/>
    <n v="1104"/>
    <n v="1112"/>
    <n v="1146"/>
    <n v="780"/>
    <n v="387"/>
    <n v="608"/>
    <n v="1371"/>
    <n v="504"/>
    <n v="1796"/>
    <n v="1665"/>
    <n v="203"/>
    <n v="146"/>
    <n v="96"/>
    <n v="2110"/>
    <n v="58.3"/>
    <n v="100"/>
    <n v="0"/>
    <n v="470"/>
    <n v="608"/>
  </r>
  <r>
    <s v="Nord Kivu"/>
    <x v="0"/>
    <x v="13"/>
    <s v=" Wanamahika"/>
    <n v="34313"/>
    <n v="1197.5237"/>
    <n v="1372.52"/>
    <n v="997.93641666666656"/>
    <n v="1143.7666666666667"/>
    <n v="1263"/>
    <n v="698"/>
    <n v="966"/>
    <n v="956"/>
    <n v="946"/>
    <n v="901"/>
    <n v="887"/>
    <n v="900"/>
    <n v="871"/>
    <n v="892"/>
    <n v="813"/>
    <n v="829"/>
    <n v="822"/>
    <n v="887"/>
    <n v="1031"/>
    <n v="442"/>
    <n v="757"/>
    <n v="915"/>
    <n v="685"/>
    <n v="516"/>
    <n v="476"/>
    <n v="417"/>
    <n v="376"/>
    <n v="298"/>
    <n v="1567"/>
    <n v="41.7"/>
    <n v="100"/>
    <n v="96.93641666666656"/>
    <n v="0"/>
    <n v="757"/>
  </r>
  <r>
    <s v="Nord Kivu"/>
    <x v="0"/>
    <x v="13"/>
    <s v=" Wayene"/>
    <n v="25562"/>
    <n v="892.11379999999997"/>
    <n v="1022.48"/>
    <n v="743.42816666666658"/>
    <n v="852.06666666666661"/>
    <n v="545"/>
    <s v=""/>
    <n v="527"/>
    <n v="539"/>
    <n v="515"/>
    <n v="736"/>
    <n v="730"/>
    <n v="731"/>
    <n v="760"/>
    <n v="758"/>
    <n v="750"/>
    <n v="624"/>
    <n v="582"/>
    <n v="584"/>
    <n v="764"/>
    <n v="95"/>
    <n v="693"/>
    <n v="720"/>
    <n v="714"/>
    <n v="121"/>
    <n v="85"/>
    <n v="65"/>
    <n v="42"/>
    <n v="25"/>
    <n v="217"/>
    <n v="50"/>
    <n v="100"/>
    <n v="7.4281666666665842"/>
    <n v="0"/>
    <n v="693"/>
  </r>
  <r>
    <s v="Nord Kivu"/>
    <x v="0"/>
    <x v="14"/>
    <s v=" Bulinda"/>
    <n v="18738"/>
    <n v="653.95619999999997"/>
    <n v="749.52"/>
    <n v="544.96349999999995"/>
    <n v="624.6"/>
    <n v="520"/>
    <n v="244"/>
    <n v="608"/>
    <n v="600"/>
    <n v="604"/>
    <n v="475"/>
    <n v="462"/>
    <n v="428"/>
    <n v="583"/>
    <n v="585"/>
    <n v="581"/>
    <n v="600"/>
    <n v="592"/>
    <n v="596"/>
    <n v="575"/>
    <n v="441"/>
    <n v="462"/>
    <n v="604"/>
    <n v="496"/>
    <n v="122"/>
    <n v="113"/>
    <n v="50"/>
    <n v="45"/>
    <n v="46"/>
    <n v="254"/>
    <n v="41.7"/>
    <n v="100"/>
    <n v="69.963499999999954"/>
    <n v="0"/>
    <n v="462"/>
  </r>
  <r>
    <s v="Nord Kivu"/>
    <x v="0"/>
    <x v="14"/>
    <s v=" Bulotwa"/>
    <n v="13437"/>
    <n v="468.9513"/>
    <n v="537.48"/>
    <n v="390.79275000000001"/>
    <n v="447.9"/>
    <n v="232"/>
    <n v="226"/>
    <n v="462"/>
    <n v="416"/>
    <n v="385"/>
    <n v="299"/>
    <n v="269"/>
    <n v="282"/>
    <n v="330"/>
    <n v="300"/>
    <n v="294"/>
    <n v="427"/>
    <n v="331"/>
    <n v="299"/>
    <n v="416"/>
    <n v="70"/>
    <n v="366"/>
    <n v="530"/>
    <n v="321"/>
    <n v="141"/>
    <n v="92"/>
    <n v="55"/>
    <n v="29"/>
    <n v="13"/>
    <n v="189"/>
    <n v="41.7"/>
    <n v="100"/>
    <n v="91.792750000000012"/>
    <n v="0"/>
    <n v="366"/>
  </r>
  <r>
    <s v="Nord Kivu"/>
    <x v="0"/>
    <x v="14"/>
    <s v=" Busekera"/>
    <n v="14475"/>
    <n v="505.17750000000001"/>
    <n v="579"/>
    <n v="420.98125000000005"/>
    <n v="482.5"/>
    <n v="528"/>
    <n v="1073"/>
    <n v="815"/>
    <n v="724"/>
    <n v="663"/>
    <n v="656"/>
    <n v="565"/>
    <n v="565"/>
    <n v="682"/>
    <n v="647"/>
    <n v="629"/>
    <n v="974"/>
    <n v="619"/>
    <n v="614"/>
    <n v="646"/>
    <n v="76"/>
    <n v="639"/>
    <n v="663"/>
    <n v="610"/>
    <n v="823"/>
    <n v="301"/>
    <n v="8"/>
    <n v="3"/>
    <n v="2"/>
    <n v="314"/>
    <n v="41.7"/>
    <n v="100"/>
    <n v="0"/>
    <n v="10"/>
    <n v="639"/>
  </r>
  <r>
    <s v="Nord Kivu"/>
    <x v="0"/>
    <x v="14"/>
    <s v=" Butsiri"/>
    <n v="23014"/>
    <n v="803.18860000000006"/>
    <n v="920.56000000000006"/>
    <n v="669.32383333333337"/>
    <n v="767.13333333333344"/>
    <n v="404"/>
    <n v="656"/>
    <n v="561"/>
    <n v="486"/>
    <n v="456"/>
    <n v="488"/>
    <n v="397"/>
    <n v="343"/>
    <n v="496"/>
    <n v="440"/>
    <n v="405"/>
    <n v="549"/>
    <n v="520"/>
    <n v="452"/>
    <n v="402"/>
    <n v="101"/>
    <n v="377"/>
    <n v="432"/>
    <n v="378"/>
    <n v="430"/>
    <n v="361"/>
    <n v="42"/>
    <n v="27"/>
    <n v="16"/>
    <n v="446"/>
    <n v="50"/>
    <n v="100"/>
    <n v="181.32383333333337"/>
    <n v="86"/>
    <n v="377"/>
  </r>
  <r>
    <s v="Nord Kivu"/>
    <x v="0"/>
    <x v="14"/>
    <s v=" Bwatsinge"/>
    <n v="24604"/>
    <n v="858.67960000000005"/>
    <n v="984.16"/>
    <n v="715.56633333333343"/>
    <n v="820.13333333333333"/>
    <n v="496"/>
    <n v="475"/>
    <n v="555"/>
    <n v="544"/>
    <n v="540"/>
    <n v="367"/>
    <n v="358"/>
    <n v="352"/>
    <n v="439"/>
    <n v="424"/>
    <n v="425"/>
    <n v="362"/>
    <n v="355"/>
    <n v="341"/>
    <n v="655"/>
    <n v="402"/>
    <n v="558"/>
    <n v="583"/>
    <n v="643"/>
    <n v="171"/>
    <n v="157"/>
    <n v="118"/>
    <n v="55"/>
    <n v="118"/>
    <n v="448"/>
    <n v="50"/>
    <n v="100"/>
    <n v="348.56633333333343"/>
    <n v="0"/>
    <n v="558"/>
  </r>
  <r>
    <s v="Nord Kivu"/>
    <x v="0"/>
    <x v="14"/>
    <s v=" Itsu"/>
    <n v="21819"/>
    <n v="761.48310000000004"/>
    <n v="872.76"/>
    <n v="634.56925000000001"/>
    <n v="727.30000000000007"/>
    <n v="479"/>
    <n v="211"/>
    <n v="815"/>
    <n v="695"/>
    <n v="704"/>
    <n v="702"/>
    <n v="604"/>
    <n v="589"/>
    <n v="772"/>
    <n v="678"/>
    <n v="705"/>
    <n v="764"/>
    <n v="635"/>
    <n v="610"/>
    <n v="716"/>
    <n v="71"/>
    <n v="632"/>
    <n v="717"/>
    <n v="703"/>
    <n v="89"/>
    <n v="87"/>
    <n v="76"/>
    <n v="64"/>
    <n v="33"/>
    <n v="260"/>
    <n v="50"/>
    <n v="100"/>
    <n v="0"/>
    <n v="0"/>
    <n v="632"/>
  </r>
  <r>
    <s v="Nord Kivu"/>
    <x v="0"/>
    <x v="14"/>
    <s v=" Kamandi"/>
    <n v="21021"/>
    <n v="733.63290000000006"/>
    <n v="840.84"/>
    <n v="611.36075000000005"/>
    <n v="700.7"/>
    <n v="824"/>
    <n v="1229"/>
    <n v="878"/>
    <n v="858"/>
    <n v="821"/>
    <n v="659"/>
    <n v="652"/>
    <n v="615"/>
    <n v="723"/>
    <n v="712"/>
    <n v="680"/>
    <n v="565"/>
    <n v="541"/>
    <n v="514"/>
    <n v="776"/>
    <n v="96"/>
    <n v="545"/>
    <n v="713"/>
    <n v="276"/>
    <n v="676"/>
    <n v="1315"/>
    <n v="333"/>
    <n v="319"/>
    <n v="314"/>
    <n v="2281"/>
    <n v="66.7"/>
    <n v="100"/>
    <n v="0"/>
    <n v="0"/>
    <n v="545"/>
  </r>
  <r>
    <s v="Nord Kivu"/>
    <x v="0"/>
    <x v="14"/>
    <s v=" Kamandi Lac"/>
    <n v="19548"/>
    <n v="682.22519999999997"/>
    <n v="781.92000000000007"/>
    <n v="568.52099999999996"/>
    <n v="651.60000000000014"/>
    <n v="363"/>
    <n v="205"/>
    <n v="623"/>
    <n v="1050"/>
    <n v="587"/>
    <n v="601"/>
    <n v="1070"/>
    <n v="542"/>
    <n v="581"/>
    <n v="529"/>
    <n v="484"/>
    <n v="493"/>
    <n v="401"/>
    <n v="366"/>
    <n v="713"/>
    <n v="219"/>
    <n v="708"/>
    <n v="578"/>
    <n v="511"/>
    <n v="87"/>
    <n v="53"/>
    <n v="46"/>
    <n v="59"/>
    <n v="50"/>
    <n v="208"/>
    <n v="58.3"/>
    <n v="100"/>
    <n v="0"/>
    <n v="0"/>
    <n v="708"/>
  </r>
  <r>
    <s v="Nord Kivu"/>
    <x v="0"/>
    <x v="14"/>
    <s v=" Kanyabayonga"/>
    <n v="22816"/>
    <n v="796.27840000000003"/>
    <n v="912.64"/>
    <n v="663.56533333333334"/>
    <n v="760.5333333333333"/>
    <n v="408"/>
    <n v="619"/>
    <n v="526"/>
    <n v="442"/>
    <n v="430"/>
    <n v="333"/>
    <n v="386"/>
    <n v="308"/>
    <n v="529"/>
    <n v="401"/>
    <n v="408"/>
    <n v="396"/>
    <n v="294"/>
    <n v="272"/>
    <n v="543"/>
    <n v="95"/>
    <n v="402"/>
    <n v="541"/>
    <n v="424"/>
    <n v="684"/>
    <n v="174"/>
    <s v=""/>
    <s v=""/>
    <s v=""/>
    <n v="174"/>
    <n v="37.5"/>
    <n v="100"/>
    <n v="330.56533333333334"/>
    <n v="0"/>
    <n v="402"/>
  </r>
  <r>
    <s v="Nord Kivu"/>
    <x v="0"/>
    <x v="14"/>
    <s v=" Kanyatsi"/>
    <n v="12533"/>
    <n v="437.40170000000001"/>
    <n v="501.32"/>
    <n v="364.50141666666667"/>
    <n v="417.76666666666665"/>
    <n v="236"/>
    <n v="260"/>
    <n v="342"/>
    <n v="321"/>
    <n v="305"/>
    <n v="314"/>
    <n v="279"/>
    <n v="285"/>
    <n v="357"/>
    <n v="315"/>
    <n v="306"/>
    <n v="358"/>
    <n v="314"/>
    <n v="276"/>
    <n v="323"/>
    <n v="16"/>
    <n v="335"/>
    <n v="310"/>
    <n v="324"/>
    <n v="406"/>
    <n v="170"/>
    <n v="9"/>
    <s v=""/>
    <s v=""/>
    <n v="179"/>
    <n v="50"/>
    <n v="100"/>
    <n v="50.501416666666671"/>
    <n v="0"/>
    <n v="323"/>
  </r>
  <r>
    <s v="Nord Kivu"/>
    <x v="0"/>
    <x v="14"/>
    <s v=" Kasando"/>
    <n v="23220"/>
    <n v="810.37800000000004"/>
    <n v="928.80000000000007"/>
    <n v="675.31500000000005"/>
    <n v="774"/>
    <n v="506"/>
    <n v="499"/>
    <n v="723"/>
    <n v="711"/>
    <n v="730"/>
    <n v="563"/>
    <n v="608"/>
    <n v="630"/>
    <n v="601"/>
    <n v="579"/>
    <n v="586"/>
    <n v="869"/>
    <n v="682"/>
    <n v="556"/>
    <n v="602"/>
    <n v="47"/>
    <n v="633"/>
    <n v="732"/>
    <n v="323"/>
    <n v="481"/>
    <n v="184"/>
    <n v="117"/>
    <n v="38"/>
    <n v="17"/>
    <n v="356"/>
    <n v="58.3"/>
    <n v="100"/>
    <n v="112.31500000000005"/>
    <n v="0"/>
    <n v="602"/>
  </r>
  <r>
    <s v="Nord Kivu"/>
    <x v="0"/>
    <x v="14"/>
    <s v=" Katero"/>
    <n v="17184"/>
    <n v="599.72159999999997"/>
    <n v="687.36"/>
    <n v="499.76799999999997"/>
    <n v="572.79999999999995"/>
    <n v="407"/>
    <n v="41"/>
    <n v="505"/>
    <n v="494"/>
    <n v="391"/>
    <n v="524"/>
    <n v="423"/>
    <n v="361"/>
    <n v="562"/>
    <n v="531"/>
    <n v="416"/>
    <n v="534"/>
    <n v="311"/>
    <n v="236"/>
    <n v="390"/>
    <n v="31"/>
    <n v="355"/>
    <n v="376"/>
    <n v="352"/>
    <n v="84"/>
    <n v="49"/>
    <n v="24"/>
    <n v="24"/>
    <n v="21"/>
    <n v="118"/>
    <n v="58.3"/>
    <n v="100"/>
    <n v="0"/>
    <n v="134"/>
    <n v="355"/>
  </r>
  <r>
    <s v="Nord Kivu"/>
    <x v="0"/>
    <x v="14"/>
    <s v=" Kayna"/>
    <n v="23799"/>
    <n v="830.58510000000001"/>
    <n v="951.96"/>
    <n v="692.15424999999993"/>
    <n v="793.3"/>
    <n v="866"/>
    <n v="521"/>
    <n v="681"/>
    <n v="630"/>
    <n v="611"/>
    <n v="596"/>
    <n v="471"/>
    <n v="485"/>
    <n v="1309"/>
    <n v="504"/>
    <n v="511"/>
    <n v="636"/>
    <n v="509"/>
    <n v="514"/>
    <n v="538"/>
    <n v="200"/>
    <n v="484"/>
    <n v="611"/>
    <n v="489"/>
    <n v="116"/>
    <n v="73"/>
    <n v="68"/>
    <n v="30"/>
    <n v="28"/>
    <n v="199"/>
    <n v="41.7"/>
    <n v="100"/>
    <n v="96.154249999999934"/>
    <n v="58"/>
    <n v="484"/>
  </r>
  <r>
    <s v="Nord Kivu"/>
    <x v="0"/>
    <x v="14"/>
    <s v=" Kikuvo"/>
    <n v="12293"/>
    <n v="429.02570000000003"/>
    <n v="491.72"/>
    <n v="357.52141666666665"/>
    <n v="409.76666666666665"/>
    <n v="150"/>
    <n v="108"/>
    <n v="327"/>
    <n v="306"/>
    <n v="324"/>
    <n v="220"/>
    <n v="204"/>
    <n v="222"/>
    <n v="216"/>
    <n v="203"/>
    <n v="221"/>
    <n v="255"/>
    <n v="236"/>
    <n v="221"/>
    <n v="357"/>
    <n v="48"/>
    <n v="263"/>
    <n v="297"/>
    <n v="260"/>
    <n v="139"/>
    <n v="140"/>
    <n v="48"/>
    <n v="23"/>
    <n v="20"/>
    <n v="231"/>
    <n v="41.7"/>
    <n v="100"/>
    <n v="137.52141666666665"/>
    <n v="0"/>
    <n v="263"/>
  </r>
  <r>
    <s v="Nord Kivu"/>
    <x v="0"/>
    <x v="14"/>
    <s v=" Kirumba"/>
    <n v="25594"/>
    <n v="893.23059999999998"/>
    <n v="1023.76"/>
    <n v="744.35883333333334"/>
    <n v="853.13333333333333"/>
    <n v="876"/>
    <n v="1058"/>
    <n v="687"/>
    <n v="659"/>
    <n v="654"/>
    <n v="514"/>
    <n v="493"/>
    <n v="509"/>
    <n v="554"/>
    <n v="519"/>
    <n v="526"/>
    <n v="614"/>
    <n v="559"/>
    <n v="472"/>
    <n v="615"/>
    <n v="119"/>
    <n v="605"/>
    <n v="640"/>
    <n v="595"/>
    <n v="405"/>
    <n v="521"/>
    <n v="245"/>
    <n v="173"/>
    <n v="176"/>
    <n v="1115"/>
    <n v="58.3"/>
    <n v="100"/>
    <n v="230.35883333333334"/>
    <n v="0"/>
    <n v="605"/>
  </r>
  <r>
    <s v="Nord Kivu"/>
    <x v="0"/>
    <x v="14"/>
    <s v=" Luofu"/>
    <n v="34270"/>
    <n v="1196.0229999999999"/>
    <n v="1370.8"/>
    <n v="996.68583333333333"/>
    <n v="1142.3333333333333"/>
    <n v="397"/>
    <n v="149"/>
    <n v="1145"/>
    <n v="1067"/>
    <n v="983"/>
    <n v="998"/>
    <n v="916"/>
    <n v="882"/>
    <n v="990"/>
    <n v="940"/>
    <n v="907"/>
    <n v="1128"/>
    <n v="906"/>
    <n v="815"/>
    <n v="834"/>
    <n v="114"/>
    <n v="759"/>
    <n v="1033"/>
    <n v="817"/>
    <n v="535"/>
    <n v="362"/>
    <n v="223"/>
    <n v="192"/>
    <n v="175"/>
    <n v="952"/>
    <n v="58.3"/>
    <n v="100"/>
    <n v="0"/>
    <n v="164"/>
    <n v="759"/>
  </r>
  <r>
    <s v="Nord Kivu"/>
    <x v="0"/>
    <x v="14"/>
    <s v=" Mighobwe"/>
    <n v="16400"/>
    <n v="572.36"/>
    <n v="656"/>
    <n v="476.96666666666664"/>
    <n v="546.66666666666663"/>
    <n v="580"/>
    <n v="335"/>
    <n v="536"/>
    <n v="503"/>
    <n v="505"/>
    <n v="387"/>
    <n v="369"/>
    <n v="366"/>
    <n v="440"/>
    <n v="418"/>
    <n v="419"/>
    <n v="446"/>
    <n v="428"/>
    <n v="427"/>
    <n v="544"/>
    <n v="171"/>
    <n v="448"/>
    <n v="604"/>
    <n v="544"/>
    <n v="159"/>
    <n v="110"/>
    <n v="101"/>
    <n v="63"/>
    <n v="75"/>
    <n v="349"/>
    <n v="50"/>
    <n v="100"/>
    <n v="89.96666666666664"/>
    <n v="0"/>
    <n v="448"/>
  </r>
  <r>
    <s v="Nord Kivu"/>
    <x v="0"/>
    <x v="14"/>
    <s v=" Miriki"/>
    <n v="16337"/>
    <n v="570.16129999999998"/>
    <n v="653.48"/>
    <n v="475.13441666666665"/>
    <n v="544.56666666666672"/>
    <n v="205"/>
    <n v="210"/>
    <n v="489"/>
    <n v="409"/>
    <n v="414"/>
    <n v="500"/>
    <n v="370"/>
    <n v="399"/>
    <n v="508"/>
    <n v="379"/>
    <n v="422"/>
    <n v="443"/>
    <n v="312"/>
    <n v="356"/>
    <n v="460"/>
    <n v="28"/>
    <n v="428"/>
    <n v="462"/>
    <n v="388"/>
    <n v="352"/>
    <n v="229"/>
    <n v="114"/>
    <n v="54"/>
    <n v="64"/>
    <n v="461"/>
    <n v="58.3"/>
    <n v="100"/>
    <n v="0"/>
    <n v="40"/>
    <n v="428"/>
  </r>
  <r>
    <s v="Nord Kivu"/>
    <x v="0"/>
    <x v="14"/>
    <s v=" Mulinde"/>
    <n v="17135"/>
    <n v="598.01149999999996"/>
    <n v="685.4"/>
    <n v="498.34291666666667"/>
    <n v="571.16666666666663"/>
    <n v="303"/>
    <n v="478"/>
    <n v="557"/>
    <n v="503"/>
    <n v="517"/>
    <n v="427"/>
    <n v="372"/>
    <n v="387"/>
    <n v="444"/>
    <n v="369"/>
    <n v="384"/>
    <n v="423"/>
    <n v="361"/>
    <n v="373"/>
    <n v="519"/>
    <n v="192"/>
    <n v="383"/>
    <n v="478"/>
    <n v="433"/>
    <n v="72"/>
    <n v="47"/>
    <n v="47"/>
    <n v="39"/>
    <n v="31"/>
    <n v="164"/>
    <n v="50"/>
    <n v="100"/>
    <n v="71.342916666666667"/>
    <n v="0"/>
    <n v="383"/>
  </r>
  <r>
    <s v="Nord Kivu"/>
    <x v="0"/>
    <x v="14"/>
    <s v=" Nyamiindo"/>
    <n v="19266"/>
    <n v="672.38340000000005"/>
    <n v="770.64"/>
    <n v="560.31950000000006"/>
    <n v="642.20000000000005"/>
    <n v="776"/>
    <n v="489"/>
    <n v="991"/>
    <n v="532"/>
    <n v="465"/>
    <n v="532"/>
    <n v="500"/>
    <n v="447"/>
    <n v="549"/>
    <n v="467"/>
    <n v="377"/>
    <n v="598"/>
    <n v="567"/>
    <n v="435"/>
    <n v="452"/>
    <n v="170"/>
    <n v="387"/>
    <n v="443"/>
    <n v="402"/>
    <n v="233"/>
    <n v="207"/>
    <n v="55"/>
    <n v="29"/>
    <n v="46"/>
    <n v="337"/>
    <n v="58.3"/>
    <n v="100"/>
    <n v="28.319500000000062"/>
    <n v="80"/>
    <n v="387"/>
  </r>
  <r>
    <s v="Nord Kivu"/>
    <x v="0"/>
    <x v="14"/>
    <s v=" Singamwambe"/>
    <n v="13932"/>
    <n v="486.22680000000003"/>
    <n v="557.28"/>
    <n v="405.18900000000002"/>
    <n v="464.4"/>
    <n v="290"/>
    <n v="222"/>
    <n v="468"/>
    <n v="471"/>
    <n v="441"/>
    <n v="376"/>
    <n v="398"/>
    <n v="280"/>
    <n v="470"/>
    <n v="465"/>
    <n v="445"/>
    <n v="327"/>
    <n v="331"/>
    <n v="316"/>
    <n v="326"/>
    <n v="45"/>
    <n v="262"/>
    <n v="326"/>
    <n v="9"/>
    <n v="388"/>
    <n v="257"/>
    <n v="152"/>
    <n v="119"/>
    <n v="83"/>
    <n v="611"/>
    <n v="41.7"/>
    <n v="100"/>
    <n v="29.189000000000021"/>
    <n v="50"/>
    <n v="262"/>
  </r>
  <r>
    <s v="Nord Kivu"/>
    <x v="0"/>
    <x v="14"/>
    <s v=" Vuhoyo"/>
    <n v="14483"/>
    <n v="505.45670000000001"/>
    <n v="579.32000000000005"/>
    <n v="421.21391666666671"/>
    <n v="482.76666666666671"/>
    <n v="334"/>
    <n v="27"/>
    <n v="418"/>
    <n v="335"/>
    <n v="377"/>
    <n v="360"/>
    <n v="293"/>
    <n v="326"/>
    <n v="381"/>
    <n v="266"/>
    <n v="342"/>
    <n v="354"/>
    <n v="291"/>
    <n v="323"/>
    <n v="405"/>
    <n v="51"/>
    <n v="405"/>
    <n v="377"/>
    <n v="375"/>
    <n v="39"/>
    <n v="39"/>
    <n v="30"/>
    <n v="29"/>
    <n v="18"/>
    <n v="116"/>
    <n v="25"/>
    <n v="100"/>
    <n v="61.213916666666705"/>
    <n v="0"/>
    <n v="405"/>
  </r>
  <r>
    <s v="Nord Kivu"/>
    <x v="0"/>
    <x v="14"/>
    <s v=" Vuvogho"/>
    <n v="28164"/>
    <n v="982.92359999999996"/>
    <n v="1126.56"/>
    <n v="819.10299999999995"/>
    <n v="938.8"/>
    <n v="295"/>
    <n v="411"/>
    <n v="749"/>
    <n v="696"/>
    <n v="712"/>
    <n v="625"/>
    <n v="590"/>
    <n v="583"/>
    <n v="688"/>
    <n v="717"/>
    <n v="713"/>
    <n v="766"/>
    <n v="679"/>
    <n v="641"/>
    <n v="785"/>
    <n v="231"/>
    <n v="757"/>
    <n v="712"/>
    <n v="757"/>
    <n v="486"/>
    <n v="292"/>
    <n v="154"/>
    <n v="85"/>
    <n v="56"/>
    <n v="587"/>
    <n v="41.7"/>
    <n v="100"/>
    <n v="194.10299999999995"/>
    <n v="0"/>
    <n v="757"/>
  </r>
  <r>
    <s v="Nord Kivu"/>
    <x v="1"/>
    <x v="15"/>
    <s v=" Birundule"/>
    <n v="20638"/>
    <n v="720.26620000000003"/>
    <n v="825.52"/>
    <n v="600.22183333333339"/>
    <n v="687.93333333333339"/>
    <n v="584"/>
    <n v="166"/>
    <n v="451"/>
    <n v="356"/>
    <n v="424"/>
    <n v="701"/>
    <n v="522"/>
    <n v="613"/>
    <n v="615"/>
    <n v="461"/>
    <n v="529"/>
    <n v="423"/>
    <n v="306"/>
    <n v="359"/>
    <n v="514"/>
    <n v="108"/>
    <n v="292"/>
    <n v="434"/>
    <n v="332"/>
    <n v="449"/>
    <n v="501"/>
    <n v="129"/>
    <n v="69"/>
    <n v="74"/>
    <n v="773"/>
    <n v="50"/>
    <n v="100"/>
    <n v="0"/>
    <n v="187"/>
    <n v="292"/>
  </r>
  <r>
    <s v="Nord Kivu"/>
    <x v="1"/>
    <x v="15"/>
    <s v=" Buhondwa"/>
    <n v="20908"/>
    <n v="729.68920000000003"/>
    <n v="836.32"/>
    <n v="608.07433333333336"/>
    <n v="696.93333333333339"/>
    <n v="693"/>
    <n v="431"/>
    <n v="717"/>
    <n v="676"/>
    <n v="685"/>
    <n v="717"/>
    <n v="676"/>
    <n v="685"/>
    <n v="717"/>
    <n v="676"/>
    <n v="685"/>
    <n v="716"/>
    <n v="676"/>
    <n v="659"/>
    <n v="611"/>
    <n v="628"/>
    <n v="611"/>
    <n v="635"/>
    <n v="800"/>
    <n v="524"/>
    <n v="403"/>
    <n v="526"/>
    <n v="504"/>
    <n v="431"/>
    <n v="1864"/>
    <n v="58.3"/>
    <n v="100"/>
    <n v="0"/>
    <n v="106"/>
    <n v="611"/>
  </r>
  <r>
    <s v="Nord Kivu"/>
    <x v="1"/>
    <x v="15"/>
    <s v=" Bulindi"/>
    <n v="16967"/>
    <n v="592.14830000000006"/>
    <n v="678.68000000000006"/>
    <n v="493.45691666666676"/>
    <n v="565.56666666666672"/>
    <n v="258"/>
    <n v="290"/>
    <n v="495"/>
    <n v="490"/>
    <n v="471"/>
    <n v="500"/>
    <n v="501"/>
    <n v="483"/>
    <n v="510"/>
    <n v="506"/>
    <n v="492"/>
    <n v="288"/>
    <n v="297"/>
    <n v="285"/>
    <n v="379"/>
    <n v="121"/>
    <n v="426"/>
    <n v="476"/>
    <n v="412"/>
    <n v="417"/>
    <n v="364"/>
    <n v="126"/>
    <n v="100"/>
    <n v="132"/>
    <n v="722"/>
    <n v="58.3"/>
    <n v="100"/>
    <n v="0"/>
    <n v="121"/>
    <n v="379"/>
  </r>
  <r>
    <s v="Nord Kivu"/>
    <x v="1"/>
    <x v="15"/>
    <s v=" Bwalanda"/>
    <n v="23849"/>
    <n v="832.33010000000002"/>
    <n v="953.96"/>
    <n v="693.6084166666667"/>
    <n v="794.9666666666667"/>
    <n v="952"/>
    <n v="585"/>
    <n v="748"/>
    <n v="732"/>
    <n v="740"/>
    <n v="748"/>
    <n v="730"/>
    <n v="741"/>
    <n v="748"/>
    <n v="732"/>
    <n v="741"/>
    <n v="623"/>
    <n v="674"/>
    <n v="527"/>
    <n v="757"/>
    <n v="542"/>
    <n v="703"/>
    <n v="741"/>
    <n v="757"/>
    <n v="519"/>
    <n v="536"/>
    <n v="537"/>
    <n v="517"/>
    <n v="533"/>
    <n v="2123"/>
    <n v="58.3"/>
    <n v="100"/>
    <n v="0"/>
    <n v="0"/>
    <n v="703"/>
  </r>
  <r>
    <s v="Nord Kivu"/>
    <x v="1"/>
    <x v="15"/>
    <s v=" CBCA Kibirizi"/>
    <n v="7886"/>
    <n v="275.22140000000002"/>
    <n v="315.44"/>
    <n v="229.3511666666667"/>
    <n v="262.86666666666667"/>
    <n v="111"/>
    <n v="69"/>
    <n v="184"/>
    <n v="178"/>
    <n v="175"/>
    <n v="192"/>
    <n v="180"/>
    <n v="179"/>
    <n v="184"/>
    <n v="181"/>
    <n v="177"/>
    <n v="159"/>
    <n v="153"/>
    <n v="152"/>
    <n v="148"/>
    <n v="89"/>
    <n v="113"/>
    <n v="179"/>
    <n v="67"/>
    <n v="127"/>
    <n v="105"/>
    <n v="6"/>
    <n v="3"/>
    <s v=""/>
    <n v="114"/>
    <n v="58.3"/>
    <n v="100"/>
    <n v="37.3511666666667"/>
    <n v="44"/>
    <n v="113"/>
  </r>
  <r>
    <s v="Nord Kivu"/>
    <x v="1"/>
    <x v="15"/>
    <s v=" Cepromi"/>
    <n v="24792"/>
    <n v="865.24080000000004"/>
    <n v="991.68000000000006"/>
    <n v="721.03400000000011"/>
    <n v="826.4"/>
    <n v="699"/>
    <n v="361"/>
    <n v="648"/>
    <n v="617"/>
    <n v="632"/>
    <n v="561"/>
    <n v="539"/>
    <n v="553"/>
    <n v="641"/>
    <n v="618"/>
    <n v="634"/>
    <n v="342"/>
    <n v="328"/>
    <n v="334"/>
    <n v="699"/>
    <n v="555"/>
    <n v="550"/>
    <n v="632"/>
    <n v="562"/>
    <n v="271"/>
    <n v="215"/>
    <n v="666"/>
    <n v="123"/>
    <n v="891"/>
    <n v="1895"/>
    <n v="58.3"/>
    <n v="100"/>
    <n v="160.03400000000011"/>
    <n v="0"/>
    <n v="550"/>
  </r>
  <r>
    <s v="Nord Kivu"/>
    <x v="1"/>
    <x v="15"/>
    <s v=" Ibuga"/>
    <n v="19209"/>
    <n v="670.39409999999998"/>
    <n v="768.36"/>
    <n v="558.66174999999998"/>
    <n v="640.29999999999995"/>
    <n v="545"/>
    <n v="482"/>
    <n v="518"/>
    <n v="491"/>
    <n v="498"/>
    <n v="781"/>
    <n v="552"/>
    <n v="519"/>
    <n v="577"/>
    <n v="558"/>
    <n v="562"/>
    <n v="519"/>
    <n v="502"/>
    <n v="494"/>
    <n v="551"/>
    <n v="395"/>
    <n v="437"/>
    <n v="556"/>
    <n v="325"/>
    <n v="340"/>
    <n v="203"/>
    <n v="125"/>
    <n v="83"/>
    <n v="3"/>
    <n v="414"/>
    <n v="58.3"/>
    <n v="100"/>
    <n v="0"/>
    <n v="230"/>
    <n v="437"/>
  </r>
  <r>
    <s v="Nord Kivu"/>
    <x v="1"/>
    <x v="15"/>
    <s v=" Kabati"/>
    <n v="12279"/>
    <n v="428.53710000000001"/>
    <n v="491.16"/>
    <n v="357.11424999999997"/>
    <n v="409.3"/>
    <n v="419"/>
    <n v="420"/>
    <n v="379"/>
    <n v="351"/>
    <n v="362"/>
    <n v="378"/>
    <n v="359"/>
    <n v="361"/>
    <n v="378"/>
    <n v="359"/>
    <n v="360"/>
    <n v="379"/>
    <n v="357"/>
    <n v="362"/>
    <n v="367"/>
    <n v="252"/>
    <n v="367"/>
    <n v="362"/>
    <n v="352"/>
    <n v="423"/>
    <n v="409"/>
    <n v="74"/>
    <n v="131"/>
    <n v="104"/>
    <n v="718"/>
    <n v="58.3"/>
    <n v="100"/>
    <n v="0"/>
    <n v="11"/>
    <n v="367"/>
  </r>
  <r>
    <s v="Nord Kivu"/>
    <x v="1"/>
    <x v="15"/>
    <s v=" Kalonge"/>
    <n v="14632"/>
    <n v="510.65680000000003"/>
    <n v="585.28"/>
    <n v="425.54733333333337"/>
    <n v="487.73333333333335"/>
    <n v="826"/>
    <n v="807"/>
    <n v="513"/>
    <n v="474"/>
    <n v="486"/>
    <n v="513"/>
    <n v="474"/>
    <n v="486"/>
    <n v="513"/>
    <n v="474"/>
    <n v="483"/>
    <n v="513"/>
    <n v="474"/>
    <n v="486"/>
    <n v="608"/>
    <n v="200"/>
    <n v="570"/>
    <n v="486"/>
    <n v="374"/>
    <n v="230"/>
    <n v="279"/>
    <n v="434"/>
    <n v="157"/>
    <n v="122"/>
    <n v="992"/>
    <n v="58.3"/>
    <n v="100"/>
    <n v="0"/>
    <n v="0"/>
    <n v="570"/>
  </r>
  <r>
    <s v="Nord Kivu"/>
    <x v="1"/>
    <x v="15"/>
    <s v=" Kashalira"/>
    <n v="13538"/>
    <n v="472.47620000000001"/>
    <n v="541.52"/>
    <n v="393.73016666666666"/>
    <n v="451.26666666666665"/>
    <n v="461"/>
    <n v="390"/>
    <n v="402"/>
    <n v="401"/>
    <n v="400"/>
    <n v="402"/>
    <n v="401"/>
    <n v="400"/>
    <n v="402"/>
    <n v="401"/>
    <n v="400"/>
    <n v="402"/>
    <n v="402"/>
    <n v="400"/>
    <n v="414"/>
    <n v="409"/>
    <n v="421"/>
    <n v="400"/>
    <n v="383"/>
    <n v="448"/>
    <n v="296"/>
    <n v="443"/>
    <n v="534"/>
    <n v="436"/>
    <n v="1709"/>
    <n v="58.3"/>
    <n v="100"/>
    <n v="0"/>
    <n v="0"/>
    <n v="414"/>
  </r>
  <r>
    <s v="Nord Kivu"/>
    <x v="1"/>
    <x v="15"/>
    <s v=" Kasoko"/>
    <n v="14400"/>
    <n v="502.56"/>
    <n v="576"/>
    <n v="418.8"/>
    <n v="480"/>
    <n v="437"/>
    <n v="173"/>
    <n v="378"/>
    <n v="357"/>
    <n v="350"/>
    <n v="412"/>
    <n v="389"/>
    <n v="428"/>
    <n v="454"/>
    <n v="429"/>
    <n v="427"/>
    <n v="450"/>
    <n v="431"/>
    <n v="426"/>
    <n v="383"/>
    <n v="179"/>
    <n v="344"/>
    <n v="421"/>
    <n v="345"/>
    <n v="433"/>
    <n v="379"/>
    <n v="397"/>
    <n v="263"/>
    <n v="157"/>
    <n v="1196"/>
    <n v="58.3"/>
    <n v="100"/>
    <n v="6.8000000000000114"/>
    <n v="29"/>
    <n v="344"/>
  </r>
  <r>
    <s v="Nord Kivu"/>
    <x v="1"/>
    <x v="15"/>
    <s v=" Kibingo"/>
    <n v="15221"/>
    <n v="531.21289999999999"/>
    <n v="608.84"/>
    <n v="442.67741666666666"/>
    <n v="507.36666666666673"/>
    <n v="555"/>
    <n v="172"/>
    <n v="510"/>
    <n v="552"/>
    <n v="535"/>
    <n v="538"/>
    <n v="550"/>
    <n v="474"/>
    <n v="670"/>
    <n v="459"/>
    <n v="544"/>
    <n v="631"/>
    <n v="600"/>
    <n v="597"/>
    <n v="608"/>
    <n v="573"/>
    <n v="563"/>
    <n v="518"/>
    <n v="570"/>
    <n v="315"/>
    <n v="224"/>
    <n v="465"/>
    <n v="353"/>
    <n v="259"/>
    <n v="1301"/>
    <n v="58.3"/>
    <n v="100"/>
    <n v="0"/>
    <n v="0"/>
    <n v="563"/>
  </r>
  <r>
    <s v="Nord Kivu"/>
    <x v="1"/>
    <x v="15"/>
    <s v=" Kibirizi"/>
    <n v="19897"/>
    <n v="694.40530000000001"/>
    <n v="795.88"/>
    <n v="578.6710833333334"/>
    <n v="663.23333333333335"/>
    <n v="730"/>
    <n v="223"/>
    <n v="431"/>
    <n v="407"/>
    <n v="424"/>
    <n v="450"/>
    <n v="421"/>
    <n v="443"/>
    <n v="450"/>
    <n v="421"/>
    <n v="443"/>
    <n v="402"/>
    <n v="375"/>
    <n v="395"/>
    <n v="370"/>
    <n v="314"/>
    <n v="350"/>
    <n v="424"/>
    <n v="360"/>
    <n v="328"/>
    <n v="216"/>
    <n v="292"/>
    <n v="182"/>
    <n v="146"/>
    <n v="836"/>
    <n v="54.2"/>
    <n v="100"/>
    <n v="128.6710833333334"/>
    <n v="80"/>
    <n v="350"/>
  </r>
  <r>
    <s v="Nord Kivu"/>
    <x v="1"/>
    <x v="15"/>
    <s v=" Kikuku"/>
    <n v="29804"/>
    <n v="1040.1596"/>
    <n v="1192.1600000000001"/>
    <n v="866.79966666666655"/>
    <n v="993.46666666666681"/>
    <n v="813"/>
    <n v="589"/>
    <n v="674"/>
    <n v="632"/>
    <n v="653"/>
    <n v="820"/>
    <n v="773"/>
    <n v="793"/>
    <n v="793"/>
    <n v="711"/>
    <n v="739"/>
    <n v="578"/>
    <n v="471"/>
    <n v="476"/>
    <n v="748"/>
    <n v="632"/>
    <n v="462"/>
    <n v="825"/>
    <n v="621"/>
    <n v="1437"/>
    <n v="1093"/>
    <n v="84"/>
    <n v="14"/>
    <n v="1"/>
    <n v="1192"/>
    <n v="58.3"/>
    <n v="100"/>
    <n v="46.799666666666553"/>
    <n v="72"/>
    <n v="462"/>
  </r>
  <r>
    <s v="Nord Kivu"/>
    <x v="1"/>
    <x v="15"/>
    <s v=" Kilambo"/>
    <n v="11854"/>
    <n v="413.70460000000003"/>
    <n v="474.16"/>
    <n v="344.75383333333332"/>
    <n v="395.13333333333333"/>
    <n v="357"/>
    <n v="157"/>
    <n v="347"/>
    <n v="346"/>
    <n v="338"/>
    <n v="357"/>
    <n v="346"/>
    <n v="337"/>
    <n v="347"/>
    <n v="346"/>
    <n v="337"/>
    <n v="311"/>
    <n v="310"/>
    <n v="284"/>
    <n v="358"/>
    <n v="361"/>
    <n v="348"/>
    <n v="337"/>
    <n v="358"/>
    <n v="176"/>
    <n v="223"/>
    <n v="179"/>
    <n v="209"/>
    <n v="92"/>
    <n v="703"/>
    <n v="58.3"/>
    <n v="100"/>
    <n v="0"/>
    <n v="0"/>
    <n v="348"/>
  </r>
  <r>
    <s v="Nord Kivu"/>
    <x v="1"/>
    <x v="15"/>
    <s v=" Kiyeye"/>
    <n v="10033"/>
    <n v="350.15170000000001"/>
    <n v="401.32"/>
    <n v="291.79308333333336"/>
    <n v="334.43333333333334"/>
    <n v="328"/>
    <n v="341"/>
    <n v="358"/>
    <n v="328"/>
    <n v="313"/>
    <n v="338"/>
    <n v="328"/>
    <n v="313"/>
    <n v="368"/>
    <n v="328"/>
    <n v="313"/>
    <n v="252"/>
    <n v="216"/>
    <n v="209"/>
    <n v="309"/>
    <n v="239"/>
    <n v="207"/>
    <n v="286"/>
    <n v="292"/>
    <n v="214"/>
    <n v="179"/>
    <n v="123"/>
    <n v="94"/>
    <n v="45"/>
    <n v="441"/>
    <n v="58.3"/>
    <n v="100"/>
    <n v="0"/>
    <n v="29"/>
    <n v="207"/>
  </r>
  <r>
    <s v="Nord Kivu"/>
    <x v="1"/>
    <x v="15"/>
    <s v=" Kyaghala"/>
    <n v="10629"/>
    <n v="370.95210000000003"/>
    <n v="425.16"/>
    <n v="309.12675000000002"/>
    <n v="354.3"/>
    <n v="412"/>
    <n v="376"/>
    <n v="313"/>
    <n v="304"/>
    <n v="295"/>
    <n v="398"/>
    <n v="387"/>
    <n v="375"/>
    <n v="398"/>
    <n v="386"/>
    <n v="375"/>
    <n v="284"/>
    <n v="276"/>
    <n v="267"/>
    <n v="473"/>
    <n v="277"/>
    <n v="260"/>
    <n v="375"/>
    <n v="423"/>
    <n v="568"/>
    <n v="400"/>
    <n v="272"/>
    <n v="250"/>
    <n v="247"/>
    <n v="1169"/>
    <n v="58.3"/>
    <n v="100"/>
    <n v="0"/>
    <n v="0"/>
    <n v="260"/>
  </r>
  <r>
    <s v="Nord Kivu"/>
    <x v="1"/>
    <x v="15"/>
    <s v=" Muliki"/>
    <n v="10405"/>
    <n v="363.1345"/>
    <n v="416.2"/>
    <n v="302.61208333333332"/>
    <n v="346.83333333333331"/>
    <n v="356"/>
    <n v="116"/>
    <n v="311"/>
    <n v="299"/>
    <n v="294"/>
    <n v="340"/>
    <n v="326"/>
    <n v="323"/>
    <n v="340"/>
    <n v="327"/>
    <n v="324"/>
    <n v="340"/>
    <n v="327"/>
    <n v="323"/>
    <n v="279"/>
    <n v="150"/>
    <n v="313"/>
    <n v="303"/>
    <n v="266"/>
    <n v="351"/>
    <n v="285"/>
    <n v="164"/>
    <n v="67"/>
    <n v="42"/>
    <n v="558"/>
    <n v="58.3"/>
    <n v="100"/>
    <n v="0"/>
    <n v="61"/>
    <n v="279"/>
  </r>
  <r>
    <s v="Nord Kivu"/>
    <x v="1"/>
    <x v="15"/>
    <s v=" Mushikiri"/>
    <n v="15097"/>
    <n v="526.88530000000003"/>
    <n v="603.88"/>
    <n v="439.07108333333332"/>
    <n v="503.23333333333329"/>
    <n v="384"/>
    <n v="384"/>
    <n v="374"/>
    <n v="347"/>
    <n v="326"/>
    <n v="493"/>
    <n v="483"/>
    <n v="492"/>
    <n v="451"/>
    <n v="461"/>
    <n v="472"/>
    <n v="351"/>
    <n v="320"/>
    <n v="315"/>
    <n v="526"/>
    <n v="454"/>
    <n v="398"/>
    <n v="465"/>
    <n v="495"/>
    <n v="360"/>
    <n v="243"/>
    <n v="288"/>
    <n v="241"/>
    <n v="154"/>
    <n v="926"/>
    <n v="50"/>
    <n v="100"/>
    <n v="0"/>
    <n v="0"/>
    <n v="398"/>
  </r>
  <r>
    <s v="Nord Kivu"/>
    <x v="1"/>
    <x v="15"/>
    <s v=" Nyanzale"/>
    <n v="32296"/>
    <n v="1127.1304"/>
    <n v="1291.8399999999999"/>
    <n v="939.27533333333326"/>
    <n v="1076.5333333333333"/>
    <n v="1116"/>
    <n v="622"/>
    <n v="578"/>
    <n v="550"/>
    <n v="519"/>
    <n v="911"/>
    <n v="870"/>
    <n v="844"/>
    <n v="911"/>
    <n v="870"/>
    <n v="844"/>
    <n v="776"/>
    <n v="735"/>
    <n v="705"/>
    <n v="1016"/>
    <n v="284"/>
    <n v="1529"/>
    <n v="844"/>
    <n v="859"/>
    <n v="735"/>
    <n v="648"/>
    <n v="570"/>
    <n v="500"/>
    <n v="452"/>
    <n v="2170"/>
    <n v="58.3"/>
    <n v="100"/>
    <n v="28.275333333333265"/>
    <n v="0"/>
    <n v="1016"/>
  </r>
  <r>
    <s v="Nord Kivu"/>
    <x v="1"/>
    <x v="15"/>
    <s v=" Nyarubande"/>
    <n v="16847"/>
    <n v="587.96029999999996"/>
    <n v="673.88"/>
    <n v="489.96691666666663"/>
    <n v="561.56666666666661"/>
    <n v="471"/>
    <s v=""/>
    <n v="510"/>
    <n v="493"/>
    <n v="487"/>
    <n v="510"/>
    <n v="492"/>
    <n v="488"/>
    <n v="505"/>
    <n v="493"/>
    <n v="487"/>
    <n v="448"/>
    <n v="434"/>
    <n v="472"/>
    <n v="519"/>
    <n v="529"/>
    <n v="505"/>
    <n v="487"/>
    <n v="506"/>
    <n v="421"/>
    <n v="322"/>
    <n v="268"/>
    <n v="149"/>
    <n v="65"/>
    <n v="804"/>
    <n v="58.3"/>
    <n v="100"/>
    <n v="0"/>
    <n v="0"/>
    <n v="505"/>
  </r>
  <r>
    <s v="Nord Kivu"/>
    <x v="1"/>
    <x v="15"/>
    <s v=" Singa"/>
    <n v="25724"/>
    <n v="897.76760000000002"/>
    <n v="1028.96"/>
    <n v="748.1396666666667"/>
    <n v="857.4666666666667"/>
    <n v="763"/>
    <n v="580"/>
    <n v="684"/>
    <n v="674"/>
    <n v="664"/>
    <n v="762"/>
    <n v="747"/>
    <n v="740"/>
    <n v="682"/>
    <n v="673"/>
    <n v="664"/>
    <n v="684"/>
    <n v="673"/>
    <n v="666"/>
    <n v="713"/>
    <n v="698"/>
    <n v="1019"/>
    <n v="739"/>
    <n v="727"/>
    <n v="516"/>
    <n v="323"/>
    <n v="307"/>
    <n v="155"/>
    <n v="105"/>
    <n v="890"/>
    <n v="58.3"/>
    <n v="100"/>
    <n v="0"/>
    <n v="49"/>
    <n v="713"/>
  </r>
  <r>
    <s v="Nord Kivu"/>
    <x v="1"/>
    <x v="15"/>
    <s v=" Tulizeni"/>
    <n v="18466"/>
    <n v="644.46339999999998"/>
    <n v="738.64"/>
    <n v="537.0528333333333"/>
    <n v="615.5333333333333"/>
    <n v="420"/>
    <n v="15"/>
    <n v="364"/>
    <n v="347"/>
    <n v="316"/>
    <n v="388"/>
    <n v="364"/>
    <n v="358"/>
    <n v="401"/>
    <n v="370"/>
    <n v="355"/>
    <n v="354"/>
    <n v="324"/>
    <n v="358"/>
    <n v="375"/>
    <n v="251"/>
    <n v="292"/>
    <n v="342"/>
    <n v="259"/>
    <n v="356"/>
    <n v="301"/>
    <n v="338"/>
    <n v="193"/>
    <n v="125"/>
    <n v="957"/>
    <n v="58.3"/>
    <n v="100"/>
    <n v="149.0528333333333"/>
    <n v="13"/>
    <n v="292"/>
  </r>
  <r>
    <s v="Nord Kivu"/>
    <x v="1"/>
    <x v="15"/>
    <s v=" Vitshumbi"/>
    <n v="26136"/>
    <n v="912.14639999999997"/>
    <n v="1045.44"/>
    <n v="760.12199999999996"/>
    <n v="871.2"/>
    <n v="857"/>
    <n v="744"/>
    <n v="730"/>
    <n v="718"/>
    <n v="719"/>
    <n v="749"/>
    <n v="748"/>
    <n v="748"/>
    <n v="749"/>
    <n v="748"/>
    <n v="751"/>
    <n v="742"/>
    <n v="743"/>
    <n v="743"/>
    <n v="757"/>
    <n v="765"/>
    <n v="766"/>
    <n v="754"/>
    <n v="757"/>
    <n v="756"/>
    <n v="692"/>
    <n v="670"/>
    <n v="630"/>
    <n v="585"/>
    <n v="2577"/>
    <n v="58.3"/>
    <n v="100"/>
    <n v="11.121999999999957"/>
    <n v="0"/>
    <n v="757"/>
  </r>
  <r>
    <s v="Nord Kivu"/>
    <x v="1"/>
    <x v="16"/>
    <s v=" Byungu"/>
    <n v="7953"/>
    <n v="277.55970000000002"/>
    <n v="318.12"/>
    <n v="231.29975000000002"/>
    <n v="265.10000000000002"/>
    <n v="167"/>
    <n v="58"/>
    <n v="195"/>
    <n v="183"/>
    <n v="189"/>
    <n v="195"/>
    <n v="173"/>
    <n v="189"/>
    <n v="195"/>
    <n v="179"/>
    <n v="188"/>
    <n v="195"/>
    <n v="179"/>
    <n v="189"/>
    <n v="176"/>
    <n v="222"/>
    <n v="157"/>
    <n v="186"/>
    <n v="158"/>
    <n v="83"/>
    <n v="61"/>
    <n v="49"/>
    <n v="64"/>
    <n v="23"/>
    <n v="197"/>
    <n v="41.7"/>
    <n v="100"/>
    <n v="36.299750000000017"/>
    <n v="19"/>
    <n v="157"/>
  </r>
  <r>
    <s v="Nord Kivu"/>
    <x v="1"/>
    <x v="16"/>
    <s v=" Karambi"/>
    <n v="7611"/>
    <n v="265.62389999999999"/>
    <n v="304.44"/>
    <n v="221.35324999999997"/>
    <n v="253.70000000000002"/>
    <n v="268"/>
    <n v="45"/>
    <n v="209"/>
    <n v="187"/>
    <n v="177"/>
    <n v="231"/>
    <n v="211"/>
    <n v="201"/>
    <n v="217"/>
    <n v="195"/>
    <n v="201"/>
    <n v="242"/>
    <n v="207"/>
    <n v="201"/>
    <n v="179"/>
    <n v="95"/>
    <n v="187"/>
    <n v="201"/>
    <n v="171"/>
    <n v="68"/>
    <n v="52"/>
    <n v="34"/>
    <n v="42"/>
    <n v="38"/>
    <n v="166"/>
    <n v="50"/>
    <n v="100"/>
    <n v="0"/>
    <n v="52"/>
    <n v="179"/>
  </r>
  <r>
    <s v="Nord Kivu"/>
    <x v="1"/>
    <x v="16"/>
    <s v=" Kasuka"/>
    <n v="4569"/>
    <n v="159.4581"/>
    <n v="182.76"/>
    <n v="132.88175000000001"/>
    <n v="152.29999999999998"/>
    <n v="117"/>
    <n v="54"/>
    <n v="97"/>
    <n v="105"/>
    <n v="115"/>
    <n v="117"/>
    <n v="134"/>
    <n v="150"/>
    <n v="117"/>
    <n v="134"/>
    <n v="150"/>
    <n v="120"/>
    <n v="139"/>
    <n v="179"/>
    <n v="136"/>
    <n v="66"/>
    <n v="172"/>
    <n v="121"/>
    <n v="131"/>
    <n v="29"/>
    <n v="26"/>
    <n v="25"/>
    <n v="18"/>
    <n v="12"/>
    <n v="81"/>
    <n v="45.8"/>
    <n v="100"/>
    <n v="15.881750000000011"/>
    <n v="0"/>
    <n v="136"/>
  </r>
  <r>
    <s v="Nord Kivu"/>
    <x v="1"/>
    <x v="16"/>
    <s v=" Katwa"/>
    <n v="4855"/>
    <n v="169.43950000000001"/>
    <n v="194.20000000000002"/>
    <n v="141.19958333333335"/>
    <n v="161.83333333333334"/>
    <n v="120"/>
    <n v="34"/>
    <n v="98"/>
    <n v="112"/>
    <n v="84"/>
    <n v="234"/>
    <n v="138"/>
    <n v="113"/>
    <n v="143"/>
    <n v="141"/>
    <n v="111"/>
    <n v="144"/>
    <n v="141"/>
    <n v="123"/>
    <n v="126"/>
    <n v="88"/>
    <n v="111"/>
    <n v="107"/>
    <n v="121"/>
    <n v="48"/>
    <n v="27"/>
    <n v="26"/>
    <n v="18"/>
    <n v="15"/>
    <n v="86"/>
    <n v="41.7"/>
    <n v="100"/>
    <n v="0"/>
    <n v="108"/>
    <n v="111"/>
  </r>
  <r>
    <s v="Nord Kivu"/>
    <x v="1"/>
    <x v="16"/>
    <s v=" Kibati"/>
    <n v="13080"/>
    <n v="456.49200000000002"/>
    <n v="523.20000000000005"/>
    <n v="380.41"/>
    <n v="436"/>
    <n v="381"/>
    <n v="100"/>
    <n v="249"/>
    <n v="243"/>
    <n v="245"/>
    <n v="367"/>
    <n v="342"/>
    <n v="352"/>
    <n v="367"/>
    <n v="343"/>
    <n v="352"/>
    <n v="367"/>
    <n v="332"/>
    <n v="352"/>
    <n v="354"/>
    <n v="138"/>
    <n v="430"/>
    <n v="337"/>
    <n v="317"/>
    <n v="65"/>
    <n v="71"/>
    <n v="57"/>
    <n v="42"/>
    <n v="33"/>
    <n v="203"/>
    <n v="37.5"/>
    <n v="100"/>
    <n v="13.410000000000025"/>
    <n v="13"/>
    <n v="354"/>
  </r>
  <r>
    <s v="Nord Kivu"/>
    <x v="1"/>
    <x v="16"/>
    <s v=" Kibua"/>
    <n v="14464"/>
    <n v="504.79360000000003"/>
    <n v="578.56000000000006"/>
    <n v="420.66133333333335"/>
    <n v="482.13333333333338"/>
    <n v="400"/>
    <n v="125"/>
    <n v="275"/>
    <n v="261"/>
    <n v="316"/>
    <n v="478"/>
    <n v="454"/>
    <n v="424"/>
    <n v="468"/>
    <n v="454"/>
    <n v="424"/>
    <n v="478"/>
    <n v="454"/>
    <n v="419"/>
    <n v="361"/>
    <n v="244"/>
    <n v="418"/>
    <n v="389"/>
    <n v="280"/>
    <n v="46"/>
    <n v="46"/>
    <n v="61"/>
    <n v="47"/>
    <n v="43"/>
    <n v="197"/>
    <n v="58.3"/>
    <n v="100"/>
    <n v="0"/>
    <n v="117"/>
    <n v="361"/>
  </r>
  <r>
    <s v="Nord Kivu"/>
    <x v="1"/>
    <x v="16"/>
    <s v=" Kilungu"/>
    <n v="7423"/>
    <n v="259.06270000000001"/>
    <n v="296.92"/>
    <n v="215.88558333333336"/>
    <n v="247.43333333333337"/>
    <n v="170"/>
    <n v="98"/>
    <n v="146"/>
    <n v="139"/>
    <n v="137"/>
    <n v="175"/>
    <n v="167"/>
    <n v="171"/>
    <n v="173"/>
    <n v="167"/>
    <n v="171"/>
    <n v="173"/>
    <n v="167"/>
    <n v="170"/>
    <n v="158"/>
    <n v="92"/>
    <n v="141"/>
    <n v="165"/>
    <n v="91"/>
    <n v="55"/>
    <n v="60"/>
    <n v="24"/>
    <n v="16"/>
    <n v="4"/>
    <n v="104"/>
    <n v="58.3"/>
    <n v="100"/>
    <n v="40.885583333333358"/>
    <n v="17"/>
    <n v="141"/>
  </r>
  <r>
    <s v="Nord Kivu"/>
    <x v="1"/>
    <x v="16"/>
    <s v=" Kimua"/>
    <n v="9641"/>
    <n v="336.47090000000003"/>
    <n v="385.64"/>
    <n v="280.39241666666669"/>
    <n v="321.36666666666662"/>
    <n v="229"/>
    <n v="128"/>
    <n v="228"/>
    <n v="217"/>
    <n v="208"/>
    <n v="258"/>
    <n v="243"/>
    <n v="239"/>
    <n v="258"/>
    <n v="244"/>
    <n v="239"/>
    <n v="258"/>
    <n v="246"/>
    <n v="237"/>
    <n v="228"/>
    <n v="200"/>
    <n v="228"/>
    <n v="237"/>
    <n v="238"/>
    <n v="62"/>
    <n v="62"/>
    <n v="43"/>
    <n v="23"/>
    <n v="24"/>
    <n v="152"/>
    <n v="37.5"/>
    <n v="100"/>
    <n v="22.392416666666691"/>
    <n v="30"/>
    <n v="228"/>
  </r>
  <r>
    <s v="Nord Kivu"/>
    <x v="1"/>
    <x v="16"/>
    <s v=" Kishanga"/>
    <n v="6739"/>
    <n v="235.19110000000001"/>
    <n v="269.56"/>
    <n v="195.99258333333336"/>
    <n v="224.63333333333335"/>
    <n v="157"/>
    <n v="152"/>
    <n v="172"/>
    <n v="168"/>
    <n v="172"/>
    <n v="191"/>
    <n v="187"/>
    <n v="191"/>
    <n v="191"/>
    <n v="187"/>
    <n v="191"/>
    <n v="191"/>
    <n v="187"/>
    <n v="191"/>
    <n v="185"/>
    <n v="116"/>
    <n v="177"/>
    <n v="191"/>
    <n v="160"/>
    <n v="29"/>
    <n v="33"/>
    <n v="54"/>
    <n v="52"/>
    <n v="47"/>
    <n v="186"/>
    <n v="50"/>
    <n v="100"/>
    <n v="4.9925833333333571"/>
    <n v="6"/>
    <n v="177"/>
  </r>
  <r>
    <s v="Nord Kivu"/>
    <x v="1"/>
    <x v="16"/>
    <s v=" Langira"/>
    <n v="5972"/>
    <n v="208.4228"/>
    <n v="238.88"/>
    <n v="173.68566666666666"/>
    <n v="199.06666666666666"/>
    <n v="146"/>
    <n v="10"/>
    <n v="114"/>
    <n v="100"/>
    <n v="122"/>
    <n v="130"/>
    <n v="118"/>
    <n v="130"/>
    <n v="130"/>
    <n v="116"/>
    <n v="130"/>
    <n v="130"/>
    <n v="116"/>
    <n v="130"/>
    <n v="120"/>
    <n v="103"/>
    <n v="176"/>
    <n v="130"/>
    <n v="117"/>
    <n v="56"/>
    <n v="40"/>
    <n v="31"/>
    <n v="20"/>
    <n v="6"/>
    <n v="97"/>
    <n v="50"/>
    <n v="100"/>
    <n v="43.685666666666663"/>
    <n v="10"/>
    <n v="120"/>
  </r>
  <r>
    <s v="Nord Kivu"/>
    <x v="1"/>
    <x v="16"/>
    <s v=" Limangi"/>
    <n v="5092"/>
    <n v="177.71080000000001"/>
    <n v="203.68"/>
    <n v="148.09233333333333"/>
    <n v="169.73333333333332"/>
    <n v="134"/>
    <n v="44"/>
    <n v="92"/>
    <n v="85"/>
    <n v="88"/>
    <n v="137"/>
    <n v="135"/>
    <n v="135"/>
    <n v="137"/>
    <n v="135"/>
    <n v="135"/>
    <n v="137"/>
    <n v="135"/>
    <n v="136"/>
    <n v="128"/>
    <n v="116"/>
    <n v="158"/>
    <n v="135"/>
    <n v="76"/>
    <n v="24"/>
    <n v="43"/>
    <n v="39"/>
    <n v="37"/>
    <n v="36"/>
    <n v="155"/>
    <n v="41.7"/>
    <n v="100"/>
    <n v="11.092333333333329"/>
    <n v="9"/>
    <n v="128"/>
  </r>
  <r>
    <s v="Nord Kivu"/>
    <x v="1"/>
    <x v="16"/>
    <s v=" Lubonga"/>
    <n v="5100"/>
    <n v="177.99"/>
    <n v="204"/>
    <n v="148.32500000000002"/>
    <n v="170"/>
    <n v="172"/>
    <n v="74"/>
    <n v="164"/>
    <n v="164"/>
    <n v="157"/>
    <n v="162"/>
    <n v="164"/>
    <n v="157"/>
    <n v="164"/>
    <n v="164"/>
    <n v="157"/>
    <n v="164"/>
    <n v="164"/>
    <n v="157"/>
    <n v="159"/>
    <n v="132"/>
    <n v="159"/>
    <n v="157"/>
    <n v="156"/>
    <n v="84"/>
    <n v="53"/>
    <n v="45"/>
    <n v="23"/>
    <n v="30"/>
    <n v="151"/>
    <n v="37.5"/>
    <n v="100"/>
    <n v="0"/>
    <n v="3"/>
    <n v="159"/>
  </r>
  <r>
    <s v="Nord Kivu"/>
    <x v="1"/>
    <x v="16"/>
    <s v=" Luvungi"/>
    <n v="6257"/>
    <n v="218.36930000000001"/>
    <n v="250.28"/>
    <n v="181.97441666666666"/>
    <n v="208.56666666666666"/>
    <n v="195"/>
    <n v="53"/>
    <n v="119"/>
    <n v="102"/>
    <n v="113"/>
    <n v="179"/>
    <n v="146"/>
    <n v="169"/>
    <n v="173"/>
    <n v="147"/>
    <n v="169"/>
    <n v="179"/>
    <n v="147"/>
    <n v="169"/>
    <n v="153"/>
    <n v="83"/>
    <n v="187"/>
    <n v="153"/>
    <n v="155"/>
    <n v="58"/>
    <n v="39"/>
    <n v="37"/>
    <n v="30"/>
    <n v="32"/>
    <n v="138"/>
    <n v="33.299999999999997"/>
    <n v="100"/>
    <n v="2.9744166666666558"/>
    <n v="26"/>
    <n v="153"/>
  </r>
  <r>
    <s v="Nord Kivu"/>
    <x v="1"/>
    <x v="16"/>
    <s v=" Machumbi"/>
    <n v="8574"/>
    <n v="299.23259999999999"/>
    <n v="342.96"/>
    <n v="249.36049999999997"/>
    <n v="285.79999999999995"/>
    <n v="176"/>
    <n v="18"/>
    <n v="209"/>
    <n v="201"/>
    <n v="201"/>
    <n v="225"/>
    <n v="203"/>
    <n v="219"/>
    <n v="225"/>
    <n v="239"/>
    <n v="241"/>
    <n v="249"/>
    <n v="239"/>
    <n v="243"/>
    <n v="240"/>
    <n v="64"/>
    <n v="247"/>
    <n v="196"/>
    <n v="192"/>
    <n v="61"/>
    <n v="48"/>
    <n v="40"/>
    <n v="38"/>
    <n v="35"/>
    <n v="161"/>
    <n v="50"/>
    <n v="100"/>
    <n v="24.360499999999973"/>
    <n v="0"/>
    <n v="240"/>
  </r>
  <r>
    <s v="Nord Kivu"/>
    <x v="1"/>
    <x v="16"/>
    <s v=" Misau"/>
    <n v="9257"/>
    <n v="323.0693"/>
    <n v="370.28000000000003"/>
    <n v="269.22441666666668"/>
    <n v="308.56666666666672"/>
    <n v="248"/>
    <n v="158"/>
    <n v="195"/>
    <n v="191"/>
    <n v="199"/>
    <n v="248"/>
    <n v="247"/>
    <n v="255"/>
    <n v="248"/>
    <n v="247"/>
    <n v="255"/>
    <n v="252"/>
    <n v="247"/>
    <n v="252"/>
    <n v="243"/>
    <n v="227"/>
    <n v="240"/>
    <n v="255"/>
    <n v="148"/>
    <n v="105"/>
    <n v="97"/>
    <n v="41"/>
    <n v="38"/>
    <n v="68"/>
    <n v="244"/>
    <n v="33.299999999999997"/>
    <n v="100"/>
    <n v="21.224416666666684"/>
    <n v="5"/>
    <n v="240"/>
  </r>
  <r>
    <s v="Nord Kivu"/>
    <x v="1"/>
    <x v="16"/>
    <s v=" N'Kimba"/>
    <n v="4532"/>
    <n v="158.16679999999999"/>
    <n v="181.28"/>
    <n v="131.80566666666667"/>
    <n v="151.06666666666666"/>
    <n v="114"/>
    <n v="40"/>
    <n v="68"/>
    <n v="63"/>
    <n v="66"/>
    <n v="109"/>
    <n v="99"/>
    <n v="108"/>
    <n v="109"/>
    <n v="99"/>
    <n v="108"/>
    <n v="109"/>
    <n v="99"/>
    <n v="108"/>
    <n v="101"/>
    <n v="60"/>
    <n v="134"/>
    <n v="92"/>
    <n v="67"/>
    <n v="25"/>
    <n v="20"/>
    <n v="18"/>
    <n v="21"/>
    <n v="17"/>
    <n v="76"/>
    <n v="41.7"/>
    <n v="100"/>
    <n v="22.805666666666667"/>
    <n v="8"/>
    <n v="101"/>
  </r>
  <r>
    <s v="Nord Kivu"/>
    <x v="1"/>
    <x v="16"/>
    <s v=" Ngenge"/>
    <n v="10777"/>
    <n v="376.1173"/>
    <n v="431.08"/>
    <n v="313.43108333333333"/>
    <n v="359.23333333333335"/>
    <n v="324"/>
    <n v="153"/>
    <n v="267"/>
    <n v="243"/>
    <n v="250"/>
    <n v="287"/>
    <n v="271"/>
    <n v="281"/>
    <n v="286"/>
    <n v="271"/>
    <n v="281"/>
    <n v="287"/>
    <n v="271"/>
    <n v="280"/>
    <n v="293"/>
    <n v="113"/>
    <n v="331"/>
    <n v="274"/>
    <n v="277"/>
    <n v="144"/>
    <n v="122"/>
    <n v="105"/>
    <n v="92"/>
    <n v="79"/>
    <n v="398"/>
    <n v="41.7"/>
    <n v="100"/>
    <n v="26.431083333333333"/>
    <n v="0"/>
    <n v="293"/>
  </r>
  <r>
    <s v="Nord Kivu"/>
    <x v="1"/>
    <x v="16"/>
    <s v=" Ntoto"/>
    <n v="7448"/>
    <n v="259.93520000000001"/>
    <n v="297.92"/>
    <n v="216.61266666666666"/>
    <n v="248.26666666666668"/>
    <n v="172"/>
    <n v="76"/>
    <n v="173"/>
    <n v="166"/>
    <n v="170"/>
    <n v="181"/>
    <n v="185"/>
    <n v="179"/>
    <n v="181"/>
    <n v="185"/>
    <n v="179"/>
    <n v="180"/>
    <n v="185"/>
    <n v="180"/>
    <n v="180"/>
    <n v="130"/>
    <n v="162"/>
    <n v="179"/>
    <n v="130"/>
    <n v="68"/>
    <n v="44"/>
    <n v="59"/>
    <n v="32"/>
    <n v="26"/>
    <n v="161"/>
    <n v="45.8"/>
    <n v="100"/>
    <n v="35.612666666666655"/>
    <n v="1"/>
    <n v="162"/>
  </r>
  <r>
    <s v="Nord Kivu"/>
    <x v="1"/>
    <x v="16"/>
    <s v=" Robe"/>
    <n v="3870"/>
    <n v="135.06299999999999"/>
    <n v="154.80000000000001"/>
    <n v="112.55249999999998"/>
    <n v="129"/>
    <n v="95"/>
    <n v="84"/>
    <n v="85"/>
    <n v="82"/>
    <n v="85"/>
    <n v="95"/>
    <n v="90"/>
    <n v="96"/>
    <n v="95"/>
    <n v="90"/>
    <n v="96"/>
    <n v="95"/>
    <n v="90"/>
    <n v="96"/>
    <n v="96"/>
    <n v="59"/>
    <n v="179"/>
    <n v="96"/>
    <n v="56"/>
    <n v="26"/>
    <n v="29"/>
    <n v="16"/>
    <n v="17"/>
    <n v="11"/>
    <n v="73"/>
    <n v="41.7"/>
    <n v="100"/>
    <n v="17.552499999999981"/>
    <n v="0"/>
    <n v="96"/>
  </r>
  <r>
    <s v="Nord Kivu"/>
    <x v="1"/>
    <x v="17"/>
    <s v=" Bishange"/>
    <n v="7141"/>
    <n v="249.2209"/>
    <n v="285.64"/>
    <n v="207.68408333333332"/>
    <n v="238.0333333333333"/>
    <n v="346"/>
    <n v="240"/>
    <n v="244"/>
    <n v="222"/>
    <n v="242"/>
    <n v="248"/>
    <n v="222"/>
    <n v="242"/>
    <n v="248"/>
    <n v="221"/>
    <n v="245"/>
    <n v="248"/>
    <n v="221"/>
    <n v="245"/>
    <n v="229"/>
    <n v="135"/>
    <n v="229"/>
    <n v="245"/>
    <n v="214"/>
    <n v="60"/>
    <n v="26"/>
    <n v="35"/>
    <n v="35"/>
    <n v="28"/>
    <n v="124"/>
    <n v="58.3"/>
    <n v="100"/>
    <n v="0"/>
    <n v="19"/>
    <n v="229"/>
  </r>
  <r>
    <s v="Nord Kivu"/>
    <x v="1"/>
    <x v="17"/>
    <s v=" Bitonga"/>
    <n v="18647"/>
    <n v="650.78030000000001"/>
    <n v="745.88"/>
    <n v="542.31691666666666"/>
    <n v="621.56666666666661"/>
    <n v="490"/>
    <n v="16"/>
    <n v="145"/>
    <n v="123"/>
    <n v="131"/>
    <n v="127"/>
    <n v="117"/>
    <n v="124"/>
    <n v="145"/>
    <n v="123"/>
    <n v="131"/>
    <n v="145"/>
    <n v="123"/>
    <n v="131"/>
    <n v="136"/>
    <n v="49"/>
    <n v="135"/>
    <n v="131"/>
    <n v="136"/>
    <n v="65"/>
    <n v="19"/>
    <n v="7"/>
    <n v="3"/>
    <n v="13"/>
    <n v="42"/>
    <n v="50"/>
    <n v="100"/>
    <n v="415.31691666666666"/>
    <n v="0"/>
    <n v="135"/>
  </r>
  <r>
    <s v="Nord Kivu"/>
    <x v="1"/>
    <x v="17"/>
    <s v=" Bulengero"/>
    <n v="14055"/>
    <n v="490.51949999999999"/>
    <n v="562.20000000000005"/>
    <n v="408.76624999999996"/>
    <n v="468.5"/>
    <n v="488"/>
    <n v="277"/>
    <n v="421"/>
    <n v="406"/>
    <n v="421"/>
    <n v="421"/>
    <n v="406"/>
    <n v="421"/>
    <n v="420"/>
    <n v="406"/>
    <n v="421"/>
    <n v="421"/>
    <n v="406"/>
    <n v="421"/>
    <n v="421"/>
    <n v="52"/>
    <n v="421"/>
    <n v="421"/>
    <n v="280"/>
    <n v="405"/>
    <n v="280"/>
    <n v="208"/>
    <n v="14"/>
    <n v="14"/>
    <n v="516"/>
    <n v="58.3"/>
    <n v="100"/>
    <n v="0"/>
    <n v="0"/>
    <n v="421"/>
  </r>
  <r>
    <s v="Nord Kivu"/>
    <x v="1"/>
    <x v="17"/>
    <s v=" Buroha"/>
    <n v="25217"/>
    <n v="880.07330000000002"/>
    <n v="1008.6800000000001"/>
    <n v="733.39441666666676"/>
    <n v="840.56666666666672"/>
    <s v=""/>
    <s v=""/>
    <n v="8"/>
    <n v="7"/>
    <n v="6"/>
    <n v="8"/>
    <n v="7"/>
    <n v="6"/>
    <n v="8"/>
    <n v="7"/>
    <n v="6"/>
    <n v="8"/>
    <n v="7"/>
    <n v="6"/>
    <n v="7"/>
    <n v="1"/>
    <n v="7"/>
    <n v="6"/>
    <n v="1"/>
    <n v="8"/>
    <n v="6"/>
    <n v="2"/>
    <n v="2"/>
    <n v="1"/>
    <n v="11"/>
    <n v="45.8"/>
    <n v="100"/>
    <n v="725.39441666666676"/>
    <n v="1"/>
    <n v="7"/>
  </r>
  <r>
    <s v="Nord Kivu"/>
    <x v="1"/>
    <x v="17"/>
    <s v=" Bushuhe"/>
    <n v="19170"/>
    <n v="669.03300000000002"/>
    <n v="766.80000000000007"/>
    <n v="557.52750000000003"/>
    <n v="639"/>
    <s v=""/>
    <s v=""/>
    <s v=""/>
    <s v=""/>
    <s v=""/>
    <s v=""/>
    <n v="32"/>
    <n v="30"/>
    <n v="35"/>
    <n v="32"/>
    <n v="30"/>
    <n v="35"/>
    <n v="32"/>
    <n v="30"/>
    <n v="40"/>
    <n v="17"/>
    <n v="40"/>
    <s v=""/>
    <s v=""/>
    <n v="2"/>
    <s v=""/>
    <n v="1"/>
    <n v="2"/>
    <s v=""/>
    <n v="3"/>
    <n v="41.7"/>
    <n v="100"/>
    <n v="0"/>
    <n v="0"/>
    <n v="40"/>
  </r>
  <r>
    <s v="Nord Kivu"/>
    <x v="1"/>
    <x v="17"/>
    <s v=" Bweremana"/>
    <n v="16936"/>
    <n v="591.06640000000004"/>
    <n v="677.44"/>
    <n v="492.55533333333341"/>
    <n v="564.53333333333342"/>
    <n v="649"/>
    <n v="86"/>
    <n v="580"/>
    <n v="547"/>
    <n v="469"/>
    <n v="580"/>
    <n v="547"/>
    <n v="469"/>
    <n v="580"/>
    <n v="492"/>
    <n v="469"/>
    <n v="580"/>
    <n v="547"/>
    <n v="469"/>
    <n v="512"/>
    <n v="187"/>
    <n v="512"/>
    <n v="467"/>
    <s v=""/>
    <n v="153"/>
    <n v="93"/>
    <n v="92"/>
    <n v="62"/>
    <n v="75"/>
    <n v="322"/>
    <n v="50"/>
    <n v="100"/>
    <n v="0"/>
    <n v="68"/>
    <n v="512"/>
  </r>
  <r>
    <s v="Nord Kivu"/>
    <x v="1"/>
    <x v="17"/>
    <s v=" Humule"/>
    <n v="12409"/>
    <n v="433.07409999999999"/>
    <n v="496.36"/>
    <n v="360.89508333333333"/>
    <n v="413.63333333333338"/>
    <n v="243"/>
    <n v="108"/>
    <n v="310"/>
    <n v="282"/>
    <n v="301"/>
    <n v="309"/>
    <n v="291"/>
    <n v="293"/>
    <n v="310"/>
    <n v="291"/>
    <n v="302"/>
    <n v="310"/>
    <n v="282"/>
    <n v="301"/>
    <n v="447"/>
    <n v="372"/>
    <n v="439"/>
    <n v="303"/>
    <n v="157"/>
    <n v="175"/>
    <n v="86"/>
    <n v="56"/>
    <n v="27"/>
    <n v="18"/>
    <n v="187"/>
    <n v="50"/>
    <n v="100"/>
    <n v="51.895083333333332"/>
    <n v="0"/>
    <n v="439"/>
  </r>
  <r>
    <s v="Nord Kivu"/>
    <x v="1"/>
    <x v="17"/>
    <s v=" Kabase"/>
    <n v="11628"/>
    <n v="405.81720000000001"/>
    <n v="465.12"/>
    <n v="338.18100000000004"/>
    <n v="387.59999999999997"/>
    <n v="81"/>
    <n v="8"/>
    <n v="107"/>
    <n v="90"/>
    <n v="89"/>
    <n v="107"/>
    <n v="90"/>
    <n v="89"/>
    <n v="107"/>
    <n v="92"/>
    <n v="89"/>
    <n v="107"/>
    <n v="86"/>
    <n v="89"/>
    <n v="98"/>
    <s v=""/>
    <n v="98"/>
    <n v="89"/>
    <s v=""/>
    <n v="31"/>
    <n v="21"/>
    <n v="14"/>
    <n v="5"/>
    <n v="5"/>
    <n v="45"/>
    <n v="50"/>
    <n v="100"/>
    <n v="231.18100000000004"/>
    <n v="9"/>
    <n v="98"/>
  </r>
  <r>
    <s v="Nord Kivu"/>
    <x v="1"/>
    <x v="17"/>
    <s v=" Kabingu"/>
    <n v="8889"/>
    <n v="310.22610000000003"/>
    <n v="355.56"/>
    <n v="258.52175"/>
    <n v="296.3"/>
    <n v="286"/>
    <n v="205"/>
    <n v="288"/>
    <n v="236"/>
    <n v="275"/>
    <n v="286"/>
    <n v="237"/>
    <n v="276"/>
    <n v="296"/>
    <n v="228"/>
    <n v="274"/>
    <n v="286"/>
    <n v="227"/>
    <n v="297"/>
    <n v="248"/>
    <n v="43"/>
    <n v="256"/>
    <n v="305"/>
    <n v="248"/>
    <n v="187"/>
    <n v="111"/>
    <n v="15"/>
    <n v="1"/>
    <s v=""/>
    <n v="127"/>
    <n v="41.7"/>
    <n v="100"/>
    <n v="0"/>
    <n v="38"/>
    <n v="248"/>
  </r>
  <r>
    <s v="Nord Kivu"/>
    <x v="1"/>
    <x v="17"/>
    <s v=" Kaduki"/>
    <n v="18668"/>
    <n v="651.51319999999998"/>
    <n v="746.72"/>
    <n v="542.92766666666671"/>
    <n v="622.26666666666665"/>
    <n v="80"/>
    <n v="25"/>
    <n v="105"/>
    <n v="88"/>
    <n v="105"/>
    <n v="105"/>
    <n v="88"/>
    <n v="105"/>
    <n v="105"/>
    <n v="88"/>
    <n v="105"/>
    <n v="105"/>
    <n v="88"/>
    <n v="105"/>
    <n v="87"/>
    <n v="91"/>
    <n v="87"/>
    <n v="105"/>
    <n v="87"/>
    <n v="59"/>
    <n v="62"/>
    <n v="10"/>
    <n v="3"/>
    <n v="2"/>
    <n v="77"/>
    <n v="29.2"/>
    <n v="100"/>
    <n v="437.92766666666671"/>
    <n v="18"/>
    <n v="87"/>
  </r>
  <r>
    <s v="Nord Kivu"/>
    <x v="1"/>
    <x v="17"/>
    <s v=" Karuba"/>
    <n v="18552"/>
    <n v="647.46479999999997"/>
    <n v="742.08"/>
    <n v="539.55399999999997"/>
    <n v="618.40000000000009"/>
    <n v="369"/>
    <n v="47"/>
    <n v="293"/>
    <n v="192"/>
    <n v="135"/>
    <n v="358"/>
    <n v="281"/>
    <n v="165"/>
    <n v="358"/>
    <n v="281"/>
    <n v="164"/>
    <n v="358"/>
    <n v="281"/>
    <n v="165"/>
    <n v="201"/>
    <n v="47"/>
    <n v="201"/>
    <n v="154"/>
    <n v="85"/>
    <n v="82"/>
    <n v="47"/>
    <n v="26"/>
    <n v="18"/>
    <n v="17"/>
    <n v="108"/>
    <n v="50"/>
    <n v="100"/>
    <n v="181.55399999999997"/>
    <n v="157"/>
    <n v="201"/>
  </r>
  <r>
    <s v="Nord Kivu"/>
    <x v="1"/>
    <x v="17"/>
    <s v=" Kashebere"/>
    <n v="16764"/>
    <n v="585.06359999999995"/>
    <n v="670.56000000000006"/>
    <n v="487.553"/>
    <n v="558.80000000000007"/>
    <n v="290"/>
    <n v="38"/>
    <n v="292"/>
    <n v="193"/>
    <n v="84"/>
    <n v="292"/>
    <n v="193"/>
    <n v="114"/>
    <n v="327"/>
    <n v="222"/>
    <n v="114"/>
    <n v="269"/>
    <n v="80"/>
    <n v="60"/>
    <n v="125"/>
    <n v="4"/>
    <n v="125"/>
    <n v="137"/>
    <n v="28"/>
    <n v="52"/>
    <n v="20"/>
    <n v="17"/>
    <n v="4"/>
    <n v="1"/>
    <n v="42"/>
    <n v="50"/>
    <n v="100"/>
    <n v="195.553"/>
    <n v="167"/>
    <n v="125"/>
  </r>
  <r>
    <s v="Nord Kivu"/>
    <x v="1"/>
    <x v="17"/>
    <s v=" Kasura"/>
    <n v="26315"/>
    <n v="918.39350000000002"/>
    <n v="1052.5999999999999"/>
    <n v="765.32791666666662"/>
    <n v="877.16666666666652"/>
    <n v="883"/>
    <n v="651"/>
    <n v="719"/>
    <n v="659"/>
    <n v="661"/>
    <n v="844"/>
    <n v="768"/>
    <n v="770"/>
    <n v="844"/>
    <n v="769"/>
    <n v="770"/>
    <n v="843"/>
    <n v="770"/>
    <n v="770"/>
    <n v="814"/>
    <n v="722"/>
    <n v="815"/>
    <n v="758"/>
    <n v="780"/>
    <n v="251"/>
    <n v="233"/>
    <n v="177"/>
    <n v="160"/>
    <n v="168"/>
    <n v="738"/>
    <n v="33.299999999999997"/>
    <n v="100"/>
    <n v="0"/>
    <n v="30"/>
    <n v="814"/>
  </r>
  <r>
    <s v="Nord Kivu"/>
    <x v="1"/>
    <x v="17"/>
    <s v=" Katovu"/>
    <n v="10702"/>
    <n v="373.49979999999999"/>
    <n v="428.08"/>
    <n v="311.2498333333333"/>
    <n v="356.73333333333335"/>
    <n v="316"/>
    <n v="224"/>
    <n v="303"/>
    <n v="273"/>
    <n v="286"/>
    <n v="302"/>
    <n v="240"/>
    <n v="254"/>
    <n v="304"/>
    <n v="272"/>
    <n v="286"/>
    <n v="304"/>
    <n v="272"/>
    <n v="286"/>
    <n v="329"/>
    <n v="57"/>
    <n v="329"/>
    <n v="286"/>
    <n v="329"/>
    <n v="61"/>
    <n v="40"/>
    <n v="32"/>
    <n v="35"/>
    <n v="29"/>
    <n v="136"/>
    <n v="58.3"/>
    <n v="100"/>
    <n v="9.2498333333332994"/>
    <n v="0"/>
    <n v="329"/>
  </r>
  <r>
    <s v="Nord Kivu"/>
    <x v="1"/>
    <x v="17"/>
    <s v=" Kausa"/>
    <n v="29723"/>
    <n v="1037.3326999999999"/>
    <n v="1188.92"/>
    <n v="864.44391666666661"/>
    <n v="990.76666666666665"/>
    <n v="226"/>
    <n v="16"/>
    <n v="228"/>
    <n v="127"/>
    <n v="97"/>
    <n v="325"/>
    <n v="238"/>
    <n v="152"/>
    <n v="268"/>
    <n v="151"/>
    <n v="133"/>
    <n v="325"/>
    <n v="237"/>
    <n v="152"/>
    <n v="172"/>
    <n v="82"/>
    <n v="151"/>
    <n v="100"/>
    <n v="9"/>
    <n v="24"/>
    <n v="14"/>
    <s v=""/>
    <s v=""/>
    <s v=""/>
    <n v="14"/>
    <n v="58.3"/>
    <n v="100"/>
    <n v="539.44391666666661"/>
    <n v="153"/>
    <n v="151"/>
  </r>
  <r>
    <s v="Nord Kivu"/>
    <x v="1"/>
    <x v="17"/>
    <s v=" Kihindo"/>
    <n v="8563"/>
    <n v="298.84870000000001"/>
    <n v="342.52"/>
    <n v="249.04058333333336"/>
    <n v="285.43333333333334"/>
    <n v="36"/>
    <n v="56"/>
    <n v="80"/>
    <n v="72"/>
    <n v="76"/>
    <n v="80"/>
    <n v="72"/>
    <n v="76"/>
    <n v="80"/>
    <n v="72"/>
    <n v="76"/>
    <n v="80"/>
    <n v="72"/>
    <n v="73"/>
    <n v="51"/>
    <n v="18"/>
    <n v="51"/>
    <n v="76"/>
    <n v="57"/>
    <n v="8"/>
    <n v="8"/>
    <n v="8"/>
    <n v="8"/>
    <n v="3"/>
    <n v="27"/>
    <n v="33.299999999999997"/>
    <n v="100"/>
    <n v="169.04058333333336"/>
    <n v="29"/>
    <n v="51"/>
  </r>
  <r>
    <s v="Nord Kivu"/>
    <x v="1"/>
    <x v="17"/>
    <s v=" Kimoka"/>
    <n v="23345"/>
    <n v="814.7405"/>
    <n v="933.80000000000007"/>
    <n v="678.95041666666668"/>
    <n v="778.16666666666674"/>
    <n v="69"/>
    <n v="34"/>
    <n v="69"/>
    <n v="64"/>
    <n v="75"/>
    <n v="69"/>
    <n v="64"/>
    <n v="65"/>
    <n v="69"/>
    <n v="64"/>
    <n v="65"/>
    <n v="69"/>
    <n v="64"/>
    <n v="65"/>
    <n v="60"/>
    <n v="55"/>
    <n v="61"/>
    <n v="75"/>
    <n v="68"/>
    <n v="27"/>
    <n v="48"/>
    <n v="19"/>
    <n v="7"/>
    <n v="4"/>
    <n v="78"/>
    <n v="33.299999999999997"/>
    <n v="100"/>
    <n v="609.95041666666668"/>
    <n v="9"/>
    <n v="60"/>
  </r>
  <r>
    <s v="Nord Kivu"/>
    <x v="1"/>
    <x v="17"/>
    <s v=" Kionde"/>
    <n v="11628"/>
    <n v="405.81720000000001"/>
    <n v="465.12"/>
    <n v="338.18100000000004"/>
    <n v="387.59999999999997"/>
    <n v="38"/>
    <n v="7"/>
    <n v="101"/>
    <n v="87"/>
    <n v="78"/>
    <n v="101"/>
    <n v="87"/>
    <n v="78"/>
    <n v="101"/>
    <n v="88"/>
    <n v="78"/>
    <n v="101"/>
    <n v="87"/>
    <n v="78"/>
    <n v="82"/>
    <n v="30"/>
    <n v="83"/>
    <n v="78"/>
    <n v="79"/>
    <n v="43"/>
    <n v="38"/>
    <n v="20"/>
    <n v="26"/>
    <n v="13"/>
    <n v="97"/>
    <n v="58.3"/>
    <n v="100"/>
    <n v="237.18100000000004"/>
    <n v="19"/>
    <n v="82"/>
  </r>
  <r>
    <s v="Nord Kivu"/>
    <x v="1"/>
    <x v="17"/>
    <s v=" Kirotshe"/>
    <n v="15802"/>
    <n v="551.48980000000006"/>
    <n v="632.08000000000004"/>
    <n v="459.57483333333334"/>
    <n v="526.73333333333335"/>
    <n v="74"/>
    <n v="5"/>
    <n v="50"/>
    <n v="47"/>
    <n v="46"/>
    <n v="50"/>
    <n v="47"/>
    <n v="46"/>
    <n v="50"/>
    <n v="47"/>
    <n v="46"/>
    <n v="50"/>
    <n v="47"/>
    <n v="46"/>
    <n v="43"/>
    <n v="19"/>
    <n v="43"/>
    <n v="46"/>
    <n v="43"/>
    <n v="16"/>
    <n v="9"/>
    <n v="8"/>
    <n v="6"/>
    <n v="5"/>
    <n v="28"/>
    <n v="25"/>
    <n v="100"/>
    <n v="409.57483333333334"/>
    <n v="7"/>
    <n v="43"/>
  </r>
  <r>
    <s v="Nord Kivu"/>
    <x v="1"/>
    <x v="17"/>
    <s v=" Kyabondo"/>
    <n v="11628"/>
    <n v="405.81720000000001"/>
    <n v="465.12"/>
    <n v="338.18100000000004"/>
    <n v="387.59999999999997"/>
    <n v="97"/>
    <n v="47"/>
    <n v="85"/>
    <n v="108"/>
    <n v="103"/>
    <n v="85"/>
    <n v="108"/>
    <n v="103"/>
    <n v="87"/>
    <n v="108"/>
    <n v="103"/>
    <n v="85"/>
    <n v="108"/>
    <n v="103"/>
    <n v="105"/>
    <n v="65"/>
    <n v="105"/>
    <n v="103"/>
    <n v="105"/>
    <n v="44"/>
    <n v="21"/>
    <n v="16"/>
    <n v="2"/>
    <n v="3"/>
    <n v="42"/>
    <n v="58.3"/>
    <n v="100"/>
    <n v="253.18100000000004"/>
    <n v="0"/>
    <n v="105"/>
  </r>
  <r>
    <s v="Nord Kivu"/>
    <x v="1"/>
    <x v="17"/>
    <s v=" Luzirantaka"/>
    <n v="10779"/>
    <n v="376.18709999999999"/>
    <n v="431.16"/>
    <n v="313.48924999999997"/>
    <n v="359.3"/>
    <n v="467"/>
    <n v="334"/>
    <n v="513"/>
    <n v="401"/>
    <n v="424"/>
    <n v="499"/>
    <n v="399"/>
    <n v="440"/>
    <n v="447"/>
    <n v="363"/>
    <n v="401"/>
    <n v="509"/>
    <n v="399"/>
    <n v="438"/>
    <n v="467"/>
    <n v="29"/>
    <n v="467"/>
    <n v="424"/>
    <n v="261"/>
    <n v="146"/>
    <n v="156"/>
    <n v="89"/>
    <n v="69"/>
    <n v="52"/>
    <n v="366"/>
    <n v="33.299999999999997"/>
    <n v="100"/>
    <n v="0"/>
    <n v="32"/>
    <n v="467"/>
  </r>
  <r>
    <s v="Nord Kivu"/>
    <x v="1"/>
    <x v="17"/>
    <s v=" Matanda"/>
    <n v="13879"/>
    <n v="484.37709999999998"/>
    <n v="555.16"/>
    <n v="403.64758333333333"/>
    <n v="462.63333333333327"/>
    <n v="334"/>
    <n v="64"/>
    <n v="197"/>
    <n v="140"/>
    <n v="118"/>
    <n v="281"/>
    <n v="223"/>
    <n v="207"/>
    <n v="281"/>
    <n v="223"/>
    <n v="207"/>
    <n v="281"/>
    <n v="223"/>
    <n v="213"/>
    <n v="207"/>
    <n v="11"/>
    <n v="207"/>
    <n v="127"/>
    <s v=""/>
    <n v="230"/>
    <n v="181"/>
    <n v="12"/>
    <s v=""/>
    <s v=""/>
    <n v="193"/>
    <n v="50"/>
    <n v="100"/>
    <n v="122.64758333333333"/>
    <n v="74"/>
    <n v="207"/>
  </r>
  <r>
    <s v="Nord Kivu"/>
    <x v="1"/>
    <x v="17"/>
    <s v=" Mitumbala"/>
    <n v="8070"/>
    <n v="281.64300000000003"/>
    <n v="322.8"/>
    <n v="234.70250000000004"/>
    <n v="269"/>
    <n v="17"/>
    <n v="4"/>
    <n v="44"/>
    <n v="30"/>
    <n v="41"/>
    <n v="44"/>
    <n v="30"/>
    <n v="41"/>
    <n v="44"/>
    <n v="30"/>
    <n v="41"/>
    <n v="44"/>
    <n v="30"/>
    <n v="41"/>
    <n v="34"/>
    <n v="14"/>
    <n v="34"/>
    <n v="47"/>
    <n v="30"/>
    <n v="17"/>
    <n v="10"/>
    <n v="3"/>
    <n v="1"/>
    <n v="3"/>
    <n v="17"/>
    <n v="50"/>
    <n v="100"/>
    <n v="190.70250000000004"/>
    <n v="10"/>
    <n v="34"/>
  </r>
  <r>
    <s v="Nord Kivu"/>
    <x v="1"/>
    <x v="17"/>
    <s v=" Mumba"/>
    <n v="15450"/>
    <n v="539.20500000000004"/>
    <n v="618"/>
    <n v="449.33750000000003"/>
    <n v="515"/>
    <n v="809"/>
    <n v="264"/>
    <n v="479"/>
    <n v="394"/>
    <n v="414"/>
    <n v="732"/>
    <n v="678"/>
    <n v="705"/>
    <n v="732"/>
    <n v="675"/>
    <n v="705"/>
    <n v="603"/>
    <n v="530"/>
    <n v="562"/>
    <n v="542"/>
    <n v="374"/>
    <n v="556"/>
    <n v="709"/>
    <n v="539"/>
    <n v="430"/>
    <n v="321"/>
    <n v="311"/>
    <n v="304"/>
    <n v="337"/>
    <n v="1273"/>
    <n v="58.3"/>
    <n v="100"/>
    <n v="0"/>
    <n v="190"/>
    <n v="542"/>
  </r>
  <r>
    <s v="Nord Kivu"/>
    <x v="1"/>
    <x v="17"/>
    <s v=" Murambi"/>
    <n v="9643"/>
    <n v="336.54070000000002"/>
    <n v="385.72"/>
    <n v="280.45058333333333"/>
    <n v="321.4333333333333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25"/>
    <n v="100"/>
    <n v="0"/>
    <n v="0"/>
    <n v="0"/>
  </r>
  <r>
    <s v="Nord Kivu"/>
    <x v="1"/>
    <x v="17"/>
    <s v=" Mushaki"/>
    <n v="10797"/>
    <n v="376.81529999999998"/>
    <n v="431.88"/>
    <n v="314.01274999999998"/>
    <n v="359.90000000000003"/>
    <n v="320"/>
    <n v="169"/>
    <n v="323"/>
    <n v="278"/>
    <n v="291"/>
    <n v="345"/>
    <n v="301"/>
    <n v="311"/>
    <n v="345"/>
    <n v="301"/>
    <n v="311"/>
    <n v="345"/>
    <n v="301"/>
    <n v="311"/>
    <n v="316"/>
    <n v="196"/>
    <n v="316"/>
    <n v="311"/>
    <n v="291"/>
    <n v="482"/>
    <n v="282"/>
    <n v="102"/>
    <n v="70"/>
    <s v=""/>
    <n v="454"/>
    <n v="50"/>
    <n v="100"/>
    <n v="0"/>
    <n v="29"/>
    <n v="316"/>
  </r>
  <r>
    <s v="Nord Kivu"/>
    <x v="1"/>
    <x v="17"/>
    <s v=" Ngungu"/>
    <n v="30956"/>
    <n v="1080.3643999999999"/>
    <n v="1238.24"/>
    <n v="900.30366666666669"/>
    <n v="1031.8666666666668"/>
    <n v="821"/>
    <n v="179"/>
    <n v="718"/>
    <n v="660"/>
    <n v="660"/>
    <n v="718"/>
    <n v="660"/>
    <n v="660"/>
    <n v="622"/>
    <n v="566"/>
    <n v="514"/>
    <n v="718"/>
    <n v="660"/>
    <n v="660"/>
    <n v="666"/>
    <n v="7"/>
    <n v="666"/>
    <n v="660"/>
    <n v="3"/>
    <n v="201"/>
    <n v="116"/>
    <n v="135"/>
    <n v="112"/>
    <n v="98"/>
    <n v="461"/>
    <n v="41.7"/>
    <n v="100"/>
    <n v="182.30366666666669"/>
    <n v="52"/>
    <n v="666"/>
  </r>
  <r>
    <s v="Nord Kivu"/>
    <x v="1"/>
    <x v="17"/>
    <s v=" Nzulo"/>
    <n v="8964"/>
    <n v="312.84359999999998"/>
    <n v="358.56"/>
    <n v="260.70299999999997"/>
    <n v="298.8"/>
    <n v="390"/>
    <n v="130"/>
    <n v="485"/>
    <n v="464"/>
    <n v="414"/>
    <n v="484"/>
    <n v="480"/>
    <n v="414"/>
    <n v="480"/>
    <n v="480"/>
    <n v="414"/>
    <n v="479"/>
    <n v="480"/>
    <n v="414"/>
    <n v="351"/>
    <n v="122"/>
    <n v="352"/>
    <n v="434"/>
    <n v="307"/>
    <n v="161"/>
    <n v="63"/>
    <n v="104"/>
    <n v="50"/>
    <n v="29"/>
    <n v="246"/>
    <n v="50"/>
    <n v="100"/>
    <n v="0"/>
    <n v="133"/>
    <n v="351"/>
  </r>
  <r>
    <s v="Nord Kivu"/>
    <x v="1"/>
    <x v="17"/>
    <s v=" Rubaya"/>
    <n v="42058"/>
    <n v="1467.8242"/>
    <n v="1682.32"/>
    <n v="1223.1868333333334"/>
    <n v="1401.9333333333334"/>
    <n v="1188"/>
    <n v="1188"/>
    <n v="1176"/>
    <n v="1186"/>
    <n v="1202"/>
    <n v="1176"/>
    <n v="1186"/>
    <n v="1202"/>
    <n v="1176"/>
    <n v="1186"/>
    <n v="1202"/>
    <n v="1176"/>
    <n v="1186"/>
    <n v="1202"/>
    <n v="1238"/>
    <n v="1212"/>
    <n v="1236"/>
    <n v="1202"/>
    <n v="1234"/>
    <n v="228"/>
    <n v="184"/>
    <n v="168"/>
    <n v="122"/>
    <n v="113"/>
    <n v="587"/>
    <n v="58.3"/>
    <n v="100"/>
    <n v="47.186833333333425"/>
    <n v="0"/>
    <n v="1236"/>
  </r>
  <r>
    <s v="Nord Kivu"/>
    <x v="1"/>
    <x v="17"/>
    <s v=" Ruhegeri"/>
    <n v="9839"/>
    <n v="343.3811"/>
    <n v="393.56"/>
    <n v="286.15091666666666"/>
    <n v="327.9666666666667"/>
    <n v="192"/>
    <n v="81"/>
    <n v="239"/>
    <n v="205"/>
    <n v="220"/>
    <n v="244"/>
    <n v="205"/>
    <n v="220"/>
    <n v="239"/>
    <n v="214"/>
    <n v="220"/>
    <n v="244"/>
    <n v="218"/>
    <n v="220"/>
    <n v="172"/>
    <n v="75"/>
    <n v="151"/>
    <n v="220"/>
    <n v="172"/>
    <n v="50"/>
    <n v="17"/>
    <s v=""/>
    <s v=""/>
    <s v=""/>
    <n v="17"/>
    <n v="25"/>
    <n v="100"/>
    <n v="42.15091666666666"/>
    <n v="72"/>
    <n v="151"/>
  </r>
  <r>
    <s v="Nord Kivu"/>
    <x v="1"/>
    <x v="17"/>
    <s v=" Sake"/>
    <n v="28580"/>
    <n v="997.44200000000001"/>
    <n v="1143.2"/>
    <n v="831.2016666666666"/>
    <n v="952.66666666666663"/>
    <n v="125"/>
    <n v="50"/>
    <n v="120"/>
    <n v="112"/>
    <n v="119"/>
    <n v="120"/>
    <n v="112"/>
    <n v="119"/>
    <n v="120"/>
    <n v="112"/>
    <n v="119"/>
    <n v="120"/>
    <n v="112"/>
    <n v="119"/>
    <n v="92"/>
    <n v="44"/>
    <n v="92"/>
    <n v="119"/>
    <n v="92"/>
    <n v="113"/>
    <n v="97"/>
    <n v="20"/>
    <n v="9"/>
    <n v="10"/>
    <n v="136"/>
    <n v="16.7"/>
    <n v="100"/>
    <n v="711.2016666666666"/>
    <n v="28"/>
    <n v="92"/>
  </r>
  <r>
    <s v="Nord Kivu"/>
    <x v="0"/>
    <x v="18"/>
    <s v=" Burusi"/>
    <n v="7200"/>
    <n v="251.28"/>
    <n v="288"/>
    <n v="209.4"/>
    <n v="240"/>
    <n v="236"/>
    <n v="404"/>
    <n v="264"/>
    <n v="257"/>
    <n v="302"/>
    <n v="261"/>
    <n v="259"/>
    <n v="279"/>
    <n v="275"/>
    <n v="237"/>
    <n v="261"/>
    <n v="266"/>
    <n v="281"/>
    <n v="289"/>
    <n v="286"/>
    <n v="137"/>
    <n v="271"/>
    <n v="293"/>
    <n v="214"/>
    <n v="57"/>
    <n v="42"/>
    <n v="35"/>
    <n v="47"/>
    <n v="35"/>
    <n v="159"/>
    <n v="66.7"/>
    <n v="100"/>
    <n v="0"/>
    <n v="0"/>
    <n v="271"/>
  </r>
  <r>
    <s v="Nord Kivu"/>
    <x v="0"/>
    <x v="18"/>
    <s v=" Kalengehya"/>
    <n v="4779"/>
    <n v="166.78710000000001"/>
    <n v="191.16"/>
    <n v="138.98925"/>
    <n v="159.30000000000001"/>
    <n v="128"/>
    <n v="8"/>
    <n v="145"/>
    <n v="116"/>
    <n v="155"/>
    <n v="145"/>
    <n v="113"/>
    <n v="138"/>
    <n v="145"/>
    <n v="116"/>
    <n v="155"/>
    <n v="145"/>
    <n v="116"/>
    <n v="155"/>
    <n v="147"/>
    <n v="34"/>
    <n v="147"/>
    <n v="175"/>
    <n v="114"/>
    <n v="25"/>
    <n v="12"/>
    <n v="20"/>
    <n v="18"/>
    <n v="4"/>
    <n v="54"/>
    <n v="58.3"/>
    <n v="100"/>
    <n v="0"/>
    <n v="0"/>
    <n v="147"/>
  </r>
  <r>
    <s v="Nord Kivu"/>
    <x v="0"/>
    <x v="18"/>
    <s v=" Kalivuli"/>
    <n v="11429"/>
    <n v="398.87209999999999"/>
    <n v="457.16"/>
    <n v="332.39341666666667"/>
    <n v="380.9666666666667"/>
    <n v="287"/>
    <n v="258"/>
    <n v="328"/>
    <n v="326"/>
    <n v="305"/>
    <n v="300"/>
    <n v="253"/>
    <n v="262"/>
    <n v="300"/>
    <n v="296"/>
    <n v="291"/>
    <n v="328"/>
    <n v="324"/>
    <n v="291"/>
    <n v="252"/>
    <n v="98"/>
    <n v="252"/>
    <n v="291"/>
    <n v="151"/>
    <n v="89"/>
    <n v="37"/>
    <n v="35"/>
    <n v="21"/>
    <n v="25"/>
    <n v="118"/>
    <n v="66.7"/>
    <n v="100"/>
    <n v="32.393416666666667"/>
    <n v="48"/>
    <n v="252"/>
  </r>
  <r>
    <s v="Nord Kivu"/>
    <x v="0"/>
    <x v="18"/>
    <s v=" Kasisi"/>
    <n v="10129"/>
    <n v="353.50209999999998"/>
    <n v="405.16"/>
    <n v="294.58508333333333"/>
    <n v="337.63333333333333"/>
    <n v="289"/>
    <n v="65"/>
    <n v="273"/>
    <n v="332"/>
    <n v="334"/>
    <n v="359"/>
    <n v="395"/>
    <n v="370"/>
    <n v="369"/>
    <n v="361"/>
    <n v="364"/>
    <n v="337"/>
    <n v="346"/>
    <n v="364"/>
    <n v="330"/>
    <s v=""/>
    <n v="313"/>
    <n v="443"/>
    <n v="180"/>
    <n v="49"/>
    <n v="42"/>
    <n v="57"/>
    <n v="31"/>
    <n v="25"/>
    <n v="155"/>
    <n v="58.3"/>
    <n v="100"/>
    <n v="0"/>
    <n v="29"/>
    <n v="313"/>
  </r>
  <r>
    <s v="Nord Kivu"/>
    <x v="0"/>
    <x v="18"/>
    <s v=" Kasongwere"/>
    <n v="9396"/>
    <n v="327.92040000000003"/>
    <n v="375.84000000000003"/>
    <n v="273.26700000000005"/>
    <n v="313.20000000000005"/>
    <n v="267"/>
    <n v="176"/>
    <n v="266"/>
    <n v="268"/>
    <n v="283"/>
    <n v="220"/>
    <n v="242"/>
    <n v="256"/>
    <n v="239"/>
    <n v="242"/>
    <n v="264"/>
    <n v="213"/>
    <n v="215"/>
    <n v="234"/>
    <n v="305"/>
    <n v="200"/>
    <n v="269"/>
    <n v="392"/>
    <n v="154"/>
    <n v="76"/>
    <n v="45"/>
    <n v="65"/>
    <n v="57"/>
    <n v="42"/>
    <n v="209"/>
    <n v="58.3"/>
    <n v="100"/>
    <n v="53.267000000000053"/>
    <n v="0"/>
    <n v="269"/>
  </r>
  <r>
    <s v="Nord Kivu"/>
    <x v="0"/>
    <x v="18"/>
    <s v=" Katiri"/>
    <n v="6367"/>
    <n v="222.20830000000001"/>
    <n v="254.68"/>
    <n v="185.17358333333334"/>
    <n v="212.23333333333332"/>
    <n v="170"/>
    <n v="58"/>
    <n v="175"/>
    <n v="188"/>
    <n v="177"/>
    <n v="185"/>
    <n v="197"/>
    <n v="179"/>
    <n v="178"/>
    <n v="203"/>
    <n v="185"/>
    <n v="182"/>
    <n v="193"/>
    <n v="177"/>
    <n v="173"/>
    <n v="20"/>
    <n v="178"/>
    <n v="177"/>
    <n v="91"/>
    <n v="72"/>
    <n v="36"/>
    <n v="44"/>
    <n v="35"/>
    <n v="24"/>
    <n v="139"/>
    <n v="58.3"/>
    <n v="100"/>
    <n v="0.17358333333334031"/>
    <n v="12"/>
    <n v="173"/>
  </r>
  <r>
    <s v="Nord Kivu"/>
    <x v="0"/>
    <x v="18"/>
    <s v=" Kirindera"/>
    <n v="14413"/>
    <n v="503.01370000000003"/>
    <n v="576.52"/>
    <n v="419.17808333333335"/>
    <n v="480.43333333333328"/>
    <n v="308"/>
    <n v="23"/>
    <n v="356"/>
    <n v="337"/>
    <n v="372"/>
    <n v="335"/>
    <n v="317"/>
    <n v="358"/>
    <n v="335"/>
    <n v="317"/>
    <n v="347"/>
    <n v="356"/>
    <n v="337"/>
    <n v="372"/>
    <n v="445"/>
    <n v="78"/>
    <n v="413"/>
    <n v="372"/>
    <n v="271"/>
    <n v="58"/>
    <n v="49"/>
    <n v="48"/>
    <n v="38"/>
    <n v="28"/>
    <n v="163"/>
    <n v="58.3"/>
    <n v="100"/>
    <n v="84.178083333333348"/>
    <n v="0"/>
    <n v="413"/>
  </r>
  <r>
    <s v="Nord Kivu"/>
    <x v="0"/>
    <x v="18"/>
    <s v=" Kitolu"/>
    <n v="8580"/>
    <n v="299.44200000000001"/>
    <n v="343.2"/>
    <n v="249.53500000000003"/>
    <n v="286"/>
    <n v="313"/>
    <n v="134"/>
    <n v="311"/>
    <n v="300"/>
    <n v="291"/>
    <n v="255"/>
    <n v="254"/>
    <n v="233"/>
    <n v="250"/>
    <n v="247"/>
    <n v="232"/>
    <n v="274"/>
    <n v="275"/>
    <n v="252"/>
    <n v="270"/>
    <n v="85"/>
    <n v="251"/>
    <n v="288"/>
    <n v="168"/>
    <n v="101"/>
    <n v="71"/>
    <n v="38"/>
    <n v="16"/>
    <n v="14"/>
    <n v="139"/>
    <n v="58.3"/>
    <n v="100"/>
    <n v="0"/>
    <n v="0"/>
    <n v="251"/>
  </r>
  <r>
    <s v="Nord Kivu"/>
    <x v="0"/>
    <x v="18"/>
    <s v=" Kivuwe"/>
    <n v="9878"/>
    <n v="344.74220000000003"/>
    <n v="395.12"/>
    <n v="287.28516666666667"/>
    <n v="329.26666666666671"/>
    <n v="267"/>
    <n v="88"/>
    <n v="246"/>
    <n v="243"/>
    <n v="253"/>
    <n v="251"/>
    <n v="232"/>
    <n v="253"/>
    <n v="242"/>
    <n v="226"/>
    <n v="246"/>
    <n v="247"/>
    <n v="239"/>
    <n v="256"/>
    <n v="259"/>
    <n v="42"/>
    <n v="247"/>
    <n v="304"/>
    <n v="147"/>
    <n v="44"/>
    <n v="44"/>
    <n v="37"/>
    <n v="29"/>
    <n v="26"/>
    <n v="136"/>
    <n v="50"/>
    <n v="100"/>
    <n v="36.285166666666669"/>
    <n v="0"/>
    <n v="247"/>
  </r>
  <r>
    <s v="Nord Kivu"/>
    <x v="0"/>
    <x v="18"/>
    <s v=" Kyalumba"/>
    <n v="13508"/>
    <n v="471.42919999999998"/>
    <n v="540.32000000000005"/>
    <n v="392.85766666666666"/>
    <n v="450.26666666666671"/>
    <n v="394"/>
    <n v="57"/>
    <n v="444"/>
    <n v="422"/>
    <n v="383"/>
    <n v="397"/>
    <n v="396"/>
    <n v="365"/>
    <n v="455"/>
    <n v="416"/>
    <n v="385"/>
    <n v="388"/>
    <n v="384"/>
    <n v="352"/>
    <n v="411"/>
    <n v="66"/>
    <n v="383"/>
    <n v="537"/>
    <n v="243"/>
    <n v="107"/>
    <n v="79"/>
    <n v="60"/>
    <n v="54"/>
    <n v="43"/>
    <n v="236"/>
    <n v="58.3"/>
    <n v="100"/>
    <n v="0"/>
    <n v="0"/>
    <n v="383"/>
  </r>
  <r>
    <s v="Nord Kivu"/>
    <x v="0"/>
    <x v="18"/>
    <s v=" Kyangendi"/>
    <n v="6558"/>
    <n v="228.8742"/>
    <n v="262.32"/>
    <n v="190.7285"/>
    <n v="218.6"/>
    <n v="128"/>
    <n v="117"/>
    <n v="115"/>
    <n v="118"/>
    <n v="115"/>
    <n v="92"/>
    <n v="108"/>
    <n v="100"/>
    <n v="90"/>
    <n v="100"/>
    <n v="100"/>
    <n v="90"/>
    <n v="100"/>
    <n v="100"/>
    <n v="130"/>
    <n v="34"/>
    <n v="130"/>
    <n v="113"/>
    <n v="84"/>
    <n v="33"/>
    <n v="38"/>
    <n v="22"/>
    <n v="23"/>
    <n v="37"/>
    <n v="120"/>
    <n v="58.3"/>
    <n v="100"/>
    <n v="98.728499999999997"/>
    <n v="0"/>
    <n v="130"/>
  </r>
  <r>
    <s v="Nord Kivu"/>
    <x v="0"/>
    <x v="18"/>
    <s v=" Kyavinyonge"/>
    <n v="31723"/>
    <n v="1107.1327000000001"/>
    <n v="1268.92"/>
    <n v="922.61058333333335"/>
    <n v="1057.4333333333334"/>
    <n v="660"/>
    <n v="813"/>
    <n v="816"/>
    <n v="855"/>
    <n v="773"/>
    <n v="816"/>
    <n v="855"/>
    <n v="773"/>
    <n v="769"/>
    <n v="793"/>
    <n v="720"/>
    <n v="816"/>
    <n v="855"/>
    <n v="773"/>
    <n v="725"/>
    <n v="243"/>
    <n v="689"/>
    <n v="892"/>
    <n v="480"/>
    <n v="129"/>
    <n v="124"/>
    <n v="119"/>
    <n v="108"/>
    <n v="78"/>
    <n v="429"/>
    <n v="58.3"/>
    <n v="100"/>
    <n v="106.61058333333335"/>
    <n v="91"/>
    <n v="689"/>
  </r>
  <r>
    <s v="Nord Kivu"/>
    <x v="0"/>
    <x v="18"/>
    <s v=" Kyondo"/>
    <n v="10642"/>
    <n v="371.4058"/>
    <n v="425.68"/>
    <n v="309.50483333333335"/>
    <n v="354.73333333333335"/>
    <n v="347"/>
    <n v="78"/>
    <n v="315"/>
    <n v="305"/>
    <n v="294"/>
    <n v="297"/>
    <n v="295"/>
    <n v="279"/>
    <n v="297"/>
    <n v="295"/>
    <n v="279"/>
    <n v="303"/>
    <n v="300"/>
    <n v="279"/>
    <n v="297"/>
    <n v="49"/>
    <n v="286"/>
    <n v="335"/>
    <n v="185"/>
    <n v="104"/>
    <n v="82"/>
    <n v="69"/>
    <n v="57"/>
    <n v="31"/>
    <n v="239"/>
    <n v="58.3"/>
    <n v="100"/>
    <n v="12.504833333333352"/>
    <n v="0"/>
    <n v="286"/>
  </r>
  <r>
    <s v="Nord Kivu"/>
    <x v="0"/>
    <x v="18"/>
    <s v=" Luseke"/>
    <n v="5000"/>
    <n v="174.5"/>
    <n v="200"/>
    <n v="145.41666666666666"/>
    <n v="166.66666666666669"/>
    <n v="129"/>
    <n v="2"/>
    <n v="151"/>
    <n v="132"/>
    <n v="141"/>
    <n v="117"/>
    <n v="138"/>
    <n v="133"/>
    <n v="136"/>
    <n v="121"/>
    <n v="133"/>
    <n v="136"/>
    <n v="121"/>
    <n v="133"/>
    <n v="107"/>
    <n v="19"/>
    <n v="102"/>
    <n v="141"/>
    <n v="97"/>
    <n v="22"/>
    <n v="13"/>
    <n v="23"/>
    <n v="19"/>
    <n v="12"/>
    <n v="67"/>
    <n v="58.3"/>
    <n v="100"/>
    <n v="28.416666666666657"/>
    <n v="10"/>
    <n v="102"/>
  </r>
  <r>
    <s v="Nord Kivu"/>
    <x v="0"/>
    <x v="18"/>
    <s v=" Mbungwe"/>
    <n v="4778"/>
    <n v="166.75220000000002"/>
    <n v="191.12"/>
    <n v="138.96016666666668"/>
    <n v="159.26666666666668"/>
    <n v="139"/>
    <n v="63"/>
    <n v="159"/>
    <n v="168"/>
    <n v="168"/>
    <n v="131"/>
    <n v="145"/>
    <n v="139"/>
    <n v="131"/>
    <n v="142"/>
    <n v="139"/>
    <n v="159"/>
    <n v="168"/>
    <n v="168"/>
    <n v="138"/>
    <s v=""/>
    <n v="138"/>
    <n v="168"/>
    <n v="138"/>
    <n v="30"/>
    <n v="19"/>
    <n v="38"/>
    <n v="20"/>
    <n v="22"/>
    <n v="99"/>
    <n v="58.3"/>
    <n v="100"/>
    <n v="7.9601666666666802"/>
    <n v="0"/>
    <n v="138"/>
  </r>
  <r>
    <s v="Nord Kivu"/>
    <x v="0"/>
    <x v="18"/>
    <s v=" Museya"/>
    <n v="10862"/>
    <n v="379.0838"/>
    <n v="434.48"/>
    <n v="315.90316666666666"/>
    <n v="362.06666666666672"/>
    <n v="241"/>
    <n v="113"/>
    <n v="235"/>
    <n v="234"/>
    <n v="211"/>
    <n v="234"/>
    <n v="240"/>
    <n v="196"/>
    <n v="196"/>
    <n v="206"/>
    <n v="205"/>
    <n v="213"/>
    <n v="208"/>
    <n v="191"/>
    <n v="257"/>
    <n v="5"/>
    <n v="260"/>
    <n v="219"/>
    <n v="112"/>
    <n v="63"/>
    <n v="27"/>
    <n v="45"/>
    <n v="37"/>
    <n v="32"/>
    <n v="141"/>
    <n v="62.5"/>
    <n v="100"/>
    <n v="81.903166666666664"/>
    <n v="0"/>
    <n v="257"/>
  </r>
  <r>
    <s v="Nord Kivu"/>
    <x v="0"/>
    <x v="18"/>
    <s v=" Ngitse"/>
    <n v="7184"/>
    <n v="250.7216"/>
    <n v="287.36"/>
    <n v="208.93466666666666"/>
    <n v="239.4666666666667"/>
    <n v="272"/>
    <n v="91"/>
    <n v="229"/>
    <n v="229"/>
    <n v="251"/>
    <n v="208"/>
    <n v="207"/>
    <n v="223"/>
    <n v="229"/>
    <n v="210"/>
    <n v="240"/>
    <n v="229"/>
    <n v="229"/>
    <n v="241"/>
    <n v="206"/>
    <s v=""/>
    <n v="208"/>
    <n v="308"/>
    <s v=""/>
    <n v="51"/>
    <n v="38"/>
    <n v="42"/>
    <n v="36"/>
    <n v="17"/>
    <n v="133"/>
    <n v="66.7"/>
    <n v="100"/>
    <n v="0.93466666666665787"/>
    <n v="2"/>
    <n v="206"/>
  </r>
  <r>
    <s v="Nord Kivu"/>
    <x v="0"/>
    <x v="18"/>
    <s v=" Vayana"/>
    <n v="10318"/>
    <n v="360.09820000000002"/>
    <n v="412.72"/>
    <n v="300.08183333333335"/>
    <n v="343.93333333333339"/>
    <n v="270"/>
    <n v="61"/>
    <n v="254"/>
    <n v="274"/>
    <n v="260"/>
    <n v="242"/>
    <n v="264"/>
    <n v="229"/>
    <n v="242"/>
    <n v="264"/>
    <n v="249"/>
    <n v="248"/>
    <n v="271"/>
    <n v="254"/>
    <n v="309"/>
    <n v="82"/>
    <n v="301"/>
    <n v="284"/>
    <n v="217"/>
    <n v="62"/>
    <n v="59"/>
    <n v="55"/>
    <n v="31"/>
    <n v="39"/>
    <n v="184"/>
    <n v="58.3"/>
    <n v="100"/>
    <n v="58.08183333333335"/>
    <n v="0"/>
    <n v="301"/>
  </r>
  <r>
    <s v="Nord Kivu"/>
    <x v="0"/>
    <x v="18"/>
    <s v=" Vuhasa"/>
    <n v="5901"/>
    <n v="205.94489999999999"/>
    <n v="236.04"/>
    <n v="171.62074999999999"/>
    <n v="196.7"/>
    <n v="188"/>
    <n v="61"/>
    <n v="150"/>
    <n v="157"/>
    <n v="151"/>
    <n v="148"/>
    <n v="148"/>
    <n v="155"/>
    <n v="155"/>
    <n v="141"/>
    <n v="155"/>
    <n v="146"/>
    <n v="157"/>
    <n v="156"/>
    <n v="161"/>
    <n v="44"/>
    <n v="153"/>
    <n v="188"/>
    <n v="100"/>
    <n v="49"/>
    <n v="35"/>
    <n v="21"/>
    <n v="11"/>
    <n v="13"/>
    <n v="80"/>
    <n v="58.3"/>
    <n v="100"/>
    <n v="23.620749999999987"/>
    <n v="0"/>
    <n v="153"/>
  </r>
  <r>
    <s v="Nord Kivu"/>
    <x v="0"/>
    <x v="18"/>
    <s v=" Vuhesi"/>
    <n v="7843"/>
    <n v="273.72070000000002"/>
    <n v="313.72000000000003"/>
    <n v="228.10058333333333"/>
    <n v="261.43333333333334"/>
    <n v="188"/>
    <n v="6"/>
    <n v="243"/>
    <n v="203"/>
    <n v="223"/>
    <n v="243"/>
    <n v="223"/>
    <n v="223"/>
    <n v="246"/>
    <n v="220"/>
    <n v="223"/>
    <n v="243"/>
    <n v="220"/>
    <n v="222"/>
    <n v="228"/>
    <n v="20"/>
    <n v="199"/>
    <n v="223"/>
    <s v=""/>
    <n v="54"/>
    <n v="32"/>
    <n v="42"/>
    <n v="33"/>
    <n v="40"/>
    <n v="147"/>
    <n v="50"/>
    <n v="100"/>
    <n v="0"/>
    <n v="15"/>
    <n v="199"/>
  </r>
  <r>
    <s v="Nord Kivu"/>
    <x v="0"/>
    <x v="18"/>
    <s v=" Vulambayiri"/>
    <n v="14733"/>
    <n v="514.18169999999998"/>
    <n v="589.32000000000005"/>
    <n v="428.48475000000002"/>
    <n v="491.10000000000008"/>
    <n v="445"/>
    <n v="104"/>
    <n v="413"/>
    <n v="399"/>
    <n v="395"/>
    <n v="431"/>
    <n v="392"/>
    <n v="419"/>
    <n v="413"/>
    <n v="392"/>
    <n v="415"/>
    <n v="410"/>
    <n v="463"/>
    <n v="429"/>
    <n v="381"/>
    <n v="71"/>
    <n v="333"/>
    <n v="479"/>
    <n v="235"/>
    <n v="106"/>
    <n v="54"/>
    <n v="70"/>
    <n v="50"/>
    <n v="37"/>
    <n v="211"/>
    <n v="55.6"/>
    <n v="100"/>
    <n v="0"/>
    <n v="50"/>
    <n v="333"/>
  </r>
  <r>
    <s v="Nord Kivu"/>
    <x v="0"/>
    <x v="18"/>
    <s v=" Vusorongi"/>
    <n v="7976"/>
    <n v="278.36239999999998"/>
    <n v="319.04000000000002"/>
    <n v="231.96866666666665"/>
    <n v="265.86666666666667"/>
    <n v="202"/>
    <n v="8"/>
    <n v="208"/>
    <n v="215"/>
    <n v="204"/>
    <n v="208"/>
    <n v="215"/>
    <n v="210"/>
    <n v="208"/>
    <n v="215"/>
    <n v="204"/>
    <n v="208"/>
    <n v="215"/>
    <n v="204"/>
    <n v="206"/>
    <n v="87"/>
    <n v="216"/>
    <n v="204"/>
    <n v="173"/>
    <n v="48"/>
    <n v="47"/>
    <n v="45"/>
    <n v="28"/>
    <n v="26"/>
    <n v="146"/>
    <n v="58.3"/>
    <n v="100"/>
    <n v="23.96866666666665"/>
    <n v="2"/>
    <n v="206"/>
  </r>
  <r>
    <s v="Nord Kivu"/>
    <x v="0"/>
    <x v="18"/>
    <s v=" Vutumbi"/>
    <n v="5228"/>
    <n v="182.4572"/>
    <n v="209.12"/>
    <n v="152.04766666666666"/>
    <n v="174.26666666666665"/>
    <n v="122"/>
    <n v="26"/>
    <n v="145"/>
    <n v="129"/>
    <n v="132"/>
    <n v="151"/>
    <n v="125"/>
    <n v="143"/>
    <n v="148"/>
    <n v="117"/>
    <n v="140"/>
    <n v="148"/>
    <n v="130"/>
    <n v="140"/>
    <n v="178"/>
    <n v="24"/>
    <n v="131"/>
    <n v="236"/>
    <n v="20"/>
    <n v="25"/>
    <n v="36"/>
    <n v="42"/>
    <n v="17"/>
    <n v="8"/>
    <n v="103"/>
    <n v="58.3"/>
    <n v="100"/>
    <n v="1.0476666666666574"/>
    <n v="0"/>
    <n v="131"/>
  </r>
  <r>
    <s v="Nord Kivu"/>
    <x v="0"/>
    <x v="18"/>
    <s v=" Vyakuno"/>
    <n v="7649"/>
    <n v="266.95010000000002"/>
    <n v="305.95999999999998"/>
    <n v="222.45841666666666"/>
    <n v="254.96666666666667"/>
    <n v="197"/>
    <n v="102"/>
    <n v="217"/>
    <n v="223"/>
    <n v="211"/>
    <n v="207"/>
    <n v="200"/>
    <n v="190"/>
    <n v="231"/>
    <n v="223"/>
    <n v="211"/>
    <n v="231"/>
    <n v="223"/>
    <n v="211"/>
    <n v="193"/>
    <n v="52"/>
    <n v="173"/>
    <n v="249"/>
    <n v="84"/>
    <n v="35"/>
    <n v="23"/>
    <n v="31"/>
    <n v="36"/>
    <n v="39"/>
    <n v="129"/>
    <n v="58.3"/>
    <n v="100"/>
    <n v="15.458416666666665"/>
    <n v="14"/>
    <n v="173"/>
  </r>
  <r>
    <s v="Nord Kivu"/>
    <x v="0"/>
    <x v="19"/>
    <s v=" Baraka"/>
    <n v="21044"/>
    <n v="734.43560000000002"/>
    <n v="841.76"/>
    <n v="612.02966666666669"/>
    <n v="701.46666666666658"/>
    <n v="536"/>
    <n v="346"/>
    <n v="549"/>
    <n v="514"/>
    <n v="528"/>
    <n v="584"/>
    <n v="593"/>
    <n v="669"/>
    <n v="558"/>
    <n v="508"/>
    <n v="497"/>
    <n v="620"/>
    <n v="610"/>
    <n v="538"/>
    <n v="606"/>
    <n v="267"/>
    <n v="606"/>
    <n v="580"/>
    <n v="574"/>
    <n v="142"/>
    <n v="165"/>
    <n v="134"/>
    <n v="89"/>
    <n v="156"/>
    <n v="544"/>
    <n v="52.8"/>
    <n v="100"/>
    <n v="28.029666666666685"/>
    <n v="0"/>
    <n v="606"/>
  </r>
  <r>
    <s v="Nord Kivu"/>
    <x v="0"/>
    <x v="19"/>
    <s v=" Bukununu"/>
    <n v="15268"/>
    <n v="532.85320000000002"/>
    <n v="610.72"/>
    <n v="444.04433333333338"/>
    <n v="508.93333333333339"/>
    <n v="242"/>
    <n v="134"/>
    <n v="417"/>
    <n v="403"/>
    <n v="416"/>
    <n v="417"/>
    <n v="403"/>
    <n v="416"/>
    <n v="315"/>
    <n v="299"/>
    <n v="323"/>
    <n v="228"/>
    <n v="246"/>
    <n v="243"/>
    <n v="400"/>
    <n v="248"/>
    <n v="400"/>
    <n v="416"/>
    <n v="381"/>
    <n v="106"/>
    <n v="88"/>
    <n v="106"/>
    <n v="88"/>
    <n v="78"/>
    <n v="360"/>
    <n v="58.3"/>
    <n v="100"/>
    <n v="27.044333333333384"/>
    <n v="17"/>
    <n v="400"/>
  </r>
  <r>
    <s v="Nord Kivu"/>
    <x v="0"/>
    <x v="19"/>
    <s v=" Kagheri"/>
    <n v="18245"/>
    <n v="636.75049999999999"/>
    <n v="729.80000000000007"/>
    <n v="530.62541666666664"/>
    <n v="608.16666666666674"/>
    <n v="619"/>
    <n v="353"/>
    <n v="513"/>
    <n v="458"/>
    <n v="482"/>
    <n v="527"/>
    <n v="646"/>
    <n v="502"/>
    <n v="474"/>
    <n v="425"/>
    <n v="378"/>
    <n v="496"/>
    <n v="409"/>
    <n v="407"/>
    <n v="476"/>
    <n v="262"/>
    <n v="481"/>
    <n v="518"/>
    <n v="431"/>
    <n v="112"/>
    <n v="113"/>
    <n v="71"/>
    <n v="63"/>
    <n v="59"/>
    <n v="306"/>
    <n v="58.3"/>
    <n v="100"/>
    <n v="3.6254166666666379"/>
    <n v="51"/>
    <n v="476"/>
  </r>
  <r>
    <s v="Nord Kivu"/>
    <x v="0"/>
    <x v="19"/>
    <s v=" Kaghuli"/>
    <n v="13116"/>
    <n v="457.7484"/>
    <n v="524.64"/>
    <n v="381.45699999999999"/>
    <n v="437.2"/>
    <n v="168"/>
    <n v="384"/>
    <n v="390"/>
    <n v="379"/>
    <n v="366"/>
    <n v="426"/>
    <n v="389"/>
    <n v="366"/>
    <n v="390"/>
    <n v="378"/>
    <n v="402"/>
    <n v="350"/>
    <n v="313"/>
    <n v="296"/>
    <n v="331"/>
    <n v="201"/>
    <n v="339"/>
    <n v="350"/>
    <n v="285"/>
    <n v="97"/>
    <n v="46"/>
    <n v="81"/>
    <n v="71"/>
    <n v="57"/>
    <n v="255"/>
    <n v="58.3"/>
    <n v="100"/>
    <n v="0"/>
    <n v="95"/>
    <n v="331"/>
  </r>
  <r>
    <s v="Nord Kivu"/>
    <x v="0"/>
    <x v="19"/>
    <s v=" Kakonze"/>
    <n v="16926"/>
    <n v="590.7174"/>
    <n v="677.04"/>
    <n v="492.2645"/>
    <n v="564.19999999999993"/>
    <n v="279"/>
    <n v="181"/>
    <n v="520"/>
    <n v="567"/>
    <n v="592"/>
    <n v="522"/>
    <n v="562"/>
    <n v="632"/>
    <n v="458"/>
    <n v="500"/>
    <n v="461"/>
    <n v="429"/>
    <n v="472"/>
    <n v="425"/>
    <n v="558"/>
    <n v="139"/>
    <n v="535"/>
    <n v="585"/>
    <n v="534"/>
    <n v="126"/>
    <n v="60"/>
    <n v="80"/>
    <n v="65"/>
    <n v="26"/>
    <n v="231"/>
    <n v="58.3"/>
    <n v="100"/>
    <n v="0"/>
    <n v="0"/>
    <n v="535"/>
  </r>
  <r>
    <s v="Nord Kivu"/>
    <x v="0"/>
    <x v="19"/>
    <s v=" Kasalala"/>
    <n v="20486"/>
    <n v="714.96140000000003"/>
    <n v="819.44"/>
    <n v="595.80116666666663"/>
    <n v="682.86666666666679"/>
    <n v="475"/>
    <n v="34"/>
    <n v="560"/>
    <n v="519"/>
    <n v="533"/>
    <n v="558"/>
    <n v="506"/>
    <n v="558"/>
    <n v="527"/>
    <n v="430"/>
    <n v="452"/>
    <n v="565"/>
    <n v="531"/>
    <n v="586"/>
    <n v="485"/>
    <n v="207"/>
    <n v="481"/>
    <n v="528"/>
    <n v="472"/>
    <n v="136"/>
    <n v="130"/>
    <n v="105"/>
    <n v="92"/>
    <n v="79"/>
    <n v="406"/>
    <n v="58.3"/>
    <n v="100"/>
    <n v="37.801166666666631"/>
    <n v="73"/>
    <n v="481"/>
  </r>
  <r>
    <s v="Nord Kivu"/>
    <x v="0"/>
    <x v="19"/>
    <s v=" Kasima"/>
    <n v="21582"/>
    <n v="753.21180000000004"/>
    <n v="863.28"/>
    <n v="627.67650000000003"/>
    <n v="719.4"/>
    <n v="462"/>
    <n v="82"/>
    <n v="543"/>
    <n v="512"/>
    <n v="549"/>
    <n v="536"/>
    <n v="557"/>
    <n v="579"/>
    <n v="527"/>
    <n v="494"/>
    <n v="448"/>
    <n v="536"/>
    <n v="503"/>
    <n v="536"/>
    <n v="492"/>
    <n v="237"/>
    <n v="492"/>
    <n v="549"/>
    <n v="453"/>
    <n v="202"/>
    <n v="109"/>
    <n v="82"/>
    <n v="55"/>
    <n v="41"/>
    <n v="287"/>
    <n v="58.3"/>
    <n v="100"/>
    <n v="91.676500000000033"/>
    <n v="44"/>
    <n v="492"/>
  </r>
  <r>
    <s v="Nord Kivu"/>
    <x v="0"/>
    <x v="19"/>
    <s v=" Kasugho"/>
    <n v="23343"/>
    <n v="814.67070000000001"/>
    <n v="933.72"/>
    <n v="678.89224999999999"/>
    <n v="778.1"/>
    <n v="472"/>
    <n v="52"/>
    <n v="605"/>
    <n v="611"/>
    <n v="597"/>
    <n v="660"/>
    <n v="584"/>
    <n v="527"/>
    <n v="587"/>
    <n v="563"/>
    <n v="480"/>
    <n v="617"/>
    <n v="599"/>
    <n v="456"/>
    <n v="502"/>
    <n v="203"/>
    <n v="627"/>
    <n v="659"/>
    <n v="397"/>
    <n v="200"/>
    <n v="155"/>
    <n v="168"/>
    <n v="114"/>
    <n v="191"/>
    <n v="628"/>
    <n v="58.3"/>
    <n v="100"/>
    <n v="18.89224999999999"/>
    <n v="158"/>
    <n v="502"/>
  </r>
  <r>
    <s v="Nord Kivu"/>
    <x v="0"/>
    <x v="19"/>
    <s v=" Katolo"/>
    <n v="9208"/>
    <n v="321.35919999999999"/>
    <n v="368.32"/>
    <n v="267.79933333333332"/>
    <n v="306.93333333333334"/>
    <n v="177"/>
    <n v="157"/>
    <n v="247"/>
    <n v="233"/>
    <n v="239"/>
    <n v="248"/>
    <n v="233"/>
    <n v="249"/>
    <n v="247"/>
    <n v="227"/>
    <n v="233"/>
    <n v="278"/>
    <n v="193"/>
    <n v="223"/>
    <n v="253"/>
    <n v="221"/>
    <n v="265"/>
    <n v="239"/>
    <n v="232"/>
    <n v="72"/>
    <n v="72"/>
    <n v="73"/>
    <n v="45"/>
    <n v="40"/>
    <n v="230"/>
    <n v="58.3"/>
    <n v="100"/>
    <n v="19.799333333333323"/>
    <n v="0"/>
    <n v="253"/>
  </r>
  <r>
    <s v="Nord Kivu"/>
    <x v="0"/>
    <x v="19"/>
    <s v=" Kavetya"/>
    <n v="14844"/>
    <n v="518.05560000000003"/>
    <n v="593.76"/>
    <n v="431.71300000000002"/>
    <n v="494.79999999999995"/>
    <n v="500"/>
    <n v="220"/>
    <n v="446"/>
    <n v="426"/>
    <n v="472"/>
    <n v="450"/>
    <n v="432"/>
    <n v="491"/>
    <n v="402"/>
    <n v="387"/>
    <n v="419"/>
    <n v="414"/>
    <n v="387"/>
    <n v="447"/>
    <n v="437"/>
    <n v="80"/>
    <n v="437"/>
    <n v="472"/>
    <n v="437"/>
    <n v="40"/>
    <n v="43"/>
    <n v="29"/>
    <n v="16"/>
    <n v="26"/>
    <n v="114"/>
    <n v="58.3"/>
    <n v="100"/>
    <n v="0"/>
    <n v="13"/>
    <n v="437"/>
  </r>
  <r>
    <s v="Nord Kivu"/>
    <x v="0"/>
    <x v="19"/>
    <s v=" Kaviseghe"/>
    <n v="25567"/>
    <n v="892.28830000000005"/>
    <n v="1022.6800000000001"/>
    <n v="743.57358333333332"/>
    <n v="852.23333333333346"/>
    <n v="380"/>
    <n v="667"/>
    <n v="716"/>
    <n v="706"/>
    <n v="693"/>
    <n v="717"/>
    <n v="703"/>
    <n v="692"/>
    <n v="673"/>
    <n v="564"/>
    <n v="563"/>
    <n v="632"/>
    <n v="620"/>
    <n v="617"/>
    <n v="701"/>
    <n v="231"/>
    <n v="713"/>
    <n v="820"/>
    <n v="532"/>
    <n v="475"/>
    <n v="284"/>
    <n v="199"/>
    <n v="127"/>
    <n v="119"/>
    <n v="729"/>
    <n v="54.2"/>
    <n v="100"/>
    <n v="26.573583333333318"/>
    <n v="16"/>
    <n v="701"/>
  </r>
  <r>
    <s v="Nord Kivu"/>
    <x v="0"/>
    <x v="19"/>
    <s v=" Kipese"/>
    <n v="24653"/>
    <n v="860.38970000000006"/>
    <n v="986.12"/>
    <n v="716.99141666666674"/>
    <n v="821.76666666666665"/>
    <n v="487"/>
    <n v="444"/>
    <n v="715"/>
    <n v="629"/>
    <n v="560"/>
    <n v="753"/>
    <n v="665"/>
    <n v="657"/>
    <n v="633"/>
    <n v="499"/>
    <n v="620"/>
    <n v="731"/>
    <n v="609"/>
    <n v="590"/>
    <n v="754"/>
    <n v="205"/>
    <n v="662"/>
    <n v="766"/>
    <n v="340"/>
    <n v="208"/>
    <n v="136"/>
    <n v="124"/>
    <n v="89"/>
    <n v="73"/>
    <n v="422"/>
    <n v="58.3"/>
    <n v="100"/>
    <n v="0"/>
    <n v="0"/>
    <n v="662"/>
  </r>
  <r>
    <s v="Nord Kivu"/>
    <x v="0"/>
    <x v="19"/>
    <s v=" Kisaka"/>
    <n v="8302"/>
    <n v="289.7398"/>
    <n v="332.08"/>
    <n v="241.44983333333332"/>
    <n v="276.73333333333335"/>
    <n v="137"/>
    <n v="143"/>
    <n v="204"/>
    <n v="189"/>
    <n v="200"/>
    <n v="213"/>
    <n v="174"/>
    <n v="191"/>
    <n v="213"/>
    <n v="179"/>
    <n v="191"/>
    <n v="183"/>
    <n v="176"/>
    <n v="181"/>
    <n v="219"/>
    <n v="176"/>
    <n v="180"/>
    <n v="210"/>
    <n v="219"/>
    <n v="40"/>
    <n v="40"/>
    <n v="50"/>
    <n v="40"/>
    <n v="25"/>
    <n v="155"/>
    <n v="58.3"/>
    <n v="100"/>
    <n v="28.449833333333316"/>
    <n v="0"/>
    <n v="180"/>
  </r>
  <r>
    <s v="Nord Kivu"/>
    <x v="0"/>
    <x v="19"/>
    <s v=" Kisima"/>
    <n v="12862"/>
    <n v="448.88380000000001"/>
    <n v="514.48"/>
    <n v="374.06983333333335"/>
    <n v="428.73333333333335"/>
    <n v="277"/>
    <n v="122"/>
    <n v="368"/>
    <n v="339"/>
    <n v="368"/>
    <n v="331"/>
    <n v="293"/>
    <n v="331"/>
    <n v="308"/>
    <n v="280"/>
    <n v="309"/>
    <n v="306"/>
    <n v="272"/>
    <n v="306"/>
    <n v="364"/>
    <n v="211"/>
    <n v="328"/>
    <n v="368"/>
    <n v="364"/>
    <n v="111"/>
    <n v="67"/>
    <n v="93"/>
    <n v="89"/>
    <n v="80"/>
    <n v="329"/>
    <n v="58.3"/>
    <n v="100"/>
    <n v="43.069833333333349"/>
    <n v="0"/>
    <n v="328"/>
  </r>
  <r>
    <s v="Nord Kivu"/>
    <x v="0"/>
    <x v="19"/>
    <s v=" Kiviriri"/>
    <n v="11106"/>
    <n v="387.5994"/>
    <n v="444.24"/>
    <n v="322.99950000000001"/>
    <n v="370.20000000000005"/>
    <n v="272"/>
    <n v="278"/>
    <n v="354"/>
    <n v="345"/>
    <n v="354"/>
    <n v="319"/>
    <n v="317"/>
    <n v="325"/>
    <n v="335"/>
    <n v="321"/>
    <n v="331"/>
    <n v="344"/>
    <n v="336"/>
    <n v="341"/>
    <n v="349"/>
    <n v="269"/>
    <n v="349"/>
    <n v="386"/>
    <n v="318"/>
    <n v="129"/>
    <n v="132"/>
    <n v="55"/>
    <n v="25"/>
    <n v="14"/>
    <n v="226"/>
    <n v="50"/>
    <n v="100"/>
    <n v="3.9995000000000118"/>
    <n v="0"/>
    <n v="349"/>
  </r>
  <r>
    <s v="Nord Kivu"/>
    <x v="0"/>
    <x v="19"/>
    <s v=" Lubero Cité"/>
    <n v="25602"/>
    <n v="893.50980000000004"/>
    <n v="1024.08"/>
    <n v="744.59150000000011"/>
    <n v="853.39999999999986"/>
    <n v="693"/>
    <n v="461"/>
    <n v="753"/>
    <n v="742"/>
    <n v="749"/>
    <n v="760"/>
    <n v="742"/>
    <n v="744"/>
    <n v="777"/>
    <n v="677"/>
    <n v="689"/>
    <n v="829"/>
    <n v="775"/>
    <n v="716"/>
    <n v="740"/>
    <n v="346"/>
    <n v="698"/>
    <n v="749"/>
    <n v="663"/>
    <n v="368"/>
    <n v="242"/>
    <n v="198"/>
    <n v="144"/>
    <n v="151"/>
    <n v="735"/>
    <n v="54.2"/>
    <n v="100"/>
    <n v="0"/>
    <n v="20"/>
    <n v="698"/>
  </r>
  <r>
    <s v="Nord Kivu"/>
    <x v="0"/>
    <x v="19"/>
    <s v=" Mubana"/>
    <n v="9792"/>
    <n v="341.74079999999998"/>
    <n v="391.68"/>
    <n v="284.78399999999999"/>
    <n v="326.39999999999998"/>
    <n v="189"/>
    <n v="175"/>
    <n v="271"/>
    <n v="283"/>
    <n v="270"/>
    <n v="284"/>
    <n v="271"/>
    <n v="260"/>
    <n v="292"/>
    <n v="277"/>
    <n v="264"/>
    <n v="276"/>
    <n v="225"/>
    <n v="255"/>
    <n v="252"/>
    <n v="227"/>
    <n v="249"/>
    <n v="271"/>
    <n v="224"/>
    <n v="80"/>
    <n v="54"/>
    <n v="71"/>
    <n v="62"/>
    <n v="113"/>
    <n v="300"/>
    <n v="58.3"/>
    <n v="100"/>
    <n v="0.78399999999999181"/>
    <n v="32"/>
    <n v="249"/>
  </r>
  <r>
    <s v="Nord Kivu"/>
    <x v="0"/>
    <x v="19"/>
    <s v=" Mulo"/>
    <n v="21576"/>
    <n v="753.00239999999997"/>
    <n v="863.04"/>
    <n v="627.50199999999995"/>
    <n v="719.2"/>
    <n v="558"/>
    <n v="167"/>
    <n v="531"/>
    <n v="511"/>
    <n v="514"/>
    <n v="527"/>
    <n v="529"/>
    <n v="590"/>
    <n v="514"/>
    <n v="501"/>
    <n v="505"/>
    <n v="561"/>
    <n v="598"/>
    <n v="555"/>
    <n v="464"/>
    <n v="174"/>
    <n v="464"/>
    <n v="523"/>
    <n v="460"/>
    <n v="59"/>
    <n v="44"/>
    <n v="68"/>
    <n v="44"/>
    <n v="40"/>
    <n v="196"/>
    <n v="58.3"/>
    <n v="100"/>
    <n v="100.50199999999995"/>
    <n v="63"/>
    <n v="464"/>
  </r>
  <r>
    <s v="Nord Kivu"/>
    <x v="0"/>
    <x v="19"/>
    <s v=" Vukendo"/>
    <n v="12191"/>
    <n v="425.46590000000003"/>
    <n v="487.64"/>
    <n v="354.55491666666666"/>
    <n v="406.36666666666662"/>
    <n v="192"/>
    <n v="147"/>
    <n v="325"/>
    <n v="290"/>
    <n v="326"/>
    <n v="315"/>
    <n v="272"/>
    <n v="316"/>
    <n v="260"/>
    <n v="224"/>
    <n v="261"/>
    <n v="297"/>
    <n v="264"/>
    <n v="298"/>
    <n v="306"/>
    <n v="177"/>
    <n v="306"/>
    <n v="326"/>
    <n v="306"/>
    <n v="46"/>
    <n v="47"/>
    <n v="49"/>
    <n v="33"/>
    <n v="23"/>
    <n v="152"/>
    <n v="58.3"/>
    <n v="100"/>
    <n v="39.554916666666657"/>
    <n v="9"/>
    <n v="306"/>
  </r>
  <r>
    <s v="Nord Kivu"/>
    <x v="0"/>
    <x v="19"/>
    <s v=" Vulambo"/>
    <n v="17188"/>
    <n v="599.86120000000005"/>
    <n v="687.52"/>
    <n v="499.88433333333342"/>
    <n v="572.93333333333328"/>
    <n v="299"/>
    <n v="105"/>
    <n v="537"/>
    <n v="550"/>
    <n v="510"/>
    <n v="532"/>
    <n v="557"/>
    <n v="484"/>
    <n v="456"/>
    <n v="429"/>
    <n v="393"/>
    <n v="417"/>
    <n v="380"/>
    <n v="189"/>
    <n v="496"/>
    <n v="239"/>
    <n v="573"/>
    <n v="598"/>
    <n v="439"/>
    <n v="99"/>
    <n v="72"/>
    <n v="72"/>
    <n v="51"/>
    <n v="50"/>
    <n v="245"/>
    <n v="58.3"/>
    <n v="100"/>
    <n v="0"/>
    <n v="36"/>
    <n v="496"/>
  </r>
  <r>
    <s v="Nord Kivu"/>
    <x v="0"/>
    <x v="19"/>
    <s v=" Vunyakondomi"/>
    <n v="18665"/>
    <n v="651.4085"/>
    <n v="746.6"/>
    <n v="542.84041666666667"/>
    <n v="622.16666666666674"/>
    <n v="486"/>
    <n v="677"/>
    <n v="519"/>
    <n v="498"/>
    <n v="508"/>
    <n v="555"/>
    <n v="498"/>
    <n v="508"/>
    <n v="407"/>
    <n v="376"/>
    <n v="354"/>
    <n v="499"/>
    <n v="488"/>
    <n v="478"/>
    <n v="512"/>
    <n v="417"/>
    <n v="512"/>
    <n v="508"/>
    <n v="495"/>
    <n v="77"/>
    <n v="104"/>
    <n v="176"/>
    <n v="165"/>
    <n v="78"/>
    <n v="523"/>
    <n v="58.3"/>
    <n v="100"/>
    <n v="0"/>
    <n v="43"/>
    <n v="512"/>
  </r>
  <r>
    <s v="Nord Kivu"/>
    <x v="0"/>
    <x v="20"/>
    <s v=" Aloya"/>
    <n v="26068"/>
    <n v="909.77319999999997"/>
    <n v="1042.72"/>
    <n v="758.14433333333329"/>
    <n v="868.93333333333328"/>
    <n v="682"/>
    <n v="822"/>
    <n v="1363"/>
    <n v="1242"/>
    <n v="1326"/>
    <n v="1032"/>
    <n v="987"/>
    <n v="1021"/>
    <n v="1032"/>
    <n v="988"/>
    <n v="925"/>
    <n v="953"/>
    <n v="897"/>
    <n v="932"/>
    <n v="1054"/>
    <n v="201"/>
    <n v="860"/>
    <n v="1326"/>
    <n v="849"/>
    <n v="885"/>
    <n v="486"/>
    <n v="362"/>
    <n v="281"/>
    <n v="208"/>
    <n v="1337"/>
    <n v="33.299999999999997"/>
    <n v="100"/>
    <n v="0"/>
    <n v="0"/>
    <n v="860"/>
  </r>
  <r>
    <s v="Nord Kivu"/>
    <x v="0"/>
    <x v="20"/>
    <s v=" Bingo"/>
    <n v="29413"/>
    <n v="1026.5137"/>
    <n v="1176.52"/>
    <n v="855.42808333333323"/>
    <n v="980.43333333333339"/>
    <n v="469"/>
    <n v="131"/>
    <n v="722"/>
    <n v="582"/>
    <n v="643"/>
    <n v="694"/>
    <n v="563"/>
    <n v="632"/>
    <n v="651"/>
    <n v="520"/>
    <n v="596"/>
    <n v="633"/>
    <n v="520"/>
    <n v="559"/>
    <n v="797"/>
    <n v="167"/>
    <n v="652"/>
    <n v="647"/>
    <n v="611"/>
    <n v="220"/>
    <n v="143"/>
    <n v="127"/>
    <n v="63"/>
    <n v="71"/>
    <n v="404"/>
    <n v="41.7"/>
    <n v="100"/>
    <n v="161.42808333333323"/>
    <n v="0"/>
    <n v="652"/>
  </r>
  <r>
    <s v="Nord Kivu"/>
    <x v="0"/>
    <x v="20"/>
    <s v=" Buhumbani"/>
    <n v="9999"/>
    <n v="348.96510000000001"/>
    <n v="399.96000000000004"/>
    <n v="290.80425000000002"/>
    <n v="333.30000000000007"/>
    <n v="196"/>
    <n v="57"/>
    <n v="221"/>
    <n v="193"/>
    <n v="234"/>
    <n v="227"/>
    <n v="207"/>
    <n v="229"/>
    <n v="222"/>
    <n v="192"/>
    <n v="207"/>
    <n v="200"/>
    <n v="192"/>
    <n v="209"/>
    <n v="215"/>
    <n v="77"/>
    <n v="191"/>
    <n v="210"/>
    <n v="160"/>
    <n v="140"/>
    <n v="58"/>
    <n v="47"/>
    <n v="39"/>
    <n v="54"/>
    <n v="198"/>
    <n v="41.7"/>
    <n v="100"/>
    <n v="63.804250000000025"/>
    <n v="12"/>
    <n v="191"/>
  </r>
  <r>
    <s v="Nord Kivu"/>
    <x v="0"/>
    <x v="20"/>
    <s v=" Linzo"/>
    <n v="16040"/>
    <n v="559.79600000000005"/>
    <n v="641.6"/>
    <n v="466.49666666666667"/>
    <n v="534.66666666666674"/>
    <n v="355"/>
    <n v="265"/>
    <n v="459"/>
    <n v="457"/>
    <n v="465"/>
    <n v="406"/>
    <n v="405"/>
    <n v="413"/>
    <n v="406"/>
    <n v="405"/>
    <n v="413"/>
    <n v="426"/>
    <n v="426"/>
    <n v="436"/>
    <n v="363"/>
    <n v="33"/>
    <n v="333"/>
    <n v="440"/>
    <n v="330"/>
    <n v="88"/>
    <n v="63"/>
    <n v="53"/>
    <n v="22"/>
    <n v="29"/>
    <n v="167"/>
    <n v="41.7"/>
    <n v="100"/>
    <n v="60.49666666666667"/>
    <n v="43"/>
    <n v="333"/>
  </r>
  <r>
    <s v="Nord Kivu"/>
    <x v="0"/>
    <x v="20"/>
    <s v=" Lubena"/>
    <n v="25738"/>
    <n v="898.25620000000004"/>
    <n v="1029.52"/>
    <n v="748.54683333333344"/>
    <n v="857.93333333333339"/>
    <n v="527"/>
    <n v="520"/>
    <n v="704"/>
    <n v="680"/>
    <n v="620"/>
    <n v="540"/>
    <n v="584"/>
    <n v="581"/>
    <n v="537"/>
    <n v="516"/>
    <n v="455"/>
    <n v="540"/>
    <n v="605"/>
    <n v="611"/>
    <n v="719"/>
    <n v="50"/>
    <n v="641"/>
    <n v="620"/>
    <n v="644"/>
    <n v="131"/>
    <n v="85"/>
    <n v="84"/>
    <n v="53"/>
    <n v="45"/>
    <n v="267"/>
    <n v="37.5"/>
    <n v="100"/>
    <n v="208.54683333333344"/>
    <n v="0"/>
    <n v="641"/>
  </r>
  <r>
    <s v="Nord Kivu"/>
    <x v="0"/>
    <x v="20"/>
    <s v=" Mabalako"/>
    <n v="21676"/>
    <n v="756.49239999999998"/>
    <n v="867.04"/>
    <n v="630.41033333333326"/>
    <n v="722.5333333333333"/>
    <n v="505"/>
    <n v="123"/>
    <n v="644"/>
    <n v="588"/>
    <n v="573"/>
    <n v="576"/>
    <n v="1255"/>
    <n v="497"/>
    <n v="575"/>
    <n v="518"/>
    <n v="497"/>
    <n v="576"/>
    <n v="526"/>
    <n v="527"/>
    <n v="612"/>
    <n v="66"/>
    <n v="458"/>
    <n v="571"/>
    <n v="590"/>
    <n v="249"/>
    <n v="154"/>
    <n v="1493"/>
    <n v="82"/>
    <n v="60"/>
    <n v="1789"/>
    <n v="41.7"/>
    <n v="100"/>
    <n v="54.410333333333256"/>
    <n v="0"/>
    <n v="458"/>
  </r>
  <r>
    <s v="Nord Kivu"/>
    <x v="0"/>
    <x v="20"/>
    <s v=" Malese"/>
    <n v="6026"/>
    <n v="210.3074"/>
    <n v="241.04"/>
    <n v="175.25616666666667"/>
    <n v="200.86666666666667"/>
    <n v="110"/>
    <n v="57"/>
    <n v="166"/>
    <n v="153"/>
    <n v="180"/>
    <n v="167"/>
    <n v="153"/>
    <n v="180"/>
    <n v="126"/>
    <n v="119"/>
    <n v="136"/>
    <n v="147"/>
    <n v="135"/>
    <n v="160"/>
    <n v="149"/>
    <n v="49"/>
    <n v="178"/>
    <n v="180"/>
    <n v="89"/>
    <n v="198"/>
    <n v="135"/>
    <n v="97"/>
    <s v=""/>
    <s v=""/>
    <n v="232"/>
    <n v="41.7"/>
    <n v="100"/>
    <n v="8.2561666666666724"/>
    <n v="18"/>
    <n v="149"/>
  </r>
  <r>
    <s v="Nord Kivu"/>
    <x v="0"/>
    <x v="20"/>
    <s v=" Mangina"/>
    <n v="20704"/>
    <n v="722.56960000000004"/>
    <n v="828.16"/>
    <n v="602.14133333333336"/>
    <n v="690.13333333333333"/>
    <n v="680"/>
    <n v="218"/>
    <n v="538"/>
    <n v="487"/>
    <n v="517"/>
    <n v="494"/>
    <n v="476"/>
    <n v="489"/>
    <n v="494"/>
    <n v="463"/>
    <n v="480"/>
    <n v="404"/>
    <n v="298"/>
    <n v="406"/>
    <n v="554"/>
    <n v="211"/>
    <n v="477"/>
    <n v="529"/>
    <n v="386"/>
    <n v="371"/>
    <n v="71"/>
    <n v="256"/>
    <n v="196"/>
    <n v="136"/>
    <n v="659"/>
    <n v="33.299999999999997"/>
    <n v="100"/>
    <n v="108.14133333333336"/>
    <n v="0"/>
    <n v="477"/>
  </r>
  <r>
    <s v="Nord Kivu"/>
    <x v="0"/>
    <x v="20"/>
    <s v=" Mangodomu"/>
    <n v="15361"/>
    <n v="536.09889999999996"/>
    <n v="614.44000000000005"/>
    <n v="446.74908333333326"/>
    <n v="512.03333333333342"/>
    <n v="256"/>
    <n v="17"/>
    <n v="357"/>
    <n v="258"/>
    <n v="302"/>
    <n v="328"/>
    <n v="256"/>
    <n v="302"/>
    <n v="335"/>
    <n v="257"/>
    <n v="302"/>
    <n v="297"/>
    <n v="234"/>
    <n v="249"/>
    <n v="285"/>
    <n v="63"/>
    <n v="262"/>
    <n v="306"/>
    <n v="246"/>
    <n v="124"/>
    <n v="88"/>
    <n v="45"/>
    <s v=""/>
    <s v=""/>
    <n v="133"/>
    <n v="37.5"/>
    <n v="100"/>
    <n v="118.74908333333326"/>
    <n v="43"/>
    <n v="262"/>
  </r>
  <r>
    <s v="Nord Kivu"/>
    <x v="0"/>
    <x v="20"/>
    <s v=" Masimbembe"/>
    <n v="10430"/>
    <n v="364.00700000000001"/>
    <n v="417.2"/>
    <n v="303.33916666666664"/>
    <n v="347.66666666666663"/>
    <n v="278"/>
    <n v="71"/>
    <n v="264"/>
    <n v="275"/>
    <n v="275"/>
    <n v="238"/>
    <n v="241"/>
    <n v="261"/>
    <n v="243"/>
    <n v="242"/>
    <n v="261"/>
    <n v="243"/>
    <n v="246"/>
    <n v="251"/>
    <n v="251"/>
    <n v="92"/>
    <n v="196"/>
    <n v="306"/>
    <n v="111"/>
    <n v="156"/>
    <n v="86"/>
    <n v="16"/>
    <n v="5"/>
    <n v="6"/>
    <n v="113"/>
    <n v="33.299999999999997"/>
    <n v="100"/>
    <n v="65.339166666666642"/>
    <n v="0"/>
    <n v="196"/>
  </r>
  <r>
    <s v="Nord Kivu"/>
    <x v="0"/>
    <x v="20"/>
    <s v=" Metale"/>
    <n v="7830"/>
    <n v="273.267"/>
    <n v="313.2"/>
    <n v="227.7225"/>
    <n v="261"/>
    <n v="37"/>
    <n v="108"/>
    <n v="222"/>
    <n v="212"/>
    <n v="221"/>
    <n v="209"/>
    <n v="211"/>
    <n v="191"/>
    <n v="202"/>
    <n v="176"/>
    <n v="172"/>
    <n v="172"/>
    <n v="163"/>
    <n v="148"/>
    <n v="225"/>
    <n v="153"/>
    <n v="199"/>
    <n v="207"/>
    <n v="184"/>
    <n v="55"/>
    <n v="36"/>
    <n v="39"/>
    <n v="21"/>
    <n v="14"/>
    <n v="110"/>
    <n v="41.7"/>
    <n v="100"/>
    <n v="18.722499999999997"/>
    <n v="0"/>
    <n v="199"/>
  </r>
  <r>
    <s v="Nord Kivu"/>
    <x v="0"/>
    <x v="20"/>
    <s v=" Mununze"/>
    <n v="9090"/>
    <n v="317.24099999999999"/>
    <n v="363.6"/>
    <n v="264.36750000000001"/>
    <n v="303"/>
    <n v="159"/>
    <n v="58"/>
    <n v="218"/>
    <n v="218"/>
    <n v="196"/>
    <n v="186"/>
    <n v="191"/>
    <n v="180"/>
    <n v="221"/>
    <n v="212"/>
    <n v="190"/>
    <n v="182"/>
    <n v="166"/>
    <n v="129"/>
    <n v="231"/>
    <n v="54"/>
    <n v="183"/>
    <n v="206"/>
    <n v="186"/>
    <n v="64"/>
    <n v="57"/>
    <n v="35"/>
    <n v="19"/>
    <n v="15"/>
    <n v="126"/>
    <n v="33.299999999999997"/>
    <n v="100"/>
    <n v="78.367500000000007"/>
    <n v="0"/>
    <n v="183"/>
  </r>
  <r>
    <s v="Nord Kivu"/>
    <x v="0"/>
    <x v="20"/>
    <s v=" Ngazi"/>
    <n v="9393"/>
    <n v="327.81569999999999"/>
    <n v="375.72"/>
    <n v="273.17975000000001"/>
    <n v="313.10000000000002"/>
    <n v="178"/>
    <n v="270"/>
    <n v="263"/>
    <n v="268"/>
    <n v="257"/>
    <n v="241"/>
    <n v="248"/>
    <n v="235"/>
    <n v="216"/>
    <n v="217"/>
    <n v="209"/>
    <n v="222"/>
    <n v="225"/>
    <n v="220"/>
    <n v="232"/>
    <n v="150"/>
    <n v="190"/>
    <n v="240"/>
    <n v="222"/>
    <n v="59"/>
    <n v="54"/>
    <n v="63"/>
    <n v="49"/>
    <n v="40"/>
    <n v="206"/>
    <n v="41.7"/>
    <n v="100"/>
    <n v="32.179750000000013"/>
    <n v="9"/>
    <n v="190"/>
  </r>
  <r>
    <s v="Nord Kivu"/>
    <x v="0"/>
    <x v="20"/>
    <s v=" Ngoyo"/>
    <n v="12706"/>
    <n v="443.43939999999998"/>
    <n v="508.24"/>
    <n v="369.53283333333331"/>
    <n v="423.5333333333333"/>
    <n v="173"/>
    <n v="248"/>
    <n v="298"/>
    <n v="311"/>
    <n v="295"/>
    <n v="323"/>
    <n v="331"/>
    <n v="321"/>
    <n v="305"/>
    <n v="314"/>
    <n v="300"/>
    <n v="313"/>
    <n v="321"/>
    <n v="310"/>
    <n v="272"/>
    <n v="91"/>
    <n v="272"/>
    <n v="341"/>
    <n v="237"/>
    <n v="246"/>
    <n v="138"/>
    <n v="8"/>
    <n v="1"/>
    <n v="2"/>
    <n v="149"/>
    <n v="33.299999999999997"/>
    <n v="100"/>
    <n v="46.532833333333315"/>
    <n v="51"/>
    <n v="272"/>
  </r>
  <r>
    <s v="Nord Kivu"/>
    <x v="0"/>
    <x v="20"/>
    <s v=" Visiki"/>
    <n v="13272"/>
    <n v="463.19280000000003"/>
    <n v="530.88"/>
    <n v="385.99400000000003"/>
    <n v="442.40000000000003"/>
    <n v="272"/>
    <n v="161"/>
    <n v="362"/>
    <n v="342"/>
    <n v="360"/>
    <n v="380"/>
    <n v="359"/>
    <n v="364"/>
    <n v="380"/>
    <n v="359"/>
    <n v="366"/>
    <n v="378"/>
    <n v="362"/>
    <n v="363"/>
    <n v="405"/>
    <n v="321"/>
    <n v="309"/>
    <n v="400"/>
    <n v="408"/>
    <n v="421"/>
    <n v="329"/>
    <n v="64"/>
    <n v="16"/>
    <n v="5"/>
    <n v="414"/>
    <n v="41.7"/>
    <n v="100"/>
    <n v="5.9940000000000282"/>
    <n v="0"/>
    <n v="309"/>
  </r>
  <r>
    <s v="Nord Kivu"/>
    <x v="0"/>
    <x v="20"/>
    <s v=" Vusayiro"/>
    <n v="11015"/>
    <n v="384.42349999999999"/>
    <n v="440.6"/>
    <n v="320.35291666666666"/>
    <n v="367.16666666666669"/>
    <n v="191"/>
    <n v="71"/>
    <n v="221"/>
    <n v="212"/>
    <n v="186"/>
    <n v="226"/>
    <n v="206"/>
    <n v="219"/>
    <n v="221"/>
    <n v="211"/>
    <n v="199"/>
    <n v="222"/>
    <n v="206"/>
    <n v="199"/>
    <n v="198"/>
    <n v="32"/>
    <n v="181"/>
    <n v="189"/>
    <n v="72"/>
    <n v="94"/>
    <n v="56"/>
    <n v="55"/>
    <n v="47"/>
    <n v="21"/>
    <n v="179"/>
    <n v="41.7"/>
    <n v="100"/>
    <n v="94.352916666666658"/>
    <n v="28"/>
    <n v="181"/>
  </r>
  <r>
    <s v="Nord Kivu"/>
    <x v="0"/>
    <x v="21"/>
    <s v=" Akwele"/>
    <n v="4587"/>
    <n v="160.08629999999999"/>
    <n v="183.48"/>
    <n v="133.40525"/>
    <n v="152.89999999999998"/>
    <n v="44"/>
    <n v="19"/>
    <n v="132"/>
    <n v="129"/>
    <n v="100"/>
    <n v="132"/>
    <n v="130"/>
    <n v="100"/>
    <n v="87"/>
    <n v="74"/>
    <n v="54"/>
    <n v="100"/>
    <n v="104"/>
    <n v="68"/>
    <n v="106"/>
    <n v="59"/>
    <n v="106"/>
    <n v="100"/>
    <n v="69"/>
    <n v="26"/>
    <n v="29"/>
    <n v="26"/>
    <n v="27"/>
    <n v="12"/>
    <n v="94"/>
    <n v="54.2"/>
    <n v="100"/>
    <n v="1.4052499999999952"/>
    <n v="26"/>
    <n v="106"/>
  </r>
  <r>
    <s v="Nord Kivu"/>
    <x v="0"/>
    <x v="21"/>
    <s v=" Bandulu"/>
    <n v="5365"/>
    <n v="187.23850000000002"/>
    <n v="214.6"/>
    <n v="156.03208333333333"/>
    <n v="178.83333333333331"/>
    <n v="74"/>
    <n v="104"/>
    <n v="125"/>
    <n v="95"/>
    <n v="136"/>
    <n v="126"/>
    <n v="94"/>
    <n v="107"/>
    <n v="77"/>
    <n v="47"/>
    <n v="49"/>
    <n v="125"/>
    <n v="93"/>
    <n v="96"/>
    <n v="115"/>
    <n v="71"/>
    <n v="103"/>
    <n v="115"/>
    <n v="91"/>
    <n v="30"/>
    <n v="22"/>
    <n v="31"/>
    <n v="19"/>
    <n v="10"/>
    <n v="82"/>
    <n v="66.7"/>
    <n v="100"/>
    <n v="30.032083333333333"/>
    <n v="11"/>
    <n v="103"/>
  </r>
  <r>
    <s v="Nord Kivu"/>
    <x v="0"/>
    <x v="21"/>
    <s v=" Isange"/>
    <n v="3098"/>
    <n v="108.1202"/>
    <n v="123.92"/>
    <n v="90.100166666666667"/>
    <n v="103.26666666666667"/>
    <n v="28"/>
    <n v="20"/>
    <n v="54"/>
    <n v="45"/>
    <n v="63"/>
    <n v="54"/>
    <n v="46"/>
    <n v="63"/>
    <n v="54"/>
    <n v="55"/>
    <n v="52"/>
    <n v="54"/>
    <n v="45"/>
    <n v="52"/>
    <n v="56"/>
    <n v="27"/>
    <n v="46"/>
    <n v="52"/>
    <n v="39"/>
    <n v="25"/>
    <n v="12"/>
    <n v="9"/>
    <n v="13"/>
    <n v="12"/>
    <n v="46"/>
    <n v="50"/>
    <n v="100"/>
    <n v="36.100166666666667"/>
    <n v="0"/>
    <n v="46"/>
  </r>
  <r>
    <s v="Nord Kivu"/>
    <x v="0"/>
    <x v="21"/>
    <s v=" Kambau"/>
    <n v="11385"/>
    <n v="397.3365"/>
    <n v="455.40000000000003"/>
    <n v="331.11375000000004"/>
    <n v="379.5"/>
    <n v="253"/>
    <n v="237"/>
    <n v="476"/>
    <n v="416"/>
    <n v="395"/>
    <n v="469"/>
    <n v="344"/>
    <n v="304"/>
    <n v="426"/>
    <n v="280"/>
    <n v="205"/>
    <n v="412"/>
    <n v="282"/>
    <n v="220"/>
    <n v="312"/>
    <n v="119"/>
    <n v="247"/>
    <n v="355"/>
    <n v="267"/>
    <n v="135"/>
    <n v="114"/>
    <n v="85"/>
    <n v="44"/>
    <n v="35"/>
    <n v="278"/>
    <n v="50"/>
    <n v="100"/>
    <n v="0"/>
    <n v="157"/>
    <n v="247"/>
  </r>
  <r>
    <s v="Nord Kivu"/>
    <x v="0"/>
    <x v="21"/>
    <s v=" Liboyo"/>
    <n v="12657"/>
    <n v="441.72930000000002"/>
    <n v="506.28000000000003"/>
    <n v="368.10775000000001"/>
    <n v="421.90000000000003"/>
    <n v="127"/>
    <n v="58"/>
    <n v="250"/>
    <n v="233"/>
    <n v="230"/>
    <n v="248"/>
    <n v="214"/>
    <n v="207"/>
    <n v="239"/>
    <n v="193"/>
    <n v="146"/>
    <n v="248"/>
    <n v="203"/>
    <n v="176"/>
    <n v="295"/>
    <n v="179"/>
    <n v="282"/>
    <n v="230"/>
    <n v="272"/>
    <n v="69"/>
    <n v="45"/>
    <n v="51"/>
    <n v="35"/>
    <n v="16"/>
    <n v="147"/>
    <n v="44.4"/>
    <n v="100"/>
    <n v="120.10775000000001"/>
    <n v="0"/>
    <n v="282"/>
  </r>
  <r>
    <s v="Nord Kivu"/>
    <x v="0"/>
    <x v="21"/>
    <s v=" Mabuo"/>
    <n v="5033"/>
    <n v="175.65170000000001"/>
    <n v="201.32"/>
    <n v="146.37641666666667"/>
    <n v="167.76666666666668"/>
    <n v="25"/>
    <n v="22"/>
    <n v="113"/>
    <n v="106"/>
    <n v="98"/>
    <n v="115"/>
    <n v="111"/>
    <n v="96"/>
    <n v="115"/>
    <n v="112"/>
    <n v="98"/>
    <n v="65"/>
    <n v="58"/>
    <n v="50"/>
    <n v="102"/>
    <n v="75"/>
    <n v="93"/>
    <n v="87"/>
    <n v="95"/>
    <n v="40"/>
    <n v="22"/>
    <n v="22"/>
    <n v="10"/>
    <n v="5"/>
    <n v="59"/>
    <n v="50"/>
    <n v="100"/>
    <n v="31.376416666666671"/>
    <n v="13"/>
    <n v="93"/>
  </r>
  <r>
    <s v="Nord Kivu"/>
    <x v="0"/>
    <x v="21"/>
    <s v=" Malunguma"/>
    <n v="16550"/>
    <n v="577.59500000000003"/>
    <n v="662"/>
    <n v="481.32916666666665"/>
    <n v="551.66666666666663"/>
    <n v="433"/>
    <n v="333"/>
    <n v="539"/>
    <n v="447"/>
    <n v="435"/>
    <n v="450"/>
    <n v="369"/>
    <n v="373"/>
    <n v="453"/>
    <n v="370"/>
    <n v="373"/>
    <n v="399"/>
    <n v="319"/>
    <n v="323"/>
    <n v="405"/>
    <n v="49"/>
    <n v="306"/>
    <n v="450"/>
    <n v="389"/>
    <n v="269"/>
    <n v="223"/>
    <n v="150"/>
    <n v="79"/>
    <n v="58"/>
    <n v="510"/>
    <n v="50"/>
    <n v="100"/>
    <n v="31.329166666666652"/>
    <n v="45"/>
    <n v="306"/>
  </r>
  <r>
    <s v="Nord Kivu"/>
    <x v="0"/>
    <x v="21"/>
    <s v=" Mama Wa Huruma"/>
    <n v="7593"/>
    <n v="264.9957"/>
    <n v="303.72000000000003"/>
    <n v="220.82975000000002"/>
    <n v="253.10000000000002"/>
    <n v="206"/>
    <n v="69"/>
    <n v="329"/>
    <n v="192"/>
    <n v="171"/>
    <n v="234"/>
    <n v="199"/>
    <n v="189"/>
    <n v="208"/>
    <n v="164"/>
    <n v="149"/>
    <n v="201"/>
    <n v="170"/>
    <n v="146"/>
    <n v="211"/>
    <n v="46"/>
    <n v="171"/>
    <n v="168"/>
    <n v="173"/>
    <n v="52"/>
    <n v="34"/>
    <n v="31"/>
    <n v="33"/>
    <n v="21"/>
    <n v="119"/>
    <n v="50"/>
    <n v="100"/>
    <n v="0"/>
    <n v="23"/>
    <n v="171"/>
  </r>
  <r>
    <s v="Nord Kivu"/>
    <x v="0"/>
    <x v="21"/>
    <s v=" Manguredjipa"/>
    <n v="8788"/>
    <n v="306.70120000000003"/>
    <n v="351.52"/>
    <n v="255.58433333333338"/>
    <n v="292.93333333333334"/>
    <n v="618"/>
    <s v=""/>
    <n v="529"/>
    <n v="478"/>
    <n v="389"/>
    <n v="489"/>
    <n v="445"/>
    <n v="343"/>
    <n v="451"/>
    <n v="336"/>
    <n v="308"/>
    <n v="447"/>
    <n v="331"/>
    <n v="305"/>
    <n v="330"/>
    <n v="39"/>
    <n v="306"/>
    <n v="399"/>
    <n v="257"/>
    <n v="152"/>
    <n v="69"/>
    <n v="60"/>
    <n v="42"/>
    <n v="37"/>
    <n v="208"/>
    <n v="58.3"/>
    <n v="100"/>
    <n v="0"/>
    <n v="159"/>
    <n v="306"/>
  </r>
  <r>
    <s v="Nord Kivu"/>
    <x v="0"/>
    <x v="21"/>
    <s v=" Mbunia"/>
    <n v="9647"/>
    <n v="336.68029999999999"/>
    <n v="385.88"/>
    <n v="280.56691666666666"/>
    <n v="321.56666666666666"/>
    <n v="87"/>
    <n v="102"/>
    <n v="255"/>
    <n v="269"/>
    <n v="272"/>
    <n v="225"/>
    <n v="241"/>
    <n v="242"/>
    <n v="197"/>
    <n v="211"/>
    <n v="214"/>
    <n v="197"/>
    <n v="212"/>
    <n v="214"/>
    <n v="222"/>
    <n v="167"/>
    <n v="222"/>
    <n v="218"/>
    <n v="171"/>
    <n v="35"/>
    <n v="31"/>
    <n v="36"/>
    <n v="32"/>
    <n v="29"/>
    <n v="128"/>
    <n v="37.5"/>
    <n v="100"/>
    <n v="55.566916666666657"/>
    <n v="3"/>
    <n v="222"/>
  </r>
  <r>
    <s v="Nord Kivu"/>
    <x v="0"/>
    <x v="21"/>
    <s v=" Midede"/>
    <n v="5361"/>
    <n v="187.09890000000001"/>
    <n v="214.44"/>
    <n v="155.91575"/>
    <n v="178.70000000000002"/>
    <n v="88"/>
    <n v="16"/>
    <n v="130"/>
    <n v="107"/>
    <n v="131"/>
    <n v="114"/>
    <n v="88"/>
    <n v="115"/>
    <n v="80"/>
    <n v="61"/>
    <n v="81"/>
    <n v="96"/>
    <n v="75"/>
    <n v="97"/>
    <n v="121"/>
    <n v="8"/>
    <n v="121"/>
    <n v="131"/>
    <n v="121"/>
    <n v="44"/>
    <n v="22"/>
    <n v="11"/>
    <n v="11"/>
    <n v="4"/>
    <n v="48"/>
    <n v="54.2"/>
    <n v="100"/>
    <n v="41.915750000000003"/>
    <n v="0"/>
    <n v="121"/>
  </r>
  <r>
    <s v="Nord Kivu"/>
    <x v="0"/>
    <x v="21"/>
    <s v=" Ombole"/>
    <n v="7611"/>
    <n v="265.62389999999999"/>
    <n v="304.44"/>
    <n v="221.35324999999997"/>
    <n v="253.70000000000002"/>
    <n v="29"/>
    <n v="27"/>
    <n v="212"/>
    <n v="167"/>
    <n v="183"/>
    <n v="194"/>
    <n v="212"/>
    <n v="179"/>
    <n v="162"/>
    <n v="116"/>
    <n v="150"/>
    <n v="140"/>
    <n v="93"/>
    <n v="130"/>
    <n v="109"/>
    <n v="46"/>
    <n v="109"/>
    <n v="181"/>
    <n v="104"/>
    <n v="16"/>
    <n v="11"/>
    <n v="14"/>
    <n v="8"/>
    <n v="2"/>
    <n v="35"/>
    <n v="41.7"/>
    <n v="100"/>
    <n v="27.353249999999974"/>
    <n v="85"/>
    <n v="109"/>
  </r>
  <r>
    <s v="Nord Kivu"/>
    <x v="0"/>
    <x v="22"/>
    <s v=" Bukondi"/>
    <n v="7821"/>
    <n v="272.9529"/>
    <n v="312.84000000000003"/>
    <n v="227.46075000000002"/>
    <n v="260.70000000000005"/>
    <n v="155"/>
    <n v="61"/>
    <n v="242"/>
    <n v="264"/>
    <n v="242"/>
    <n v="243"/>
    <n v="221"/>
    <n v="259"/>
    <n v="232"/>
    <n v="240"/>
    <n v="217"/>
    <n v="216"/>
    <n v="232"/>
    <n v="218"/>
    <n v="238"/>
    <n v="69"/>
    <n v="198"/>
    <n v="232"/>
    <n v="220"/>
    <n v="42"/>
    <n v="31"/>
    <n v="46"/>
    <n v="24"/>
    <n v="25"/>
    <n v="126"/>
    <n v="58.3"/>
    <n v="100"/>
    <n v="0"/>
    <n v="5"/>
    <n v="198"/>
  </r>
  <r>
    <s v="Nord Kivu"/>
    <x v="0"/>
    <x v="22"/>
    <s v=" Ikuvula"/>
    <n v="17425"/>
    <n v="608.13250000000005"/>
    <n v="697"/>
    <n v="506.77708333333334"/>
    <n v="580.83333333333337"/>
    <n v="552"/>
    <n v="77"/>
    <n v="553"/>
    <n v="449"/>
    <n v="486"/>
    <n v="483"/>
    <n v="465"/>
    <n v="508"/>
    <n v="509"/>
    <n v="419"/>
    <n v="429"/>
    <n v="547"/>
    <n v="478"/>
    <n v="533"/>
    <n v="446"/>
    <n v="207"/>
    <n v="421"/>
    <n v="472"/>
    <n v="400"/>
    <n v="96"/>
    <n v="103"/>
    <n v="143"/>
    <n v="88"/>
    <n v="31"/>
    <n v="365"/>
    <n v="58.3"/>
    <n v="100"/>
    <n v="23.777083333333337"/>
    <n v="37"/>
    <n v="421"/>
  </r>
  <r>
    <s v="Nord Kivu"/>
    <x v="0"/>
    <x v="22"/>
    <s v=" Kaniyi"/>
    <n v="13315"/>
    <n v="464.69350000000003"/>
    <n v="532.6"/>
    <n v="387.24458333333337"/>
    <n v="443.83333333333331"/>
    <n v="330"/>
    <n v="87"/>
    <n v="344"/>
    <n v="317"/>
    <n v="307"/>
    <n v="315"/>
    <n v="294"/>
    <n v="310"/>
    <n v="303"/>
    <n v="292"/>
    <n v="278"/>
    <n v="332"/>
    <n v="323"/>
    <n v="314"/>
    <n v="321"/>
    <n v="45"/>
    <n v="278"/>
    <n v="268"/>
    <n v="245"/>
    <n v="69"/>
    <n v="75"/>
    <n v="92"/>
    <n v="62"/>
    <n v="34"/>
    <n v="263"/>
    <n v="58.3"/>
    <n v="100"/>
    <n v="72.244583333333367"/>
    <n v="0"/>
    <n v="278"/>
  </r>
  <r>
    <s v="Nord Kivu"/>
    <x v="0"/>
    <x v="22"/>
    <s v=" Kitembe"/>
    <n v="5815"/>
    <n v="202.9435"/>
    <n v="232.6"/>
    <n v="169.11958333333334"/>
    <n v="193.83333333333331"/>
    <n v="131"/>
    <n v="46"/>
    <n v="164"/>
    <n v="158"/>
    <n v="133"/>
    <n v="157"/>
    <n v="151"/>
    <n v="142"/>
    <n v="159"/>
    <n v="153"/>
    <n v="136"/>
    <n v="169"/>
    <n v="181"/>
    <n v="167"/>
    <n v="154"/>
    <n v="52"/>
    <n v="151"/>
    <n v="141"/>
    <n v="151"/>
    <n v="24"/>
    <n v="33"/>
    <n v="19"/>
    <n v="40"/>
    <n v="31"/>
    <n v="123"/>
    <n v="58.3"/>
    <n v="100"/>
    <n v="12.119583333333338"/>
    <n v="3"/>
    <n v="151"/>
  </r>
  <r>
    <s v="Nord Kivu"/>
    <x v="0"/>
    <x v="22"/>
    <s v=" Kitsimba"/>
    <n v="14434"/>
    <n v="503.7466"/>
    <n v="577.36"/>
    <n v="419.78883333333334"/>
    <n v="481.13333333333338"/>
    <n v="383"/>
    <n v="179"/>
    <n v="411"/>
    <n v="406"/>
    <n v="412"/>
    <n v="408"/>
    <n v="383"/>
    <n v="330"/>
    <n v="393"/>
    <n v="339"/>
    <n v="355"/>
    <n v="407"/>
    <n v="390"/>
    <n v="378"/>
    <n v="423"/>
    <n v="99"/>
    <n v="354"/>
    <n v="394"/>
    <n v="387"/>
    <n v="100"/>
    <n v="67"/>
    <n v="70"/>
    <n v="58"/>
    <n v="34"/>
    <n v="229"/>
    <n v="58.3"/>
    <n v="100"/>
    <n v="11.788833333333343"/>
    <n v="0"/>
    <n v="354"/>
  </r>
  <r>
    <s v="Nord Kivu"/>
    <x v="0"/>
    <x v="22"/>
    <s v=" Kitsuku"/>
    <n v="6992"/>
    <n v="244.02080000000001"/>
    <n v="279.68"/>
    <n v="203.35066666666665"/>
    <n v="233.06666666666669"/>
    <n v="154"/>
    <n v="105"/>
    <n v="255"/>
    <n v="241"/>
    <n v="221"/>
    <n v="227"/>
    <n v="230"/>
    <n v="218"/>
    <n v="215"/>
    <n v="220"/>
    <n v="204"/>
    <n v="216"/>
    <n v="216"/>
    <n v="222"/>
    <n v="234"/>
    <n v="94"/>
    <n v="214"/>
    <n v="200"/>
    <n v="200"/>
    <n v="60"/>
    <n v="60"/>
    <n v="35"/>
    <n v="45"/>
    <n v="29"/>
    <n v="169"/>
    <n v="58.3"/>
    <n v="100"/>
    <n v="0"/>
    <n v="0"/>
    <n v="214"/>
  </r>
  <r>
    <s v="Nord Kivu"/>
    <x v="0"/>
    <x v="22"/>
    <s v=" Lukanga"/>
    <n v="12154"/>
    <n v="424.1746"/>
    <n v="486.16"/>
    <n v="353.47883333333334"/>
    <n v="405.13333333333333"/>
    <n v="400"/>
    <n v="369"/>
    <n v="390"/>
    <n v="380"/>
    <n v="436"/>
    <n v="391"/>
    <n v="321"/>
    <n v="368"/>
    <n v="371"/>
    <n v="301"/>
    <n v="343"/>
    <n v="333"/>
    <n v="314"/>
    <n v="359"/>
    <n v="327"/>
    <n v="175"/>
    <n v="308"/>
    <n v="341"/>
    <n v="260"/>
    <n v="86"/>
    <n v="81"/>
    <n v="104"/>
    <n v="63"/>
    <n v="42"/>
    <n v="290"/>
    <n v="66.7"/>
    <n v="100"/>
    <n v="0"/>
    <n v="64"/>
    <n v="308"/>
  </r>
  <r>
    <s v="Nord Kivu"/>
    <x v="0"/>
    <x v="22"/>
    <s v=" Luotu"/>
    <n v="20510"/>
    <n v="715.79899999999998"/>
    <n v="820.4"/>
    <n v="596.49916666666661"/>
    <n v="683.66666666666663"/>
    <n v="294"/>
    <n v="138"/>
    <n v="596"/>
    <n v="593"/>
    <n v="591"/>
    <n v="580"/>
    <n v="515"/>
    <n v="466"/>
    <n v="480"/>
    <n v="413"/>
    <n v="438"/>
    <n v="510"/>
    <n v="496"/>
    <n v="425"/>
    <n v="500"/>
    <n v="127"/>
    <n v="453"/>
    <n v="526"/>
    <n v="463"/>
    <n v="154"/>
    <n v="111"/>
    <n v="114"/>
    <n v="57"/>
    <n v="31"/>
    <n v="313"/>
    <n v="58.3"/>
    <n v="100"/>
    <n v="16.499166666666611"/>
    <n v="80"/>
    <n v="453"/>
  </r>
  <r>
    <s v="Nord Kivu"/>
    <x v="0"/>
    <x v="22"/>
    <s v=" Magheria"/>
    <n v="18130"/>
    <n v="632.73699999999997"/>
    <n v="725.2"/>
    <n v="527.28083333333325"/>
    <n v="604.33333333333337"/>
    <n v="441"/>
    <n v="446"/>
    <n v="533"/>
    <n v="486"/>
    <n v="515"/>
    <n v="492"/>
    <n v="472"/>
    <n v="473"/>
    <n v="474"/>
    <n v="434"/>
    <n v="445"/>
    <n v="513"/>
    <n v="523"/>
    <n v="445"/>
    <n v="528"/>
    <n v="148"/>
    <n v="488"/>
    <n v="504"/>
    <n v="520"/>
    <n v="106"/>
    <n v="116"/>
    <n v="122"/>
    <n v="78"/>
    <n v="85"/>
    <n v="401"/>
    <n v="66.7"/>
    <n v="100"/>
    <n v="35.280833333333248"/>
    <n v="0"/>
    <n v="488"/>
  </r>
  <r>
    <s v="Nord Kivu"/>
    <x v="0"/>
    <x v="22"/>
    <s v=" Masereka"/>
    <n v="22505"/>
    <n v="785.42449999999997"/>
    <n v="900.2"/>
    <n v="654.52041666666662"/>
    <n v="750.16666666666663"/>
    <n v="829"/>
    <n v="298"/>
    <n v="722"/>
    <n v="651"/>
    <n v="658"/>
    <n v="712"/>
    <n v="658"/>
    <n v="689"/>
    <n v="622"/>
    <n v="559"/>
    <n v="637"/>
    <n v="714"/>
    <n v="687"/>
    <n v="508"/>
    <n v="685"/>
    <n v="179"/>
    <n v="690"/>
    <n v="701"/>
    <n v="631"/>
    <n v="187"/>
    <n v="223"/>
    <n v="159"/>
    <n v="144"/>
    <n v="114"/>
    <n v="640"/>
    <n v="58.3"/>
    <n v="100"/>
    <n v="0"/>
    <n v="27"/>
    <n v="685"/>
  </r>
  <r>
    <s v="Nord Kivu"/>
    <x v="0"/>
    <x v="22"/>
    <s v=" Mihake"/>
    <n v="6180"/>
    <n v="215.68200000000002"/>
    <n v="247.20000000000002"/>
    <n v="179.73500000000001"/>
    <n v="206"/>
    <n v="130"/>
    <n v="45"/>
    <n v="184"/>
    <n v="197"/>
    <n v="182"/>
    <n v="183"/>
    <n v="175"/>
    <n v="178"/>
    <n v="183"/>
    <n v="175"/>
    <n v="175"/>
    <n v="174"/>
    <n v="177"/>
    <n v="176"/>
    <n v="201"/>
    <n v="91"/>
    <n v="161"/>
    <n v="204"/>
    <n v="185"/>
    <n v="34"/>
    <n v="45"/>
    <n v="55"/>
    <n v="29"/>
    <n v="15"/>
    <n v="144"/>
    <n v="58.3"/>
    <n v="100"/>
    <n v="0"/>
    <n v="0"/>
    <n v="161"/>
  </r>
  <r>
    <s v="Nord Kivu"/>
    <x v="0"/>
    <x v="22"/>
    <s v=" Miringate"/>
    <n v="7536"/>
    <n v="263.00639999999999"/>
    <n v="301.44"/>
    <n v="219.17199999999997"/>
    <n v="251.20000000000002"/>
    <n v="225"/>
    <n v="208"/>
    <n v="195"/>
    <n v="195"/>
    <n v="199"/>
    <n v="217"/>
    <n v="215"/>
    <n v="220"/>
    <n v="182"/>
    <n v="182"/>
    <n v="198"/>
    <n v="238"/>
    <n v="168"/>
    <n v="176"/>
    <n v="236"/>
    <n v="117"/>
    <n v="231"/>
    <n v="199"/>
    <n v="157"/>
    <n v="76"/>
    <n v="55"/>
    <n v="52"/>
    <n v="54"/>
    <n v="48"/>
    <n v="209"/>
    <n v="62.5"/>
    <n v="100"/>
    <n v="2.1719999999999686"/>
    <n v="0"/>
    <n v="231"/>
  </r>
  <r>
    <s v="Nord Kivu"/>
    <x v="0"/>
    <x v="22"/>
    <s v=" Nyabili"/>
    <n v="13141"/>
    <n v="458.62090000000001"/>
    <n v="525.64"/>
    <n v="382.18408333333338"/>
    <n v="438.03333333333336"/>
    <n v="354"/>
    <n v="154"/>
    <n v="384"/>
    <n v="348"/>
    <n v="330"/>
    <n v="436"/>
    <n v="391"/>
    <n v="426"/>
    <n v="426"/>
    <n v="409"/>
    <n v="386"/>
    <n v="449"/>
    <n v="426"/>
    <n v="354"/>
    <n v="442"/>
    <n v="147"/>
    <n v="398"/>
    <n v="387"/>
    <n v="396"/>
    <n v="110"/>
    <n v="96"/>
    <n v="68"/>
    <n v="60"/>
    <n v="52"/>
    <n v="276"/>
    <n v="58.3"/>
    <n v="100"/>
    <n v="0"/>
    <n v="0"/>
    <n v="398"/>
  </r>
  <r>
    <s v="Nord Kivu"/>
    <x v="0"/>
    <x v="22"/>
    <s v=" Rwese"/>
    <n v="7334"/>
    <n v="255.95660000000001"/>
    <n v="293.36"/>
    <n v="213.29716666666667"/>
    <n v="244.4666666666667"/>
    <n v="131"/>
    <n v="37"/>
    <n v="187"/>
    <n v="156"/>
    <n v="167"/>
    <n v="199"/>
    <n v="168"/>
    <n v="202"/>
    <n v="198"/>
    <n v="161"/>
    <n v="177"/>
    <n v="198"/>
    <n v="203"/>
    <n v="215"/>
    <n v="217"/>
    <n v="15"/>
    <n v="213"/>
    <n v="180"/>
    <n v="214"/>
    <n v="99"/>
    <n v="73"/>
    <n v="81"/>
    <n v="70"/>
    <n v="19"/>
    <n v="243"/>
    <n v="58.3"/>
    <n v="100"/>
    <n v="14.297166666666669"/>
    <n v="0"/>
    <n v="213"/>
  </r>
  <r>
    <s v="Nord Kivu"/>
    <x v="0"/>
    <x v="22"/>
    <s v=" Vusitoro"/>
    <n v="8671"/>
    <n v="302.61790000000002"/>
    <n v="346.84000000000003"/>
    <n v="252.18158333333335"/>
    <n v="289.03333333333336"/>
    <n v="325"/>
    <n v="99"/>
    <n v="330"/>
    <n v="318"/>
    <n v="300"/>
    <n v="292"/>
    <n v="266"/>
    <n v="264"/>
    <n v="284"/>
    <n v="255"/>
    <n v="252"/>
    <n v="318"/>
    <n v="271"/>
    <n v="233"/>
    <n v="270"/>
    <n v="92"/>
    <n v="247"/>
    <n v="290"/>
    <n v="246"/>
    <n v="43"/>
    <n v="59"/>
    <n v="42"/>
    <n v="36"/>
    <n v="30"/>
    <n v="167"/>
    <n v="58.3"/>
    <n v="100"/>
    <n v="0"/>
    <n v="22"/>
    <n v="247"/>
  </r>
  <r>
    <s v="Nord Kivu"/>
    <x v="0"/>
    <x v="22"/>
    <s v=" Vusumba"/>
    <n v="8275"/>
    <n v="288.79750000000001"/>
    <n v="331"/>
    <n v="240.66458333333333"/>
    <n v="275.83333333333331"/>
    <n v="230"/>
    <n v="70"/>
    <n v="212"/>
    <n v="188"/>
    <n v="205"/>
    <n v="213"/>
    <n v="189"/>
    <n v="184"/>
    <n v="212"/>
    <n v="189"/>
    <n v="185"/>
    <n v="215"/>
    <n v="199"/>
    <n v="202"/>
    <n v="228"/>
    <n v="104"/>
    <n v="208"/>
    <n v="205"/>
    <n v="234"/>
    <n v="50"/>
    <n v="36"/>
    <n v="63"/>
    <n v="39"/>
    <n v="34"/>
    <n v="172"/>
    <n v="58.3"/>
    <n v="100"/>
    <n v="27.664583333333326"/>
    <n v="0"/>
    <n v="208"/>
  </r>
  <r>
    <s v="Nord Kivu"/>
    <x v="1"/>
    <x v="23"/>
    <s v=" Buabo"/>
    <n v="21037"/>
    <n v="734.19129999999996"/>
    <n v="841.48"/>
    <n v="611.82608333333326"/>
    <n v="701.23333333333335"/>
    <n v="536"/>
    <n v="142"/>
    <n v="608"/>
    <n v="680"/>
    <n v="660"/>
    <n v="730"/>
    <n v="648"/>
    <n v="628"/>
    <n v="654"/>
    <n v="648"/>
    <n v="617"/>
    <n v="530"/>
    <n v="526"/>
    <n v="514"/>
    <n v="661"/>
    <n v="58"/>
    <n v="547"/>
    <n v="671"/>
    <n v="64"/>
    <n v="225"/>
    <n v="199"/>
    <n v="178"/>
    <n v="103"/>
    <n v="125"/>
    <n v="605"/>
    <n v="54.2"/>
    <n v="100"/>
    <n v="0"/>
    <n v="69"/>
    <n v="547"/>
  </r>
  <r>
    <s v="Nord Kivu"/>
    <x v="1"/>
    <x v="23"/>
    <s v=" Buguri"/>
    <n v="10428"/>
    <n v="363.93720000000002"/>
    <n v="417.12"/>
    <n v="303.28100000000001"/>
    <n v="347.59999999999997"/>
    <n v="648"/>
    <n v="493"/>
    <n v="654"/>
    <n v="644"/>
    <n v="625"/>
    <n v="666"/>
    <n v="569"/>
    <n v="539"/>
    <n v="506"/>
    <n v="437"/>
    <n v="415"/>
    <n v="322"/>
    <n v="408"/>
    <n v="441"/>
    <n v="411"/>
    <n v="181"/>
    <n v="458"/>
    <n v="747"/>
    <n v="169"/>
    <n v="157"/>
    <n v="277"/>
    <n v="230"/>
    <n v="149"/>
    <n v="76"/>
    <n v="732"/>
    <n v="58.3"/>
    <n v="100"/>
    <n v="0"/>
    <n v="255"/>
    <n v="411"/>
  </r>
  <r>
    <s v="Nord Kivu"/>
    <x v="1"/>
    <x v="23"/>
    <s v=" Bukombo"/>
    <n v="20455"/>
    <n v="713.87950000000001"/>
    <n v="818.2"/>
    <n v="594.89958333333334"/>
    <n v="681.83333333333337"/>
    <n v="485"/>
    <n v="915"/>
    <n v="1145"/>
    <n v="1097"/>
    <n v="1099"/>
    <n v="1145"/>
    <n v="1102"/>
    <n v="1107"/>
    <n v="1105"/>
    <n v="1057"/>
    <n v="1077"/>
    <n v="1003"/>
    <n v="982"/>
    <n v="971"/>
    <n v="885"/>
    <n v="189"/>
    <n v="834"/>
    <n v="801"/>
    <n v="316"/>
    <n v="353"/>
    <n v="505"/>
    <n v="289"/>
    <n v="284"/>
    <n v="270"/>
    <n v="1348"/>
    <n v="58.3"/>
    <n v="100"/>
    <n v="0"/>
    <n v="260"/>
    <n v="834"/>
  </r>
  <r>
    <s v="Nord Kivu"/>
    <x v="1"/>
    <x v="23"/>
    <s v=" Kaandja"/>
    <s v=""/>
    <s v=""/>
    <s v=""/>
    <s v=""/>
    <s v=""/>
    <n v="107"/>
    <n v="19"/>
    <n v="145"/>
    <n v="135"/>
    <n v="129"/>
    <n v="145"/>
    <n v="135"/>
    <n v="145"/>
    <n v="145"/>
    <n v="135"/>
    <n v="143"/>
    <n v="145"/>
    <n v="135"/>
    <n v="145"/>
    <n v="119"/>
    <n v="7"/>
    <n v="119"/>
    <n v="145"/>
    <s v=""/>
    <n v="31"/>
    <n v="18"/>
    <n v="21"/>
    <n v="13"/>
    <n v="4"/>
    <n v="56"/>
    <n v="41.7"/>
    <n v="100"/>
    <n v="0"/>
    <n v="26"/>
    <n v="119"/>
  </r>
  <r>
    <s v="Nord Kivu"/>
    <x v="1"/>
    <x v="23"/>
    <s v=" Kahanga"/>
    <n v="18078"/>
    <n v="630.92219999999998"/>
    <n v="723.12"/>
    <n v="525.76850000000002"/>
    <n v="602.6"/>
    <n v="311"/>
    <n v="463"/>
    <n v="503"/>
    <n v="462"/>
    <n v="446"/>
    <n v="387"/>
    <n v="374"/>
    <n v="350"/>
    <n v="341"/>
    <n v="415"/>
    <n v="399"/>
    <n v="366"/>
    <n v="332"/>
    <n v="323"/>
    <n v="447"/>
    <n v="40"/>
    <n v="398"/>
    <n v="362"/>
    <n v="320"/>
    <n v="141"/>
    <n v="167"/>
    <n v="109"/>
    <n v="107"/>
    <n v="122"/>
    <n v="505"/>
    <n v="58.3"/>
    <n v="100"/>
    <n v="138.76850000000002"/>
    <n v="0"/>
    <n v="398"/>
  </r>
  <r>
    <s v="Nord Kivu"/>
    <x v="1"/>
    <x v="23"/>
    <s v=" Kalonge"/>
    <n v="11322"/>
    <n v="395.13780000000003"/>
    <n v="452.88"/>
    <n v="329.28150000000005"/>
    <n v="377.40000000000003"/>
    <n v="199"/>
    <n v="92"/>
    <n v="295"/>
    <n v="261"/>
    <n v="224"/>
    <n v="287"/>
    <n v="272"/>
    <n v="231"/>
    <n v="295"/>
    <n v="261"/>
    <n v="226"/>
    <n v="274"/>
    <n v="213"/>
    <n v="180"/>
    <n v="225"/>
    <n v="113"/>
    <n v="220"/>
    <n v="175"/>
    <n v="157"/>
    <n v="65"/>
    <n v="57"/>
    <n v="50"/>
    <n v="48"/>
    <n v="15"/>
    <n v="170"/>
    <n v="50"/>
    <n v="100"/>
    <n v="42.281500000000051"/>
    <n v="62"/>
    <n v="220"/>
  </r>
  <r>
    <s v="Nord Kivu"/>
    <x v="1"/>
    <x v="23"/>
    <s v=" Kaniro"/>
    <n v="25796"/>
    <n v="900.28039999999999"/>
    <n v="1031.8399999999999"/>
    <n v="750.23366666666664"/>
    <n v="859.86666666666667"/>
    <n v="902"/>
    <n v="655"/>
    <n v="862"/>
    <n v="780"/>
    <n v="761"/>
    <n v="834"/>
    <n v="817"/>
    <n v="783"/>
    <n v="810"/>
    <n v="792"/>
    <n v="749"/>
    <n v="708"/>
    <n v="680"/>
    <n v="669"/>
    <n v="942"/>
    <n v="111"/>
    <n v="703"/>
    <n v="803"/>
    <n v="49"/>
    <n v="489"/>
    <n v="291"/>
    <n v="181"/>
    <n v="118"/>
    <n v="78"/>
    <n v="668"/>
    <n v="50"/>
    <n v="100"/>
    <n v="0"/>
    <n v="0"/>
    <n v="703"/>
  </r>
  <r>
    <s v="Nord Kivu"/>
    <x v="1"/>
    <x v="23"/>
    <s v=" Kanyatsi"/>
    <n v="10584"/>
    <n v="369.38159999999999"/>
    <n v="423.36"/>
    <n v="307.81799999999998"/>
    <n v="352.8"/>
    <n v="9"/>
    <n v="2"/>
    <n v="8"/>
    <n v="6"/>
    <n v="4"/>
    <n v="8"/>
    <n v="6"/>
    <n v="4"/>
    <n v="8"/>
    <n v="6"/>
    <n v="4"/>
    <n v="8"/>
    <n v="6"/>
    <n v="4"/>
    <n v="7"/>
    <s v=""/>
    <n v="7"/>
    <n v="4"/>
    <s v=""/>
    <s v=""/>
    <n v="2"/>
    <s v=""/>
    <s v=""/>
    <n v="1"/>
    <n v="3"/>
    <n v="45.8"/>
    <n v="100"/>
    <n v="299.81799999999998"/>
    <n v="1"/>
    <n v="7"/>
  </r>
  <r>
    <s v="Nord Kivu"/>
    <x v="1"/>
    <x v="23"/>
    <s v=" Kazinga"/>
    <n v="27407"/>
    <n v="956.50430000000006"/>
    <n v="1096.28"/>
    <n v="797.08691666666664"/>
    <n v="913.56666666666672"/>
    <n v="778"/>
    <n v="695"/>
    <n v="1868"/>
    <n v="958"/>
    <n v="929"/>
    <n v="786"/>
    <n v="756"/>
    <n v="687"/>
    <n v="668"/>
    <n v="665"/>
    <n v="570"/>
    <n v="604"/>
    <n v="546"/>
    <n v="449"/>
    <n v="919"/>
    <n v="196"/>
    <n v="812"/>
    <n v="691"/>
    <n v="194"/>
    <n v="600"/>
    <n v="424"/>
    <n v="375"/>
    <n v="240"/>
    <n v="195"/>
    <n v="1234"/>
    <n v="52.8"/>
    <n v="100"/>
    <n v="11.086916666666639"/>
    <n v="0"/>
    <n v="812"/>
  </r>
  <r>
    <s v="Nord Kivu"/>
    <x v="1"/>
    <x v="23"/>
    <s v=" Kilolirwe"/>
    <n v="10129"/>
    <n v="353.50209999999998"/>
    <n v="405.16"/>
    <n v="294.58508333333333"/>
    <n v="337.63333333333333"/>
    <n v="30"/>
    <n v="15"/>
    <n v="24"/>
    <n v="30"/>
    <n v="28"/>
    <n v="30"/>
    <n v="24"/>
    <n v="28"/>
    <n v="30"/>
    <n v="24"/>
    <n v="28"/>
    <n v="30"/>
    <n v="24"/>
    <n v="28"/>
    <n v="19"/>
    <s v=""/>
    <n v="19"/>
    <n v="18"/>
    <n v="8"/>
    <n v="40"/>
    <n v="16"/>
    <n v="7"/>
    <n v="10"/>
    <n v="11"/>
    <n v="44"/>
    <n v="50"/>
    <n v="100"/>
    <n v="264.58508333333333"/>
    <n v="11"/>
    <n v="19"/>
  </r>
  <r>
    <s v="Nord Kivu"/>
    <x v="1"/>
    <x v="23"/>
    <s v=" Kitsule"/>
    <n v="27666"/>
    <n v="965.54340000000002"/>
    <n v="1106.6400000000001"/>
    <n v="804.61950000000002"/>
    <n v="922.20000000000016"/>
    <n v="761"/>
    <n v="970"/>
    <n v="907"/>
    <n v="892"/>
    <n v="862"/>
    <n v="867"/>
    <n v="843"/>
    <n v="816"/>
    <n v="870"/>
    <n v="848"/>
    <n v="820"/>
    <n v="752"/>
    <n v="736"/>
    <n v="688"/>
    <n v="932"/>
    <n v="449"/>
    <n v="859"/>
    <n v="746"/>
    <n v="565"/>
    <n v="325"/>
    <n v="292"/>
    <n v="265"/>
    <n v="213"/>
    <n v="199"/>
    <n v="969"/>
    <n v="50"/>
    <n v="100"/>
    <n v="0"/>
    <n v="0"/>
    <n v="859"/>
  </r>
  <r>
    <s v="Nord Kivu"/>
    <x v="1"/>
    <x v="23"/>
    <s v=" Loashi"/>
    <n v="15595"/>
    <n v="544.26549999999997"/>
    <n v="623.80000000000007"/>
    <n v="453.55458333333331"/>
    <n v="519.83333333333337"/>
    <n v="656"/>
    <n v="272"/>
    <n v="781"/>
    <n v="714"/>
    <n v="746"/>
    <n v="682"/>
    <n v="615"/>
    <n v="689"/>
    <n v="786"/>
    <n v="729"/>
    <n v="740"/>
    <n v="618"/>
    <n v="567"/>
    <n v="570"/>
    <n v="649"/>
    <n v="75"/>
    <n v="708"/>
    <n v="572"/>
    <n v="120"/>
    <n v="244"/>
    <n v="137"/>
    <n v="137"/>
    <n v="114"/>
    <n v="185"/>
    <n v="573"/>
    <n v="58.3"/>
    <n v="100"/>
    <n v="0"/>
    <n v="33"/>
    <n v="649"/>
  </r>
  <r>
    <s v="Nord Kivu"/>
    <x v="1"/>
    <x v="23"/>
    <s v=" Luke"/>
    <n v="29087"/>
    <n v="1015.1363"/>
    <n v="1163.48"/>
    <n v="845.94691666666665"/>
    <n v="969.56666666666661"/>
    <n v="1504"/>
    <n v="1174"/>
    <n v="1700"/>
    <n v="1640"/>
    <n v="1627"/>
    <n v="1700"/>
    <n v="1640"/>
    <n v="1627"/>
    <n v="1700"/>
    <n v="1640"/>
    <n v="1627"/>
    <n v="1685"/>
    <n v="1624"/>
    <n v="1611"/>
    <n v="2065"/>
    <n v="183"/>
    <n v="2035"/>
    <n v="1432"/>
    <s v=""/>
    <n v="554"/>
    <n v="483"/>
    <n v="448"/>
    <n v="397"/>
    <n v="348"/>
    <n v="1676"/>
    <n v="47.2"/>
    <n v="100"/>
    <n v="0"/>
    <n v="0"/>
    <n v="2035"/>
  </r>
  <r>
    <s v="Nord Kivu"/>
    <x v="1"/>
    <x v="23"/>
    <s v=" Lukweti"/>
    <n v="9872"/>
    <n v="344.53280000000001"/>
    <n v="394.88"/>
    <n v="287.1106666666667"/>
    <n v="329.06666666666666"/>
    <n v="227"/>
    <n v="355"/>
    <n v="260"/>
    <n v="222"/>
    <n v="202"/>
    <n v="329"/>
    <n v="292"/>
    <n v="269"/>
    <n v="310"/>
    <n v="276"/>
    <n v="256"/>
    <n v="272"/>
    <n v="244"/>
    <n v="229"/>
    <n v="197"/>
    <n v="169"/>
    <n v="311"/>
    <n v="270"/>
    <n v="179"/>
    <n v="179"/>
    <n v="127"/>
    <n v="153"/>
    <n v="127"/>
    <n v="101"/>
    <n v="508"/>
    <n v="50"/>
    <n v="100"/>
    <n v="0"/>
    <n v="132"/>
    <n v="197"/>
  </r>
  <r>
    <s v="Nord Kivu"/>
    <x v="1"/>
    <x v="23"/>
    <s v=" Lwibo"/>
    <n v="9320"/>
    <n v="325.26800000000003"/>
    <n v="372.8"/>
    <n v="271.05666666666667"/>
    <n v="310.66666666666669"/>
    <n v="210"/>
    <n v="142"/>
    <n v="307"/>
    <n v="269"/>
    <n v="277"/>
    <n v="307"/>
    <n v="269"/>
    <n v="277"/>
    <n v="307"/>
    <n v="269"/>
    <n v="277"/>
    <n v="270"/>
    <n v="238"/>
    <n v="237"/>
    <n v="241"/>
    <n v="39"/>
    <n v="124"/>
    <n v="219"/>
    <n v="13"/>
    <n v="94"/>
    <n v="98"/>
    <n v="46"/>
    <n v="39"/>
    <n v="46"/>
    <n v="229"/>
    <n v="50"/>
    <n v="100"/>
    <n v="0"/>
    <n v="66"/>
    <n v="124"/>
  </r>
  <r>
    <s v="Nord Kivu"/>
    <x v="1"/>
    <x v="23"/>
    <s v=" Mahanga"/>
    <n v="10265"/>
    <n v="358.24849999999998"/>
    <n v="410.6"/>
    <n v="298.54041666666666"/>
    <n v="342.16666666666669"/>
    <n v="420"/>
    <n v="205"/>
    <n v="447"/>
    <n v="345"/>
    <n v="399"/>
    <n v="476"/>
    <n v="368"/>
    <n v="425"/>
    <n v="476"/>
    <n v="368"/>
    <n v="416"/>
    <n v="425"/>
    <n v="323"/>
    <n v="369"/>
    <n v="231"/>
    <n v="176"/>
    <n v="343"/>
    <n v="271"/>
    <n v="198"/>
    <n v="139"/>
    <n v="140"/>
    <n v="74"/>
    <n v="74"/>
    <n v="80"/>
    <n v="368"/>
    <n v="50"/>
    <n v="100"/>
    <n v="0"/>
    <n v="245"/>
    <n v="231"/>
  </r>
  <r>
    <s v="Nord Kivu"/>
    <x v="1"/>
    <x v="23"/>
    <s v=" Mahya"/>
    <n v="12655"/>
    <n v="441.65949999999998"/>
    <n v="506.2"/>
    <n v="368.04958333333332"/>
    <n v="421.83333333333331"/>
    <n v="148"/>
    <n v="479"/>
    <n v="492"/>
    <n v="422"/>
    <n v="374"/>
    <n v="467"/>
    <n v="447"/>
    <n v="374"/>
    <n v="492"/>
    <n v="447"/>
    <n v="374"/>
    <n v="492"/>
    <n v="447"/>
    <n v="374"/>
    <n v="508"/>
    <n v="121"/>
    <n v="488"/>
    <n v="421"/>
    <n v="145"/>
    <n v="107"/>
    <n v="104"/>
    <n v="63"/>
    <n v="56"/>
    <n v="53"/>
    <n v="276"/>
    <n v="50"/>
    <n v="100"/>
    <n v="0"/>
    <n v="0"/>
    <n v="488"/>
  </r>
  <r>
    <s v="Nord Kivu"/>
    <x v="1"/>
    <x v="23"/>
    <s v=" Masisi"/>
    <n v="30264"/>
    <n v="1056.2136"/>
    <n v="1210.56"/>
    <n v="880.17800000000011"/>
    <n v="1008.8"/>
    <n v="3207"/>
    <n v="5500"/>
    <n v="1694"/>
    <n v="1695"/>
    <n v="1788"/>
    <n v="1839"/>
    <n v="1695"/>
    <n v="1788"/>
    <n v="1839"/>
    <n v="1695"/>
    <n v="1788"/>
    <n v="1831"/>
    <n v="1516"/>
    <n v="1609"/>
    <n v="3341"/>
    <n v="840"/>
    <n v="3251"/>
    <n v="1633"/>
    <n v="1287"/>
    <n v="396"/>
    <n v="275"/>
    <n v="421"/>
    <n v="320"/>
    <n v="493"/>
    <n v="1509"/>
    <n v="58.3"/>
    <n v="100"/>
    <n v="0"/>
    <n v="0"/>
    <n v="3251"/>
  </r>
  <r>
    <s v="Nord Kivu"/>
    <x v="1"/>
    <x v="23"/>
    <s v=" Mbitsi"/>
    <n v="15124"/>
    <n v="527.82759999999996"/>
    <n v="604.96"/>
    <n v="439.85633333333334"/>
    <n v="504.13333333333333"/>
    <n v="638"/>
    <n v="479"/>
    <n v="690"/>
    <n v="684"/>
    <n v="656"/>
    <n v="550"/>
    <n v="556"/>
    <n v="614"/>
    <n v="645"/>
    <n v="633"/>
    <n v="602"/>
    <n v="518"/>
    <n v="579"/>
    <n v="566"/>
    <n v="806"/>
    <n v="265"/>
    <n v="523"/>
    <n v="874"/>
    <n v="329"/>
    <n v="202"/>
    <n v="196"/>
    <n v="253"/>
    <n v="231"/>
    <n v="110"/>
    <n v="790"/>
    <n v="54.2"/>
    <n v="100"/>
    <n v="0"/>
    <n v="0"/>
    <n v="523"/>
  </r>
  <r>
    <s v="Nord Kivu"/>
    <x v="1"/>
    <x v="23"/>
    <s v=" Miandja"/>
    <n v="33617"/>
    <n v="1173.2333000000001"/>
    <n v="1344.68"/>
    <n v="977.69441666666683"/>
    <n v="1120.5666666666666"/>
    <n v="700"/>
    <n v="524"/>
    <n v="1325"/>
    <n v="1240"/>
    <n v="1186"/>
    <n v="1358"/>
    <n v="1221"/>
    <n v="1201"/>
    <n v="1261"/>
    <n v="1133"/>
    <n v="1104"/>
    <n v="1179"/>
    <n v="1008"/>
    <n v="983"/>
    <n v="1050"/>
    <n v="340"/>
    <n v="1031"/>
    <n v="1024"/>
    <n v="865"/>
    <n v="311"/>
    <n v="296"/>
    <n v="221"/>
    <n v="155"/>
    <n v="151"/>
    <n v="823"/>
    <n v="52.8"/>
    <n v="100"/>
    <n v="0"/>
    <n v="308"/>
    <n v="1031"/>
  </r>
  <r>
    <s v="Nord Kivu"/>
    <x v="1"/>
    <x v="23"/>
    <s v=" Mpanamo"/>
    <n v="9337"/>
    <n v="325.86130000000003"/>
    <n v="373.48"/>
    <n v="271.55108333333334"/>
    <n v="311.23333333333335"/>
    <n v="406"/>
    <n v="436"/>
    <n v="456"/>
    <n v="385"/>
    <n v="408"/>
    <n v="436"/>
    <n v="401"/>
    <n v="377"/>
    <n v="385"/>
    <n v="327"/>
    <n v="427"/>
    <n v="398"/>
    <n v="369"/>
    <n v="383"/>
    <n v="356"/>
    <n v="134"/>
    <n v="379"/>
    <n v="366"/>
    <n v="182"/>
    <n v="164"/>
    <n v="168"/>
    <n v="116"/>
    <n v="113"/>
    <n v="89"/>
    <n v="486"/>
    <n v="58.3"/>
    <n v="100"/>
    <n v="0"/>
    <n v="80"/>
    <n v="356"/>
  </r>
  <r>
    <s v="Nord Kivu"/>
    <x v="1"/>
    <x v="23"/>
    <s v=" Muheto"/>
    <n v="26292"/>
    <n v="917.59080000000006"/>
    <n v="1051.68"/>
    <n v="764.65900000000011"/>
    <n v="876.4"/>
    <n v="524"/>
    <n v="480"/>
    <n v="815"/>
    <n v="747"/>
    <n v="761"/>
    <n v="815"/>
    <n v="747"/>
    <n v="761"/>
    <n v="786"/>
    <n v="648"/>
    <n v="661"/>
    <n v="563"/>
    <n v="521"/>
    <n v="613"/>
    <n v="692"/>
    <n v="26"/>
    <n v="534"/>
    <n v="662"/>
    <n v="241"/>
    <n v="227"/>
    <n v="224"/>
    <n v="172"/>
    <n v="117"/>
    <n v="85"/>
    <n v="598"/>
    <n v="54.2"/>
    <n v="100"/>
    <n v="0"/>
    <n v="123"/>
    <n v="534"/>
  </r>
  <r>
    <s v="Nord Kivu"/>
    <x v="1"/>
    <x v="23"/>
    <s v=" Mutiri"/>
    <s v=""/>
    <s v=""/>
    <s v=""/>
    <s v=""/>
    <s v=""/>
    <n v="173"/>
    <n v="60"/>
    <n v="338"/>
    <n v="391"/>
    <n v="396"/>
    <n v="347"/>
    <n v="391"/>
    <n v="427"/>
    <n v="338"/>
    <n v="391"/>
    <n v="473"/>
    <n v="341"/>
    <n v="571"/>
    <n v="413"/>
    <n v="500"/>
    <n v="163"/>
    <n v="369"/>
    <n v="459"/>
    <n v="97"/>
    <n v="214"/>
    <n v="177"/>
    <n v="113"/>
    <n v="76"/>
    <n v="51"/>
    <n v="417"/>
    <n v="41.7"/>
    <n v="100"/>
    <n v="0"/>
    <n v="0"/>
    <n v="369"/>
  </r>
  <r>
    <s v="Nord Kivu"/>
    <x v="1"/>
    <x v="23"/>
    <s v=" Ngomashi"/>
    <n v="12452"/>
    <n v="434.57479999999998"/>
    <n v="498.08"/>
    <n v="362.14566666666661"/>
    <n v="415.06666666666666"/>
    <n v="449"/>
    <n v="425"/>
    <n v="790"/>
    <n v="783"/>
    <n v="760"/>
    <n v="790"/>
    <n v="783"/>
    <n v="760"/>
    <n v="725"/>
    <n v="720"/>
    <n v="701"/>
    <n v="647"/>
    <n v="642"/>
    <n v="625"/>
    <n v="659"/>
    <n v="269"/>
    <n v="499"/>
    <n v="999"/>
    <n v="68"/>
    <n v="265"/>
    <n v="190"/>
    <n v="193"/>
    <n v="157"/>
    <n v="135"/>
    <n v="675"/>
    <n v="58.3"/>
    <n v="100"/>
    <n v="0"/>
    <n v="131"/>
    <n v="499"/>
  </r>
  <r>
    <s v="Nord Kivu"/>
    <x v="1"/>
    <x v="23"/>
    <s v=" Nyabiondo"/>
    <n v="19985"/>
    <n v="697.47649999999999"/>
    <n v="799.4"/>
    <n v="581.23041666666666"/>
    <n v="666.16666666666663"/>
    <n v="669"/>
    <n v="1520"/>
    <n v="798"/>
    <n v="781"/>
    <n v="775"/>
    <n v="723"/>
    <n v="707"/>
    <n v="701"/>
    <n v="713"/>
    <n v="661"/>
    <n v="659"/>
    <n v="635"/>
    <n v="598"/>
    <n v="612"/>
    <n v="1145"/>
    <n v="366"/>
    <n v="807"/>
    <n v="553"/>
    <n v="421"/>
    <n v="280"/>
    <n v="170"/>
    <n v="198"/>
    <n v="172"/>
    <n v="259"/>
    <n v="799"/>
    <n v="41.7"/>
    <n v="100"/>
    <n v="0"/>
    <n v="0"/>
    <n v="807"/>
  </r>
  <r>
    <s v="Nord Kivu"/>
    <x v="1"/>
    <x v="23"/>
    <s v=" Nyakariba"/>
    <n v="12650"/>
    <n v="441.48500000000001"/>
    <n v="506"/>
    <n v="367.90416666666664"/>
    <n v="421.66666666666663"/>
    <n v="234"/>
    <n v="54"/>
    <n v="112"/>
    <n v="102"/>
    <n v="96"/>
    <n v="197"/>
    <n v="195"/>
    <n v="151"/>
    <n v="205"/>
    <n v="193"/>
    <n v="157"/>
    <n v="198"/>
    <n v="186"/>
    <n v="159"/>
    <n v="161"/>
    <n v="5"/>
    <n v="181"/>
    <n v="231"/>
    <n v="40"/>
    <n v="76"/>
    <n v="47"/>
    <n v="33"/>
    <n v="22"/>
    <n v="15"/>
    <n v="117"/>
    <n v="41.7"/>
    <n v="100"/>
    <n v="170.90416666666664"/>
    <n v="36"/>
    <n v="161"/>
  </r>
  <r>
    <s v="Nord Kivu"/>
    <x v="1"/>
    <x v="23"/>
    <s v=" Nyamitaba"/>
    <n v="11814"/>
    <n v="412.30860000000001"/>
    <n v="472.56"/>
    <n v="343.59050000000002"/>
    <n v="393.8"/>
    <n v="248"/>
    <n v="152"/>
    <n v="258"/>
    <n v="243"/>
    <n v="241"/>
    <n v="276"/>
    <n v="243"/>
    <n v="241"/>
    <n v="281"/>
    <n v="233"/>
    <n v="241"/>
    <n v="1487"/>
    <n v="233"/>
    <n v="241"/>
    <n v="303"/>
    <n v="116"/>
    <n v="254"/>
    <n v="270"/>
    <n v="162"/>
    <n v="112"/>
    <n v="76"/>
    <n v="47"/>
    <n v="40"/>
    <n v="32"/>
    <n v="195"/>
    <n v="50"/>
    <n v="100"/>
    <n v="67.59050000000002"/>
    <n v="0"/>
    <n v="254"/>
  </r>
  <r>
    <s v="Nord Kivu"/>
    <x v="1"/>
    <x v="23"/>
    <s v=" Sati"/>
    <n v="15716"/>
    <n v="548.48839999999996"/>
    <n v="628.64"/>
    <n v="457.07366666666667"/>
    <n v="523.86666666666667"/>
    <n v="391"/>
    <n v="194"/>
    <n v="572"/>
    <n v="487"/>
    <n v="428"/>
    <n v="911"/>
    <n v="439"/>
    <n v="374"/>
    <n v="515"/>
    <n v="430"/>
    <n v="371"/>
    <n v="428"/>
    <n v="339"/>
    <n v="302"/>
    <n v="225"/>
    <n v="104"/>
    <n v="259"/>
    <n v="420"/>
    <n v="202"/>
    <n v="136"/>
    <n v="132"/>
    <n v="105"/>
    <n v="78"/>
    <n v="69"/>
    <n v="384"/>
    <n v="54.2"/>
    <n v="100"/>
    <n v="0"/>
    <n v="686"/>
    <n v="225"/>
  </r>
  <r>
    <s v="Nord Kivu"/>
    <x v="0"/>
    <x v="24"/>
    <s v=" Bikindwe"/>
    <n v="10479"/>
    <n v="365.71710000000002"/>
    <n v="419.16"/>
    <n v="304.76425"/>
    <n v="349.3"/>
    <n v="276"/>
    <n v="77"/>
    <n v="370"/>
    <n v="377"/>
    <n v="348"/>
    <n v="297"/>
    <n v="295"/>
    <n v="287"/>
    <n v="307"/>
    <n v="306"/>
    <n v="283"/>
    <n v="257"/>
    <n v="236"/>
    <n v="214"/>
    <n v="317"/>
    <n v="326"/>
    <n v="317"/>
    <n v="359"/>
    <n v="317"/>
    <n v="88"/>
    <n v="82"/>
    <n v="63"/>
    <n v="79"/>
    <n v="92"/>
    <n v="316"/>
    <n v="58.3"/>
    <n v="100"/>
    <n v="7.7642500000000041"/>
    <n v="0"/>
    <n v="317"/>
  </r>
  <r>
    <s v="Nord Kivu"/>
    <x v="0"/>
    <x v="24"/>
    <s v=" Bughumirya"/>
    <n v="5453"/>
    <n v="190.30969999999999"/>
    <n v="218.12"/>
    <n v="158.59141666666665"/>
    <n v="181.76666666666665"/>
    <n v="141"/>
    <n v="56"/>
    <n v="158"/>
    <n v="133"/>
    <n v="148"/>
    <n v="170"/>
    <n v="115"/>
    <n v="165"/>
    <n v="162"/>
    <n v="115"/>
    <n v="136"/>
    <n v="168"/>
    <n v="158"/>
    <n v="226"/>
    <n v="170"/>
    <n v="153"/>
    <n v="164"/>
    <n v="148"/>
    <n v="168"/>
    <n v="28"/>
    <n v="40"/>
    <n v="46"/>
    <n v="50"/>
    <n v="47"/>
    <n v="183"/>
    <n v="58.3"/>
    <n v="100"/>
    <n v="0"/>
    <n v="0"/>
    <n v="164"/>
  </r>
  <r>
    <s v="Nord Kivu"/>
    <x v="0"/>
    <x v="24"/>
    <s v=" Butumbe"/>
    <n v="8727"/>
    <n v="304.57229999999998"/>
    <n v="349.08"/>
    <n v="253.81024999999997"/>
    <n v="290.89999999999998"/>
    <n v="202"/>
    <n v="73"/>
    <n v="223"/>
    <n v="217"/>
    <n v="198"/>
    <n v="216"/>
    <n v="220"/>
    <n v="208"/>
    <n v="202"/>
    <n v="209"/>
    <n v="198"/>
    <n v="131"/>
    <n v="99"/>
    <n v="76"/>
    <n v="218"/>
    <n v="88"/>
    <n v="187"/>
    <n v="194"/>
    <n v="186"/>
    <n v="30"/>
    <n v="51"/>
    <n v="47"/>
    <n v="20"/>
    <n v="19"/>
    <n v="137"/>
    <n v="58.3"/>
    <n v="100"/>
    <n v="37.810249999999968"/>
    <n v="0"/>
    <n v="187"/>
  </r>
  <r>
    <s v="Nord Kivu"/>
    <x v="0"/>
    <x v="24"/>
    <s v=" Buyinga"/>
    <n v="28420"/>
    <n v="991.85800000000006"/>
    <n v="1136.8"/>
    <n v="826.5483333333334"/>
    <n v="947.33333333333337"/>
    <n v="471"/>
    <n v="430"/>
    <n v="846"/>
    <n v="744"/>
    <n v="767"/>
    <n v="824"/>
    <n v="763"/>
    <n v="802"/>
    <n v="763"/>
    <n v="678"/>
    <n v="749"/>
    <n v="810"/>
    <n v="574"/>
    <n v="518"/>
    <n v="872"/>
    <n v="558"/>
    <n v="981"/>
    <n v="714"/>
    <n v="615"/>
    <n v="260"/>
    <n v="195"/>
    <n v="159"/>
    <n v="102"/>
    <n v="70"/>
    <n v="526"/>
    <n v="100"/>
    <n v="100"/>
    <n v="2.5483333333334031"/>
    <n v="0"/>
    <n v="872"/>
  </r>
  <r>
    <s v="Nord Kivu"/>
    <x v="0"/>
    <x v="24"/>
    <s v=" Bweteta"/>
    <n v="5412"/>
    <n v="188.87880000000001"/>
    <n v="216.48000000000002"/>
    <n v="157.399"/>
    <n v="180.40000000000003"/>
    <n v="158"/>
    <n v="21"/>
    <n v="169"/>
    <n v="171"/>
    <n v="163"/>
    <n v="164"/>
    <n v="172"/>
    <n v="178"/>
    <n v="158"/>
    <n v="156"/>
    <n v="152"/>
    <n v="176"/>
    <n v="208"/>
    <n v="198"/>
    <n v="162"/>
    <n v="138"/>
    <n v="155"/>
    <n v="166"/>
    <n v="162"/>
    <n v="23"/>
    <n v="33"/>
    <n v="41"/>
    <n v="35"/>
    <n v="33"/>
    <n v="142"/>
    <n v="58.3"/>
    <n v="100"/>
    <n v="0"/>
    <n v="2"/>
    <n v="155"/>
  </r>
  <r>
    <s v="Nord Kivu"/>
    <x v="0"/>
    <x v="24"/>
    <s v=" Ivatama"/>
    <n v="20917"/>
    <n v="730.00329999999997"/>
    <n v="836.68000000000006"/>
    <n v="608.33608333333336"/>
    <n v="697.23333333333346"/>
    <n v="754"/>
    <n v="642"/>
    <n v="668"/>
    <n v="629"/>
    <n v="635"/>
    <n v="563"/>
    <n v="510"/>
    <n v="554"/>
    <n v="627"/>
    <n v="528"/>
    <n v="519"/>
    <n v="605"/>
    <n v="472"/>
    <n v="451"/>
    <n v="576"/>
    <n v="493"/>
    <n v="582"/>
    <n v="652"/>
    <n v="525"/>
    <n v="140"/>
    <n v="103"/>
    <n v="164"/>
    <n v="182"/>
    <n v="171"/>
    <n v="620"/>
    <n v="58.3"/>
    <n v="100"/>
    <n v="45.336083333333363"/>
    <n v="0"/>
    <n v="576"/>
  </r>
  <r>
    <s v="Nord Kivu"/>
    <x v="0"/>
    <x v="24"/>
    <s v=" Katolo"/>
    <n v="17316"/>
    <n v="604.32839999999999"/>
    <n v="692.64"/>
    <n v="503.60700000000003"/>
    <n v="577.20000000000005"/>
    <n v="490"/>
    <n v="119"/>
    <n v="448"/>
    <n v="454"/>
    <n v="419"/>
    <n v="516"/>
    <n v="909"/>
    <n v="513"/>
    <n v="495"/>
    <n v="454"/>
    <n v="416"/>
    <n v="472"/>
    <n v="434"/>
    <n v="397"/>
    <n v="506"/>
    <n v="430"/>
    <n v="478"/>
    <n v="499"/>
    <n v="431"/>
    <n v="196"/>
    <n v="141"/>
    <n v="149"/>
    <n v="122"/>
    <n v="92"/>
    <n v="504"/>
    <n v="58.3"/>
    <n v="100"/>
    <n v="0"/>
    <n v="10"/>
    <n v="478"/>
  </r>
  <r>
    <s v="Nord Kivu"/>
    <x v="0"/>
    <x v="24"/>
    <s v=" Kimbulu"/>
    <n v="20932"/>
    <n v="730.52679999999998"/>
    <n v="837.28"/>
    <n v="608.77233333333334"/>
    <n v="697.73333333333323"/>
    <n v="405"/>
    <n v="581"/>
    <n v="586"/>
    <n v="588"/>
    <n v="562"/>
    <n v="598"/>
    <n v="497"/>
    <n v="489"/>
    <n v="549"/>
    <n v="473"/>
    <n v="448"/>
    <n v="567"/>
    <n v="606"/>
    <n v="553"/>
    <n v="594"/>
    <n v="445"/>
    <n v="544"/>
    <n v="563"/>
    <n v="599"/>
    <n v="114"/>
    <n v="127"/>
    <n v="204"/>
    <n v="83"/>
    <n v="79"/>
    <n v="493"/>
    <n v="100"/>
    <n v="100"/>
    <n v="10.772333333333336"/>
    <n v="4"/>
    <n v="544"/>
  </r>
  <r>
    <s v="Nord Kivu"/>
    <x v="0"/>
    <x v="24"/>
    <s v=" Kyambogho"/>
    <n v="24403"/>
    <n v="851.66470000000004"/>
    <n v="976.12"/>
    <n v="709.72058333333337"/>
    <n v="813.43333333333339"/>
    <n v="617"/>
    <n v="72"/>
    <n v="910"/>
    <n v="856"/>
    <n v="824"/>
    <n v="885"/>
    <n v="863"/>
    <n v="737"/>
    <n v="877"/>
    <n v="846"/>
    <n v="806"/>
    <n v="964"/>
    <n v="893"/>
    <n v="569"/>
    <n v="594"/>
    <n v="660"/>
    <n v="650"/>
    <n v="837"/>
    <n v="703"/>
    <n v="161"/>
    <n v="165"/>
    <n v="206"/>
    <n v="87"/>
    <n v="75"/>
    <n v="533"/>
    <n v="44.4"/>
    <n v="100"/>
    <n v="0"/>
    <n v="291"/>
    <n v="594"/>
  </r>
  <r>
    <s v="Nord Kivu"/>
    <x v="0"/>
    <x v="24"/>
    <s v=" Mabambi"/>
    <n v="19959"/>
    <n v="696.56910000000005"/>
    <n v="798.36"/>
    <n v="580.47424999999998"/>
    <n v="665.3"/>
    <n v="379"/>
    <n v="185"/>
    <n v="603"/>
    <n v="529"/>
    <n v="2323"/>
    <n v="552"/>
    <n v="482"/>
    <n v="516"/>
    <n v="552"/>
    <n v="482"/>
    <n v="516"/>
    <n v="444"/>
    <n v="328"/>
    <n v="328"/>
    <n v="585"/>
    <n v="500"/>
    <n v="548"/>
    <n v="566"/>
    <n v="586"/>
    <n v="142"/>
    <n v="123"/>
    <n v="103"/>
    <n v="106"/>
    <n v="72"/>
    <n v="404"/>
    <n v="58.3"/>
    <n v="100"/>
    <n v="28.474249999999984"/>
    <n v="0"/>
    <n v="548"/>
  </r>
  <r>
    <s v="Nord Kivu"/>
    <x v="0"/>
    <x v="24"/>
    <s v=" Masumo"/>
    <n v="9563"/>
    <n v="333.74869999999999"/>
    <n v="382.52"/>
    <n v="278.12391666666667"/>
    <n v="318.76666666666665"/>
    <n v="259"/>
    <n v="168"/>
    <n v="295"/>
    <n v="300"/>
    <n v="309"/>
    <n v="293"/>
    <n v="292"/>
    <n v="329"/>
    <n v="292"/>
    <n v="276"/>
    <n v="287"/>
    <n v="295"/>
    <n v="302"/>
    <n v="306"/>
    <n v="311"/>
    <n v="264"/>
    <n v="288"/>
    <n v="309"/>
    <n v="311"/>
    <n v="57"/>
    <n v="51"/>
    <n v="65"/>
    <n v="77"/>
    <n v="115"/>
    <n v="308"/>
    <n v="58.3"/>
    <n v="100"/>
    <n v="0"/>
    <n v="0"/>
    <n v="288"/>
  </r>
  <r>
    <s v="Nord Kivu"/>
    <x v="0"/>
    <x v="24"/>
    <s v=" Mongali"/>
    <n v="18975"/>
    <n v="662.22749999999996"/>
    <n v="759"/>
    <n v="551.85624999999993"/>
    <n v="632.5"/>
    <n v="400"/>
    <n v="301"/>
    <n v="595"/>
    <n v="523"/>
    <n v="562"/>
    <n v="512"/>
    <n v="487"/>
    <n v="492"/>
    <n v="514"/>
    <n v="489"/>
    <n v="500"/>
    <n v="433"/>
    <n v="430"/>
    <n v="450"/>
    <n v="553"/>
    <n v="409"/>
    <n v="477"/>
    <n v="566"/>
    <n v="543"/>
    <n v="295"/>
    <n v="218"/>
    <n v="204"/>
    <n v="158"/>
    <n v="154"/>
    <n v="734"/>
    <n v="50"/>
    <n v="100"/>
    <n v="39.856249999999932"/>
    <n v="0"/>
    <n v="477"/>
  </r>
  <r>
    <s v="Nord Kivu"/>
    <x v="0"/>
    <x v="24"/>
    <s v=" Mukongo"/>
    <n v="21401"/>
    <n v="746.89490000000001"/>
    <n v="856.04"/>
    <n v="622.41241666666667"/>
    <n v="713.36666666666656"/>
    <n v="468"/>
    <n v="571"/>
    <n v="666"/>
    <n v="633"/>
    <n v="714"/>
    <n v="629"/>
    <n v="565"/>
    <n v="751"/>
    <n v="629"/>
    <n v="552"/>
    <n v="635"/>
    <n v="545"/>
    <n v="451"/>
    <n v="572"/>
    <n v="700"/>
    <n v="814"/>
    <n v="659"/>
    <n v="714"/>
    <n v="726"/>
    <n v="199"/>
    <n v="240"/>
    <n v="152"/>
    <n v="129"/>
    <n v="111"/>
    <n v="632"/>
    <n v="62.5"/>
    <n v="100"/>
    <n v="0"/>
    <n v="0"/>
    <n v="659"/>
  </r>
  <r>
    <s v="Nord Kivu"/>
    <x v="0"/>
    <x v="24"/>
    <s v=" Munoli"/>
    <n v="11676"/>
    <n v="407.49240000000003"/>
    <n v="467.04"/>
    <n v="339.577"/>
    <n v="389.20000000000005"/>
    <n v="292"/>
    <n v="52"/>
    <n v="375"/>
    <n v="345"/>
    <n v="379"/>
    <n v="367"/>
    <n v="336"/>
    <n v="363"/>
    <n v="344"/>
    <n v="311"/>
    <n v="326"/>
    <n v="288"/>
    <n v="227"/>
    <n v="226"/>
    <n v="385"/>
    <n v="227"/>
    <n v="355"/>
    <n v="399"/>
    <n v="388"/>
    <n v="75"/>
    <n v="101"/>
    <n v="101"/>
    <n v="65"/>
    <n v="40"/>
    <n v="307"/>
    <n v="58.3"/>
    <n v="100"/>
    <n v="0"/>
    <n v="0"/>
    <n v="355"/>
  </r>
  <r>
    <s v="Nord Kivu"/>
    <x v="0"/>
    <x v="24"/>
    <s v=" Nduko"/>
    <n v="39506"/>
    <n v="1378.7593999999999"/>
    <n v="1580.24"/>
    <n v="1148.9661666666666"/>
    <n v="1316.8666666666668"/>
    <n v="704"/>
    <n v="916"/>
    <n v="1353"/>
    <n v="1278"/>
    <n v="1385"/>
    <n v="1239"/>
    <n v="1064"/>
    <n v="1164"/>
    <n v="1270"/>
    <n v="1071"/>
    <n v="1198"/>
    <n v="1004"/>
    <n v="903"/>
    <n v="964"/>
    <n v="1181"/>
    <n v="830"/>
    <n v="1072"/>
    <n v="1332"/>
    <n v="1201"/>
    <n v="551"/>
    <n v="547"/>
    <n v="456"/>
    <n v="380"/>
    <n v="301"/>
    <n v="1684"/>
    <n v="66.7"/>
    <n v="100"/>
    <n v="0"/>
    <n v="58"/>
    <n v="1072"/>
  </r>
  <r>
    <s v="Nord Kivu"/>
    <x v="0"/>
    <x v="24"/>
    <s v=" Ngeleza"/>
    <n v="11135"/>
    <n v="388.61149999999998"/>
    <n v="445.40000000000003"/>
    <n v="323.84291666666661"/>
    <n v="371.16666666666669"/>
    <n v="295"/>
    <n v="116"/>
    <n v="333"/>
    <n v="337"/>
    <n v="359"/>
    <n v="323"/>
    <n v="303"/>
    <n v="328"/>
    <n v="311"/>
    <n v="296"/>
    <n v="306"/>
    <n v="308"/>
    <n v="309"/>
    <n v="313"/>
    <n v="333"/>
    <n v="308"/>
    <n v="319"/>
    <n v="368"/>
    <n v="331"/>
    <n v="80"/>
    <n v="93"/>
    <n v="120"/>
    <n v="78"/>
    <n v="61"/>
    <n v="352"/>
    <n v="58.3"/>
    <n v="100"/>
    <n v="0.84291666666661058"/>
    <n v="0"/>
    <n v="319"/>
  </r>
  <r>
    <s v="Nord Kivu"/>
    <x v="0"/>
    <x v="24"/>
    <s v=" Ngoma"/>
    <n v="13001"/>
    <n v="453.73489999999998"/>
    <n v="520.04"/>
    <n v="378.11241666666666"/>
    <n v="433.36666666666667"/>
    <n v="252"/>
    <n v="22"/>
    <n v="407"/>
    <n v="391"/>
    <n v="397"/>
    <n v="326"/>
    <n v="303"/>
    <n v="316"/>
    <n v="360"/>
    <n v="343"/>
    <n v="358"/>
    <n v="338"/>
    <n v="227"/>
    <n v="235"/>
    <n v="407"/>
    <n v="356"/>
    <n v="378"/>
    <n v="397"/>
    <n v="407"/>
    <n v="64"/>
    <n v="105"/>
    <n v="104"/>
    <n v="90"/>
    <n v="85"/>
    <n v="384"/>
    <n v="58.3"/>
    <n v="100"/>
    <n v="52.112416666666661"/>
    <n v="0"/>
    <n v="378"/>
  </r>
  <r>
    <s v="Nord Kivu"/>
    <x v="0"/>
    <x v="24"/>
    <s v=" Vughalihya"/>
    <n v="6792"/>
    <n v="237.04079999999999"/>
    <n v="271.68"/>
    <n v="197.53399999999999"/>
    <n v="226.4"/>
    <n v="196"/>
    <n v="123"/>
    <n v="234"/>
    <n v="230"/>
    <n v="232"/>
    <n v="214"/>
    <n v="209"/>
    <n v="221"/>
    <n v="193"/>
    <n v="192"/>
    <n v="205"/>
    <n v="214"/>
    <n v="211"/>
    <n v="231"/>
    <n v="252"/>
    <n v="164"/>
    <n v="232"/>
    <n v="245"/>
    <n v="247"/>
    <n v="81"/>
    <n v="74"/>
    <n v="62"/>
    <n v="65"/>
    <n v="74"/>
    <n v="275"/>
    <n v="58.3"/>
    <n v="100"/>
    <n v="0"/>
    <n v="0"/>
    <n v="232"/>
  </r>
  <r>
    <s v="Nord Kivu"/>
    <x v="0"/>
    <x v="24"/>
    <s v=" Vusa"/>
    <n v="5308"/>
    <n v="185.2492"/>
    <n v="212.32"/>
    <n v="154.37433333333334"/>
    <n v="176.93333333333331"/>
    <n v="187"/>
    <n v="55"/>
    <n v="166"/>
    <n v="176"/>
    <n v="183"/>
    <n v="150"/>
    <n v="167"/>
    <n v="165"/>
    <n v="158"/>
    <n v="165"/>
    <n v="178"/>
    <n v="155"/>
    <n v="187"/>
    <n v="215"/>
    <n v="177"/>
    <n v="123"/>
    <n v="169"/>
    <n v="186"/>
    <n v="177"/>
    <n v="29"/>
    <n v="44"/>
    <n v="31"/>
    <n v="27"/>
    <n v="18"/>
    <n v="120"/>
    <n v="58.3"/>
    <n v="100"/>
    <n v="4.3743333333333396"/>
    <n v="0"/>
    <n v="169"/>
  </r>
  <r>
    <s v="Nord Kivu"/>
    <x v="0"/>
    <x v="24"/>
    <s v=" Vusamba"/>
    <n v="12054"/>
    <n v="420.68459999999999"/>
    <n v="482.16"/>
    <n v="350.57049999999998"/>
    <n v="401.8"/>
    <n v="343"/>
    <n v="72"/>
    <n v="357"/>
    <n v="281"/>
    <n v="403"/>
    <n v="344"/>
    <n v="267"/>
    <n v="364"/>
    <n v="324"/>
    <n v="243"/>
    <n v="345"/>
    <n v="315"/>
    <n v="263"/>
    <n v="304"/>
    <n v="352"/>
    <n v="289"/>
    <n v="374"/>
    <n v="329"/>
    <n v="309"/>
    <n v="97"/>
    <n v="129"/>
    <n v="138"/>
    <n v="250"/>
    <n v="57"/>
    <n v="574"/>
    <n v="58.3"/>
    <n v="100"/>
    <n v="6.5704999999999814"/>
    <n v="0"/>
    <n v="352"/>
  </r>
  <r>
    <s v="Nord Kivu"/>
    <x v="0"/>
    <x v="24"/>
    <s v=" Vusayi"/>
    <n v="11108"/>
    <n v="387.66919999999999"/>
    <n v="444.32"/>
    <n v="323.05766666666665"/>
    <n v="370.26666666666665"/>
    <n v="251"/>
    <n v="89"/>
    <n v="389"/>
    <n v="421"/>
    <n v="363"/>
    <n v="405"/>
    <n v="466"/>
    <n v="431"/>
    <n v="395"/>
    <n v="411"/>
    <n v="358"/>
    <n v="308"/>
    <n v="215"/>
    <n v="87"/>
    <n v="409"/>
    <n v="198"/>
    <n v="409"/>
    <n v="347"/>
    <n v="384"/>
    <n v="116"/>
    <n v="72"/>
    <n v="77"/>
    <n v="78"/>
    <n v="66"/>
    <n v="293"/>
    <n v="58.3"/>
    <n v="100"/>
    <n v="0"/>
    <n v="0"/>
    <n v="409"/>
  </r>
  <r>
    <s v="Nord Kivu"/>
    <x v="0"/>
    <x v="25"/>
    <s v=" Bulongo"/>
    <n v="37491"/>
    <n v="1308.4358999999999"/>
    <n v="1499.64"/>
    <n v="1090.3632499999999"/>
    <n v="1249.7"/>
    <n v="680"/>
    <n v="88"/>
    <n v="905"/>
    <n v="994"/>
    <n v="919"/>
    <n v="982"/>
    <n v="874"/>
    <n v="789"/>
    <n v="1011"/>
    <n v="882"/>
    <n v="801"/>
    <n v="1059"/>
    <n v="979"/>
    <n v="873"/>
    <n v="1026"/>
    <n v="23"/>
    <n v="1041"/>
    <n v="922"/>
    <n v="542"/>
    <n v="460"/>
    <n v="293"/>
    <n v="240"/>
    <n v="64"/>
    <n v="42"/>
    <n v="639"/>
    <n v="50"/>
    <n v="100"/>
    <n v="108.36324999999988"/>
    <n v="0"/>
    <n v="1026"/>
  </r>
  <r>
    <s v="Nord Kivu"/>
    <x v="0"/>
    <x v="25"/>
    <s v=" Halungupa"/>
    <n v="9904"/>
    <n v="345.64960000000002"/>
    <n v="396.16"/>
    <n v="288.04133333333334"/>
    <n v="330.13333333333333"/>
    <n v="272"/>
    <n v="79"/>
    <n v="209"/>
    <n v="201"/>
    <n v="171"/>
    <n v="212"/>
    <n v="194"/>
    <n v="182"/>
    <n v="212"/>
    <n v="194"/>
    <n v="182"/>
    <n v="217"/>
    <n v="201"/>
    <n v="173"/>
    <n v="148"/>
    <n v="18"/>
    <n v="163"/>
    <n v="196"/>
    <n v="66"/>
    <n v="91"/>
    <n v="49"/>
    <n v="18"/>
    <n v="16"/>
    <n v="6"/>
    <n v="89"/>
    <n v="33.299999999999997"/>
    <n v="100"/>
    <n v="76.041333333333341"/>
    <n v="64"/>
    <n v="148"/>
  </r>
  <r>
    <s v="Nord Kivu"/>
    <x v="0"/>
    <x v="25"/>
    <s v=" Kabalwa"/>
    <n v="7168"/>
    <n v="250.16320000000002"/>
    <n v="286.72000000000003"/>
    <n v="208.46933333333337"/>
    <n v="238.93333333333334"/>
    <n v="12"/>
    <n v="4"/>
    <n v="28"/>
    <n v="23"/>
    <n v="32"/>
    <n v="23"/>
    <n v="22"/>
    <n v="23"/>
    <n v="27"/>
    <n v="22"/>
    <n v="23"/>
    <n v="20"/>
    <n v="19"/>
    <n v="18"/>
    <n v="19"/>
    <s v=""/>
    <n v="19"/>
    <n v="17"/>
    <n v="1"/>
    <s v=""/>
    <s v=""/>
    <s v=""/>
    <s v=""/>
    <s v=""/>
    <n v="0"/>
    <n v="58.3"/>
    <n v="100"/>
    <n v="185.46933333333337"/>
    <n v="4"/>
    <n v="19"/>
  </r>
  <r>
    <s v="Nord Kivu"/>
    <x v="0"/>
    <x v="25"/>
    <s v=" Kalembo"/>
    <n v="9202"/>
    <n v="321.14980000000003"/>
    <n v="368.08"/>
    <n v="267.62483333333336"/>
    <n v="306.73333333333335"/>
    <n v="35"/>
    <n v="10"/>
    <n v="97"/>
    <n v="86"/>
    <n v="76"/>
    <n v="97"/>
    <n v="64"/>
    <n v="63"/>
    <n v="98"/>
    <n v="73"/>
    <n v="72"/>
    <n v="92"/>
    <n v="85"/>
    <n v="78"/>
    <n v="92"/>
    <n v="23"/>
    <n v="108"/>
    <n v="76"/>
    <n v="72"/>
    <n v="8"/>
    <n v="1"/>
    <n v="4"/>
    <n v="3"/>
    <n v="4"/>
    <n v="12"/>
    <n v="33.299999999999997"/>
    <n v="100"/>
    <n v="170.62483333333336"/>
    <n v="5"/>
    <n v="92"/>
  </r>
  <r>
    <s v="Nord Kivu"/>
    <x v="0"/>
    <x v="25"/>
    <s v=" Kangahuka"/>
    <n v="16087"/>
    <n v="561.43629999999996"/>
    <n v="643.48"/>
    <n v="467.86358333333334"/>
    <n v="536.23333333333335"/>
    <n v="299"/>
    <n v="399"/>
    <n v="794"/>
    <n v="788"/>
    <n v="744"/>
    <n v="753"/>
    <n v="703"/>
    <n v="703"/>
    <n v="881"/>
    <n v="811"/>
    <n v="801"/>
    <n v="683"/>
    <n v="650"/>
    <n v="621"/>
    <n v="757"/>
    <n v="95"/>
    <n v="620"/>
    <n v="789"/>
    <n v="208"/>
    <n v="326"/>
    <n v="252"/>
    <n v="153"/>
    <n v="111"/>
    <n v="82"/>
    <n v="598"/>
    <n v="66.7"/>
    <n v="100"/>
    <n v="0"/>
    <n v="0"/>
    <n v="620"/>
  </r>
  <r>
    <s v="Nord Kivu"/>
    <x v="0"/>
    <x v="25"/>
    <s v=" Kasanga"/>
    <n v="9336"/>
    <n v="325.82639999999998"/>
    <n v="373.44"/>
    <n v="271.52199999999999"/>
    <n v="311.2"/>
    <n v="147"/>
    <n v="311"/>
    <n v="181"/>
    <n v="177"/>
    <n v="183"/>
    <n v="181"/>
    <n v="177"/>
    <n v="173"/>
    <n v="182"/>
    <n v="177"/>
    <n v="154"/>
    <n v="167"/>
    <n v="159"/>
    <n v="163"/>
    <n v="199"/>
    <n v="7"/>
    <n v="197"/>
    <n v="174"/>
    <n v="85"/>
    <n v="259"/>
    <n v="186"/>
    <n v="10"/>
    <s v=""/>
    <n v="2"/>
    <n v="198"/>
    <n v="50"/>
    <n v="100"/>
    <n v="90.521999999999991"/>
    <n v="0"/>
    <n v="197"/>
  </r>
  <r>
    <s v="Nord Kivu"/>
    <x v="0"/>
    <x v="25"/>
    <s v=" Kasindi"/>
    <n v="13224"/>
    <n v="461.51760000000002"/>
    <n v="528.96"/>
    <n v="384.59800000000001"/>
    <n v="440.80000000000007"/>
    <s v=""/>
    <n v="10"/>
    <n v="60"/>
    <n v="58"/>
    <n v="43"/>
    <n v="60"/>
    <n v="58"/>
    <n v="43"/>
    <n v="60"/>
    <n v="58"/>
    <n v="43"/>
    <n v="60"/>
    <n v="58"/>
    <n v="43"/>
    <n v="54"/>
    <n v="7"/>
    <n v="54"/>
    <n v="43"/>
    <n v="54"/>
    <n v="23"/>
    <n v="14"/>
    <n v="12"/>
    <n v="9"/>
    <n v="6"/>
    <n v="41"/>
    <n v="33.299999999999997"/>
    <n v="100"/>
    <n v="324.59800000000001"/>
    <n v="6"/>
    <n v="54"/>
  </r>
  <r>
    <s v="Nord Kivu"/>
    <x v="0"/>
    <x v="25"/>
    <s v=" Kenehambaore"/>
    <n v="11620"/>
    <n v="405.53800000000001"/>
    <n v="464.8"/>
    <n v="337.94833333333338"/>
    <n v="387.3333333333333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5"/>
    <s v=" Kisima"/>
    <n v="11451"/>
    <n v="399.63990000000001"/>
    <n v="458.04"/>
    <n v="333.03325000000001"/>
    <n v="381.70000000000005"/>
    <n v="77"/>
    <n v="47"/>
    <n v="251"/>
    <n v="230"/>
    <n v="225"/>
    <n v="251"/>
    <n v="228"/>
    <n v="208"/>
    <n v="220"/>
    <n v="181"/>
    <n v="203"/>
    <n v="235"/>
    <n v="216"/>
    <n v="216"/>
    <n v="283"/>
    <n v="12"/>
    <n v="172"/>
    <n v="252"/>
    <n v="124"/>
    <n v="18"/>
    <n v="9"/>
    <n v="7"/>
    <n v="10"/>
    <n v="14"/>
    <n v="40"/>
    <n v="33.299999999999997"/>
    <n v="100"/>
    <n v="82.03325000000001"/>
    <n v="0"/>
    <n v="172"/>
  </r>
  <r>
    <s v="Nord Kivu"/>
    <x v="0"/>
    <x v="25"/>
    <s v=" Kitokoli"/>
    <n v="11474"/>
    <n v="400.44260000000003"/>
    <n v="458.96000000000004"/>
    <n v="333.7021666666667"/>
    <n v="382.4666666666667"/>
    <n v="200"/>
    <n v="34"/>
    <n v="371"/>
    <n v="345"/>
    <n v="367"/>
    <n v="308"/>
    <n v="276"/>
    <n v="292"/>
    <n v="308"/>
    <n v="276"/>
    <n v="292"/>
    <n v="324"/>
    <n v="286"/>
    <n v="306"/>
    <n v="299"/>
    <n v="33"/>
    <n v="240"/>
    <n v="346"/>
    <n v="130"/>
    <n v="210"/>
    <n v="104"/>
    <n v="8"/>
    <n v="7"/>
    <s v=""/>
    <n v="119"/>
    <n v="50"/>
    <n v="100"/>
    <n v="25.702166666666699"/>
    <n v="9"/>
    <n v="240"/>
  </r>
  <r>
    <s v="Nord Kivu"/>
    <x v="0"/>
    <x v="25"/>
    <s v=" Kudi 3"/>
    <n v="12246"/>
    <n v="427.3854"/>
    <n v="489.84000000000003"/>
    <n v="356.15450000000004"/>
    <n v="408.2"/>
    <n v="104"/>
    <n v="136"/>
    <n v="312"/>
    <n v="284"/>
    <n v="233"/>
    <n v="257"/>
    <n v="248"/>
    <n v="265"/>
    <n v="290"/>
    <n v="248"/>
    <n v="233"/>
    <n v="252"/>
    <n v="185"/>
    <n v="176"/>
    <n v="221"/>
    <n v="37"/>
    <n v="221"/>
    <n v="233"/>
    <n v="63"/>
    <n v="522"/>
    <n v="303"/>
    <n v="4"/>
    <s v=""/>
    <s v=""/>
    <n v="307"/>
    <n v="50"/>
    <n v="100"/>
    <n v="99.154500000000041"/>
    <n v="36"/>
    <n v="221"/>
  </r>
  <r>
    <s v="Nord Kivu"/>
    <x v="0"/>
    <x v="25"/>
    <s v=" La Frontière"/>
    <n v="31433"/>
    <n v="1097.0117"/>
    <n v="1257.32"/>
    <n v="914.17641666666668"/>
    <n v="1047.7666666666667"/>
    <n v="641"/>
    <n v="341"/>
    <n v="1066"/>
    <n v="892"/>
    <n v="829"/>
    <n v="962"/>
    <n v="892"/>
    <n v="829"/>
    <n v="1066"/>
    <n v="852"/>
    <n v="829"/>
    <n v="1065"/>
    <n v="892"/>
    <n v="829"/>
    <n v="797"/>
    <n v="124"/>
    <n v="741"/>
    <n v="1194"/>
    <n v="444"/>
    <n v="629"/>
    <n v="395"/>
    <n v="208"/>
    <n v="90"/>
    <n v="65"/>
    <n v="758"/>
    <n v="54.2"/>
    <n v="100"/>
    <n v="0"/>
    <n v="165"/>
    <n v="741"/>
  </r>
  <r>
    <s v="Nord Kivu"/>
    <x v="0"/>
    <x v="25"/>
    <s v=" Loulo"/>
    <n v="11813"/>
    <n v="412.27370000000002"/>
    <n v="472.52"/>
    <n v="343.56141666666667"/>
    <n v="393.76666666666665"/>
    <n v="249"/>
    <n v="35"/>
    <n v="136"/>
    <n v="129"/>
    <n v="149"/>
    <n v="146"/>
    <n v="138"/>
    <n v="156"/>
    <n v="146"/>
    <n v="138"/>
    <n v="156"/>
    <n v="146"/>
    <n v="138"/>
    <n v="156"/>
    <n v="76"/>
    <s v=""/>
    <n v="68"/>
    <n v="157"/>
    <n v="10"/>
    <n v="36"/>
    <n v="27"/>
    <n v="14"/>
    <n v="4"/>
    <n v="6"/>
    <n v="51"/>
    <n v="33.299999999999997"/>
    <n v="100"/>
    <n v="197.56141666666667"/>
    <n v="70"/>
    <n v="68"/>
  </r>
  <r>
    <s v="Nord Kivu"/>
    <x v="0"/>
    <x v="25"/>
    <s v=" Lubiriha"/>
    <n v="28212"/>
    <n v="984.59879999999998"/>
    <n v="1128.48"/>
    <n v="820.49899999999991"/>
    <n v="940.40000000000009"/>
    <n v="1085"/>
    <n v="760"/>
    <n v="1269"/>
    <n v="1213"/>
    <n v="1200"/>
    <n v="1152"/>
    <n v="1050"/>
    <n v="1080"/>
    <n v="1152"/>
    <n v="1112"/>
    <n v="1083"/>
    <n v="1197"/>
    <n v="1163"/>
    <n v="1134"/>
    <n v="924"/>
    <n v="211"/>
    <n v="930"/>
    <n v="1206"/>
    <n v="449"/>
    <n v="528"/>
    <n v="478"/>
    <n v="216"/>
    <n v="136"/>
    <n v="77"/>
    <n v="907"/>
    <n v="58.3"/>
    <n v="100"/>
    <n v="0"/>
    <n v="228"/>
    <n v="924"/>
  </r>
  <r>
    <s v="Nord Kivu"/>
    <x v="0"/>
    <x v="25"/>
    <s v=" Lume"/>
    <n v="13457"/>
    <n v="469.64929999999998"/>
    <n v="538.28"/>
    <n v="391.37441666666666"/>
    <n v="448.56666666666661"/>
    <n v="391"/>
    <n v="123"/>
    <n v="460"/>
    <n v="422"/>
    <n v="376"/>
    <n v="364"/>
    <n v="283"/>
    <n v="247"/>
    <n v="433"/>
    <n v="382"/>
    <n v="339"/>
    <n v="397"/>
    <n v="348"/>
    <n v="306"/>
    <n v="427"/>
    <n v="8"/>
    <n v="427"/>
    <n v="334"/>
    <n v="110"/>
    <n v="568"/>
    <n v="397"/>
    <n v="27"/>
    <n v="37"/>
    <n v="18"/>
    <n v="479"/>
    <n v="66.7"/>
    <n v="100"/>
    <n v="27.374416666666662"/>
    <n v="0"/>
    <n v="427"/>
  </r>
  <r>
    <s v="Nord Kivu"/>
    <x v="0"/>
    <x v="25"/>
    <s v=" Manzanga"/>
    <n v="9074"/>
    <n v="316.68259999999998"/>
    <n v="362.96"/>
    <n v="263.90216666666663"/>
    <n v="302.46666666666664"/>
    <n v="463"/>
    <n v="310"/>
    <n v="287"/>
    <n v="288"/>
    <n v="296"/>
    <n v="223"/>
    <n v="222"/>
    <n v="211"/>
    <n v="252"/>
    <n v="249"/>
    <n v="251"/>
    <n v="221"/>
    <n v="216"/>
    <n v="222"/>
    <n v="231"/>
    <n v="15"/>
    <n v="172"/>
    <n v="230"/>
    <n v="174"/>
    <n v="61"/>
    <n v="43"/>
    <n v="41"/>
    <n v="29"/>
    <n v="21"/>
    <n v="134"/>
    <n v="58.3"/>
    <n v="100"/>
    <n v="40.902166666666631"/>
    <n v="0"/>
    <n v="172"/>
  </r>
  <r>
    <s v="Nord Kivu"/>
    <x v="0"/>
    <x v="25"/>
    <s v=" Masambo"/>
    <n v="22296"/>
    <n v="778.13040000000001"/>
    <n v="891.84"/>
    <n v="648.44200000000001"/>
    <n v="743.2"/>
    <n v="208"/>
    <n v="42"/>
    <n v="256"/>
    <n v="247"/>
    <n v="268"/>
    <n v="349"/>
    <n v="251"/>
    <n v="262"/>
    <n v="308"/>
    <n v="278"/>
    <n v="269"/>
    <n v="247"/>
    <n v="166"/>
    <n v="211"/>
    <n v="334"/>
    <n v="10"/>
    <n v="267"/>
    <n v="457"/>
    <n v="208"/>
    <n v="155"/>
    <n v="82"/>
    <n v="3"/>
    <n v="3"/>
    <n v="4"/>
    <n v="92"/>
    <n v="66.7"/>
    <n v="100"/>
    <n v="299.44200000000001"/>
    <n v="15"/>
    <n v="267"/>
  </r>
  <r>
    <s v="Nord Kivu"/>
    <x v="0"/>
    <x v="25"/>
    <s v=" Muramba"/>
    <n v="14194"/>
    <n v="495.37060000000002"/>
    <n v="567.76"/>
    <n v="412.80883333333338"/>
    <n v="473.13333333333333"/>
    <n v="333"/>
    <n v="78"/>
    <n v="338"/>
    <n v="296"/>
    <n v="321"/>
    <n v="344"/>
    <n v="306"/>
    <n v="259"/>
    <n v="357"/>
    <n v="359"/>
    <n v="347"/>
    <n v="461"/>
    <n v="325"/>
    <n v="326"/>
    <n v="360"/>
    <n v="23"/>
    <n v="317"/>
    <n v="402"/>
    <n v="150"/>
    <n v="287"/>
    <n v="231"/>
    <n v="38"/>
    <n v="39"/>
    <n v="21"/>
    <n v="329"/>
    <n v="50"/>
    <n v="100"/>
    <n v="68.808833333333382"/>
    <n v="0"/>
    <n v="317"/>
  </r>
  <r>
    <s v="Nord Kivu"/>
    <x v="0"/>
    <x v="25"/>
    <s v=" Mutwanga"/>
    <n v="19517"/>
    <n v="681.14329999999995"/>
    <n v="780.68000000000006"/>
    <n v="567.61941666666667"/>
    <n v="650.56666666666672"/>
    <n v="490"/>
    <n v="293"/>
    <n v="373"/>
    <n v="573"/>
    <n v="368"/>
    <n v="373"/>
    <n v="573"/>
    <n v="362"/>
    <n v="373"/>
    <n v="573"/>
    <n v="368"/>
    <n v="373"/>
    <n v="573"/>
    <n v="372"/>
    <n v="302"/>
    <n v="56"/>
    <n v="257"/>
    <n v="368"/>
    <n v="260"/>
    <n v="213"/>
    <n v="168"/>
    <n v="112"/>
    <n v="95"/>
    <n v="54"/>
    <n v="429"/>
    <n v="29.2"/>
    <n v="100"/>
    <n v="194.61941666666667"/>
    <n v="71"/>
    <n v="257"/>
  </r>
  <r>
    <s v="Nord Kivu"/>
    <x v="0"/>
    <x v="25"/>
    <s v=" Mwenda"/>
    <n v="18243"/>
    <n v="636.6807"/>
    <n v="729.72"/>
    <n v="530.56725000000006"/>
    <n v="608.1"/>
    <n v="435"/>
    <n v="177"/>
    <n v="322"/>
    <n v="327"/>
    <n v="320"/>
    <n v="330"/>
    <n v="303"/>
    <n v="285"/>
    <n v="324"/>
    <n v="282"/>
    <n v="272"/>
    <n v="337"/>
    <n v="307"/>
    <n v="282"/>
    <n v="304"/>
    <n v="224"/>
    <n v="234"/>
    <n v="325"/>
    <n v="303"/>
    <n v="186"/>
    <n v="83"/>
    <n v="20"/>
    <n v="13"/>
    <n v="8"/>
    <n v="124"/>
    <n v="62.5"/>
    <n v="100"/>
    <n v="200.56725000000006"/>
    <n v="26"/>
    <n v="234"/>
  </r>
  <r>
    <s v="Nord Kivu"/>
    <x v="0"/>
    <x v="25"/>
    <s v=" Nzenga"/>
    <n v="23544"/>
    <n v="821.68560000000002"/>
    <n v="941.76"/>
    <n v="684.73799999999994"/>
    <n v="784.80000000000007"/>
    <n v="1107"/>
    <n v="553"/>
    <n v="429"/>
    <n v="484"/>
    <n v="449"/>
    <n v="439"/>
    <n v="530"/>
    <n v="493"/>
    <n v="439"/>
    <n v="524"/>
    <n v="493"/>
    <n v="439"/>
    <n v="529"/>
    <n v="493"/>
    <n v="619"/>
    <n v="32"/>
    <n v="577"/>
    <n v="612"/>
    <n v="362"/>
    <n v="279"/>
    <n v="209"/>
    <n v="90"/>
    <n v="54"/>
    <n v="21"/>
    <n v="374"/>
    <n v="58.3"/>
    <n v="100"/>
    <n v="245.73799999999994"/>
    <n v="0"/>
    <n v="577"/>
  </r>
  <r>
    <s v="Nord Kivu"/>
    <x v="0"/>
    <x v="25"/>
    <s v=" Rugetsi"/>
    <n v="14898"/>
    <n v="519.9402"/>
    <n v="595.91999999999996"/>
    <n v="433.2835"/>
    <n v="496.59999999999997"/>
    <n v="228"/>
    <n v="185"/>
    <n v="352"/>
    <n v="344"/>
    <n v="286"/>
    <n v="347"/>
    <n v="321"/>
    <n v="277"/>
    <n v="364"/>
    <n v="347"/>
    <n v="270"/>
    <n v="1029"/>
    <n v="326"/>
    <n v="260"/>
    <n v="263"/>
    <s v=""/>
    <n v="239"/>
    <n v="280"/>
    <n v="94"/>
    <n v="330"/>
    <n v="233"/>
    <n v="27"/>
    <s v=""/>
    <s v=""/>
    <n v="260"/>
    <n v="58.3"/>
    <n v="100"/>
    <n v="86.283500000000004"/>
    <n v="84"/>
    <n v="239"/>
  </r>
  <r>
    <s v="Nord Kivu"/>
    <x v="1"/>
    <x v="26"/>
    <s v=" Bibwe"/>
    <n v="15298"/>
    <n v="533.90020000000004"/>
    <n v="611.91999999999996"/>
    <n v="444.91683333333333"/>
    <n v="509.93333333333334"/>
    <n v="392"/>
    <n v="308"/>
    <n v="422"/>
    <n v="380"/>
    <n v="393"/>
    <n v="557"/>
    <n v="520"/>
    <n v="519"/>
    <n v="547"/>
    <n v="506"/>
    <n v="529"/>
    <n v="498"/>
    <n v="411"/>
    <n v="431"/>
    <n v="432"/>
    <n v="597"/>
    <n v="515"/>
    <n v="519"/>
    <n v="514"/>
    <n v="248"/>
    <n v="220"/>
    <n v="181"/>
    <n v="118"/>
    <n v="88"/>
    <n v="607"/>
    <n v="50"/>
    <n v="100"/>
    <n v="0"/>
    <n v="125"/>
    <n v="432"/>
  </r>
  <r>
    <s v="Nord Kivu"/>
    <x v="1"/>
    <x v="26"/>
    <s v=" Bukama"/>
    <n v="22757"/>
    <n v="794.21929999999998"/>
    <n v="910.28"/>
    <n v="661.84941666666657"/>
    <n v="758.56666666666672"/>
    <n v="610"/>
    <n v="1094"/>
    <n v="756"/>
    <n v="639"/>
    <n v="643"/>
    <n v="756"/>
    <n v="639"/>
    <n v="639"/>
    <n v="733"/>
    <n v="623"/>
    <n v="643"/>
    <n v="553"/>
    <n v="492"/>
    <n v="479"/>
    <n v="619"/>
    <n v="438"/>
    <n v="583"/>
    <n v="581"/>
    <n v="482"/>
    <n v="475"/>
    <n v="326"/>
    <n v="194"/>
    <n v="136"/>
    <n v="66"/>
    <n v="722"/>
    <n v="45.8"/>
    <n v="100"/>
    <n v="0"/>
    <n v="137"/>
    <n v="583"/>
  </r>
  <r>
    <s v="Nord Kivu"/>
    <x v="1"/>
    <x v="26"/>
    <s v=" Burungu"/>
    <n v="21033"/>
    <n v="734.05169999999998"/>
    <n v="841.32"/>
    <n v="611.70974999999999"/>
    <n v="701.1"/>
    <n v="391"/>
    <n v="132"/>
    <n v="406"/>
    <n v="357"/>
    <n v="341"/>
    <n v="410"/>
    <n v="393"/>
    <n v="353"/>
    <n v="410"/>
    <n v="393"/>
    <n v="331"/>
    <n v="387"/>
    <n v="362"/>
    <n v="330"/>
    <n v="423"/>
    <n v="162"/>
    <n v="322"/>
    <n v="398"/>
    <n v="306"/>
    <n v="100"/>
    <n v="58"/>
    <n v="41"/>
    <n v="38"/>
    <n v="40"/>
    <n v="177"/>
    <n v="58.3"/>
    <n v="100"/>
    <n v="201.70974999999999"/>
    <n v="0"/>
    <n v="322"/>
  </r>
  <r>
    <s v="Nord Kivu"/>
    <x v="1"/>
    <x v="26"/>
    <s v=" Bushanga"/>
    <n v="27151"/>
    <n v="947.56989999999996"/>
    <n v="1086.04"/>
    <n v="789.6415833333333"/>
    <n v="905.0333333333333"/>
    <n v="2368"/>
    <n v="3273"/>
    <n v="793"/>
    <n v="769"/>
    <n v="750"/>
    <n v="793"/>
    <n v="769"/>
    <n v="750"/>
    <n v="793"/>
    <n v="769"/>
    <n v="750"/>
    <n v="683"/>
    <n v="660"/>
    <n v="639"/>
    <n v="1104"/>
    <n v="881"/>
    <n v="821"/>
    <n v="750"/>
    <n v="796"/>
    <n v="550"/>
    <n v="362"/>
    <n v="369"/>
    <n v="291"/>
    <n v="238"/>
    <n v="1260"/>
    <n v="58.3"/>
    <n v="100"/>
    <n v="0"/>
    <n v="0"/>
    <n v="821"/>
  </r>
  <r>
    <s v="Nord Kivu"/>
    <x v="1"/>
    <x v="26"/>
    <s v=" Busumba"/>
    <n v="21033"/>
    <n v="734.05169999999998"/>
    <n v="841.32"/>
    <n v="611.70974999999999"/>
    <n v="701.1"/>
    <n v="941"/>
    <n v="503"/>
    <n v="666"/>
    <n v="661"/>
    <n v="648"/>
    <n v="711"/>
    <n v="710"/>
    <n v="697"/>
    <n v="665"/>
    <n v="661"/>
    <n v="648"/>
    <n v="653"/>
    <n v="652"/>
    <n v="643"/>
    <n v="808"/>
    <n v="333"/>
    <n v="625"/>
    <n v="581"/>
    <n v="117"/>
    <n v="237"/>
    <n v="228"/>
    <n v="190"/>
    <n v="161"/>
    <n v="129"/>
    <n v="708"/>
    <n v="58.3"/>
    <n v="100"/>
    <n v="0"/>
    <n v="0"/>
    <n v="625"/>
  </r>
  <r>
    <s v="Nord Kivu"/>
    <x v="1"/>
    <x v="26"/>
    <s v=" Bweru"/>
    <n v="18365"/>
    <n v="640.93849999999998"/>
    <n v="734.6"/>
    <n v="534.11541666666665"/>
    <n v="612.16666666666674"/>
    <n v="338"/>
    <n v="332"/>
    <n v="410"/>
    <n v="369"/>
    <n v="344"/>
    <n v="427"/>
    <n v="410"/>
    <n v="376"/>
    <n v="431"/>
    <n v="385"/>
    <n v="357"/>
    <n v="243"/>
    <n v="218"/>
    <n v="212"/>
    <n v="422"/>
    <n v="331"/>
    <n v="338"/>
    <n v="217"/>
    <n v="198"/>
    <n v="209"/>
    <n v="147"/>
    <n v="53"/>
    <n v="70"/>
    <n v="43"/>
    <n v="313"/>
    <n v="58.3"/>
    <n v="100"/>
    <n v="107.11541666666665"/>
    <n v="5"/>
    <n v="338"/>
  </r>
  <r>
    <s v="Nord Kivu"/>
    <x v="1"/>
    <x v="26"/>
    <s v=" Kalembe"/>
    <n v="40454"/>
    <n v="1411.8446000000001"/>
    <n v="1618.16"/>
    <n v="1176.5371666666667"/>
    <n v="1348.4666666666667"/>
    <n v="766"/>
    <n v="909"/>
    <n v="1392"/>
    <n v="1258"/>
    <n v="1185"/>
    <n v="1386"/>
    <n v="1256"/>
    <n v="1163"/>
    <n v="1392"/>
    <n v="1258"/>
    <n v="1185"/>
    <n v="1185"/>
    <n v="1063"/>
    <n v="993"/>
    <n v="883"/>
    <n v="826"/>
    <n v="910"/>
    <n v="1249"/>
    <n v="903"/>
    <n v="419"/>
    <n v="152"/>
    <n v="217"/>
    <n v="168"/>
    <n v="175"/>
    <n v="712"/>
    <n v="44.4"/>
    <n v="100"/>
    <n v="0"/>
    <n v="503"/>
    <n v="883"/>
  </r>
  <r>
    <s v="Nord Kivu"/>
    <x v="1"/>
    <x v="26"/>
    <s v=" Kamonyi"/>
    <n v="20107"/>
    <n v="701.73429999999996"/>
    <n v="804.28"/>
    <n v="584.77858333333324"/>
    <n v="670.23333333333323"/>
    <n v="392"/>
    <n v="611"/>
    <n v="546"/>
    <n v="566"/>
    <n v="559"/>
    <n v="546"/>
    <n v="536"/>
    <n v="559"/>
    <n v="576"/>
    <n v="536"/>
    <n v="559"/>
    <n v="183"/>
    <n v="176"/>
    <n v="172"/>
    <n v="548"/>
    <n v="570"/>
    <n v="550"/>
    <n v="385"/>
    <n v="380"/>
    <n v="282"/>
    <n v="272"/>
    <n v="276"/>
    <n v="242"/>
    <n v="248"/>
    <n v="1038"/>
    <n v="58.3"/>
    <n v="100"/>
    <n v="38.778583333333245"/>
    <n v="0"/>
    <n v="548"/>
  </r>
  <r>
    <s v="Nord Kivu"/>
    <x v="1"/>
    <x v="26"/>
    <s v=" Kashuga"/>
    <n v="52118"/>
    <n v="1818.9182000000001"/>
    <n v="2084.7200000000003"/>
    <n v="1515.7651666666666"/>
    <n v="1737.2666666666669"/>
    <n v="700"/>
    <n v="1514"/>
    <n v="1601"/>
    <n v="1421"/>
    <n v="1532"/>
    <n v="1601"/>
    <n v="1421"/>
    <n v="1532"/>
    <n v="1461"/>
    <n v="1290"/>
    <n v="1394"/>
    <n v="1337"/>
    <n v="1164"/>
    <n v="1352"/>
    <n v="1715"/>
    <n v="1541"/>
    <n v="1223"/>
    <n v="1512"/>
    <n v="1417"/>
    <n v="411"/>
    <n v="306"/>
    <n v="227"/>
    <n v="198"/>
    <n v="206"/>
    <n v="937"/>
    <n v="54.2"/>
    <n v="100"/>
    <n v="0"/>
    <n v="0"/>
    <n v="1223"/>
  </r>
  <r>
    <s v="Nord Kivu"/>
    <x v="1"/>
    <x v="26"/>
    <s v=" Katuna"/>
    <n v="14943"/>
    <n v="521.51070000000004"/>
    <n v="597.72"/>
    <n v="434.59225000000004"/>
    <n v="498.1"/>
    <n v="524"/>
    <n v="505"/>
    <n v="447"/>
    <n v="444"/>
    <n v="439"/>
    <n v="437"/>
    <n v="444"/>
    <n v="439"/>
    <n v="447"/>
    <n v="444"/>
    <n v="439"/>
    <n v="404"/>
    <n v="401"/>
    <n v="396"/>
    <n v="510"/>
    <n v="564"/>
    <n v="474"/>
    <n v="439"/>
    <n v="474"/>
    <n v="214"/>
    <n v="223"/>
    <n v="199"/>
    <n v="183"/>
    <n v="160"/>
    <n v="765"/>
    <n v="58.3"/>
    <n v="100"/>
    <n v="0"/>
    <n v="0"/>
    <n v="474"/>
  </r>
  <r>
    <s v="Nord Kivu"/>
    <x v="1"/>
    <x v="26"/>
    <s v=" Kibarizo"/>
    <n v="19899"/>
    <n v="694.4751"/>
    <n v="795.96"/>
    <n v="578.72924999999998"/>
    <n v="663.3"/>
    <n v="667"/>
    <n v="520"/>
    <n v="808"/>
    <n v="805"/>
    <n v="803"/>
    <n v="856"/>
    <n v="847"/>
    <n v="830"/>
    <n v="856"/>
    <n v="847"/>
    <n v="830"/>
    <n v="747"/>
    <n v="741"/>
    <n v="726"/>
    <n v="720"/>
    <n v="716"/>
    <n v="811"/>
    <n v="727"/>
    <n v="324"/>
    <n v="279"/>
    <n v="220"/>
    <n v="237"/>
    <n v="142"/>
    <n v="106"/>
    <n v="705"/>
    <n v="58.3"/>
    <n v="100"/>
    <n v="0"/>
    <n v="136"/>
    <n v="720"/>
  </r>
  <r>
    <s v="Nord Kivu"/>
    <x v="1"/>
    <x v="26"/>
    <s v=" Kichanga"/>
    <n v="27622"/>
    <n v="964.00779999999997"/>
    <n v="1104.8800000000001"/>
    <n v="803.33983333333333"/>
    <n v="920.73333333333335"/>
    <n v="790"/>
    <n v="880"/>
    <n v="687"/>
    <n v="658"/>
    <n v="640"/>
    <n v="688"/>
    <n v="658"/>
    <n v="640"/>
    <n v="688"/>
    <n v="658"/>
    <n v="640"/>
    <n v="688"/>
    <n v="658"/>
    <n v="640"/>
    <n v="473"/>
    <n v="86"/>
    <n v="433"/>
    <n v="716"/>
    <n v="379"/>
    <n v="265"/>
    <n v="233"/>
    <n v="320"/>
    <n v="255"/>
    <n v="376"/>
    <n v="1184"/>
    <n v="55.6"/>
    <n v="100"/>
    <n v="115.33983333333333"/>
    <n v="215"/>
    <n v="433"/>
  </r>
  <r>
    <s v="Nord Kivu"/>
    <x v="1"/>
    <x v="26"/>
    <s v=" Kinyana"/>
    <n v="7997"/>
    <n v="279.09530000000001"/>
    <n v="319.88"/>
    <n v="232.57941666666667"/>
    <n v="266.56666666666666"/>
    <n v="206"/>
    <n v="278"/>
    <n v="387"/>
    <n v="387"/>
    <n v="388"/>
    <n v="384"/>
    <n v="390"/>
    <n v="388"/>
    <n v="384"/>
    <n v="390"/>
    <n v="388"/>
    <n v="273"/>
    <n v="289"/>
    <n v="271"/>
    <n v="153"/>
    <n v="106"/>
    <n v="215"/>
    <n v="370"/>
    <n v="165"/>
    <n v="172"/>
    <n v="176"/>
    <n v="122"/>
    <n v="61"/>
    <n v="38"/>
    <n v="397"/>
    <n v="58.3"/>
    <n v="100"/>
    <n v="0"/>
    <n v="231"/>
    <n v="153"/>
  </r>
  <r>
    <s v="Nord Kivu"/>
    <x v="1"/>
    <x v="26"/>
    <s v=" Kirumbu"/>
    <n v="36832"/>
    <n v="1285.4367999999999"/>
    <n v="1473.28"/>
    <n v="1071.1973333333333"/>
    <n v="1227.7333333333333"/>
    <n v="1108"/>
    <n v="834"/>
    <n v="1480"/>
    <n v="1444"/>
    <n v="1415"/>
    <n v="1480"/>
    <n v="1444"/>
    <n v="1415"/>
    <n v="1480"/>
    <n v="2128"/>
    <n v="1415"/>
    <n v="1480"/>
    <n v="1441"/>
    <n v="1415"/>
    <n v="697"/>
    <n v="1319"/>
    <n v="1275"/>
    <n v="1415"/>
    <n v="1045"/>
    <n v="438"/>
    <n v="402"/>
    <n v="392"/>
    <n v="269"/>
    <n v="183"/>
    <n v="1246"/>
    <n v="44.4"/>
    <n v="100"/>
    <n v="0"/>
    <n v="783"/>
    <n v="697"/>
  </r>
  <r>
    <s v="Nord Kivu"/>
    <x v="1"/>
    <x v="26"/>
    <s v=" Kivuye"/>
    <n v="21662"/>
    <n v="756.00379999999996"/>
    <n v="866.48"/>
    <n v="630.00316666666663"/>
    <n v="722.06666666666661"/>
    <n v="597"/>
    <n v="679"/>
    <n v="647"/>
    <n v="628"/>
    <n v="626"/>
    <n v="642"/>
    <n v="595"/>
    <n v="622"/>
    <n v="640"/>
    <n v="626"/>
    <n v="621"/>
    <n v="519"/>
    <n v="510"/>
    <n v="517"/>
    <n v="713"/>
    <n v="720"/>
    <n v="631"/>
    <n v="630"/>
    <n v="563"/>
    <n v="185"/>
    <n v="146"/>
    <n v="107"/>
    <n v="121"/>
    <n v="114"/>
    <n v="488"/>
    <n v="58.3"/>
    <n v="100"/>
    <n v="0"/>
    <n v="0"/>
    <n v="631"/>
  </r>
  <r>
    <s v="Nord Kivu"/>
    <x v="1"/>
    <x v="26"/>
    <s v=" Luhanga"/>
    <n v="9069"/>
    <n v="316.50810000000001"/>
    <n v="362.76"/>
    <n v="263.75675000000001"/>
    <n v="302.3"/>
    <n v="250"/>
    <n v="250"/>
    <n v="335"/>
    <n v="431"/>
    <n v="325"/>
    <n v="345"/>
    <n v="429"/>
    <n v="326"/>
    <n v="345"/>
    <n v="429"/>
    <n v="326"/>
    <n v="286"/>
    <n v="359"/>
    <n v="269"/>
    <n v="417"/>
    <n v="424"/>
    <n v="344"/>
    <n v="326"/>
    <n v="330"/>
    <n v="82"/>
    <n v="71"/>
    <n v="55"/>
    <n v="34"/>
    <n v="6"/>
    <n v="166"/>
    <n v="50"/>
    <n v="100"/>
    <n v="0"/>
    <n v="0"/>
    <n v="344"/>
  </r>
  <r>
    <s v="Nord Kivu"/>
    <x v="1"/>
    <x v="26"/>
    <s v=" Lwama"/>
    <n v="12844"/>
    <n v="448.25560000000002"/>
    <n v="513.76"/>
    <n v="373.54633333333334"/>
    <n v="428.13333333333333"/>
    <n v="362"/>
    <n v="247"/>
    <n v="413"/>
    <n v="408"/>
    <n v="403"/>
    <n v="412"/>
    <n v="408"/>
    <n v="403"/>
    <n v="412"/>
    <n v="408"/>
    <n v="403"/>
    <n v="366"/>
    <n v="366"/>
    <n v="361"/>
    <n v="375"/>
    <n v="403"/>
    <n v="338"/>
    <n v="486"/>
    <n v="347"/>
    <n v="113"/>
    <n v="126"/>
    <n v="104"/>
    <n v="103"/>
    <n v="97"/>
    <n v="430"/>
    <n v="50"/>
    <n v="100"/>
    <n v="0"/>
    <n v="37"/>
    <n v="338"/>
  </r>
  <r>
    <s v="Nord Kivu"/>
    <x v="1"/>
    <x v="26"/>
    <s v=" Mokoto"/>
    <n v="14319"/>
    <n v="499.73309999999998"/>
    <n v="572.76"/>
    <n v="416.44425000000001"/>
    <n v="477.29999999999995"/>
    <n v="344"/>
    <n v="305"/>
    <n v="298"/>
    <n v="237"/>
    <n v="286"/>
    <n v="298"/>
    <n v="237"/>
    <n v="286"/>
    <n v="299"/>
    <n v="237"/>
    <n v="286"/>
    <n v="203"/>
    <n v="185"/>
    <n v="195"/>
    <n v="397"/>
    <n v="316"/>
    <n v="414"/>
    <n v="233"/>
    <n v="333"/>
    <n v="90"/>
    <n v="86"/>
    <n v="73"/>
    <n v="75"/>
    <n v="156"/>
    <n v="390"/>
    <n v="58.3"/>
    <n v="100"/>
    <n v="118.44425000000001"/>
    <n v="0"/>
    <n v="397"/>
  </r>
  <r>
    <s v="Nord Kivu"/>
    <x v="1"/>
    <x v="26"/>
    <s v=" Mpati"/>
    <n v="18459"/>
    <n v="644.21910000000003"/>
    <n v="738.36"/>
    <n v="536.84924999999998"/>
    <n v="615.29999999999995"/>
    <n v="426"/>
    <n v="581"/>
    <n v="567"/>
    <n v="545"/>
    <n v="554"/>
    <n v="567"/>
    <n v="545"/>
    <n v="554"/>
    <n v="567"/>
    <n v="545"/>
    <n v="554"/>
    <n v="429"/>
    <n v="408"/>
    <n v="422"/>
    <n v="531"/>
    <n v="488"/>
    <n v="535"/>
    <n v="554"/>
    <n v="547"/>
    <n v="433"/>
    <n v="347"/>
    <n v="275"/>
    <n v="231"/>
    <n v="183"/>
    <n v="1036"/>
    <n v="58.3"/>
    <n v="100"/>
    <n v="0"/>
    <n v="36"/>
    <n v="531"/>
  </r>
  <r>
    <s v="Nord Kivu"/>
    <x v="1"/>
    <x v="26"/>
    <s v=" Mwanja"/>
    <n v="9127"/>
    <n v="318.53230000000002"/>
    <n v="365.08"/>
    <n v="265.44358333333332"/>
    <n v="304.23333333333335"/>
    <n v="223"/>
    <n v="131"/>
    <n v="271"/>
    <n v="257"/>
    <n v="259"/>
    <n v="271"/>
    <n v="257"/>
    <n v="260"/>
    <n v="271"/>
    <n v="257"/>
    <n v="260"/>
    <n v="271"/>
    <n v="257"/>
    <n v="260"/>
    <n v="195"/>
    <n v="176"/>
    <n v="188"/>
    <n v="259"/>
    <n v="221"/>
    <n v="37"/>
    <n v="21"/>
    <n v="10"/>
    <n v="6"/>
    <s v=""/>
    <n v="37"/>
    <n v="58.3"/>
    <n v="100"/>
    <n v="0"/>
    <n v="76"/>
    <n v="188"/>
  </r>
  <r>
    <s v="Nord Kivu"/>
    <x v="1"/>
    <x v="26"/>
    <s v=" Rugarama"/>
    <n v="9821"/>
    <n v="342.75290000000001"/>
    <n v="392.84000000000003"/>
    <n v="285.6274166666667"/>
    <n v="327.36666666666673"/>
    <n v="320"/>
    <n v="395"/>
    <n v="407"/>
    <n v="395"/>
    <n v="385"/>
    <n v="407"/>
    <n v="395"/>
    <n v="385"/>
    <n v="407"/>
    <n v="395"/>
    <n v="385"/>
    <n v="404"/>
    <n v="395"/>
    <n v="385"/>
    <n v="402"/>
    <n v="313"/>
    <n v="336"/>
    <n v="375"/>
    <n v="371"/>
    <n v="215"/>
    <n v="171"/>
    <n v="191"/>
    <n v="210"/>
    <n v="142"/>
    <n v="714"/>
    <n v="58.3"/>
    <n v="100"/>
    <n v="0"/>
    <n v="5"/>
    <n v="336"/>
  </r>
  <r>
    <s v="Nord Kivu"/>
    <x v="1"/>
    <x v="26"/>
    <s v=" St Benoit"/>
    <n v="46059"/>
    <n v="1607.4591"/>
    <n v="1842.3600000000001"/>
    <n v="1339.54925"/>
    <n v="1535.3"/>
    <n v="587"/>
    <n v="483"/>
    <n v="742"/>
    <n v="675"/>
    <n v="635"/>
    <n v="780"/>
    <n v="631"/>
    <n v="995"/>
    <n v="692"/>
    <n v="651"/>
    <n v="623"/>
    <n v="654"/>
    <n v="621"/>
    <n v="598"/>
    <n v="263"/>
    <n v="248"/>
    <n v="480"/>
    <n v="629"/>
    <n v="373"/>
    <n v="150"/>
    <n v="191"/>
    <n v="145"/>
    <n v="127"/>
    <n v="185"/>
    <n v="648"/>
    <n v="54.2"/>
    <n v="100"/>
    <n v="559.54925000000003"/>
    <n v="517"/>
    <n v="263"/>
  </r>
  <r>
    <s v="Nord Kivu"/>
    <x v="1"/>
    <x v="26"/>
    <s v=" Tambi"/>
    <n v="18788"/>
    <n v="655.70119999999997"/>
    <n v="751.52"/>
    <n v="546.41766666666661"/>
    <n v="626.26666666666665"/>
    <n v="288"/>
    <n v="23"/>
    <n v="454"/>
    <n v="440"/>
    <n v="446"/>
    <n v="479"/>
    <n v="461"/>
    <n v="467"/>
    <n v="479"/>
    <n v="461"/>
    <n v="467"/>
    <n v="341"/>
    <n v="324"/>
    <n v="329"/>
    <n v="460"/>
    <n v="400"/>
    <n v="495"/>
    <n v="449"/>
    <n v="374"/>
    <n v="70"/>
    <n v="182"/>
    <n v="398"/>
    <n v="381"/>
    <n v="92"/>
    <n v="1053"/>
    <n v="58.3"/>
    <n v="100"/>
    <n v="67.417666666666605"/>
    <n v="19"/>
    <n v="460"/>
  </r>
  <r>
    <s v="Nord Kivu"/>
    <x v="1"/>
    <x v="26"/>
    <s v=" Yopa"/>
    <n v="18475"/>
    <n v="644.77750000000003"/>
    <n v="739"/>
    <n v="537.3145833333333"/>
    <n v="615.83333333333337"/>
    <n v="466"/>
    <n v="284"/>
    <n v="633"/>
    <n v="465"/>
    <n v="607"/>
    <n v="633"/>
    <n v="465"/>
    <n v="588"/>
    <n v="633"/>
    <n v="466"/>
    <n v="588"/>
    <n v="573"/>
    <n v="413"/>
    <n v="531"/>
    <n v="242"/>
    <n v="357"/>
    <n v="351"/>
    <n v="607"/>
    <n v="259"/>
    <n v="117"/>
    <n v="69"/>
    <n v="50"/>
    <n v="32"/>
    <n v="21"/>
    <n v="172"/>
    <n v="58.3"/>
    <n v="100"/>
    <n v="0"/>
    <n v="391"/>
    <n v="242"/>
  </r>
  <r>
    <s v="Nord Kivu"/>
    <x v="1"/>
    <x v="27"/>
    <s v=" Buhumba"/>
    <n v="19174"/>
    <n v="669.17259999999999"/>
    <n v="766.96"/>
    <n v="557.6438333333333"/>
    <n v="639.1333333333333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8.3000000000000007"/>
    <n v="100"/>
    <n v="0"/>
    <n v="0"/>
    <n v="0"/>
  </r>
  <r>
    <s v="Nord Kivu"/>
    <x v="1"/>
    <x v="27"/>
    <s v=" Kanyaruchinya"/>
    <n v="30664"/>
    <n v="1070.1736000000001"/>
    <n v="1226.56"/>
    <n v="891.81133333333332"/>
    <n v="1022.1333333333332"/>
    <n v="3921"/>
    <n v="2597"/>
    <n v="2730"/>
    <n v="2641"/>
    <n v="2576"/>
    <n v="2709"/>
    <n v="2576"/>
    <n v="2543"/>
    <n v="2643"/>
    <n v="2463"/>
    <n v="2497"/>
    <n v="2516"/>
    <n v="2443"/>
    <n v="2454"/>
    <n v="2628"/>
    <n v="1498"/>
    <n v="2443"/>
    <n v="2338"/>
    <n v="1502"/>
    <n v="989"/>
    <n v="616"/>
    <n v="677"/>
    <n v="602"/>
    <n v="603"/>
    <n v="2498"/>
    <n v="58.3"/>
    <n v="100"/>
    <n v="0"/>
    <n v="81"/>
    <n v="2443"/>
  </r>
  <r>
    <s v="Nord Kivu"/>
    <x v="1"/>
    <x v="27"/>
    <s v=" Kasizi"/>
    <n v="9523"/>
    <n v="332.35270000000003"/>
    <n v="380.92"/>
    <n v="276.96058333333337"/>
    <n v="317.43333333333334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16.7"/>
    <n v="100"/>
    <n v="0"/>
    <n v="0"/>
    <n v="0"/>
  </r>
  <r>
    <s v="Nord Kivu"/>
    <x v="1"/>
    <x v="27"/>
    <s v=" Kibati"/>
    <n v="9556"/>
    <n v="333.50440000000003"/>
    <n v="382.24"/>
    <n v="277.92033333333336"/>
    <n v="318.53333333333336"/>
    <n v="642"/>
    <n v="394"/>
    <n v="640"/>
    <n v="477"/>
    <n v="578"/>
    <n v="640"/>
    <n v="477"/>
    <n v="578"/>
    <n v="640"/>
    <n v="487"/>
    <n v="578"/>
    <n v="631"/>
    <n v="477"/>
    <n v="587"/>
    <n v="380"/>
    <n v="148"/>
    <n v="380"/>
    <n v="578"/>
    <n v="416"/>
    <n v="2243"/>
    <n v="257"/>
    <n v="140"/>
    <n v="68"/>
    <n v="85"/>
    <n v="550"/>
    <n v="50"/>
    <n v="100"/>
    <n v="0"/>
    <n v="260"/>
    <n v="380"/>
  </r>
  <r>
    <s v="Nord Kivu"/>
    <x v="1"/>
    <x v="27"/>
    <s v=" Kingarame"/>
    <n v="13564"/>
    <n v="473.3836"/>
    <n v="542.56000000000006"/>
    <n v="394.48633333333333"/>
    <n v="452.13333333333338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n v="16.7"/>
    <n v="100"/>
    <n v="0"/>
    <n v="0"/>
    <n v="0"/>
  </r>
  <r>
    <s v="Nord Kivu"/>
    <x v="1"/>
    <x v="27"/>
    <s v=" Kiziba"/>
    <n v="98712"/>
    <n v="3445.0488"/>
    <n v="3948.48"/>
    <n v="2870.8739999999998"/>
    <n v="3290.4"/>
    <n v="5216"/>
    <n v="2146"/>
    <n v="4153"/>
    <n v="3362"/>
    <n v="3782"/>
    <n v="4133"/>
    <n v="3362"/>
    <n v="3592"/>
    <n v="4127"/>
    <n v="3171"/>
    <n v="3770"/>
    <n v="4127"/>
    <n v="3461"/>
    <n v="3782"/>
    <n v="4474"/>
    <n v="527"/>
    <n v="4474"/>
    <n v="3782"/>
    <n v="4452"/>
    <n v="1440"/>
    <n v="891"/>
    <n v="913"/>
    <n v="680"/>
    <n v="616"/>
    <n v="3100"/>
    <n v="41.7"/>
    <n v="100"/>
    <n v="0"/>
    <n v="0"/>
    <n v="4474"/>
  </r>
  <r>
    <s v="Nord Kivu"/>
    <x v="1"/>
    <x v="27"/>
    <s v=" Mudja"/>
    <n v="38657"/>
    <n v="1349.1293000000001"/>
    <n v="1546.28"/>
    <n v="1124.2744166666666"/>
    <n v="1288.5666666666666"/>
    <n v="1798"/>
    <n v="647"/>
    <n v="1444"/>
    <n v="1399"/>
    <n v="1448"/>
    <n v="1374"/>
    <n v="1399"/>
    <n v="1438"/>
    <n v="1444"/>
    <n v="1399"/>
    <n v="1428"/>
    <n v="1258"/>
    <n v="1210"/>
    <n v="1261"/>
    <n v="2139"/>
    <n v="1392"/>
    <n v="2051"/>
    <n v="1536"/>
    <n v="1379"/>
    <n v="388"/>
    <n v="374"/>
    <n v="301"/>
    <n v="279"/>
    <n v="200"/>
    <n v="1154"/>
    <n v="58.3"/>
    <n v="100"/>
    <n v="0"/>
    <n v="0"/>
    <n v="2051"/>
  </r>
  <r>
    <s v="Nord Kivu"/>
    <x v="1"/>
    <x v="27"/>
    <s v=" Munigi"/>
    <n v="34121"/>
    <n v="1190.8229000000001"/>
    <n v="1364.84"/>
    <n v="992.35241666666684"/>
    <n v="1137.3666666666666"/>
    <n v="1886"/>
    <n v="783"/>
    <n v="1729"/>
    <n v="1686"/>
    <n v="1648"/>
    <n v="1729"/>
    <n v="1686"/>
    <n v="1648"/>
    <n v="1729"/>
    <n v="1686"/>
    <n v="1655"/>
    <n v="1731"/>
    <n v="1690"/>
    <n v="1664"/>
    <n v="1466"/>
    <n v="826"/>
    <n v="1466"/>
    <n v="1648"/>
    <n v="1466"/>
    <n v="588"/>
    <n v="486"/>
    <n v="420"/>
    <n v="267"/>
    <n v="279"/>
    <n v="1452"/>
    <n v="41.7"/>
    <n v="100"/>
    <n v="0"/>
    <n v="263"/>
    <n v="1466"/>
  </r>
  <r>
    <s v="Nord Kivu"/>
    <x v="1"/>
    <x v="27"/>
    <s v=" Ngangi III"/>
    <n v="51512"/>
    <n v="1797.7688000000001"/>
    <n v="2060.48"/>
    <n v="1498.1406666666667"/>
    <n v="1717.0666666666668"/>
    <n v="1769"/>
    <n v="423"/>
    <n v="1528"/>
    <n v="1519"/>
    <n v="1511"/>
    <n v="1528"/>
    <n v="1529"/>
    <n v="1515"/>
    <n v="1528"/>
    <n v="1529"/>
    <n v="1511"/>
    <n v="1472"/>
    <n v="1452"/>
    <n v="1362"/>
    <n v="1085"/>
    <n v="658"/>
    <n v="1085"/>
    <n v="1511"/>
    <n v="1201"/>
    <n v="613"/>
    <n v="669"/>
    <n v="432"/>
    <n v="361"/>
    <n v="296"/>
    <n v="1758"/>
    <n v="50"/>
    <n v="100"/>
    <n v="0"/>
    <n v="443"/>
    <n v="1085"/>
  </r>
  <r>
    <s v="Nord Kivu"/>
    <x v="1"/>
    <x v="27"/>
    <s v=" Rusayo"/>
    <n v="12085"/>
    <n v="421.76650000000001"/>
    <n v="483.40000000000003"/>
    <n v="351.47208333333333"/>
    <n v="402.83333333333337"/>
    <n v="1828"/>
    <n v="1221"/>
    <n v="2044"/>
    <n v="2225"/>
    <n v="5708"/>
    <n v="1575"/>
    <n v="1363"/>
    <n v="4020"/>
    <n v="1575"/>
    <n v="1557"/>
    <n v="4169"/>
    <n v="1463"/>
    <n v="1262"/>
    <n v="4348"/>
    <n v="1303"/>
    <n v="6410"/>
    <n v="1313"/>
    <n v="1511"/>
    <n v="1145"/>
    <n v="1108"/>
    <n v="817"/>
    <n v="369"/>
    <n v="183"/>
    <n v="123"/>
    <n v="1492"/>
    <n v="58.3"/>
    <n v="100"/>
    <n v="0"/>
    <n v="272"/>
    <n v="1303"/>
  </r>
  <r>
    <s v="Nord Kivu"/>
    <x v="1"/>
    <x v="27"/>
    <s v=" Turunga"/>
    <n v="59729"/>
    <n v="2084.5421000000001"/>
    <n v="2389.16"/>
    <n v="1737.1184166666669"/>
    <n v="1990.9666666666667"/>
    <n v="2030"/>
    <n v="2630"/>
    <n v="3640"/>
    <n v="3473"/>
    <n v="3516"/>
    <n v="3542"/>
    <n v="3488"/>
    <n v="3509"/>
    <n v="3559"/>
    <n v="3473"/>
    <n v="3509"/>
    <n v="3567"/>
    <n v="3473"/>
    <n v="3486"/>
    <n v="3413"/>
    <n v="980"/>
    <n v="3168"/>
    <n v="3516"/>
    <n v="1191"/>
    <n v="645"/>
    <n v="568"/>
    <n v="510"/>
    <n v="437"/>
    <n v="396"/>
    <n v="1911"/>
    <n v="58.3"/>
    <n v="100"/>
    <n v="0"/>
    <n v="129"/>
    <n v="3168"/>
  </r>
  <r>
    <s v="Nord Kivu"/>
    <x v="0"/>
    <x v="28"/>
    <s v=" Apetina"/>
    <n v="3593"/>
    <n v="125.39570000000001"/>
    <n v="143.72"/>
    <n v="104.49641666666666"/>
    <n v="119.766666666666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Bayeti"/>
    <n v="9826"/>
    <n v="342.92739999999998"/>
    <n v="393.04"/>
    <n v="285.77283333333332"/>
    <n v="327.5333333333333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Bunzumu"/>
    <n v="4308"/>
    <n v="150.3492"/>
    <n v="172.32"/>
    <n v="125.291"/>
    <n v="143.6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Eringeti"/>
    <n v="26421"/>
    <n v="922.09289999999999"/>
    <n v="1056.8399999999999"/>
    <n v="768.41075000000001"/>
    <n v="880.69999999999993"/>
    <n v="580"/>
    <n v="843"/>
    <n v="835"/>
    <n v="764"/>
    <n v="745"/>
    <n v="982"/>
    <n v="885"/>
    <n v="998"/>
    <n v="890"/>
    <n v="680"/>
    <n v="659"/>
    <n v="834"/>
    <n v="634"/>
    <n v="630"/>
    <n v="750"/>
    <n v="139"/>
    <n v="816"/>
    <n v="1068"/>
    <n v="600"/>
    <n v="303"/>
    <n v="257"/>
    <n v="291"/>
    <n v="151"/>
    <n v="164"/>
    <n v="863"/>
    <n v="75"/>
    <n v="100"/>
    <n v="0"/>
    <n v="232"/>
    <n v="750"/>
  </r>
  <r>
    <s v="Nord Kivu"/>
    <x v="0"/>
    <x v="28"/>
    <s v=" Kainama"/>
    <n v="12220"/>
    <n v="426.47800000000001"/>
    <n v="488.8"/>
    <n v="355.39833333333331"/>
    <n v="407.33333333333337"/>
    <n v="228"/>
    <n v="16"/>
    <n v="72"/>
    <n v="68"/>
    <n v="41"/>
    <n v="188"/>
    <n v="141"/>
    <n v="114"/>
    <n v="204"/>
    <n v="157"/>
    <n v="118"/>
    <n v="94"/>
    <n v="98"/>
    <n v="94"/>
    <n v="121"/>
    <n v="21"/>
    <n v="97"/>
    <n v="107"/>
    <n v="52"/>
    <n v="19"/>
    <n v="9"/>
    <n v="3"/>
    <n v="5"/>
    <n v="3"/>
    <n v="20"/>
    <n v="41.7"/>
    <n v="100"/>
    <n v="167.39833333333331"/>
    <n v="67"/>
    <n v="97"/>
  </r>
  <r>
    <s v="Nord Kivu"/>
    <x v="0"/>
    <x v="28"/>
    <s v=" Kithevya"/>
    <n v="5067"/>
    <n v="176.8383"/>
    <n v="202.68"/>
    <n v="147.36525"/>
    <n v="168.9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Kokola"/>
    <n v="4694"/>
    <n v="163.82060000000001"/>
    <n v="187.76"/>
    <n v="136.51716666666667"/>
    <n v="156.46666666666667"/>
    <n v="25"/>
    <s v=""/>
    <n v="20"/>
    <n v="26"/>
    <n v="20"/>
    <n v="30"/>
    <n v="34"/>
    <n v="32"/>
    <n v="30"/>
    <n v="34"/>
    <n v="32"/>
    <n v="25"/>
    <n v="28"/>
    <n v="26"/>
    <n v="20"/>
    <n v="8"/>
    <n v="15"/>
    <n v="26"/>
    <n v="17"/>
    <s v=""/>
    <s v=""/>
    <s v=""/>
    <s v=""/>
    <s v=""/>
    <n v="0"/>
    <n v="25"/>
    <n v="100"/>
    <n v="106.51716666666667"/>
    <n v="10"/>
    <n v="15"/>
  </r>
  <r>
    <s v="Nord Kivu"/>
    <x v="0"/>
    <x v="28"/>
    <s v=" Kukutama"/>
    <n v="5193"/>
    <n v="181.23570000000001"/>
    <n v="207.72"/>
    <n v="151.02975000000001"/>
    <n v="173.1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Liva"/>
    <n v="13172"/>
    <n v="459.70280000000002"/>
    <n v="526.88"/>
    <n v="383.08566666666673"/>
    <n v="439.06666666666666"/>
    <n v="183"/>
    <s v=""/>
    <n v="234"/>
    <n v="246"/>
    <n v="261"/>
    <n v="214"/>
    <n v="272"/>
    <n v="253"/>
    <n v="218"/>
    <n v="226"/>
    <n v="225"/>
    <n v="211"/>
    <n v="229"/>
    <n v="208"/>
    <n v="249"/>
    <n v="104"/>
    <n v="211"/>
    <n v="222"/>
    <n v="223"/>
    <n v="99"/>
    <n v="83"/>
    <n v="70"/>
    <n v="63"/>
    <n v="36"/>
    <n v="252"/>
    <n v="50"/>
    <n v="100"/>
    <n v="169.08566666666673"/>
    <n v="0"/>
    <n v="211"/>
  </r>
  <r>
    <s v="Nord Kivu"/>
    <x v="0"/>
    <x v="28"/>
    <s v=" Mabasele"/>
    <n v="18052"/>
    <n v="630.01480000000004"/>
    <n v="722.08"/>
    <n v="525.01233333333334"/>
    <n v="601.73333333333335"/>
    <n v="409"/>
    <n v="12"/>
    <n v="390"/>
    <n v="423"/>
    <n v="358"/>
    <n v="496"/>
    <n v="495"/>
    <n v="461"/>
    <n v="447"/>
    <n v="469"/>
    <n v="436"/>
    <n v="389"/>
    <n v="397"/>
    <n v="333"/>
    <n v="444"/>
    <n v="86"/>
    <n v="451"/>
    <n v="455"/>
    <n v="419"/>
    <n v="348"/>
    <n v="129"/>
    <n v="21"/>
    <n v="14"/>
    <n v="17"/>
    <n v="181"/>
    <n v="50"/>
    <n v="100"/>
    <n v="29.012333333333345"/>
    <n v="52"/>
    <n v="444"/>
  </r>
  <r>
    <s v="Nord Kivu"/>
    <x v="0"/>
    <x v="28"/>
    <s v=" Maleki"/>
    <n v="4972"/>
    <n v="173.52279999999999"/>
    <n v="198.88"/>
    <n v="144.60233333333332"/>
    <n v="165.73333333333335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Mambabeka"/>
    <n v="25498"/>
    <n v="889.88020000000006"/>
    <n v="1019.9200000000001"/>
    <n v="741.56683333333331"/>
    <n v="849.93333333333339"/>
    <n v="599"/>
    <n v="54"/>
    <n v="569"/>
    <n v="664"/>
    <n v="641"/>
    <n v="717"/>
    <n v="697"/>
    <n v="689"/>
    <n v="690"/>
    <n v="704"/>
    <n v="672"/>
    <n v="950"/>
    <n v="587"/>
    <n v="597"/>
    <n v="765"/>
    <n v="247"/>
    <n v="677"/>
    <n v="657"/>
    <n v="664"/>
    <n v="177"/>
    <n v="105"/>
    <n v="155"/>
    <n v="119"/>
    <n v="92"/>
    <n v="471"/>
    <n v="50"/>
    <n v="100"/>
    <n v="24.566833333333307"/>
    <n v="0"/>
    <n v="677"/>
  </r>
  <r>
    <s v="Nord Kivu"/>
    <x v="0"/>
    <x v="28"/>
    <s v=" Mambabio"/>
    <n v="3260"/>
    <n v="113.774"/>
    <n v="130.4"/>
    <n v="94.811666666666667"/>
    <n v="108.66666666666667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Mambau"/>
    <n v="14139"/>
    <n v="493.4511"/>
    <n v="565.56000000000006"/>
    <n v="411.20925"/>
    <n v="471.3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s v=""/>
    <n v="0"/>
    <s v=""/>
    <n v="100"/>
    <n v="0"/>
    <n v="0"/>
    <n v="0"/>
  </r>
  <r>
    <s v="Nord Kivu"/>
    <x v="0"/>
    <x v="28"/>
    <s v=" Mamove"/>
    <n v="21998"/>
    <n v="767.73019999999997"/>
    <n v="879.92000000000007"/>
    <n v="639.77516666666668"/>
    <n v="733.26666666666665"/>
    <n v="73"/>
    <n v="2"/>
    <n v="110"/>
    <n v="82"/>
    <n v="81"/>
    <n v="119"/>
    <n v="114"/>
    <n v="98"/>
    <n v="118"/>
    <n v="106"/>
    <n v="91"/>
    <n v="96"/>
    <n v="74"/>
    <n v="56"/>
    <n v="86"/>
    <n v="19"/>
    <n v="69"/>
    <n v="115"/>
    <n v="43"/>
    <n v="22"/>
    <n v="18"/>
    <n v="18"/>
    <n v="16"/>
    <n v="21"/>
    <n v="73"/>
    <n v="50"/>
    <n v="100"/>
    <n v="520.77516666666668"/>
    <n v="33"/>
    <n v="69"/>
  </r>
  <r>
    <s v="Nord Kivu"/>
    <x v="0"/>
    <x v="28"/>
    <s v=" Mangboko"/>
    <n v="12860"/>
    <n v="448.81400000000002"/>
    <n v="514.4"/>
    <n v="374.01166666666666"/>
    <n v="428.66666666666669"/>
    <n v="145"/>
    <s v=""/>
    <n v="138"/>
    <n v="113"/>
    <n v="110"/>
    <n v="157"/>
    <n v="136"/>
    <n v="141"/>
    <n v="159"/>
    <n v="132"/>
    <n v="120"/>
    <n v="121"/>
    <n v="83"/>
    <n v="78"/>
    <n v="142"/>
    <n v="17"/>
    <n v="132"/>
    <n v="141"/>
    <n v="142"/>
    <n v="27"/>
    <n v="22"/>
    <n v="18"/>
    <n v="14"/>
    <n v="3"/>
    <n v="57"/>
    <n v="37.5"/>
    <n v="100"/>
    <n v="217.01166666666666"/>
    <n v="15"/>
    <n v="132"/>
  </r>
  <r>
    <s v="Nord Kivu"/>
    <x v="0"/>
    <x v="28"/>
    <s v=" Masosi"/>
    <n v="17177"/>
    <n v="599.47730000000001"/>
    <n v="687.08"/>
    <n v="499.56441666666672"/>
    <n v="572.56666666666672"/>
    <n v="535"/>
    <s v=""/>
    <n v="447"/>
    <n v="498"/>
    <n v="476"/>
    <n v="592"/>
    <n v="597"/>
    <n v="723"/>
    <n v="586"/>
    <n v="552"/>
    <n v="575"/>
    <n v="566"/>
    <n v="603"/>
    <n v="588"/>
    <n v="589"/>
    <n v="176"/>
    <n v="583"/>
    <n v="626"/>
    <n v="535"/>
    <n v="301"/>
    <n v="184"/>
    <n v="42"/>
    <n v="33"/>
    <n v="33"/>
    <n v="292"/>
    <n v="44.4"/>
    <n v="100"/>
    <n v="0"/>
    <n v="3"/>
    <n v="583"/>
  </r>
  <r>
    <s v="Nord Kivu"/>
    <x v="0"/>
    <x v="28"/>
    <s v=" Mavivi"/>
    <n v="18754"/>
    <n v="654.51459999999997"/>
    <n v="750.16"/>
    <n v="545.42883333333327"/>
    <n v="625.13333333333333"/>
    <n v="440"/>
    <n v="227"/>
    <n v="552"/>
    <n v="461"/>
    <n v="383"/>
    <n v="524"/>
    <n v="458"/>
    <n v="434"/>
    <n v="468"/>
    <n v="409"/>
    <n v="386"/>
    <n v="549"/>
    <n v="459"/>
    <n v="366"/>
    <n v="536"/>
    <n v="214"/>
    <n v="494"/>
    <n v="553"/>
    <n v="415"/>
    <n v="154"/>
    <n v="99"/>
    <n v="99"/>
    <n v="52"/>
    <n v="47"/>
    <n v="297"/>
    <n v="83.3"/>
    <n v="100"/>
    <n v="21.428833333333273"/>
    <n v="0"/>
    <n v="494"/>
  </r>
  <r>
    <s v="Nord Kivu"/>
    <x v="0"/>
    <x v="28"/>
    <s v=" Mbau"/>
    <n v="21501"/>
    <n v="750.38490000000002"/>
    <n v="860.04"/>
    <n v="625.32074999999998"/>
    <n v="716.7"/>
    <n v="384"/>
    <n v="72"/>
    <n v="503"/>
    <n v="457"/>
    <n v="488"/>
    <n v="596"/>
    <n v="487"/>
    <n v="534"/>
    <n v="587"/>
    <n v="484"/>
    <n v="534"/>
    <n v="595"/>
    <n v="488"/>
    <n v="528"/>
    <n v="480"/>
    <n v="261"/>
    <n v="485"/>
    <n v="590"/>
    <n v="272"/>
    <n v="974"/>
    <n v="752"/>
    <n v="716"/>
    <n v="38"/>
    <n v="1"/>
    <n v="1507"/>
    <n v="41.7"/>
    <n v="100"/>
    <n v="29.320749999999975"/>
    <n v="116"/>
    <n v="480"/>
  </r>
  <r>
    <s v="Nord Kivu"/>
    <x v="0"/>
    <x v="28"/>
    <s v=" Mbimbi"/>
    <n v="17333"/>
    <n v="604.92169999999999"/>
    <n v="693.32"/>
    <n v="504.10141666666669"/>
    <n v="577.76666666666665"/>
    <n v="475"/>
    <n v="151"/>
    <n v="566"/>
    <n v="571"/>
    <n v="528"/>
    <n v="516"/>
    <n v="546"/>
    <n v="536"/>
    <n v="512"/>
    <n v="504"/>
    <n v="489"/>
    <n v="509"/>
    <n v="503"/>
    <n v="434"/>
    <n v="440"/>
    <n v="101"/>
    <n v="428"/>
    <n v="521"/>
    <n v="417"/>
    <n v="870"/>
    <n v="708"/>
    <n v="138"/>
    <n v="9"/>
    <s v=""/>
    <n v="855"/>
    <n v="50"/>
    <n v="100"/>
    <n v="0"/>
    <n v="76"/>
    <n v="428"/>
  </r>
  <r>
    <s v="Nord Kivu"/>
    <x v="0"/>
    <x v="28"/>
    <s v=" Mbutaba"/>
    <n v="3276"/>
    <n v="114.33240000000001"/>
    <n v="131.04"/>
    <n v="95.277000000000015"/>
    <n v="109.2"/>
    <s v=""/>
    <s v=""/>
    <n v="5"/>
    <n v="1"/>
    <s v=""/>
    <s v=""/>
    <s v=""/>
    <s v=""/>
    <n v="5"/>
    <n v="1"/>
    <s v=""/>
    <s v=""/>
    <s v=""/>
    <s v=""/>
    <s v=""/>
    <s v=""/>
    <s v=""/>
    <n v="1"/>
    <s v=""/>
    <n v="3"/>
    <s v=""/>
    <s v=""/>
    <s v=""/>
    <s v=""/>
    <n v="0"/>
    <n v="41.7"/>
    <n v="100"/>
    <n v="0"/>
    <n v="0"/>
    <n v="0"/>
  </r>
  <r>
    <s v="Nord Kivu"/>
    <x v="0"/>
    <x v="28"/>
    <s v=" Musuku"/>
    <n v="6236"/>
    <n v="217.63640000000001"/>
    <n v="249.44"/>
    <n v="181.36366666666669"/>
    <n v="207.86666666666665"/>
    <n v="9"/>
    <s v=""/>
    <n v="6"/>
    <n v="3"/>
    <n v="1"/>
    <n v="6"/>
    <n v="6"/>
    <n v="3"/>
    <n v="6"/>
    <n v="6"/>
    <n v="2"/>
    <n v="5"/>
    <n v="4"/>
    <n v="2"/>
    <n v="6"/>
    <n v="2"/>
    <n v="6"/>
    <n v="3"/>
    <n v="6"/>
    <n v="13"/>
    <n v="1"/>
    <n v="4"/>
    <s v=""/>
    <s v=""/>
    <n v="5"/>
    <n v="33.299999999999997"/>
    <n v="100"/>
    <n v="175.36366666666669"/>
    <n v="0"/>
    <n v="6"/>
  </r>
  <r>
    <s v="Nord Kivu"/>
    <x v="0"/>
    <x v="28"/>
    <s v=" Pakanza"/>
    <n v="27252"/>
    <n v="951.09479999999996"/>
    <n v="1090.08"/>
    <n v="792.57899999999995"/>
    <n v="908.39999999999986"/>
    <n v="714"/>
    <n v="45"/>
    <n v="1274"/>
    <n v="1204"/>
    <n v="1136"/>
    <n v="1388"/>
    <n v="1297"/>
    <n v="1219"/>
    <n v="1257"/>
    <n v="1383"/>
    <n v="1150"/>
    <n v="1291"/>
    <n v="1200"/>
    <n v="1059"/>
    <n v="1186"/>
    <n v="351"/>
    <n v="1186"/>
    <n v="1107"/>
    <n v="1005"/>
    <n v="257"/>
    <n v="204"/>
    <n v="278"/>
    <n v="200"/>
    <n v="181"/>
    <n v="863"/>
    <n v="41.7"/>
    <n v="100"/>
    <n v="0"/>
    <n v="202"/>
    <n v="1186"/>
  </r>
  <r>
    <s v="Nord Kivu"/>
    <x v="0"/>
    <x v="28"/>
    <s v=" Pasala"/>
    <n v="20406"/>
    <n v="712.1694"/>
    <n v="816.24"/>
    <n v="593.47450000000003"/>
    <n v="680.19999999999993"/>
    <n v="20"/>
    <n v="5"/>
    <n v="55"/>
    <n v="57"/>
    <n v="59"/>
    <n v="55"/>
    <n v="57"/>
    <n v="59"/>
    <n v="55"/>
    <n v="57"/>
    <n v="59"/>
    <n v="45"/>
    <n v="50"/>
    <n v="44"/>
    <n v="23"/>
    <n v="1"/>
    <n v="25"/>
    <n v="201"/>
    <n v="114"/>
    <n v="43"/>
    <n v="28"/>
    <n v="1"/>
    <n v="1"/>
    <n v="3"/>
    <n v="33"/>
    <n v="33.299999999999997"/>
    <n v="100"/>
    <n v="538.47450000000003"/>
    <n v="32"/>
    <n v="23"/>
  </r>
  <r>
    <s v="Nord Kivu"/>
    <x v="0"/>
    <x v="28"/>
    <s v=" Samboko"/>
    <n v="10190"/>
    <n v="355.63100000000003"/>
    <n v="407.6"/>
    <n v="296.35916666666668"/>
    <n v="339.66666666666669"/>
    <n v="84"/>
    <s v=""/>
    <n v="97"/>
    <n v="95"/>
    <n v="85"/>
    <n v="141"/>
    <n v="111"/>
    <n v="101"/>
    <n v="114"/>
    <n v="111"/>
    <n v="101"/>
    <n v="114"/>
    <n v="111"/>
    <n v="100"/>
    <n v="74"/>
    <n v="26"/>
    <n v="74"/>
    <n v="94"/>
    <n v="85"/>
    <n v="40"/>
    <n v="14"/>
    <n v="21"/>
    <n v="14"/>
    <n v="4"/>
    <n v="53"/>
    <n v="16.7"/>
    <n v="100"/>
    <n v="155.35916666666668"/>
    <n v="67"/>
    <n v="74"/>
  </r>
  <r>
    <s v="Nord Kivu"/>
    <x v="0"/>
    <x v="28"/>
    <s v=" Tenambo"/>
    <n v="24503"/>
    <n v="855.15470000000005"/>
    <n v="980.12"/>
    <n v="712.62891666666678"/>
    <n v="816.76666666666665"/>
    <n v="1121"/>
    <s v=""/>
    <n v="1410"/>
    <n v="1347"/>
    <n v="1160"/>
    <n v="1190"/>
    <n v="1221"/>
    <n v="1313"/>
    <n v="1378"/>
    <n v="1295"/>
    <n v="1262"/>
    <n v="1139"/>
    <n v="1180"/>
    <n v="1002"/>
    <n v="1060"/>
    <n v="221"/>
    <n v="980"/>
    <n v="1106"/>
    <n v="694"/>
    <n v="716"/>
    <n v="473"/>
    <n v="444"/>
    <n v="336"/>
    <n v="291"/>
    <n v="1544"/>
    <n v="41.7"/>
    <n v="100"/>
    <n v="0"/>
    <n v="130"/>
    <n v="980"/>
  </r>
  <r>
    <s v="Nord Kivu"/>
    <x v="0"/>
    <x v="28"/>
    <s v=" Totolito"/>
    <n v="5446"/>
    <n v="190.06540000000001"/>
    <n v="217.84"/>
    <n v="158.38783333333333"/>
    <n v="181.53333333333333"/>
    <n v="163"/>
    <n v="15"/>
    <n v="104"/>
    <n v="127"/>
    <n v="98"/>
    <n v="129"/>
    <n v="117"/>
    <n v="90"/>
    <n v="163"/>
    <n v="122"/>
    <n v="99"/>
    <n v="63"/>
    <n v="48"/>
    <n v="32"/>
    <n v="150"/>
    <n v="9"/>
    <n v="140"/>
    <n v="101"/>
    <n v="56"/>
    <n v="44"/>
    <n v="34"/>
    <n v="21"/>
    <n v="13"/>
    <n v="9"/>
    <n v="77"/>
    <n v="41.7"/>
    <n v="100"/>
    <n v="29.387833333333333"/>
    <n v="0"/>
    <n v="140"/>
  </r>
  <r>
    <s v="Nord Kivu"/>
    <x v="1"/>
    <x v="29"/>
    <s v=" Besse"/>
    <n v="11490"/>
    <n v="401.00100000000003"/>
    <n v="459.6"/>
    <n v="334.16750000000002"/>
    <n v="383.00000000000006"/>
    <n v="232"/>
    <n v="44"/>
    <n v="171"/>
    <n v="178"/>
    <n v="179"/>
    <n v="192"/>
    <n v="201"/>
    <n v="204"/>
    <n v="192"/>
    <n v="201"/>
    <n v="204"/>
    <n v="195"/>
    <n v="201"/>
    <n v="205"/>
    <n v="169"/>
    <n v="40"/>
    <n v="132"/>
    <n v="182"/>
    <n v="29"/>
    <n v="79"/>
    <n v="49"/>
    <n v="30"/>
    <n v="25"/>
    <n v="8"/>
    <n v="112"/>
    <n v="58.3"/>
    <n v="100"/>
    <n v="142.16750000000002"/>
    <n v="23"/>
    <n v="132"/>
  </r>
  <r>
    <s v="Nord Kivu"/>
    <x v="1"/>
    <x v="29"/>
    <s v=" Buhimba"/>
    <n v="8087"/>
    <n v="282.23630000000003"/>
    <n v="323.48"/>
    <n v="235.19691666666671"/>
    <n v="269.56666666666666"/>
    <n v="247"/>
    <n v="363"/>
    <n v="242"/>
    <n v="234"/>
    <n v="248"/>
    <n v="239"/>
    <n v="236"/>
    <n v="249"/>
    <n v="239"/>
    <n v="236"/>
    <n v="249"/>
    <n v="239"/>
    <n v="236"/>
    <n v="249"/>
    <n v="232"/>
    <n v="162"/>
    <n v="228"/>
    <n v="249"/>
    <n v="185"/>
    <n v="114"/>
    <n v="84"/>
    <n v="61"/>
    <n v="45"/>
    <n v="32"/>
    <n v="222"/>
    <n v="58.3"/>
    <n v="100"/>
    <n v="0"/>
    <n v="7"/>
    <n v="228"/>
  </r>
  <r>
    <s v="Nord Kivu"/>
    <x v="1"/>
    <x v="29"/>
    <s v=" Bukonde"/>
    <n v="13133"/>
    <n v="458.3417"/>
    <n v="525.32000000000005"/>
    <n v="381.95141666666666"/>
    <n v="437.76666666666671"/>
    <n v="1096"/>
    <n v="998"/>
    <n v="641"/>
    <n v="637"/>
    <n v="640"/>
    <n v="705"/>
    <n v="700"/>
    <n v="702"/>
    <n v="697"/>
    <n v="700"/>
    <n v="702"/>
    <n v="700"/>
    <n v="700"/>
    <n v="702"/>
    <n v="766"/>
    <n v="363"/>
    <n v="705"/>
    <n v="640"/>
    <n v="634"/>
    <n v="516"/>
    <n v="448"/>
    <n v="418"/>
    <n v="399"/>
    <n v="396"/>
    <n v="1661"/>
    <n v="58.3"/>
    <n v="100"/>
    <n v="0"/>
    <n v="0"/>
    <n v="705"/>
  </r>
  <r>
    <s v="Nord Kivu"/>
    <x v="1"/>
    <x v="29"/>
    <s v=" Bukumbirwa"/>
    <n v="8852"/>
    <n v="308.9348"/>
    <n v="354.08"/>
    <n v="257.44566666666668"/>
    <n v="295.06666666666666"/>
    <n v="228"/>
    <n v="400"/>
    <n v="405"/>
    <n v="362"/>
    <n v="362"/>
    <n v="405"/>
    <n v="362"/>
    <n v="362"/>
    <n v="405"/>
    <n v="387"/>
    <n v="362"/>
    <n v="405"/>
    <n v="376"/>
    <n v="362"/>
    <n v="225"/>
    <n v="200"/>
    <n v="272"/>
    <n v="271"/>
    <n v="141"/>
    <n v="332"/>
    <n v="304"/>
    <n v="151"/>
    <n v="105"/>
    <n v="107"/>
    <n v="667"/>
    <n v="58.3"/>
    <n v="100"/>
    <n v="0"/>
    <n v="180"/>
    <n v="225"/>
  </r>
  <r>
    <s v="Nord Kivu"/>
    <x v="1"/>
    <x v="29"/>
    <s v=" Buleusa"/>
    <n v="13905"/>
    <n v="485.28449999999998"/>
    <n v="556.20000000000005"/>
    <n v="404.40374999999995"/>
    <n v="463.5"/>
    <n v="569"/>
    <n v="698"/>
    <n v="576"/>
    <n v="539"/>
    <n v="562"/>
    <n v="576"/>
    <n v="539"/>
    <n v="562"/>
    <n v="576"/>
    <n v="539"/>
    <n v="562"/>
    <n v="576"/>
    <n v="539"/>
    <n v="562"/>
    <n v="526"/>
    <n v="302"/>
    <n v="463"/>
    <n v="483"/>
    <n v="466"/>
    <n v="372"/>
    <n v="306"/>
    <n v="266"/>
    <n v="190"/>
    <n v="144"/>
    <n v="906"/>
    <n v="45.8"/>
    <n v="100"/>
    <n v="0"/>
    <n v="50"/>
    <n v="463"/>
  </r>
  <r>
    <s v="Nord Kivu"/>
    <x v="1"/>
    <x v="29"/>
    <s v=" Kailenge"/>
    <n v="5841"/>
    <n v="203.8509"/>
    <n v="233.64000000000001"/>
    <n v="169.87574999999998"/>
    <n v="194.70000000000002"/>
    <n v="203"/>
    <n v="203"/>
    <n v="219"/>
    <n v="209"/>
    <n v="218"/>
    <n v="221"/>
    <n v="209"/>
    <n v="218"/>
    <n v="221"/>
    <n v="209"/>
    <n v="218"/>
    <n v="221"/>
    <n v="209"/>
    <n v="218"/>
    <n v="173"/>
    <n v="124"/>
    <n v="193"/>
    <n v="218"/>
    <n v="133"/>
    <n v="164"/>
    <n v="127"/>
    <n v="100"/>
    <n v="87"/>
    <n v="84"/>
    <n v="398"/>
    <n v="58.3"/>
    <n v="100"/>
    <n v="0"/>
    <n v="48"/>
    <n v="173"/>
  </r>
  <r>
    <s v="Nord Kivu"/>
    <x v="1"/>
    <x v="29"/>
    <s v=" Kanune"/>
    <n v="8509"/>
    <n v="296.96410000000003"/>
    <n v="340.36"/>
    <n v="247.47008333333338"/>
    <n v="283.63333333333333"/>
    <n v="264"/>
    <n v="177"/>
    <n v="238"/>
    <n v="226"/>
    <n v="226"/>
    <n v="250"/>
    <n v="226"/>
    <n v="226"/>
    <n v="255"/>
    <n v="240"/>
    <n v="251"/>
    <n v="255"/>
    <n v="250"/>
    <n v="251"/>
    <n v="272"/>
    <n v="242"/>
    <n v="208"/>
    <n v="251"/>
    <n v="166"/>
    <n v="150"/>
    <n v="123"/>
    <n v="126"/>
    <n v="115"/>
    <n v="123"/>
    <n v="487"/>
    <n v="58.3"/>
    <n v="100"/>
    <n v="0"/>
    <n v="0"/>
    <n v="208"/>
  </r>
  <r>
    <s v="Nord Kivu"/>
    <x v="1"/>
    <x v="29"/>
    <s v=" Kaseke"/>
    <n v="12305"/>
    <n v="429.44450000000001"/>
    <n v="492.2"/>
    <n v="357.87041666666664"/>
    <n v="410.16666666666663"/>
    <n v="445"/>
    <n v="397"/>
    <n v="351"/>
    <n v="308"/>
    <n v="303"/>
    <n v="323"/>
    <n v="494"/>
    <n v="334"/>
    <n v="367"/>
    <n v="342"/>
    <n v="335"/>
    <n v="367"/>
    <n v="346"/>
    <n v="340"/>
    <n v="372"/>
    <n v="251"/>
    <n v="379"/>
    <n v="265"/>
    <n v="255"/>
    <n v="185"/>
    <n v="174"/>
    <n v="127"/>
    <n v="96"/>
    <n v="149"/>
    <n v="546"/>
    <n v="33.299999999999997"/>
    <n v="100"/>
    <n v="34.870416666666642"/>
    <n v="0"/>
    <n v="372"/>
  </r>
  <r>
    <s v="Nord Kivu"/>
    <x v="1"/>
    <x v="29"/>
    <s v=" Katanga"/>
    <n v="8162"/>
    <n v="284.85379999999998"/>
    <n v="326.48"/>
    <n v="237.37816666666663"/>
    <n v="272.06666666666666"/>
    <n v="209"/>
    <n v="209"/>
    <n v="190"/>
    <n v="201"/>
    <n v="186"/>
    <n v="208"/>
    <n v="211"/>
    <n v="188"/>
    <n v="212"/>
    <n v="201"/>
    <n v="187"/>
    <n v="214"/>
    <n v="208"/>
    <n v="195"/>
    <n v="236"/>
    <n v="42"/>
    <n v="193"/>
    <n v="187"/>
    <n v="122"/>
    <n v="164"/>
    <n v="132"/>
    <n v="117"/>
    <n v="100"/>
    <n v="72"/>
    <n v="421"/>
    <n v="58.3"/>
    <n v="100"/>
    <n v="29.37816666666663"/>
    <n v="0"/>
    <n v="193"/>
  </r>
  <r>
    <s v="Nord Kivu"/>
    <x v="1"/>
    <x v="29"/>
    <s v=" Kateku"/>
    <n v="6990"/>
    <n v="243.95099999999999"/>
    <n v="279.60000000000002"/>
    <n v="203.29249999999999"/>
    <n v="233"/>
    <n v="230"/>
    <n v="230"/>
    <n v="239"/>
    <n v="226"/>
    <n v="243"/>
    <n v="239"/>
    <n v="226"/>
    <n v="243"/>
    <n v="239"/>
    <n v="226"/>
    <n v="243"/>
    <n v="218"/>
    <n v="215"/>
    <n v="211"/>
    <n v="206"/>
    <n v="148"/>
    <n v="205"/>
    <n v="243"/>
    <n v="186"/>
    <n v="97"/>
    <n v="124"/>
    <n v="76"/>
    <n v="43"/>
    <n v="39"/>
    <n v="282"/>
    <n v="58.3"/>
    <n v="100"/>
    <n v="0"/>
    <n v="33"/>
    <n v="205"/>
  </r>
  <r>
    <s v="Nord Kivu"/>
    <x v="1"/>
    <x v="29"/>
    <s v=" Lukala"/>
    <n v="15935"/>
    <n v="556.13149999999996"/>
    <n v="637.4"/>
    <n v="463.44291666666663"/>
    <n v="531.16666666666663"/>
    <n v="630"/>
    <n v="630"/>
    <n v="611"/>
    <n v="528"/>
    <n v="491"/>
    <n v="610"/>
    <n v="529"/>
    <n v="489"/>
    <n v="610"/>
    <n v="529"/>
    <n v="491"/>
    <n v="611"/>
    <n v="529"/>
    <n v="492"/>
    <n v="588"/>
    <n v="374"/>
    <n v="533"/>
    <n v="489"/>
    <n v="419"/>
    <n v="329"/>
    <n v="285"/>
    <n v="222"/>
    <n v="177"/>
    <n v="110"/>
    <n v="794"/>
    <n v="41.7"/>
    <n v="100"/>
    <n v="0"/>
    <n v="22"/>
    <n v="533"/>
  </r>
  <r>
    <s v="Nord Kivu"/>
    <x v="1"/>
    <x v="29"/>
    <s v=" MPety"/>
    <n v="14120"/>
    <n v="492.78800000000001"/>
    <n v="564.80000000000007"/>
    <n v="410.65666666666664"/>
    <n v="470.66666666666669"/>
    <n v="781"/>
    <n v="388"/>
    <n v="618"/>
    <n v="506"/>
    <n v="608"/>
    <n v="675"/>
    <n v="569"/>
    <n v="664"/>
    <n v="675"/>
    <n v="574"/>
    <n v="654"/>
    <n v="674"/>
    <n v="574"/>
    <n v="654"/>
    <n v="509"/>
    <n v="179"/>
    <n v="506"/>
    <n v="587"/>
    <n v="184"/>
    <n v="181"/>
    <n v="118"/>
    <n v="135"/>
    <n v="130"/>
    <n v="134"/>
    <n v="517"/>
    <n v="58.3"/>
    <n v="100"/>
    <n v="0"/>
    <n v="166"/>
    <n v="506"/>
  </r>
  <r>
    <s v="Nord Kivu"/>
    <x v="1"/>
    <x v="29"/>
    <s v=" Mashuta"/>
    <n v="8129"/>
    <n v="283.70210000000003"/>
    <n v="325.16000000000003"/>
    <n v="236.41841666666667"/>
    <n v="270.9666666666667"/>
    <n v="159"/>
    <n v="246"/>
    <n v="290"/>
    <n v="224"/>
    <n v="285"/>
    <n v="293"/>
    <n v="239"/>
    <n v="285"/>
    <n v="292"/>
    <n v="198"/>
    <n v="285"/>
    <n v="287"/>
    <n v="232"/>
    <n v="285"/>
    <n v="246"/>
    <n v="91"/>
    <n v="250"/>
    <n v="252"/>
    <n v="86"/>
    <n v="188"/>
    <n v="155"/>
    <n v="138"/>
    <n v="104"/>
    <n v="72"/>
    <n v="469"/>
    <n v="50"/>
    <n v="100"/>
    <n v="0"/>
    <n v="47"/>
    <n v="246"/>
  </r>
  <r>
    <s v="Nord Kivu"/>
    <x v="1"/>
    <x v="29"/>
    <s v=" Munsanga"/>
    <n v="15465"/>
    <n v="539.72850000000005"/>
    <n v="618.6"/>
    <n v="449.77375000000001"/>
    <n v="515.5"/>
    <n v="295"/>
    <n v="407"/>
    <n v="364"/>
    <n v="346"/>
    <n v="367"/>
    <n v="364"/>
    <n v="346"/>
    <n v="367"/>
    <n v="364"/>
    <n v="346"/>
    <n v="367"/>
    <n v="364"/>
    <n v="346"/>
    <n v="367"/>
    <n v="277"/>
    <n v="234"/>
    <n v="322"/>
    <n v="367"/>
    <n v="186"/>
    <n v="429"/>
    <n v="395"/>
    <n v="365"/>
    <n v="273"/>
    <n v="189"/>
    <n v="1222"/>
    <n v="50"/>
    <n v="100"/>
    <n v="85.773750000000007"/>
    <n v="87"/>
    <n v="277"/>
  </r>
  <r>
    <s v="Nord Kivu"/>
    <x v="1"/>
    <x v="29"/>
    <s v=" Mutongo"/>
    <n v="15165"/>
    <n v="529.25850000000003"/>
    <n v="606.6"/>
    <n v="441.04874999999998"/>
    <n v="505.50000000000006"/>
    <n v="536"/>
    <n v="278"/>
    <n v="307"/>
    <n v="234"/>
    <n v="242"/>
    <n v="322"/>
    <n v="249"/>
    <n v="257"/>
    <n v="322"/>
    <n v="249"/>
    <n v="257"/>
    <n v="322"/>
    <n v="249"/>
    <n v="259"/>
    <n v="287"/>
    <n v="183"/>
    <n v="311"/>
    <n v="242"/>
    <n v="186"/>
    <n v="392"/>
    <n v="264"/>
    <n v="243"/>
    <n v="152"/>
    <n v="69"/>
    <n v="728"/>
    <n v="58.3"/>
    <n v="100"/>
    <n v="119.04874999999998"/>
    <n v="35"/>
    <n v="287"/>
  </r>
  <r>
    <s v="Nord Kivu"/>
    <x v="1"/>
    <x v="29"/>
    <s v=" asa"/>
    <n v="18122"/>
    <n v="632.45780000000002"/>
    <n v="724.88"/>
    <n v="527.0481666666667"/>
    <n v="604.06666666666661"/>
    <n v="601"/>
    <n v="601"/>
    <n v="569"/>
    <n v="527"/>
    <n v="568"/>
    <n v="569"/>
    <n v="529"/>
    <n v="568"/>
    <n v="569"/>
    <n v="527"/>
    <n v="568"/>
    <n v="569"/>
    <n v="527"/>
    <n v="569"/>
    <n v="512"/>
    <n v="103"/>
    <n v="564"/>
    <n v="563"/>
    <n v="162"/>
    <n v="298"/>
    <n v="334"/>
    <n v="305"/>
    <n v="303"/>
    <n v="158"/>
    <n v="1100"/>
    <n v="58.3"/>
    <n v="100"/>
    <n v="0"/>
    <n v="57"/>
    <n v="512"/>
  </r>
  <r>
    <s v="Nord Kivu"/>
    <x v="1"/>
    <x v="29"/>
    <s v=" Oninga"/>
    <n v="15096"/>
    <n v="526.85040000000004"/>
    <n v="603.84"/>
    <n v="439.04200000000003"/>
    <n v="503.2"/>
    <n v="120"/>
    <n v="136"/>
    <n v="128"/>
    <n v="100"/>
    <n v="118"/>
    <n v="128"/>
    <n v="100"/>
    <n v="118"/>
    <n v="128"/>
    <n v="100"/>
    <n v="118"/>
    <n v="128"/>
    <n v="100"/>
    <n v="118"/>
    <n v="58"/>
    <n v="35"/>
    <n v="67"/>
    <n v="118"/>
    <n v="22"/>
    <n v="69"/>
    <n v="29"/>
    <n v="23"/>
    <n v="1"/>
    <s v=""/>
    <n v="53"/>
    <n v="45.8"/>
    <n v="100"/>
    <n v="311.04200000000003"/>
    <n v="70"/>
    <n v="58"/>
  </r>
  <r>
    <s v="Nord Kivu"/>
    <x v="1"/>
    <x v="29"/>
    <s v=" Rungoma"/>
    <n v="5899"/>
    <n v="205.8751"/>
    <n v="235.96"/>
    <n v="171.56258333333335"/>
    <n v="196.63333333333333"/>
    <n v="160"/>
    <n v="149"/>
    <n v="164"/>
    <n v="151"/>
    <n v="146"/>
    <n v="155"/>
    <n v="183"/>
    <n v="146"/>
    <n v="164"/>
    <n v="150"/>
    <n v="146"/>
    <n v="164"/>
    <n v="151"/>
    <n v="147"/>
    <n v="153"/>
    <n v="119"/>
    <n v="151"/>
    <n v="146"/>
    <n v="124"/>
    <n v="119"/>
    <n v="99"/>
    <n v="78"/>
    <n v="63"/>
    <n v="46"/>
    <n v="286"/>
    <n v="58.3"/>
    <n v="100"/>
    <n v="16.56258333333335"/>
    <n v="2"/>
    <n v="151"/>
  </r>
  <r>
    <s v="Nord Kivu"/>
    <x v="1"/>
    <x v="29"/>
    <s v=" Rusamambu"/>
    <n v="10093"/>
    <n v="352.2457"/>
    <n v="403.72"/>
    <n v="293.53808333333336"/>
    <n v="336.43333333333339"/>
    <n v="319"/>
    <n v="497"/>
    <n v="497"/>
    <n v="423"/>
    <n v="498"/>
    <n v="516"/>
    <n v="452"/>
    <n v="527"/>
    <n v="526"/>
    <n v="452"/>
    <n v="527"/>
    <n v="526"/>
    <n v="452"/>
    <n v="527"/>
    <n v="560"/>
    <n v="421"/>
    <n v="442"/>
    <n v="527"/>
    <n v="342"/>
    <n v="271"/>
    <n v="208"/>
    <n v="225"/>
    <n v="180"/>
    <n v="169"/>
    <n v="782"/>
    <n v="50"/>
    <n v="100"/>
    <n v="0"/>
    <n v="0"/>
    <n v="442"/>
  </r>
  <r>
    <s v="Nord Kivu"/>
    <x v="1"/>
    <x v="30"/>
    <s v=" Biruma"/>
    <n v="11129"/>
    <n v="388.40210000000002"/>
    <n v="445.16"/>
    <n v="323.66841666666664"/>
    <n v="370.9666666666667"/>
    <n v="343"/>
    <n v="181"/>
    <n v="329"/>
    <n v="332"/>
    <n v="316"/>
    <n v="357"/>
    <n v="355"/>
    <n v="348"/>
    <n v="357"/>
    <n v="357"/>
    <n v="347"/>
    <n v="357"/>
    <n v="355"/>
    <n v="341"/>
    <n v="342"/>
    <n v="99"/>
    <n v="319"/>
    <n v="344"/>
    <n v="336"/>
    <n v="157"/>
    <n v="97"/>
    <n v="124"/>
    <n v="87"/>
    <n v="77"/>
    <n v="385"/>
    <n v="58.3"/>
    <n v="100"/>
    <n v="0"/>
    <n v="15"/>
    <n v="319"/>
  </r>
  <r>
    <s v="Nord Kivu"/>
    <x v="1"/>
    <x v="30"/>
    <s v=" Bunyereza"/>
    <n v="5632"/>
    <n v="196.55680000000001"/>
    <n v="225.28"/>
    <n v="163.79733333333334"/>
    <n v="187.73333333333335"/>
    <n v="171"/>
    <n v="160"/>
    <n v="185"/>
    <n v="182"/>
    <n v="169"/>
    <n v="185"/>
    <n v="183"/>
    <n v="169"/>
    <n v="185"/>
    <n v="176"/>
    <n v="169"/>
    <n v="185"/>
    <n v="183"/>
    <n v="169"/>
    <n v="176"/>
    <n v="195"/>
    <n v="176"/>
    <n v="171"/>
    <n v="176"/>
    <n v="160"/>
    <n v="122"/>
    <n v="113"/>
    <n v="98"/>
    <n v="68"/>
    <n v="401"/>
    <n v="58.3"/>
    <n v="100"/>
    <n v="0"/>
    <n v="9"/>
    <n v="176"/>
  </r>
  <r>
    <s v="Nord Kivu"/>
    <x v="1"/>
    <x v="30"/>
    <s v=" Buturande"/>
    <n v="22598"/>
    <n v="788.67020000000002"/>
    <n v="903.92000000000007"/>
    <n v="657.22516666666661"/>
    <n v="753.26666666666665"/>
    <n v="858"/>
    <n v="112"/>
    <n v="735"/>
    <n v="1364"/>
    <n v="619"/>
    <n v="723"/>
    <n v="704"/>
    <n v="692"/>
    <n v="723"/>
    <n v="704"/>
    <n v="692"/>
    <n v="723"/>
    <n v="704"/>
    <n v="692"/>
    <n v="728"/>
    <n v="693"/>
    <n v="726"/>
    <n v="692"/>
    <n v="728"/>
    <n v="162"/>
    <n v="154"/>
    <n v="143"/>
    <n v="132"/>
    <n v="336"/>
    <n v="765"/>
    <n v="58.3"/>
    <n v="100"/>
    <n v="0"/>
    <n v="0"/>
    <n v="726"/>
  </r>
  <r>
    <s v="Nord Kivu"/>
    <x v="1"/>
    <x v="30"/>
    <s v=" Kakomero"/>
    <n v="11065"/>
    <n v="386.16849999999999"/>
    <n v="442.6"/>
    <n v="321.80708333333337"/>
    <n v="368.83333333333331"/>
    <n v="252"/>
    <n v="252"/>
    <n v="350"/>
    <n v="320"/>
    <n v="300"/>
    <n v="350"/>
    <n v="320"/>
    <n v="300"/>
    <n v="350"/>
    <n v="320"/>
    <n v="300"/>
    <n v="350"/>
    <n v="320"/>
    <n v="300"/>
    <n v="277"/>
    <n v="87"/>
    <n v="277"/>
    <n v="300"/>
    <n v="116"/>
    <n v="178"/>
    <n v="166"/>
    <n v="141"/>
    <n v="103"/>
    <n v="96"/>
    <n v="506"/>
    <n v="58.3"/>
    <n v="100"/>
    <n v="0"/>
    <n v="73"/>
    <n v="277"/>
  </r>
  <r>
    <s v="Nord Kivu"/>
    <x v="1"/>
    <x v="30"/>
    <s v=" Kalengera"/>
    <n v="18226"/>
    <n v="636.0874"/>
    <n v="729.04"/>
    <n v="530.07283333333339"/>
    <n v="607.5333333333333"/>
    <n v="552"/>
    <n v="550"/>
    <n v="608"/>
    <n v="597"/>
    <n v="547"/>
    <n v="734"/>
    <n v="721"/>
    <n v="711"/>
    <n v="734"/>
    <n v="721"/>
    <n v="711"/>
    <n v="734"/>
    <n v="721"/>
    <n v="711"/>
    <n v="754"/>
    <n v="630"/>
    <n v="754"/>
    <n v="539"/>
    <n v="560"/>
    <n v="197"/>
    <n v="152"/>
    <n v="185"/>
    <n v="154"/>
    <n v="174"/>
    <n v="665"/>
    <n v="58.3"/>
    <n v="100"/>
    <n v="0"/>
    <n v="0"/>
    <n v="754"/>
  </r>
  <r>
    <s v="Nord Kivu"/>
    <x v="1"/>
    <x v="30"/>
    <s v=" Katale"/>
    <n v="8363"/>
    <n v="291.86869999999999"/>
    <n v="334.52"/>
    <n v="243.22391666666664"/>
    <n v="278.76666666666665"/>
    <n v="276"/>
    <n v="286"/>
    <n v="295"/>
    <n v="277"/>
    <n v="267"/>
    <n v="264"/>
    <n v="251"/>
    <n v="244"/>
    <n v="292"/>
    <n v="278"/>
    <n v="269"/>
    <n v="292"/>
    <n v="279"/>
    <n v="269"/>
    <n v="299"/>
    <n v="139"/>
    <n v="300"/>
    <n v="271"/>
    <n v="199"/>
    <n v="174"/>
    <n v="137"/>
    <n v="118"/>
    <n v="101"/>
    <n v="87"/>
    <n v="443"/>
    <n v="58.3"/>
    <n v="100"/>
    <n v="0"/>
    <n v="0"/>
    <n v="299"/>
  </r>
  <r>
    <s v="Nord Kivu"/>
    <x v="1"/>
    <x v="30"/>
    <s v=" Kibututu"/>
    <n v="9047"/>
    <n v="315.74029999999999"/>
    <n v="361.88"/>
    <n v="263.11691666666667"/>
    <n v="301.56666666666666"/>
    <n v="398"/>
    <n v="159"/>
    <n v="321"/>
    <n v="302"/>
    <n v="297"/>
    <n v="321"/>
    <n v="302"/>
    <n v="297"/>
    <n v="321"/>
    <n v="302"/>
    <n v="297"/>
    <n v="321"/>
    <n v="302"/>
    <n v="297"/>
    <n v="267"/>
    <n v="257"/>
    <n v="267"/>
    <n v="297"/>
    <n v="250"/>
    <n v="67"/>
    <n v="38"/>
    <n v="58"/>
    <n v="49"/>
    <n v="43"/>
    <n v="188"/>
    <n v="58.3"/>
    <n v="100"/>
    <n v="0"/>
    <n v="54"/>
    <n v="267"/>
  </r>
  <r>
    <s v="Nord Kivu"/>
    <x v="1"/>
    <x v="30"/>
    <s v=" Kinyandonyi"/>
    <n v="37542"/>
    <n v="1310.2157999999999"/>
    <n v="1501.68"/>
    <n v="1091.8464999999999"/>
    <n v="1251.4000000000001"/>
    <n v="1161"/>
    <n v="457"/>
    <n v="857"/>
    <n v="810"/>
    <n v="782"/>
    <n v="857"/>
    <n v="819"/>
    <n v="795"/>
    <n v="857"/>
    <n v="819"/>
    <n v="795"/>
    <n v="857"/>
    <n v="839"/>
    <n v="795"/>
    <n v="1169"/>
    <n v="358"/>
    <n v="1169"/>
    <n v="770"/>
    <n v="1169"/>
    <n v="284"/>
    <n v="191"/>
    <n v="210"/>
    <n v="191"/>
    <n v="435"/>
    <n v="1027"/>
    <n v="58.3"/>
    <n v="100"/>
    <n v="234.84649999999988"/>
    <n v="0"/>
    <n v="1169"/>
  </r>
  <r>
    <s v="Nord Kivu"/>
    <x v="1"/>
    <x v="30"/>
    <s v=" Kiwanja"/>
    <n v="17004"/>
    <n v="593.43960000000004"/>
    <n v="680.16"/>
    <n v="494.53300000000007"/>
    <n v="566.79999999999995"/>
    <n v="480"/>
    <n v="108"/>
    <n v="375"/>
    <n v="376"/>
    <n v="364"/>
    <n v="421"/>
    <n v="418"/>
    <n v="406"/>
    <n v="421"/>
    <n v="418"/>
    <n v="406"/>
    <n v="421"/>
    <n v="418"/>
    <n v="406"/>
    <n v="423"/>
    <n v="247"/>
    <n v="423"/>
    <n v="406"/>
    <n v="423"/>
    <n v="163"/>
    <n v="191"/>
    <n v="130"/>
    <n v="92"/>
    <n v="63"/>
    <n v="476"/>
    <n v="58.3"/>
    <n v="100"/>
    <n v="73.533000000000072"/>
    <n v="0"/>
    <n v="423"/>
  </r>
  <r>
    <s v="Nord Kivu"/>
    <x v="1"/>
    <x v="30"/>
    <s v=" Mabungo"/>
    <n v="24311"/>
    <n v="848.45389999999998"/>
    <n v="972.44"/>
    <n v="707.04491666666672"/>
    <n v="810.36666666666679"/>
    <n v="960"/>
    <n v="605"/>
    <n v="875"/>
    <n v="840"/>
    <n v="823"/>
    <n v="980"/>
    <n v="942"/>
    <n v="922"/>
    <n v="980"/>
    <n v="942"/>
    <n v="922"/>
    <n v="927"/>
    <n v="888"/>
    <n v="867"/>
    <n v="839"/>
    <n v="622"/>
    <n v="839"/>
    <n v="889"/>
    <n v="839"/>
    <n v="252"/>
    <n v="245"/>
    <n v="196"/>
    <n v="173"/>
    <n v="191"/>
    <n v="805"/>
    <n v="58.3"/>
    <n v="100"/>
    <n v="0"/>
    <n v="141"/>
    <n v="839"/>
  </r>
  <r>
    <s v="Nord Kivu"/>
    <x v="1"/>
    <x v="30"/>
    <s v=" Mapendo"/>
    <n v="26569"/>
    <n v="927.25810000000001"/>
    <n v="1062.76"/>
    <n v="772.71508333333327"/>
    <n v="885.63333333333333"/>
    <n v="1123"/>
    <n v="770"/>
    <n v="815"/>
    <n v="818"/>
    <n v="797"/>
    <n v="863"/>
    <n v="843"/>
    <n v="813"/>
    <n v="863"/>
    <n v="845"/>
    <n v="813"/>
    <n v="863"/>
    <n v="843"/>
    <n v="813"/>
    <n v="869"/>
    <n v="879"/>
    <n v="869"/>
    <n v="813"/>
    <n v="869"/>
    <n v="177"/>
    <n v="222"/>
    <n v="229"/>
    <n v="192"/>
    <n v="203"/>
    <n v="846"/>
    <n v="58.3"/>
    <n v="100"/>
    <n v="0"/>
    <n v="0"/>
    <n v="869"/>
  </r>
  <r>
    <s v="Nord Kivu"/>
    <x v="1"/>
    <x v="30"/>
    <s v=" Murambi"/>
    <n v="29141"/>
    <n v="1017.0209"/>
    <n v="1165.6400000000001"/>
    <n v="847.51741666666658"/>
    <n v="971.36666666666667"/>
    <n v="978"/>
    <n v="417"/>
    <n v="681"/>
    <n v="618"/>
    <n v="634"/>
    <n v="892"/>
    <n v="855"/>
    <n v="847"/>
    <n v="892"/>
    <n v="855"/>
    <n v="847"/>
    <n v="892"/>
    <n v="855"/>
    <n v="847"/>
    <n v="813"/>
    <n v="51"/>
    <n v="813"/>
    <n v="847"/>
    <n v="734"/>
    <n v="131"/>
    <n v="122"/>
    <n v="156"/>
    <n v="186"/>
    <n v="342"/>
    <n v="806"/>
    <n v="58.3"/>
    <n v="100"/>
    <n v="0"/>
    <n v="79"/>
    <n v="813"/>
  </r>
  <r>
    <s v="Nord Kivu"/>
    <x v="1"/>
    <x v="30"/>
    <s v=" Rubare"/>
    <n v="39522"/>
    <n v="1379.3178"/>
    <n v="1580.88"/>
    <n v="1149.4315000000001"/>
    <n v="1317.4"/>
    <n v="1028"/>
    <n v="802"/>
    <n v="1044"/>
    <n v="1037"/>
    <n v="1016"/>
    <n v="1156"/>
    <n v="1145"/>
    <n v="1124"/>
    <n v="1156"/>
    <n v="1142"/>
    <n v="1124"/>
    <n v="1156"/>
    <n v="1142"/>
    <n v="1126"/>
    <n v="1146"/>
    <n v="1053"/>
    <n v="1038"/>
    <n v="1028"/>
    <n v="1051"/>
    <n v="1105"/>
    <n v="934"/>
    <n v="327"/>
    <n v="140"/>
    <n v="109"/>
    <n v="1510"/>
    <n v="58.3"/>
    <n v="100"/>
    <n v="0"/>
    <n v="10"/>
    <n v="1038"/>
  </r>
  <r>
    <s v="Nord Kivu"/>
    <x v="1"/>
    <x v="30"/>
    <s v=" Rugari"/>
    <n v="30453"/>
    <n v="1062.8097"/>
    <n v="1218.1200000000001"/>
    <n v="885.67475000000002"/>
    <n v="1015.1"/>
    <n v="768"/>
    <n v="35"/>
    <n v="651"/>
    <n v="645"/>
    <n v="631"/>
    <n v="651"/>
    <n v="645"/>
    <n v="631"/>
    <n v="651"/>
    <n v="645"/>
    <n v="633"/>
    <n v="651"/>
    <n v="588"/>
    <n v="573"/>
    <n v="546"/>
    <n v="42"/>
    <n v="496"/>
    <n v="641"/>
    <n v="556"/>
    <n v="346"/>
    <n v="348"/>
    <n v="342"/>
    <n v="260"/>
    <n v="434"/>
    <n v="1384"/>
    <n v="58.3"/>
    <n v="100"/>
    <n v="234.67475000000002"/>
    <n v="105"/>
    <n v="496"/>
  </r>
  <r>
    <s v="Nord Kivu"/>
    <x v="1"/>
    <x v="30"/>
    <s v=" Rutshuru"/>
    <n v="24772"/>
    <n v="864.54280000000006"/>
    <n v="990.88"/>
    <n v="720.4523333333334"/>
    <n v="825.73333333333335"/>
    <n v="1351"/>
    <n v="771"/>
    <n v="872"/>
    <n v="844"/>
    <n v="817"/>
    <n v="929"/>
    <n v="907"/>
    <n v="885"/>
    <n v="929"/>
    <n v="907"/>
    <n v="885"/>
    <n v="914"/>
    <n v="891"/>
    <n v="869"/>
    <n v="960"/>
    <n v="644"/>
    <n v="848"/>
    <n v="826"/>
    <n v="861"/>
    <n v="262"/>
    <n v="270"/>
    <n v="238"/>
    <n v="234"/>
    <n v="227"/>
    <n v="969"/>
    <n v="58.3"/>
    <n v="100"/>
    <n v="0"/>
    <n v="0"/>
    <n v="848"/>
  </r>
  <r>
    <s v="Nord Kivu"/>
    <x v="1"/>
    <x v="30"/>
    <s v=" Umoja"/>
    <n v="14865"/>
    <n v="518.7885"/>
    <n v="594.6"/>
    <n v="432.32374999999996"/>
    <n v="495.50000000000006"/>
    <n v="774"/>
    <n v="384"/>
    <n v="481"/>
    <n v="448"/>
    <n v="448"/>
    <n v="494"/>
    <n v="493"/>
    <n v="476"/>
    <n v="494"/>
    <n v="471"/>
    <n v="476"/>
    <n v="494"/>
    <n v="468"/>
    <n v="476"/>
    <n v="542"/>
    <n v="207"/>
    <n v="537"/>
    <n v="475"/>
    <n v="546"/>
    <n v="104"/>
    <n v="93"/>
    <n v="158"/>
    <n v="115"/>
    <n v="134"/>
    <n v="500"/>
    <n v="50"/>
    <n v="100"/>
    <n v="0"/>
    <n v="0"/>
    <n v="537"/>
  </r>
  <r>
    <s v="Nord Kivu"/>
    <x v="1"/>
    <x v="31"/>
    <s v=" Bugusa"/>
    <n v="19507"/>
    <n v="680.79430000000002"/>
    <n v="780.28"/>
    <n v="567.32858333333331"/>
    <n v="650.23333333333323"/>
    <n v="535"/>
    <n v="232"/>
    <n v="596"/>
    <n v="607"/>
    <n v="431"/>
    <n v="513"/>
    <n v="511"/>
    <n v="528"/>
    <n v="512"/>
    <n v="492"/>
    <n v="522"/>
    <n v="551"/>
    <n v="515"/>
    <n v="439"/>
    <n v="515"/>
    <n v="146"/>
    <n v="386"/>
    <n v="499"/>
    <n v="317"/>
    <n v="359"/>
    <n v="260"/>
    <n v="112"/>
    <n v="51"/>
    <n v="47"/>
    <n v="470"/>
    <n v="58.3"/>
    <n v="100"/>
    <n v="54.328583333333313"/>
    <n v="0"/>
    <n v="386"/>
  </r>
  <r>
    <s v="Nord Kivu"/>
    <x v="1"/>
    <x v="31"/>
    <s v=" Bunagana"/>
    <n v="23792"/>
    <n v="830.34080000000006"/>
    <n v="951.68000000000006"/>
    <n v="691.95066666666673"/>
    <n v="793.06666666666672"/>
    <n v="689"/>
    <n v="317"/>
    <n v="620"/>
    <n v="525"/>
    <n v="512"/>
    <n v="667"/>
    <n v="568"/>
    <n v="528"/>
    <n v="586"/>
    <n v="471"/>
    <n v="476"/>
    <n v="443"/>
    <n v="348"/>
    <n v="398"/>
    <n v="363"/>
    <n v="129"/>
    <n v="400"/>
    <n v="563"/>
    <n v="422"/>
    <n v="718"/>
    <n v="569"/>
    <n v="428"/>
    <n v="187"/>
    <s v=""/>
    <n v="1184"/>
    <n v="58.3"/>
    <n v="100"/>
    <n v="24.950666666666734"/>
    <n v="304"/>
    <n v="363"/>
  </r>
  <r>
    <s v="Nord Kivu"/>
    <x v="1"/>
    <x v="31"/>
    <s v=" Kabaya"/>
    <n v="32476"/>
    <n v="1133.4123999999999"/>
    <n v="1299.04"/>
    <n v="944.51033333333328"/>
    <n v="1082.5333333333333"/>
    <n v="527"/>
    <n v="316"/>
    <n v="802"/>
    <n v="709"/>
    <n v="779"/>
    <n v="795"/>
    <n v="690"/>
    <n v="664"/>
    <n v="812"/>
    <n v="709"/>
    <n v="784"/>
    <n v="733"/>
    <n v="626"/>
    <n v="695"/>
    <n v="534"/>
    <n v="274"/>
    <n v="465"/>
    <n v="779"/>
    <n v="501"/>
    <n v="456"/>
    <n v="374"/>
    <n v="236"/>
    <n v="140"/>
    <n v="92"/>
    <n v="842"/>
    <n v="54.2"/>
    <n v="100"/>
    <n v="149.51033333333328"/>
    <n v="261"/>
    <n v="465"/>
  </r>
  <r>
    <s v="Nord Kivu"/>
    <x v="1"/>
    <x v="31"/>
    <s v=" Kabonero"/>
    <n v="8700"/>
    <n v="303.63"/>
    <n v="348"/>
    <n v="253.02499999999998"/>
    <n v="290"/>
    <n v="250"/>
    <n v="180"/>
    <n v="310"/>
    <n v="262"/>
    <n v="226"/>
    <n v="289"/>
    <n v="265"/>
    <n v="277"/>
    <n v="277"/>
    <n v="232"/>
    <n v="203"/>
    <n v="279"/>
    <n v="223"/>
    <n v="176"/>
    <n v="216"/>
    <n v="24"/>
    <n v="195"/>
    <n v="259"/>
    <n v="168"/>
    <n v="138"/>
    <n v="132"/>
    <n v="65"/>
    <n v="64"/>
    <n v="36"/>
    <n v="297"/>
    <n v="58.3"/>
    <n v="100"/>
    <n v="0"/>
    <n v="73"/>
    <n v="195"/>
  </r>
  <r>
    <s v="Nord Kivu"/>
    <x v="1"/>
    <x v="31"/>
    <s v=" Kakondo"/>
    <n v="8359"/>
    <n v="291.72910000000002"/>
    <n v="334.36"/>
    <n v="243.10758333333337"/>
    <n v="278.63333333333333"/>
    <n v="297"/>
    <n v="332"/>
    <n v="276"/>
    <n v="276"/>
    <n v="266"/>
    <n v="253"/>
    <n v="260"/>
    <n v="253"/>
    <n v="261"/>
    <n v="276"/>
    <n v="266"/>
    <n v="223"/>
    <n v="237"/>
    <n v="234"/>
    <n v="262"/>
    <n v="111"/>
    <n v="224"/>
    <n v="266"/>
    <n v="266"/>
    <n v="278"/>
    <n v="251"/>
    <n v="262"/>
    <s v=""/>
    <s v=""/>
    <n v="513"/>
    <n v="58.3"/>
    <n v="100"/>
    <n v="0"/>
    <n v="0"/>
    <n v="224"/>
  </r>
  <r>
    <s v="Nord Kivu"/>
    <x v="1"/>
    <x v="31"/>
    <s v=" Kamira "/>
    <n v="8702"/>
    <n v="303.69979999999998"/>
    <n v="348.08"/>
    <n v="253.08316666666667"/>
    <n v="290.06666666666666"/>
    <n v="358"/>
    <n v="159"/>
    <n v="260"/>
    <n v="255"/>
    <n v="246"/>
    <n v="265"/>
    <n v="261"/>
    <n v="239"/>
    <n v="251"/>
    <n v="237"/>
    <n v="229"/>
    <n v="239"/>
    <n v="227"/>
    <n v="219"/>
    <n v="204"/>
    <n v="105"/>
    <n v="218"/>
    <n v="228"/>
    <n v="196"/>
    <n v="171"/>
    <n v="152"/>
    <n v="41"/>
    <n v="5"/>
    <n v="3"/>
    <n v="201"/>
    <n v="58.3"/>
    <n v="100"/>
    <n v="0"/>
    <n v="61"/>
    <n v="204"/>
  </r>
  <r>
    <s v="Nord Kivu"/>
    <x v="1"/>
    <x v="31"/>
    <s v=" Kanombe"/>
    <n v="10023"/>
    <n v="349.80270000000002"/>
    <n v="400.92"/>
    <n v="291.50225"/>
    <n v="334.1"/>
    <n v="138"/>
    <n v="211"/>
    <n v="260"/>
    <n v="198"/>
    <n v="192"/>
    <n v="231"/>
    <n v="177"/>
    <n v="168"/>
    <n v="254"/>
    <n v="197"/>
    <n v="185"/>
    <n v="252"/>
    <n v="183"/>
    <n v="173"/>
    <n v="163"/>
    <n v="93"/>
    <n v="145"/>
    <n v="148"/>
    <n v="126"/>
    <n v="215"/>
    <n v="102"/>
    <n v="50"/>
    <n v="2"/>
    <n v="1"/>
    <n v="155"/>
    <n v="58.3"/>
    <n v="100"/>
    <n v="60.502250000000004"/>
    <n v="68"/>
    <n v="145"/>
  </r>
  <r>
    <s v="Nord Kivu"/>
    <x v="1"/>
    <x v="31"/>
    <s v=" Karambi"/>
    <n v="23722"/>
    <n v="827.89779999999996"/>
    <n v="948.88"/>
    <n v="689.91483333333338"/>
    <n v="790.73333333333335"/>
    <n v="751"/>
    <n v="306"/>
    <n v="600"/>
    <n v="563"/>
    <n v="569"/>
    <n v="582"/>
    <n v="552"/>
    <n v="551"/>
    <n v="558"/>
    <n v="522"/>
    <n v="517"/>
    <n v="484"/>
    <n v="448"/>
    <n v="434"/>
    <n v="526"/>
    <n v="201"/>
    <n v="505"/>
    <n v="482"/>
    <n v="383"/>
    <n v="131"/>
    <n v="121"/>
    <n v="70"/>
    <n v="50"/>
    <n v="29"/>
    <n v="270"/>
    <n v="54.2"/>
    <n v="100"/>
    <n v="107.91483333333338"/>
    <n v="56"/>
    <n v="505"/>
  </r>
  <r>
    <s v="Nord Kivu"/>
    <x v="1"/>
    <x v="31"/>
    <s v=" Kazuba"/>
    <n v="8695"/>
    <n v="303.45550000000003"/>
    <n v="347.8"/>
    <n v="252.87958333333336"/>
    <n v="289.83333333333337"/>
    <n v="182"/>
    <n v="281"/>
    <n v="258"/>
    <n v="236"/>
    <n v="236"/>
    <n v="257"/>
    <n v="248"/>
    <n v="252"/>
    <n v="257"/>
    <n v="248"/>
    <n v="244"/>
    <n v="257"/>
    <n v="248"/>
    <n v="247"/>
    <n v="246"/>
    <n v="115"/>
    <n v="221"/>
    <n v="250"/>
    <n v="121"/>
    <n v="69"/>
    <n v="73"/>
    <n v="89"/>
    <n v="59"/>
    <n v="36"/>
    <n v="257"/>
    <n v="58.3"/>
    <n v="100"/>
    <n v="0"/>
    <n v="11"/>
    <n v="221"/>
  </r>
  <r>
    <s v="Nord Kivu"/>
    <x v="1"/>
    <x v="31"/>
    <s v=" Matebe"/>
    <n v="10807"/>
    <n v="377.16430000000003"/>
    <n v="432.28000000000003"/>
    <n v="314.30358333333334"/>
    <n v="360.23333333333335"/>
    <n v="480"/>
    <n v="365"/>
    <n v="411"/>
    <n v="392"/>
    <n v="439"/>
    <n v="354"/>
    <n v="331"/>
    <n v="404"/>
    <n v="349"/>
    <n v="329"/>
    <n v="346"/>
    <n v="297"/>
    <n v="278"/>
    <n v="225"/>
    <n v="337"/>
    <n v="365"/>
    <n v="379"/>
    <n v="371"/>
    <n v="342"/>
    <n v="317"/>
    <n v="196"/>
    <n v="49"/>
    <n v="40"/>
    <n v="32"/>
    <n v="317"/>
    <n v="58.3"/>
    <n v="100"/>
    <n v="0"/>
    <n v="17"/>
    <n v="337"/>
  </r>
  <r>
    <s v="Nord Kivu"/>
    <x v="1"/>
    <x v="31"/>
    <s v=" Mutabo"/>
    <n v="8908"/>
    <n v="310.88920000000002"/>
    <n v="356.32"/>
    <n v="259.07433333333336"/>
    <n v="296.93333333333334"/>
    <n v="159"/>
    <n v="134"/>
    <n v="206"/>
    <n v="179"/>
    <n v="187"/>
    <n v="203"/>
    <n v="198"/>
    <n v="170"/>
    <n v="194"/>
    <n v="202"/>
    <n v="185"/>
    <n v="153"/>
    <n v="149"/>
    <n v="155"/>
    <n v="226"/>
    <n v="114"/>
    <n v="171"/>
    <n v="150"/>
    <n v="156"/>
    <n v="46"/>
    <n v="22"/>
    <n v="27"/>
    <n v="20"/>
    <n v="15"/>
    <n v="84"/>
    <n v="58.3"/>
    <n v="100"/>
    <n v="56.074333333333357"/>
    <n v="0"/>
    <n v="171"/>
  </r>
  <r>
    <s v="Nord Kivu"/>
    <x v="1"/>
    <x v="31"/>
    <s v=" okwe"/>
    <n v="7147"/>
    <n v="249.43030000000002"/>
    <n v="285.88"/>
    <n v="207.85858333333334"/>
    <n v="238.23333333333335"/>
    <n v="237"/>
    <n v="188"/>
    <n v="191"/>
    <n v="178"/>
    <n v="190"/>
    <n v="184"/>
    <n v="179"/>
    <n v="186"/>
    <n v="176"/>
    <n v="162"/>
    <n v="188"/>
    <n v="127"/>
    <n v="126"/>
    <n v="135"/>
    <n v="206"/>
    <n v="152"/>
    <n v="238"/>
    <n v="191"/>
    <n v="100"/>
    <n v="74"/>
    <n v="69"/>
    <n v="30"/>
    <n v="16"/>
    <n v="45"/>
    <n v="160"/>
    <n v="50"/>
    <n v="100"/>
    <n v="23.858583333333343"/>
    <n v="0"/>
    <n v="206"/>
  </r>
  <r>
    <s v="Nord Kivu"/>
    <x v="1"/>
    <x v="31"/>
    <s v=" Ntamugenga"/>
    <n v="19810"/>
    <n v="691.36900000000003"/>
    <n v="792.4"/>
    <n v="576.14083333333338"/>
    <n v="660.33333333333326"/>
    <n v="543"/>
    <n v="118"/>
    <n v="484"/>
    <n v="491"/>
    <n v="495"/>
    <n v="498"/>
    <n v="508"/>
    <n v="519"/>
    <n v="493"/>
    <n v="501"/>
    <n v="516"/>
    <n v="449"/>
    <n v="450"/>
    <n v="450"/>
    <n v="556"/>
    <n v="111"/>
    <n v="473"/>
    <n v="491"/>
    <n v="443"/>
    <n v="121"/>
    <n v="82"/>
    <n v="121"/>
    <n v="100"/>
    <n v="77"/>
    <n v="380"/>
    <n v="58.3"/>
    <n v="100"/>
    <n v="78.140833333333376"/>
    <n v="0"/>
    <n v="473"/>
  </r>
  <r>
    <s v="Nord Kivu"/>
    <x v="1"/>
    <x v="31"/>
    <s v=" Nyarukwangara"/>
    <n v="7491"/>
    <n v="261.4359"/>
    <n v="299.64"/>
    <n v="217.86325000000002"/>
    <n v="249.7"/>
    <n v="271"/>
    <n v="87"/>
    <n v="245"/>
    <n v="224"/>
    <n v="236"/>
    <n v="235"/>
    <n v="208"/>
    <n v="223"/>
    <n v="235"/>
    <n v="224"/>
    <n v="226"/>
    <n v="229"/>
    <n v="206"/>
    <n v="223"/>
    <n v="226"/>
    <n v="191"/>
    <n v="226"/>
    <n v="246"/>
    <n v="226"/>
    <n v="172"/>
    <n v="111"/>
    <n v="60"/>
    <n v="29"/>
    <n v="20"/>
    <n v="220"/>
    <n v="58.3"/>
    <n v="100"/>
    <n v="0"/>
    <n v="9"/>
    <n v="226"/>
  </r>
  <r>
    <s v="Nord Kivu"/>
    <x v="1"/>
    <x v="31"/>
    <s v=" Rubavu"/>
    <n v="19416"/>
    <n v="677.61840000000007"/>
    <n v="776.64"/>
    <n v="564.68200000000002"/>
    <n v="647.20000000000005"/>
    <n v="860"/>
    <n v="309"/>
    <n v="630"/>
    <n v="603"/>
    <n v="611"/>
    <n v="566"/>
    <n v="530"/>
    <n v="542"/>
    <n v="630"/>
    <n v="603"/>
    <n v="611"/>
    <n v="539"/>
    <n v="509"/>
    <n v="516"/>
    <n v="707"/>
    <n v="645"/>
    <n v="532"/>
    <n v="552"/>
    <n v="477"/>
    <n v="116"/>
    <n v="138"/>
    <n v="133"/>
    <n v="117"/>
    <n v="115"/>
    <n v="503"/>
    <n v="58.3"/>
    <n v="100"/>
    <n v="0"/>
    <n v="0"/>
    <n v="532"/>
  </r>
  <r>
    <s v="Nord Kivu"/>
    <x v="1"/>
    <x v="31"/>
    <s v=" Rutsiro"/>
    <n v="13064"/>
    <n v="455.93360000000001"/>
    <n v="522.56000000000006"/>
    <n v="379.94466666666665"/>
    <n v="435.46666666666675"/>
    <n v="450"/>
    <n v="2896"/>
    <n v="472"/>
    <n v="431"/>
    <n v="450"/>
    <n v="510"/>
    <n v="468"/>
    <n v="473"/>
    <n v="514"/>
    <n v="478"/>
    <n v="490"/>
    <n v="374"/>
    <n v="350"/>
    <n v="362"/>
    <n v="406"/>
    <n v="370"/>
    <n v="345"/>
    <n v="463"/>
    <n v="398"/>
    <n v="259"/>
    <n v="217"/>
    <n v="128"/>
    <n v="108"/>
    <n v="72"/>
    <n v="525"/>
    <n v="58.3"/>
    <n v="100"/>
    <n v="0"/>
    <n v="104"/>
    <n v="345"/>
  </r>
  <r>
    <s v="Nord Kivu"/>
    <x v="1"/>
    <x v="31"/>
    <s v=" Rwanguba Kabindi"/>
    <n v="29059"/>
    <n v="1014.1591"/>
    <n v="1162.3600000000001"/>
    <n v="845.13258333333329"/>
    <n v="968.63333333333344"/>
    <n v="642"/>
    <n v="660"/>
    <n v="725"/>
    <n v="653"/>
    <n v="715"/>
    <n v="706"/>
    <n v="680"/>
    <n v="773"/>
    <n v="739"/>
    <n v="683"/>
    <n v="662"/>
    <n v="726"/>
    <n v="641"/>
    <n v="610"/>
    <n v="769"/>
    <n v="337"/>
    <n v="582"/>
    <n v="607"/>
    <n v="617"/>
    <n v="349"/>
    <n v="319"/>
    <n v="355"/>
    <n v="162"/>
    <n v="286"/>
    <n v="1122"/>
    <n v="58.3"/>
    <n v="100"/>
    <n v="139.13258333333329"/>
    <n v="0"/>
    <n v="582"/>
  </r>
  <r>
    <s v="Nord Kivu"/>
    <x v="1"/>
    <x v="31"/>
    <s v=" Shangi"/>
    <n v="15030"/>
    <n v="524.54700000000003"/>
    <n v="601.20000000000005"/>
    <n v="437.12250000000006"/>
    <n v="501"/>
    <n v="229"/>
    <n v="243"/>
    <n v="489"/>
    <n v="590"/>
    <n v="610"/>
    <n v="467"/>
    <n v="551"/>
    <n v="662"/>
    <n v="430"/>
    <n v="486"/>
    <n v="572"/>
    <n v="443"/>
    <n v="527"/>
    <n v="432"/>
    <n v="461"/>
    <n v="500"/>
    <n v="432"/>
    <n v="454"/>
    <n v="353"/>
    <n v="354"/>
    <n v="245"/>
    <n v="286"/>
    <n v="70"/>
    <n v="7"/>
    <n v="608"/>
    <n v="58.3"/>
    <n v="100"/>
    <n v="0"/>
    <n v="6"/>
    <n v="432"/>
  </r>
  <r>
    <s v="Nord Kivu"/>
    <x v="1"/>
    <x v="31"/>
    <s v=" Shinda"/>
    <n v="34609"/>
    <n v="1207.8541"/>
    <n v="1384.3600000000001"/>
    <n v="1006.5450833333334"/>
    <n v="1153.6333333333334"/>
    <n v="795"/>
    <n v="1159"/>
    <n v="1326"/>
    <n v="1087"/>
    <n v="1234"/>
    <n v="1273"/>
    <n v="1039"/>
    <n v="1182"/>
    <n v="1177"/>
    <n v="984"/>
    <n v="1127"/>
    <n v="1103"/>
    <n v="932"/>
    <n v="1029"/>
    <n v="1389"/>
    <n v="855"/>
    <n v="1149"/>
    <n v="928"/>
    <n v="685"/>
    <n v="1083"/>
    <n v="884"/>
    <n v="721"/>
    <n v="184"/>
    <n v="55"/>
    <n v="1844"/>
    <n v="58.3"/>
    <n v="100"/>
    <n v="0"/>
    <n v="0"/>
    <n v="1149"/>
  </r>
  <r>
    <s v="Nord Kivu"/>
    <x v="1"/>
    <x v="31"/>
    <s v=" Tanda"/>
    <n v="11432"/>
    <n v="398.97680000000003"/>
    <n v="457.28000000000003"/>
    <n v="332.48066666666665"/>
    <n v="381.06666666666672"/>
    <n v="259"/>
    <n v="404"/>
    <n v="422"/>
    <n v="398"/>
    <n v="339"/>
    <n v="383"/>
    <n v="369"/>
    <n v="310"/>
    <n v="418"/>
    <n v="398"/>
    <n v="341"/>
    <n v="378"/>
    <n v="361"/>
    <n v="305"/>
    <n v="321"/>
    <n v="224"/>
    <n v="321"/>
    <n v="369"/>
    <n v="305"/>
    <n v="338"/>
    <n v="270"/>
    <n v="77"/>
    <n v="29"/>
    <n v="18"/>
    <n v="394"/>
    <n v="58.3"/>
    <n v="100"/>
    <n v="0"/>
    <n v="62"/>
    <n v="321"/>
  </r>
  <r>
    <s v="Nord Kivu"/>
    <x v="1"/>
    <x v="31"/>
    <s v=" Tshengerero"/>
    <n v="16673"/>
    <n v="581.8877"/>
    <n v="666.92"/>
    <n v="484.9064166666667"/>
    <n v="555.76666666666665"/>
    <n v="535"/>
    <n v="504"/>
    <n v="489"/>
    <n v="482"/>
    <n v="462"/>
    <n v="451"/>
    <n v="436"/>
    <n v="462"/>
    <n v="478"/>
    <n v="423"/>
    <n v="485"/>
    <n v="453"/>
    <n v="402"/>
    <n v="407"/>
    <n v="487"/>
    <n v="434"/>
    <n v="454"/>
    <n v="938"/>
    <n v="383"/>
    <n v="325"/>
    <n v="326"/>
    <n v="196"/>
    <n v="198"/>
    <n v="169"/>
    <n v="889"/>
    <n v="58.3"/>
    <n v="100"/>
    <n v="33.906416666666701"/>
    <n v="0"/>
    <n v="454"/>
  </r>
  <r>
    <s v="Nord Kivu"/>
    <x v="0"/>
    <x v="32"/>
    <s v=" Buhesi"/>
    <n v="9249"/>
    <n v="322.7901"/>
    <n v="369.96"/>
    <n v="268.99175000000002"/>
    <n v="308.29999999999995"/>
    <n v="199"/>
    <n v="234"/>
    <n v="241"/>
    <n v="230"/>
    <n v="231"/>
    <n v="174"/>
    <n v="154"/>
    <n v="186"/>
    <n v="186"/>
    <n v="175"/>
    <n v="182"/>
    <n v="174"/>
    <n v="167"/>
    <n v="174"/>
    <n v="250"/>
    <n v="96"/>
    <n v="191"/>
    <n v="221"/>
    <n v="150"/>
    <n v="45"/>
    <n v="64"/>
    <n v="58"/>
    <n v="64"/>
    <n v="54"/>
    <n v="240"/>
    <n v="58.3"/>
    <n v="100"/>
    <n v="94.991750000000025"/>
    <n v="0"/>
    <n v="191"/>
  </r>
  <r>
    <s v="Nord Kivu"/>
    <x v="0"/>
    <x v="32"/>
    <s v=" Bukoroghoto"/>
    <n v="7632"/>
    <n v="266.35680000000002"/>
    <n v="305.28000000000003"/>
    <n v="221.964"/>
    <n v="254.4"/>
    <s v=""/>
    <s v=""/>
    <n v="41"/>
    <n v="54"/>
    <n v="58"/>
    <n v="50"/>
    <n v="42"/>
    <n v="55"/>
    <n v="53"/>
    <n v="42"/>
    <n v="56"/>
    <n v="32"/>
    <n v="33"/>
    <n v="37"/>
    <n v="44"/>
    <n v="18"/>
    <n v="37"/>
    <n v="55"/>
    <n v="72"/>
    <s v=""/>
    <s v=""/>
    <s v=""/>
    <s v=""/>
    <s v=""/>
    <n v="0"/>
    <n v="41.7"/>
    <n v="100"/>
    <n v="171.964"/>
    <n v="6"/>
    <n v="37"/>
  </r>
  <r>
    <s v="Nord Kivu"/>
    <x v="0"/>
    <x v="32"/>
    <s v=" Bulambo"/>
    <n v="20263"/>
    <n v="707.17870000000005"/>
    <n v="810.52"/>
    <n v="589.31558333333339"/>
    <n v="675.43333333333339"/>
    <n v="663"/>
    <n v="585"/>
    <n v="565"/>
    <n v="565"/>
    <n v="583"/>
    <n v="479"/>
    <n v="482"/>
    <n v="486"/>
    <n v="433"/>
    <n v="476"/>
    <n v="457"/>
    <n v="484"/>
    <n v="481"/>
    <n v="498"/>
    <n v="521"/>
    <n v="115"/>
    <n v="425"/>
    <n v="583"/>
    <n v="523"/>
    <n v="145"/>
    <n v="116"/>
    <n v="124"/>
    <n v="88"/>
    <n v="48"/>
    <n v="376"/>
    <n v="62.5"/>
    <n v="100"/>
    <n v="110.31558333333339"/>
    <n v="0"/>
    <n v="425"/>
  </r>
  <r>
    <s v="Nord Kivu"/>
    <x v="0"/>
    <x v="32"/>
    <s v=" Bunyuka"/>
    <n v="11676"/>
    <n v="407.49240000000003"/>
    <n v="467.04"/>
    <n v="339.577"/>
    <n v="389.20000000000005"/>
    <n v="576"/>
    <n v="459"/>
    <n v="553"/>
    <n v="511"/>
    <n v="544"/>
    <n v="553"/>
    <n v="511"/>
    <n v="508"/>
    <n v="553"/>
    <n v="511"/>
    <n v="544"/>
    <n v="448"/>
    <n v="424"/>
    <n v="440"/>
    <n v="513"/>
    <n v="116"/>
    <n v="452"/>
    <n v="544"/>
    <n v="503"/>
    <n v="260"/>
    <n v="241"/>
    <n v="238"/>
    <n v="194"/>
    <n v="194"/>
    <n v="867"/>
    <n v="108.3"/>
    <n v="100"/>
    <n v="0"/>
    <n v="40"/>
    <n v="452"/>
  </r>
  <r>
    <s v="Nord Kivu"/>
    <x v="0"/>
    <x v="32"/>
    <s v=" Isonga"/>
    <n v="8681"/>
    <n v="302.96690000000001"/>
    <n v="347.24"/>
    <n v="252.47241666666667"/>
    <n v="289.36666666666667"/>
    <n v="376"/>
    <n v="238"/>
    <n v="322"/>
    <n v="298"/>
    <n v="326"/>
    <n v="322"/>
    <n v="298"/>
    <n v="326"/>
    <n v="322"/>
    <n v="298"/>
    <n v="326"/>
    <n v="322"/>
    <n v="298"/>
    <n v="326"/>
    <n v="415"/>
    <n v="216"/>
    <n v="372"/>
    <n v="326"/>
    <n v="415"/>
    <n v="45"/>
    <n v="65"/>
    <n v="59"/>
    <n v="52"/>
    <n v="45"/>
    <n v="221"/>
    <n v="58.3"/>
    <n v="100"/>
    <n v="0"/>
    <n v="0"/>
    <n v="372"/>
  </r>
  <r>
    <s v="Nord Kivu"/>
    <x v="0"/>
    <x v="32"/>
    <s v=" Kahondo"/>
    <n v="9802"/>
    <n v="342.08980000000003"/>
    <n v="392.08"/>
    <n v="285.07483333333334"/>
    <n v="326.73333333333335"/>
    <n v="420"/>
    <n v="299"/>
    <n v="298"/>
    <n v="259"/>
    <n v="267"/>
    <n v="298"/>
    <n v="261"/>
    <n v="267"/>
    <n v="297"/>
    <n v="237"/>
    <n v="243"/>
    <n v="274"/>
    <n v="233"/>
    <n v="243"/>
    <n v="276"/>
    <n v="89"/>
    <n v="257"/>
    <n v="272"/>
    <n v="276"/>
    <n v="72"/>
    <n v="92"/>
    <n v="63"/>
    <n v="53"/>
    <n v="33"/>
    <n v="241"/>
    <n v="58.3"/>
    <n v="100"/>
    <n v="0"/>
    <n v="22"/>
    <n v="257"/>
  </r>
  <r>
    <s v="Nord Kivu"/>
    <x v="0"/>
    <x v="32"/>
    <s v=" Kasitu"/>
    <n v="14902"/>
    <n v="520.07979999999998"/>
    <n v="596.08000000000004"/>
    <n v="433.39983333333328"/>
    <n v="496.73333333333341"/>
    <n v="415"/>
    <n v="123"/>
    <n v="403"/>
    <n v="361"/>
    <n v="387"/>
    <n v="332"/>
    <n v="315"/>
    <n v="319"/>
    <n v="330"/>
    <n v="315"/>
    <n v="318"/>
    <n v="192"/>
    <n v="182"/>
    <n v="183"/>
    <n v="385"/>
    <n v="115"/>
    <n v="313"/>
    <n v="390"/>
    <n v="363"/>
    <n v="29"/>
    <n v="125"/>
    <n v="149"/>
    <n v="63"/>
    <n v="38"/>
    <n v="375"/>
    <n v="58.3"/>
    <n v="100"/>
    <n v="101.39983333333328"/>
    <n v="0"/>
    <n v="313"/>
  </r>
  <r>
    <s v="Nord Kivu"/>
    <x v="0"/>
    <x v="32"/>
    <s v=" Katanda"/>
    <n v="5904"/>
    <n v="206.0496"/>
    <n v="236.16"/>
    <n v="171.708"/>
    <n v="196.8"/>
    <n v="160"/>
    <n v="118"/>
    <n v="150"/>
    <n v="143"/>
    <n v="145"/>
    <n v="139"/>
    <n v="138"/>
    <n v="132"/>
    <n v="135"/>
    <n v="131"/>
    <n v="132"/>
    <n v="150"/>
    <n v="143"/>
    <n v="145"/>
    <n v="147"/>
    <n v="84"/>
    <n v="121"/>
    <n v="147"/>
    <n v="141"/>
    <n v="21"/>
    <n v="42"/>
    <n v="30"/>
    <n v="30"/>
    <n v="28"/>
    <n v="130"/>
    <n v="58.3"/>
    <n v="100"/>
    <n v="32.707999999999998"/>
    <n v="0"/>
    <n v="121"/>
  </r>
  <r>
    <s v="Nord Kivu"/>
    <x v="0"/>
    <x v="32"/>
    <s v=" Kibwe"/>
    <n v="11878"/>
    <n v="414.54219999999998"/>
    <n v="475.12"/>
    <n v="345.45183333333335"/>
    <n v="395.93333333333334"/>
    <n v="332"/>
    <n v="136"/>
    <n v="342"/>
    <n v="325"/>
    <n v="338"/>
    <n v="308"/>
    <n v="285"/>
    <n v="299"/>
    <n v="308"/>
    <n v="285"/>
    <n v="299"/>
    <n v="308"/>
    <n v="285"/>
    <n v="299"/>
    <n v="373"/>
    <n v="91"/>
    <n v="361"/>
    <n v="338"/>
    <n v="339"/>
    <n v="91"/>
    <n v="93"/>
    <n v="78"/>
    <n v="62"/>
    <n v="50"/>
    <n v="283"/>
    <n v="58.3"/>
    <n v="100"/>
    <n v="37.451833333333354"/>
    <n v="0"/>
    <n v="361"/>
  </r>
  <r>
    <s v="Nord Kivu"/>
    <x v="0"/>
    <x v="32"/>
    <s v=" Kighali"/>
    <n v="12018"/>
    <n v="419.4282"/>
    <n v="480.72"/>
    <n v="349.52350000000001"/>
    <n v="400.6"/>
    <n v="265"/>
    <n v="38"/>
    <n v="328"/>
    <n v="339"/>
    <n v="348"/>
    <n v="330"/>
    <n v="321"/>
    <n v="337"/>
    <n v="326"/>
    <n v="324"/>
    <n v="337"/>
    <n v="293"/>
    <n v="287"/>
    <n v="300"/>
    <n v="335"/>
    <n v="107"/>
    <n v="321"/>
    <n v="346"/>
    <n v="343"/>
    <n v="65"/>
    <n v="96"/>
    <n v="75"/>
    <n v="67"/>
    <n v="67"/>
    <n v="305"/>
    <n v="58.3"/>
    <n v="100"/>
    <n v="19.523500000000013"/>
    <n v="0"/>
    <n v="321"/>
  </r>
  <r>
    <s v="Nord Kivu"/>
    <x v="0"/>
    <x v="32"/>
    <s v=" Lulinda"/>
    <n v="8503"/>
    <n v="296.75470000000001"/>
    <n v="340.12"/>
    <n v="247.29558333333333"/>
    <n v="283.43333333333334"/>
    <n v="187"/>
    <n v="91"/>
    <n v="159"/>
    <n v="183"/>
    <n v="167"/>
    <n v="153"/>
    <n v="169"/>
    <n v="178"/>
    <n v="143"/>
    <n v="166"/>
    <n v="161"/>
    <n v="156"/>
    <n v="170"/>
    <n v="155"/>
    <n v="169"/>
    <n v="71"/>
    <n v="148"/>
    <n v="156"/>
    <n v="153"/>
    <n v="53"/>
    <n v="53"/>
    <n v="37"/>
    <n v="28"/>
    <n v="34"/>
    <n v="152"/>
    <n v="58.3"/>
    <n v="100"/>
    <n v="94.295583333333326"/>
    <n v="0"/>
    <n v="148"/>
  </r>
  <r>
    <s v="Nord Kivu"/>
    <x v="0"/>
    <x v="32"/>
    <s v=" Musenda"/>
    <n v="7029"/>
    <n v="245.31210000000002"/>
    <n v="281.16000000000003"/>
    <n v="204.42675000000003"/>
    <n v="234.30000000000004"/>
    <n v="249"/>
    <n v="209"/>
    <n v="237"/>
    <n v="204"/>
    <n v="224"/>
    <n v="222"/>
    <n v="192"/>
    <n v="204"/>
    <n v="237"/>
    <n v="213"/>
    <n v="224"/>
    <n v="237"/>
    <n v="213"/>
    <n v="224"/>
    <n v="229"/>
    <n v="134"/>
    <n v="205"/>
    <n v="241"/>
    <n v="189"/>
    <n v="23"/>
    <n v="34"/>
    <n v="49"/>
    <n v="36"/>
    <n v="44"/>
    <n v="163"/>
    <n v="58.3"/>
    <n v="100"/>
    <n v="0"/>
    <n v="0"/>
    <n v="205"/>
  </r>
  <r>
    <s v="Nord Kivu"/>
    <x v="0"/>
    <x v="32"/>
    <s v=" Mutendero"/>
    <n v="13694"/>
    <n v="477.92059999999998"/>
    <n v="547.76"/>
    <n v="398.26716666666664"/>
    <n v="456.4666666666667"/>
    <n v="270"/>
    <n v="136"/>
    <n v="350"/>
    <n v="317"/>
    <n v="342"/>
    <n v="338"/>
    <n v="301"/>
    <n v="328"/>
    <n v="307"/>
    <n v="285"/>
    <n v="302"/>
    <n v="350"/>
    <n v="317"/>
    <n v="342"/>
    <n v="323"/>
    <n v="62"/>
    <n v="313"/>
    <n v="342"/>
    <n v="323"/>
    <n v="65"/>
    <n v="42"/>
    <n v="36"/>
    <n v="29"/>
    <n v="29"/>
    <n v="136"/>
    <n v="58.3"/>
    <n v="100"/>
    <n v="60.26716666666664"/>
    <n v="15"/>
    <n v="313"/>
  </r>
  <r>
    <s v="Nord Kivu"/>
    <x v="0"/>
    <x v="32"/>
    <s v=" Vuhovi"/>
    <n v="10392"/>
    <n v="362.68079999999998"/>
    <n v="415.68"/>
    <n v="302.23399999999998"/>
    <n v="346.4"/>
    <n v="326"/>
    <n v="523"/>
    <n v="303"/>
    <n v="280"/>
    <n v="303"/>
    <n v="299"/>
    <n v="260"/>
    <n v="297"/>
    <n v="303"/>
    <n v="280"/>
    <n v="303"/>
    <n v="297"/>
    <n v="262"/>
    <n v="291"/>
    <n v="299"/>
    <n v="266"/>
    <n v="299"/>
    <n v="303"/>
    <n v="299"/>
    <n v="66"/>
    <n v="115"/>
    <n v="94"/>
    <n v="66"/>
    <n v="52"/>
    <n v="327"/>
    <n v="58.3"/>
    <n v="100"/>
    <n v="3.2339999999999804"/>
    <n v="0"/>
    <n v="299"/>
  </r>
  <r>
    <s v="Nord Kivu"/>
    <x v="1"/>
    <x v="33"/>
    <s v=" 8ème CEPAC"/>
    <n v="21635"/>
    <n v="755.06150000000002"/>
    <n v="865.4"/>
    <n v="629.21791666666672"/>
    <n v="721.16666666666663"/>
    <n v="1883"/>
    <n v="2096"/>
    <n v="896"/>
    <n v="770"/>
    <n v="661"/>
    <n v="896"/>
    <n v="770"/>
    <n v="661"/>
    <n v="896"/>
    <n v="770"/>
    <n v="625"/>
    <n v="870"/>
    <n v="725"/>
    <n v="621"/>
    <n v="563"/>
    <n v="352"/>
    <n v="526"/>
    <n v="696"/>
    <n v="353"/>
    <n v="279"/>
    <n v="178"/>
    <n v="235"/>
    <n v="209"/>
    <n v="263"/>
    <n v="885"/>
    <n v="50"/>
    <n v="100"/>
    <n v="0"/>
    <n v="333"/>
    <n v="526"/>
  </r>
  <r>
    <s v="Nord Kivu"/>
    <x v="1"/>
    <x v="33"/>
    <s v=" Bilobilo"/>
    <n v="27093"/>
    <n v="945.54570000000001"/>
    <n v="1083.72"/>
    <n v="787.95474999999999"/>
    <n v="903.1"/>
    <n v="891"/>
    <n v="909"/>
    <n v="821"/>
    <n v="781"/>
    <n v="806"/>
    <n v="821"/>
    <n v="781"/>
    <n v="806"/>
    <n v="821"/>
    <n v="781"/>
    <n v="806"/>
    <n v="821"/>
    <n v="781"/>
    <n v="806"/>
    <n v="722"/>
    <n v="827"/>
    <n v="700"/>
    <n v="806"/>
    <n v="744"/>
    <n v="370"/>
    <n v="226"/>
    <n v="183"/>
    <n v="132"/>
    <n v="84"/>
    <n v="625"/>
    <n v="45.8"/>
    <n v="100"/>
    <n v="0"/>
    <n v="99"/>
    <n v="700"/>
  </r>
  <r>
    <s v="Nord Kivu"/>
    <x v="1"/>
    <x v="33"/>
    <s v=" Biruwe"/>
    <n v="8256"/>
    <n v="288.13440000000003"/>
    <n v="330.24"/>
    <n v="240.11200000000002"/>
    <n v="275.2"/>
    <n v="329"/>
    <n v="69"/>
    <n v="257"/>
    <n v="234"/>
    <n v="226"/>
    <n v="257"/>
    <n v="237"/>
    <n v="228"/>
    <n v="251"/>
    <n v="238"/>
    <n v="230"/>
    <n v="257"/>
    <n v="231"/>
    <n v="226"/>
    <n v="203"/>
    <n v="142"/>
    <n v="198"/>
    <n v="226"/>
    <n v="181"/>
    <n v="166"/>
    <n v="124"/>
    <n v="99"/>
    <n v="49"/>
    <n v="29"/>
    <n v="301"/>
    <n v="50"/>
    <n v="100"/>
    <n v="0"/>
    <n v="54"/>
    <n v="198"/>
  </r>
  <r>
    <s v="Nord Kivu"/>
    <x v="1"/>
    <x v="33"/>
    <s v=" Bisie"/>
    <n v="5963"/>
    <n v="208.1087"/>
    <n v="238.52"/>
    <n v="173.42391666666668"/>
    <n v="198.76666666666668"/>
    <n v="242"/>
    <n v="251"/>
    <n v="248"/>
    <n v="224"/>
    <n v="239"/>
    <n v="248"/>
    <n v="223"/>
    <n v="239"/>
    <n v="249"/>
    <n v="224"/>
    <n v="239"/>
    <n v="247"/>
    <n v="227"/>
    <n v="249"/>
    <n v="206"/>
    <n v="114"/>
    <n v="216"/>
    <n v="239"/>
    <n v="146"/>
    <n v="117"/>
    <n v="48"/>
    <n v="34"/>
    <n v="29"/>
    <n v="21"/>
    <n v="132"/>
    <n v="41.7"/>
    <n v="100"/>
    <n v="0"/>
    <n v="42"/>
    <n v="206"/>
  </r>
  <r>
    <s v="Nord Kivu"/>
    <x v="1"/>
    <x v="33"/>
    <s v=" Boboro"/>
    <n v="11117"/>
    <n v="387.98329999999999"/>
    <n v="444.68"/>
    <n v="323.31941666666665"/>
    <n v="370.56666666666666"/>
    <n v="351"/>
    <n v="283"/>
    <n v="368"/>
    <n v="517"/>
    <n v="420"/>
    <n v="368"/>
    <n v="387"/>
    <n v="420"/>
    <n v="368"/>
    <n v="369"/>
    <n v="420"/>
    <n v="368"/>
    <n v="369"/>
    <n v="529"/>
    <n v="366"/>
    <n v="209"/>
    <n v="360"/>
    <n v="420"/>
    <n v="277"/>
    <n v="224"/>
    <n v="69"/>
    <n v="48"/>
    <n v="60"/>
    <n v="41"/>
    <n v="218"/>
    <n v="50"/>
    <n v="100"/>
    <n v="0"/>
    <n v="2"/>
    <n v="360"/>
  </r>
  <r>
    <s v="Nord Kivu"/>
    <x v="1"/>
    <x v="33"/>
    <s v=" Eliba"/>
    <n v="9165"/>
    <n v="319.85849999999999"/>
    <n v="366.6"/>
    <n v="266.54874999999998"/>
    <n v="305.5"/>
    <n v="345"/>
    <n v="333"/>
    <n v="278"/>
    <n v="274"/>
    <n v="282"/>
    <n v="295"/>
    <n v="297"/>
    <n v="302"/>
    <n v="295"/>
    <n v="297"/>
    <n v="287"/>
    <n v="306"/>
    <n v="296"/>
    <n v="305"/>
    <n v="290"/>
    <n v="257"/>
    <n v="300"/>
    <n v="282"/>
    <n v="245"/>
    <n v="172"/>
    <n v="116"/>
    <n v="149"/>
    <n v="130"/>
    <n v="166"/>
    <n v="561"/>
    <n v="50"/>
    <n v="100"/>
    <n v="0"/>
    <n v="5"/>
    <n v="290"/>
  </r>
  <r>
    <s v="Nord Kivu"/>
    <x v="1"/>
    <x v="33"/>
    <s v=" Kirundu"/>
    <n v="6628"/>
    <n v="231.31720000000001"/>
    <n v="265.12"/>
    <n v="192.76433333333333"/>
    <n v="220.93333333333334"/>
    <n v="186"/>
    <n v="51"/>
    <n v="252"/>
    <n v="248"/>
    <n v="258"/>
    <n v="252"/>
    <n v="248"/>
    <n v="258"/>
    <n v="252"/>
    <n v="248"/>
    <n v="258"/>
    <n v="252"/>
    <n v="248"/>
    <n v="258"/>
    <n v="306"/>
    <n v="92"/>
    <n v="306"/>
    <n v="258"/>
    <n v="231"/>
    <n v="38"/>
    <n v="60"/>
    <n v="29"/>
    <n v="36"/>
    <n v="25"/>
    <n v="150"/>
    <n v="58.3"/>
    <n v="100"/>
    <n v="0"/>
    <n v="0"/>
    <n v="306"/>
  </r>
  <r>
    <s v="Nord Kivu"/>
    <x v="1"/>
    <x v="33"/>
    <s v=" Kumbwa Aire de Santé"/>
    <n v="4871"/>
    <n v="169.99790000000002"/>
    <n v="194.84"/>
    <n v="141.66491666666667"/>
    <n v="162.36666666666667"/>
    <n v="163"/>
    <n v="179"/>
    <n v="179"/>
    <n v="181"/>
    <n v="177"/>
    <n v="179"/>
    <n v="181"/>
    <n v="177"/>
    <n v="179"/>
    <n v="181"/>
    <n v="177"/>
    <n v="210"/>
    <n v="213"/>
    <n v="243"/>
    <n v="169"/>
    <n v="91"/>
    <n v="169"/>
    <n v="177"/>
    <n v="77"/>
    <n v="76"/>
    <n v="44"/>
    <n v="37"/>
    <n v="42"/>
    <n v="37"/>
    <n v="160"/>
    <n v="50"/>
    <n v="100"/>
    <n v="0"/>
    <n v="10"/>
    <n v="169"/>
  </r>
  <r>
    <s v="Nord Kivu"/>
    <x v="1"/>
    <x v="33"/>
    <s v=" Moria"/>
    <n v="12614"/>
    <n v="440.22860000000003"/>
    <n v="504.56"/>
    <n v="366.85716666666673"/>
    <n v="420.4666666666667"/>
    <n v="577"/>
    <n v="314"/>
    <n v="568"/>
    <n v="543"/>
    <n v="614"/>
    <n v="568"/>
    <n v="543"/>
    <n v="614"/>
    <n v="558"/>
    <n v="568"/>
    <n v="614"/>
    <n v="533"/>
    <n v="513"/>
    <n v="562"/>
    <n v="535"/>
    <n v="432"/>
    <n v="536"/>
    <n v="614"/>
    <n v="476"/>
    <n v="117"/>
    <n v="132"/>
    <n v="94"/>
    <n v="79"/>
    <n v="73"/>
    <n v="378"/>
    <n v="33.299999999999997"/>
    <n v="100"/>
    <n v="0"/>
    <n v="33"/>
    <n v="535"/>
  </r>
  <r>
    <s v="Nord Kivu"/>
    <x v="1"/>
    <x v="33"/>
    <s v=" Mpofi"/>
    <n v="10172"/>
    <n v="355.00279999999998"/>
    <n v="406.88"/>
    <n v="295.83566666666667"/>
    <n v="339.06666666666666"/>
    <n v="272"/>
    <n v="159"/>
    <n v="280"/>
    <n v="250"/>
    <n v="299"/>
    <n v="280"/>
    <n v="250"/>
    <n v="299"/>
    <n v="280"/>
    <n v="250"/>
    <n v="299"/>
    <n v="280"/>
    <n v="249"/>
    <n v="299"/>
    <n v="263"/>
    <n v="97"/>
    <n v="263"/>
    <n v="299"/>
    <n v="71"/>
    <n v="95"/>
    <n v="46"/>
    <n v="50"/>
    <n v="36"/>
    <n v="50"/>
    <n v="182"/>
    <n v="50"/>
    <n v="100"/>
    <n v="15.835666666666668"/>
    <n v="17"/>
    <n v="263"/>
  </r>
  <r>
    <s v="Nord Kivu"/>
    <x v="1"/>
    <x v="33"/>
    <s v=" Mundindi"/>
    <n v="13399"/>
    <n v="467.62510000000003"/>
    <n v="535.96"/>
    <n v="389.68758333333335"/>
    <n v="446.63333333333333"/>
    <n v="357"/>
    <n v="363"/>
    <n v="361"/>
    <n v="337"/>
    <n v="351"/>
    <n v="361"/>
    <n v="338"/>
    <n v="351"/>
    <n v="361"/>
    <n v="338"/>
    <n v="351"/>
    <n v="340"/>
    <n v="309"/>
    <n v="323"/>
    <n v="329"/>
    <n v="192"/>
    <n v="329"/>
    <n v="351"/>
    <n v="152"/>
    <n v="130"/>
    <n v="85"/>
    <n v="65"/>
    <n v="70"/>
    <n v="75"/>
    <n v="295"/>
    <n v="41.7"/>
    <n v="100"/>
    <n v="28.68758333333335"/>
    <n v="32"/>
    <n v="329"/>
  </r>
  <r>
    <s v="Nord Kivu"/>
    <x v="1"/>
    <x v="33"/>
    <s v=" Mutakato"/>
    <n v="9048"/>
    <n v="315.77519999999998"/>
    <n v="361.92"/>
    <n v="263.14599999999996"/>
    <n v="301.60000000000002"/>
    <n v="257"/>
    <n v="267"/>
    <n v="293"/>
    <n v="295"/>
    <n v="294"/>
    <n v="293"/>
    <n v="295"/>
    <n v="294"/>
    <n v="293"/>
    <n v="294"/>
    <n v="294"/>
    <n v="294"/>
    <n v="295"/>
    <n v="295"/>
    <n v="286"/>
    <n v="269"/>
    <n v="296"/>
    <n v="294"/>
    <n v="298"/>
    <n v="157"/>
    <n v="132"/>
    <n v="100"/>
    <n v="61"/>
    <n v="42"/>
    <n v="335"/>
    <n v="37.5"/>
    <n v="100"/>
    <n v="0"/>
    <n v="7"/>
    <n v="286"/>
  </r>
  <r>
    <s v="Nord Kivu"/>
    <x v="1"/>
    <x v="33"/>
    <s v=" Ndjingala"/>
    <n v="12906"/>
    <n v="450.4194"/>
    <n v="516.24"/>
    <n v="375.34950000000003"/>
    <n v="430.20000000000005"/>
    <n v="342"/>
    <n v="180"/>
    <n v="301"/>
    <n v="336"/>
    <n v="329"/>
    <n v="301"/>
    <n v="336"/>
    <n v="329"/>
    <n v="301"/>
    <n v="336"/>
    <n v="329"/>
    <n v="238"/>
    <n v="252"/>
    <n v="252"/>
    <n v="224"/>
    <n v="200"/>
    <n v="224"/>
    <n v="329"/>
    <n v="175"/>
    <n v="68"/>
    <n v="15"/>
    <n v="20"/>
    <n v="42"/>
    <n v="50"/>
    <n v="127"/>
    <n v="41.7"/>
    <n v="100"/>
    <n v="74.349500000000035"/>
    <n v="77"/>
    <n v="224"/>
  </r>
  <r>
    <s v="Nord Kivu"/>
    <x v="1"/>
    <x v="33"/>
    <s v=" Ndofia"/>
    <n v="10028"/>
    <n v="349.97719999999998"/>
    <n v="401.12"/>
    <n v="291.64766666666662"/>
    <n v="334.26666666666671"/>
    <n v="453"/>
    <n v="474"/>
    <n v="456"/>
    <n v="437"/>
    <n v="433"/>
    <n v="441"/>
    <n v="429"/>
    <n v="433"/>
    <n v="441"/>
    <n v="429"/>
    <n v="433"/>
    <n v="441"/>
    <n v="429"/>
    <n v="433"/>
    <n v="372"/>
    <n v="168"/>
    <n v="378"/>
    <n v="433"/>
    <n v="203"/>
    <n v="210"/>
    <n v="200"/>
    <n v="233"/>
    <n v="221"/>
    <n v="226"/>
    <n v="880"/>
    <n v="41.7"/>
    <n v="100"/>
    <n v="0"/>
    <n v="69"/>
    <n v="372"/>
  </r>
  <r>
    <s v="Nord Kivu"/>
    <x v="1"/>
    <x v="33"/>
    <s v=" Nyasi"/>
    <n v="7912"/>
    <n v="276.12880000000001"/>
    <n v="316.48"/>
    <n v="230.10733333333334"/>
    <n v="263.73333333333335"/>
    <n v="302"/>
    <n v="152"/>
    <n v="266"/>
    <n v="277"/>
    <n v="251"/>
    <n v="264"/>
    <n v="276"/>
    <n v="254"/>
    <n v="264"/>
    <n v="276"/>
    <n v="251"/>
    <n v="222"/>
    <n v="216"/>
    <n v="219"/>
    <n v="237"/>
    <n v="121"/>
    <n v="255"/>
    <n v="251"/>
    <n v="119"/>
    <n v="74"/>
    <n v="86"/>
    <n v="52"/>
    <n v="50"/>
    <n v="39"/>
    <n v="227"/>
    <n v="45.8"/>
    <n v="100"/>
    <n v="0"/>
    <n v="27"/>
    <n v="237"/>
  </r>
  <r>
    <s v="Nord Kivu"/>
    <x v="1"/>
    <x v="33"/>
    <s v=" Obaye"/>
    <n v="3534"/>
    <n v="123.3366"/>
    <n v="141.36000000000001"/>
    <n v="102.7805"/>
    <n v="117.80000000000001"/>
    <n v="219"/>
    <n v="159"/>
    <n v="172"/>
    <n v="152"/>
    <n v="152"/>
    <n v="165"/>
    <n v="152"/>
    <n v="152"/>
    <n v="172"/>
    <n v="152"/>
    <n v="152"/>
    <n v="153"/>
    <n v="136"/>
    <n v="140"/>
    <n v="121"/>
    <n v="51"/>
    <n v="123"/>
    <n v="152"/>
    <n v="123"/>
    <n v="51"/>
    <n v="43"/>
    <n v="36"/>
    <n v="19"/>
    <n v="11"/>
    <n v="109"/>
    <n v="58.3"/>
    <n v="100"/>
    <n v="0"/>
    <n v="44"/>
    <n v="121"/>
  </r>
  <r>
    <s v="Nord Kivu"/>
    <x v="1"/>
    <x v="33"/>
    <s v=" Sacré Coeur"/>
    <n v="10439"/>
    <n v="364.3211"/>
    <n v="417.56"/>
    <n v="303.60091666666665"/>
    <n v="347.9666666666667"/>
    <n v="322"/>
    <n v="322"/>
    <n v="373"/>
    <n v="387"/>
    <n v="370"/>
    <n v="373"/>
    <n v="387"/>
    <n v="370"/>
    <n v="373"/>
    <n v="387"/>
    <n v="370"/>
    <n v="359"/>
    <n v="387"/>
    <n v="370"/>
    <n v="403"/>
    <n v="220"/>
    <n v="403"/>
    <n v="362"/>
    <n v="295"/>
    <n v="314"/>
    <n v="230"/>
    <n v="152"/>
    <n v="59"/>
    <n v="5"/>
    <n v="446"/>
    <n v="58.3"/>
    <n v="100"/>
    <n v="0"/>
    <n v="0"/>
    <n v="403"/>
  </r>
  <r>
    <s v="Nord Kivu"/>
    <x v="1"/>
    <x v="33"/>
    <s v=" Santé Plus"/>
    <n v="22314"/>
    <n v="778.7586"/>
    <n v="892.56000000000006"/>
    <n v="648.96550000000002"/>
    <n v="743.80000000000007"/>
    <n v="574"/>
    <n v="319"/>
    <n v="642"/>
    <n v="616"/>
    <n v="635"/>
    <n v="651"/>
    <n v="616"/>
    <n v="635"/>
    <n v="652"/>
    <n v="616"/>
    <n v="635"/>
    <n v="652"/>
    <n v="597"/>
    <n v="575"/>
    <n v="487"/>
    <n v="277"/>
    <n v="487"/>
    <n v="1004"/>
    <n v="429"/>
    <n v="252"/>
    <n v="213"/>
    <n v="228"/>
    <n v="142"/>
    <n v="64"/>
    <n v="647"/>
    <n v="41.7"/>
    <n v="100"/>
    <n v="0"/>
    <n v="164"/>
    <n v="4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Données" grandTotalCaption="Nord Kivu" showError="1" updatedVersion="6" minRefreshableVersion="3" showMemberPropertyTips="0" itemPrintTitles="1" createdVersion="6" indent="0" compact="0" compactData="0" gridDropZones="1" chartFormat="12">
  <location ref="C16:AB52" firstHeaderRow="1" firstDataRow="2" firstDataCol="1"/>
  <pivotFields count="66">
    <pivotField compact="0" outline="0" subtotalTop="0" showAll="0" includeNewItemsInFilter="1"/>
    <pivotField compact="0" outline="0" subtotalTop="0" showAll="0" defaultSubtotal="0"/>
    <pivotField axis="axisRow" compact="0" outline="0" subtotalTop="0" showAll="0" includeNewItemsInFilter="1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numFmtId="165" outline="0" subtotalTop="0" showAll="0" defaultSubtotal="0"/>
    <pivotField dataField="1" compact="0" numFmtId="165" outline="0" subtotalTop="0" showAll="0" defaultSubtotal="0"/>
    <pivotField dataField="1" compact="0" outline="0" subtotalTop="0" showAll="0" includeNewItemsInFilter="1"/>
    <pivotField compact="0" numFmtId="165" outline="0" subtotalTop="0" showAll="0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dataField="1"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includeNewItemsInFilter="1" defaultSubtotal="0"/>
    <pivotField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  <pivotField dataField="1" compact="0" outline="0" subtotalTop="0" dragToRow="0" dragToCol="0" dragToPage="0" showAll="0" defaultSubtota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5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</colItems>
  <dataFields count="25">
    <dataField name="Somme de CV_BCG" fld="39" baseField="0" baseItem="0"/>
    <dataField name="Somme de CV_VPO 0" fld="59" baseField="0" baseItem="0"/>
    <dataField name="Somme de CV_VPO 1" fld="60" baseField="0" baseItem="0"/>
    <dataField name="Somme de CV_VPO 2" fld="61" baseField="0" baseItem="0"/>
    <dataField name="Somme de CV_VPO3" fld="41" baseField="0" baseItem="0"/>
    <dataField name="Somme de CV_DTC1" fld="42" baseField="0" baseItem="0"/>
    <dataField name="Somme de CV_Penta 2" fld="62" baseField="0" baseItem="0"/>
    <dataField name="Somme de CV_DTC3" fld="43" baseField="0" baseItem="0"/>
    <dataField name="Somme de CV_PCV13 1" fld="44" baseField="0" baseItem="0"/>
    <dataField name="Somme de CV_PCV-13 2" fld="63" baseField="0" baseItem="0"/>
    <dataField name="Somme de CV_PCV13 3" fld="45" baseField="0" baseItem="0"/>
    <dataField name="Somme de Rota1" fld="46" baseField="0" baseItem="0"/>
    <dataField name="Somme de CV_Rota 2" fld="64" baseField="0" baseItem="0"/>
    <dataField name="Somme de Rota3" fld="47" baseField="0" baseItem="0"/>
    <dataField name="Somme de CV_VAR1" fld="48" baseField="0" baseItem="0"/>
    <dataField name="Somme de CV_VAR2" fld="49" baseField="0" baseItem="0"/>
    <dataField name="Somme de CV_VAA" fld="50" baseField="0" baseItem="0"/>
    <dataField name="Somme de CV_VPI" fld="40" baseField="0" baseItem="0"/>
    <dataField name="Somme de CV_VPI2" fld="51" baseField="0" baseItem="0"/>
    <dataField name="Somme de CV_Td1" fld="52" baseField="0" baseItem="0"/>
    <dataField name="Somme de CV_Td2+" fld="53" baseField="0" baseItem="0"/>
    <dataField name="Somme de ECV2" fld="65" baseField="0" baseItem="0"/>
    <dataField name="Somme de EZD" fld="36" baseField="2" baseItem="0" numFmtId="3"/>
    <dataField name="Somme de ESV" fld="37" baseField="0" baseItem="0" numFmtId="1"/>
    <dataField name="Somme de Tx_Abandon Penta 1-3" fld="54" baseField="2" baseItem="4" numFmtId="9"/>
  </dataFields>
  <formats count="43">
    <format dxfId="228">
      <pivotArea outline="0" fieldPosition="0"/>
    </format>
    <format dxfId="227">
      <pivotArea outline="0" fieldPosition="0"/>
    </format>
    <format dxfId="226">
      <pivotArea type="all" dataOnly="0" outline="0" fieldPosition="0"/>
    </format>
    <format dxfId="225">
      <pivotArea outline="0" fieldPosition="0"/>
    </format>
    <format dxfId="224">
      <pivotArea type="origin" dataOnly="0" labelOnly="1" outline="0" fieldPosition="0"/>
    </format>
    <format dxfId="223">
      <pivotArea field="-2" type="button" dataOnly="0" labelOnly="1" outline="0" axis="axisCol" fieldPosition="0"/>
    </format>
    <format dxfId="222">
      <pivotArea type="topRight" dataOnly="0" labelOnly="1" outline="0" fieldPosition="0"/>
    </format>
    <format dxfId="221">
      <pivotArea field="2" type="button" dataOnly="0" labelOnly="1" outline="0" axis="axisRow" fieldPosition="0"/>
    </format>
    <format dxfId="220">
      <pivotArea dataOnly="0" labelOnly="1" outline="0" fieldPosition="0">
        <references count="1">
          <reference field="2" count="0"/>
        </references>
      </pivotArea>
    </format>
    <format dxfId="219">
      <pivotArea dataOnly="0" labelOnly="1" grandRow="1" outline="0" fieldPosition="0"/>
    </format>
    <format dxfId="218">
      <pivotArea grandRow="1" outline="0" collapsedLevelsAreSubtotals="1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type="origin" dataOnly="0" labelOnly="1" outline="0" fieldPosition="0"/>
    </format>
    <format dxfId="214">
      <pivotArea field="-2" type="button" dataOnly="0" labelOnly="1" outline="0" axis="axisCol" fieldPosition="0"/>
    </format>
    <format dxfId="213">
      <pivotArea type="topRight" dataOnly="0" labelOnly="1" outline="0" fieldPosition="0"/>
    </format>
    <format dxfId="212">
      <pivotArea field="2" type="button" dataOnly="0" labelOnly="1" outline="0" axis="axisRow" fieldPosition="0"/>
    </format>
    <format dxfId="211">
      <pivotArea dataOnly="0" labelOnly="1" outline="0" fieldPosition="0">
        <references count="1">
          <reference field="2" count="0"/>
        </references>
      </pivotArea>
    </format>
    <format dxfId="210">
      <pivotArea dataOnly="0" labelOnly="1" grandRow="1" outline="0" fieldPosition="0"/>
    </format>
    <format dxfId="209">
      <pivotArea outline="0" fieldPosition="0">
        <references count="1">
          <reference field="4294967294" count="1">
            <x v="22"/>
          </reference>
        </references>
      </pivotArea>
    </format>
    <format dxfId="208">
      <pivotArea outline="0" fieldPosition="0">
        <references count="1">
          <reference field="4294967294" count="1">
            <x v="24"/>
          </reference>
        </references>
      </pivotArea>
    </format>
    <format dxfId="207">
      <pivotArea type="all" dataOnly="0" outline="0" fieldPosition="0"/>
    </format>
    <format dxfId="206">
      <pivotArea outline="0" collapsedLevelsAreSubtotals="1" fieldPosition="0"/>
    </format>
    <format dxfId="205">
      <pivotArea type="origin" dataOnly="0" labelOnly="1" outline="0" fieldPosition="0"/>
    </format>
    <format dxfId="204">
      <pivotArea field="-2" type="button" dataOnly="0" labelOnly="1" outline="0" axis="axisCol" fieldPosition="0"/>
    </format>
    <format dxfId="203">
      <pivotArea type="topRight" dataOnly="0" labelOnly="1" outline="0" fieldPosition="0"/>
    </format>
    <format dxfId="202">
      <pivotArea field="2" type="button" dataOnly="0" labelOnly="1" outline="0" axis="axisRow" fieldPosition="0"/>
    </format>
    <format dxfId="201">
      <pivotArea dataOnly="0" labelOnly="1" outline="0" fieldPosition="0">
        <references count="1">
          <reference field="2" count="0"/>
        </references>
      </pivotArea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4"/>
          </reference>
        </references>
      </pivotArea>
    </format>
    <format dxfId="198">
      <pivotArea outline="0" collapsedLevelsAreSubtotals="1" fieldPosition="0"/>
    </format>
    <format dxfId="197">
      <pivotArea dataOnly="0" labelOnly="1" outline="0" fieldPosition="0">
        <references count="1">
          <reference field="2" count="0"/>
        </references>
      </pivotArea>
    </format>
    <format dxfId="196">
      <pivotArea dataOnly="0" labelOnly="1" grandRow="1" outline="0" fieldPosition="0"/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type="origin" dataOnly="0" labelOnly="1" outline="0" fieldPosition="0"/>
    </format>
    <format dxfId="192">
      <pivotArea field="-2" type="button" dataOnly="0" labelOnly="1" outline="0" axis="axisCol" fieldPosition="0"/>
    </format>
    <format dxfId="191">
      <pivotArea type="topRight" dataOnly="0" labelOnly="1" outline="0" fieldPosition="0"/>
    </format>
    <format dxfId="190">
      <pivotArea field="2" type="button" dataOnly="0" labelOnly="1" outline="0" axis="axisRow" fieldPosition="0"/>
    </format>
    <format dxfId="189">
      <pivotArea dataOnly="0" labelOnly="1" outline="0" fieldPosition="0">
        <references count="1">
          <reference field="2" count="0"/>
        </references>
      </pivotArea>
    </format>
    <format dxfId="188">
      <pivotArea dataOnly="0" labelOnly="1" grandRow="1" outline="0" fieldPosition="0"/>
    </format>
    <format dxfId="187">
      <pivotArea dataOnly="0" labelOnly="1" outline="0" fieldPosition="0">
        <references count="1">
          <reference field="4294967294" count="23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2"/>
            <x v="24"/>
          </reference>
        </references>
      </pivotArea>
    </format>
    <format dxfId="186">
      <pivotArea outline="0" fieldPosition="0">
        <references count="1">
          <reference field="4294967294" count="1" selected="0">
            <x v="23"/>
          </reference>
        </references>
      </pivotArea>
    </format>
  </formats>
  <conditionalFormats count="7">
    <conditionalFormat priority="33">
      <pivotAreas count="1">
        <pivotArea type="data" outline="0" collapsedLevelsAreSubtotals="1" fieldPosition="0">
          <references count="2">
            <reference field="4294967294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</references>
        </pivotArea>
      </pivotAreas>
    </conditionalFormat>
    <conditionalFormat priority="34">
      <pivotAreas count="1">
        <pivotArea type="data" outline="0" collapsedLevelsAreSubtotals="1" fieldPosition="0">
          <references count="2">
            <reference field="4294967294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</references>
        </pivotArea>
      </pivotAreas>
    </conditionalFormat>
    <conditionalFormat priority="106">
      <pivotAreas count="1">
        <pivotArea type="data" outline="0" collapsedLevelsAreSubtotals="1" fieldPosition="0">
          <references count="1">
            <reference field="4294967294" count="1" selected="0">
              <x v="24"/>
            </reference>
          </references>
        </pivotArea>
      </pivotAreas>
    </conditionalFormat>
    <conditionalFormat priority="107">
      <pivotAreas count="1">
        <pivotArea type="data" outline="0" collapsedLevelsAreSubtotals="1" fieldPosition="0">
          <references count="1">
            <reference field="4294967294" count="1" selected="0">
              <x v="24"/>
            </reference>
          </references>
        </pivotArea>
      </pivotAreas>
    </conditionalFormat>
    <conditionalFormat priority="108">
      <pivotAreas count="1">
        <pivotArea type="data" grandRow="1" outline="0" collapsedLevelsAreSubtotals="1" fieldPosition="0">
          <references count="1">
            <reference field="4294967294" count="2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2">
            <reference field="4294967294" count="1" selected="0">
              <x v="21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2">
            <reference field="4294967294" count="1" selected="0">
              <x v="21"/>
            </reference>
            <reference field="2" count="3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</reference>
          </references>
        </pivotArea>
      </pivotAreas>
    </conditionalFormat>
  </conditionalFormats>
  <pivotTableStyleInfo name="PivotStyleLight2" showRowHeaders="1" showColHeaders="1" showRowStripes="1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Tableau croisé dynamique7" cacheId="1" dataOnRows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 chartFormat="13">
  <location ref="AF17:AG27" firstHeaderRow="1" firstDataRow="1" firstDataCol="1"/>
  <pivotFields count="6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Items count="1">
    <i/>
  </colItems>
  <dataFields count="10">
    <dataField name="CV PCV-13 3" fld="45" baseField="0" baseItem="1" numFmtId="9"/>
    <dataField name="CV VPI 1" fld="40" baseField="0" baseItem="1" numFmtId="9"/>
    <dataField name="CV VPO3" fld="41" baseField="0" baseItem="1" numFmtId="9"/>
    <dataField name="CV VAA" fld="50" baseField="0" baseItem="1" numFmtId="9"/>
    <dataField name="CV DTC3" fld="43" baseField="0" baseItem="1" numFmtId="9"/>
    <dataField name="CV Td2+" fld="53" baseField="0" baseItem="1" numFmtId="9"/>
    <dataField name="CV Rota 3" fld="47" baseField="0" baseItem="1" numFmtId="9"/>
    <dataField name="CV VPI 2" fld="51" baseField="0" baseItem="1" numFmtId="9"/>
    <dataField name="CV BCG" fld="39" baseField="0" baseItem="1" numFmtId="9"/>
    <dataField name="CV VAR 2" fld="49" baseField="0" baseItem="6" numFmtId="9"/>
  </dataFields>
  <formats count="5">
    <format dxfId="233">
      <pivotArea type="all" dataOnly="0" outline="0" fieldPosition="0"/>
    </format>
    <format dxfId="232">
      <pivotArea outline="0" collapsedLevelsAreSubtotals="1" fieldPosition="0"/>
    </format>
    <format dxfId="231">
      <pivotArea field="-2" type="button" dataOnly="0" labelOnly="1" outline="0" axis="axisRow" fieldPosition="0"/>
    </format>
    <format dxfId="230">
      <pivotArea dataOnly="0" labelOnly="1" outline="0" fieldPosition="0">
        <references count="1">
          <reference field="4294967294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29">
      <pivotArea dataOnly="0" labelOnly="1" grandCol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eau croisé dynamique3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 chartFormat="15">
  <location ref="G29:H47" firstHeaderRow="1" firstDataRow="1" firstDataCol="1"/>
  <pivotFields count="66">
    <pivotField showAll="0"/>
    <pivotField showAll="0"/>
    <pivotField axis="axisRow" showAll="0" sortType="ascending">
      <items count="35">
        <item h="1" x="0"/>
        <item x="1"/>
        <item h="1" x="2"/>
        <item h="1" x="3"/>
        <item x="4"/>
        <item x="5"/>
        <item h="1" x="6"/>
        <item x="7"/>
        <item x="8"/>
        <item h="1" x="9"/>
        <item h="1" x="10"/>
        <item x="11"/>
        <item x="12"/>
        <item h="1" x="13"/>
        <item h="1" x="14"/>
        <item x="15"/>
        <item x="16"/>
        <item x="17"/>
        <item h="1" x="18"/>
        <item h="1" x="19"/>
        <item h="1" x="20"/>
        <item h="1" x="21"/>
        <item h="1" x="22"/>
        <item x="23"/>
        <item h="1" x="24"/>
        <item h="1" x="25"/>
        <item x="26"/>
        <item x="27"/>
        <item h="1" x="28"/>
        <item x="29"/>
        <item x="30"/>
        <item x="31"/>
        <item h="1"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dataField="1" numFmtId="165"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4"/>
    </i>
    <i>
      <x v="1"/>
    </i>
    <i>
      <x v="16"/>
    </i>
    <i>
      <x v="30"/>
    </i>
    <i>
      <x v="8"/>
    </i>
    <i>
      <x v="29"/>
    </i>
    <i>
      <x v="33"/>
    </i>
    <i>
      <x v="15"/>
    </i>
    <i>
      <x v="31"/>
    </i>
    <i>
      <x v="12"/>
    </i>
    <i>
      <x v="5"/>
    </i>
    <i>
      <x v="17"/>
    </i>
    <i>
      <x v="27"/>
    </i>
    <i>
      <x v="11"/>
    </i>
    <i>
      <x v="7"/>
    </i>
    <i>
      <x v="23"/>
    </i>
    <i>
      <x v="26"/>
    </i>
    <i t="grand">
      <x/>
    </i>
  </rowItems>
  <colItems count="1">
    <i/>
  </colItems>
  <dataFields count="1">
    <dataField name="Somme de ESV" fld="37" baseField="0" baseItem="0"/>
  </dataFields>
  <chartFormats count="2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33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7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eau croisé dynamique2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 chartFormat="18">
  <location ref="A29:B47" firstHeaderRow="1" firstDataRow="1" firstDataCol="1"/>
  <pivotFields count="66">
    <pivotField showAll="0"/>
    <pivotField showAll="0"/>
    <pivotField axis="axisRow" showAll="0" sortType="ascending">
      <items count="35">
        <item x="0"/>
        <item h="1" x="1"/>
        <item x="2"/>
        <item x="3"/>
        <item h="1" x="4"/>
        <item h="1" x="5"/>
        <item x="6"/>
        <item h="1" x="7"/>
        <item h="1" x="8"/>
        <item x="9"/>
        <item x="10"/>
        <item h="1" x="11"/>
        <item h="1" x="12"/>
        <item x="13"/>
        <item x="14"/>
        <item h="1" x="15"/>
        <item h="1" x="16"/>
        <item h="1" x="17"/>
        <item x="18"/>
        <item x="19"/>
        <item x="20"/>
        <item x="21"/>
        <item x="22"/>
        <item h="1" x="23"/>
        <item x="24"/>
        <item x="25"/>
        <item h="1" x="26"/>
        <item h="1" x="27"/>
        <item x="28"/>
        <item h="1" x="29"/>
        <item h="1" x="30"/>
        <item h="1" x="31"/>
        <item x="32"/>
        <item h="1"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dataField="1" numFmtId="165"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32"/>
    </i>
    <i>
      <x v="20"/>
    </i>
    <i>
      <x v="22"/>
    </i>
    <i>
      <x v="6"/>
    </i>
    <i>
      <x v="3"/>
    </i>
    <i>
      <x v="18"/>
    </i>
    <i>
      <x/>
    </i>
    <i>
      <x v="24"/>
    </i>
    <i>
      <x v="9"/>
    </i>
    <i>
      <x v="21"/>
    </i>
    <i>
      <x v="14"/>
    </i>
    <i>
      <x v="19"/>
    </i>
    <i>
      <x v="10"/>
    </i>
    <i>
      <x v="2"/>
    </i>
    <i>
      <x v="25"/>
    </i>
    <i>
      <x v="13"/>
    </i>
    <i>
      <x v="28"/>
    </i>
    <i t="grand">
      <x/>
    </i>
  </rowItems>
  <colItems count="1">
    <i/>
  </colItems>
  <dataFields count="1">
    <dataField name="Somme de ESV" fld="37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19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eau croisé dynamique5" cacheId="1" applyNumberFormats="0" applyBorderFormats="0" applyFontFormats="0" applyPatternFormats="0" applyAlignmentFormats="0" applyWidthHeightFormats="1" dataCaption="Valeurs" showError="1" showMissing="0" updatedVersion="6" minRefreshableVersion="3" itemPrintTitles="1" createdVersion="6" indent="0" outline="1" outlineData="1" multipleFieldFilters="0" chartFormat="17">
  <location ref="Q28:R46" firstHeaderRow="1" firstDataRow="1" firstDataCol="1"/>
  <pivotFields count="66">
    <pivotField showAll="0"/>
    <pivotField showAll="0"/>
    <pivotField axis="axisRow" showAll="0" sortType="ascending">
      <items count="35">
        <item h="1" x="0"/>
        <item x="1"/>
        <item h="1" x="2"/>
        <item h="1" x="3"/>
        <item x="4"/>
        <item x="5"/>
        <item h="1" x="6"/>
        <item x="7"/>
        <item x="8"/>
        <item h="1" x="9"/>
        <item h="1" x="10"/>
        <item x="11"/>
        <item x="12"/>
        <item h="1" x="13"/>
        <item h="1" x="14"/>
        <item x="15"/>
        <item x="16"/>
        <item x="17"/>
        <item h="1" x="18"/>
        <item h="1" x="19"/>
        <item h="1" x="20"/>
        <item h="1" x="21"/>
        <item h="1" x="22"/>
        <item x="23"/>
        <item h="1" x="24"/>
        <item h="1" x="25"/>
        <item x="26"/>
        <item x="27"/>
        <item h="1" x="28"/>
        <item x="29"/>
        <item x="30"/>
        <item x="31"/>
        <item h="1" x="32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27"/>
    </i>
    <i>
      <x v="12"/>
    </i>
    <i>
      <x v="33"/>
    </i>
    <i>
      <x v="5"/>
    </i>
    <i>
      <x v="4"/>
    </i>
    <i>
      <x v="8"/>
    </i>
    <i>
      <x v="1"/>
    </i>
    <i>
      <x v="16"/>
    </i>
    <i>
      <x v="7"/>
    </i>
    <i>
      <x v="30"/>
    </i>
    <i>
      <x v="15"/>
    </i>
    <i>
      <x v="31"/>
    </i>
    <i>
      <x v="29"/>
    </i>
    <i>
      <x v="23"/>
    </i>
    <i>
      <x v="26"/>
    </i>
    <i>
      <x v="11"/>
    </i>
    <i>
      <x v="17"/>
    </i>
    <i t="grand">
      <x/>
    </i>
  </rowItems>
  <colItems count="1">
    <i/>
  </colItems>
  <dataFields count="1">
    <dataField name="Somme de EZD" fld="36" baseField="2" baseItem="3" numFmtId="1"/>
  </dataFields>
  <chartFormats count="2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0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15"/>
          </reference>
        </references>
      </pivotArea>
    </chartFormat>
    <chartFormat chart="13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31"/>
          </reference>
        </references>
      </pivotArea>
    </chartFormat>
    <chartFormat chart="13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29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23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26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eau croisé dynamique4" cacheId="1" applyNumberFormats="0" applyBorderFormats="0" applyFontFormats="0" applyPatternFormats="0" applyAlignmentFormats="0" applyWidthHeightFormats="1" dataCaption="Valeurs" showError="1" showMissing="0" updatedVersion="6" minRefreshableVersion="3" itemPrintTitles="1" createdVersion="6" indent="0" outline="1" outlineData="1" multipleFieldFilters="0" chartFormat="17">
  <location ref="L28:M46" firstHeaderRow="1" firstDataRow="1" firstDataCol="1"/>
  <pivotFields count="66">
    <pivotField showAll="0"/>
    <pivotField showAll="0"/>
    <pivotField axis="axisRow" showAll="0" sortType="ascending">
      <items count="35">
        <item x="0"/>
        <item h="1" x="1"/>
        <item x="2"/>
        <item x="3"/>
        <item h="1" x="4"/>
        <item h="1" x="5"/>
        <item x="6"/>
        <item h="1" x="7"/>
        <item h="1" x="8"/>
        <item x="9"/>
        <item x="10"/>
        <item h="1" x="11"/>
        <item h="1" x="12"/>
        <item x="13"/>
        <item x="14"/>
        <item h="1" x="15"/>
        <item h="1" x="16"/>
        <item h="1" x="17"/>
        <item x="18"/>
        <item x="19"/>
        <item x="20"/>
        <item x="21"/>
        <item x="22"/>
        <item h="1" x="23"/>
        <item x="24"/>
        <item x="25"/>
        <item h="1" x="26"/>
        <item h="1" x="27"/>
        <item x="28"/>
        <item h="1" x="29"/>
        <item h="1" x="30"/>
        <item h="1" x="31"/>
        <item x="32"/>
        <item h="1"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22"/>
    </i>
    <i>
      <x v="24"/>
    </i>
    <i>
      <x v="10"/>
    </i>
    <i>
      <x v="21"/>
    </i>
    <i>
      <x v="19"/>
    </i>
    <i>
      <x v="18"/>
    </i>
    <i>
      <x v="32"/>
    </i>
    <i>
      <x v="13"/>
    </i>
    <i>
      <x v="3"/>
    </i>
    <i>
      <x v="9"/>
    </i>
    <i>
      <x v="2"/>
    </i>
    <i>
      <x v="20"/>
    </i>
    <i>
      <x/>
    </i>
    <i>
      <x v="6"/>
    </i>
    <i>
      <x v="14"/>
    </i>
    <i>
      <x v="28"/>
    </i>
    <i>
      <x v="25"/>
    </i>
    <i t="grand">
      <x/>
    </i>
  </rowItems>
  <colItems count="1">
    <i/>
  </colItems>
  <dataFields count="1">
    <dataField name="Somme de EZD" fld="36" baseField="2" baseItem="3" numFmtId="1"/>
  </dataField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18"/>
          </reference>
        </references>
      </pivotArea>
    </chartFormat>
    <chartFormat chart="13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32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2" count="1" selected="0">
            <x v="20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28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eau croisé dynamique10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>
  <location ref="A42:B77" firstHeaderRow="1" firstDataRow="1" firstDataCol="1"/>
  <pivotFields count="66">
    <pivotField showAll="0"/>
    <pivotField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omme de Tx_Abandon Penta 1-3" fld="54" baseField="1" baseItem="3" numFmtId="9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1" dataCaption="Valeurs" showError="1" missingCaption="0%" updatedVersion="6" minRefreshableVersion="3" itemPrintTitles="1" createdVersion="6" indent="0" outline="1" outlineData="1" multipleFieldFilters="0">
  <location ref="A3:B38" firstHeaderRow="1" firstDataRow="1" firstDataCol="1"/>
  <pivotFields count="66">
    <pivotField showAll="0"/>
    <pivotField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Somme de CV_DTC3" fld="43" baseField="1" baseItem="2" numFmtId="9"/>
  </dataFields>
  <formats count="6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fieldPosition="0">
        <references count="1">
          <reference field="2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eau croisé dynamique10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>
  <location ref="A42:B60" firstHeaderRow="1" firstDataRow="1" firstDataCol="1"/>
  <pivotFields count="66">
    <pivotField showAll="0"/>
    <pivotField showAll="0"/>
    <pivotField axis="axisRow" showAll="0">
      <items count="35">
        <item h="1" x="0"/>
        <item x="1"/>
        <item h="1" x="2"/>
        <item h="1" x="3"/>
        <item x="4"/>
        <item x="5"/>
        <item h="1" x="6"/>
        <item x="7"/>
        <item x="8"/>
        <item h="1" x="9"/>
        <item h="1" x="10"/>
        <item x="11"/>
        <item x="12"/>
        <item h="1" x="13"/>
        <item h="1" x="14"/>
        <item x="15"/>
        <item x="16"/>
        <item x="17"/>
        <item h="1" x="18"/>
        <item h="1" x="19"/>
        <item h="1" x="20"/>
        <item h="1" x="21"/>
        <item h="1" x="22"/>
        <item x="23"/>
        <item h="1" x="24"/>
        <item h="1" x="25"/>
        <item x="26"/>
        <item x="27"/>
        <item h="1" x="28"/>
        <item x="29"/>
        <item x="30"/>
        <item x="31"/>
        <item h="1" x="32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1"/>
    </i>
    <i>
      <x v="4"/>
    </i>
    <i>
      <x v="5"/>
    </i>
    <i>
      <x v="7"/>
    </i>
    <i>
      <x v="8"/>
    </i>
    <i>
      <x v="11"/>
    </i>
    <i>
      <x v="12"/>
    </i>
    <i>
      <x v="15"/>
    </i>
    <i>
      <x v="16"/>
    </i>
    <i>
      <x v="17"/>
    </i>
    <i>
      <x v="23"/>
    </i>
    <i>
      <x v="26"/>
    </i>
    <i>
      <x v="27"/>
    </i>
    <i>
      <x v="29"/>
    </i>
    <i>
      <x v="30"/>
    </i>
    <i>
      <x v="31"/>
    </i>
    <i>
      <x v="33"/>
    </i>
    <i t="grand">
      <x/>
    </i>
  </rowItems>
  <colItems count="1">
    <i/>
  </colItems>
  <dataFields count="1">
    <dataField name="Somme de Tx_Abandon Penta 1-3" fld="54" baseField="1" baseItem="3" numFmtId="9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2" type="button" dataOnly="0" labelOnly="1" outline="0" axis="axisRow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1" dataCaption="Valeurs" showError="1" missingCaption="0%" updatedVersion="6" minRefreshableVersion="3" itemPrintTitles="1" createdVersion="6" indent="0" outline="1" outlineData="1" multipleFieldFilters="0">
  <location ref="A3:B21" firstHeaderRow="1" firstDataRow="1" firstDataCol="1"/>
  <pivotFields count="66">
    <pivotField showAll="0"/>
    <pivotField showAll="0"/>
    <pivotField axis="axisRow" showAll="0">
      <items count="35">
        <item h="1" x="0"/>
        <item x="1"/>
        <item h="1" x="2"/>
        <item h="1" x="3"/>
        <item x="4"/>
        <item x="5"/>
        <item h="1" x="6"/>
        <item x="7"/>
        <item x="8"/>
        <item h="1" x="9"/>
        <item h="1" x="10"/>
        <item x="11"/>
        <item x="12"/>
        <item h="1" x="13"/>
        <item h="1" x="14"/>
        <item x="15"/>
        <item x="16"/>
        <item x="17"/>
        <item h="1" x="18"/>
        <item h="1" x="19"/>
        <item h="1" x="20"/>
        <item h="1" x="21"/>
        <item h="1" x="22"/>
        <item x="23"/>
        <item h="1" x="24"/>
        <item h="1" x="25"/>
        <item x="26"/>
        <item x="27"/>
        <item h="1" x="28"/>
        <item x="29"/>
        <item x="30"/>
        <item x="31"/>
        <item h="1" x="32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 v="1"/>
    </i>
    <i>
      <x v="4"/>
    </i>
    <i>
      <x v="5"/>
    </i>
    <i>
      <x v="7"/>
    </i>
    <i>
      <x v="8"/>
    </i>
    <i>
      <x v="11"/>
    </i>
    <i>
      <x v="12"/>
    </i>
    <i>
      <x v="15"/>
    </i>
    <i>
      <x v="16"/>
    </i>
    <i>
      <x v="17"/>
    </i>
    <i>
      <x v="23"/>
    </i>
    <i>
      <x v="26"/>
    </i>
    <i>
      <x v="27"/>
    </i>
    <i>
      <x v="29"/>
    </i>
    <i>
      <x v="30"/>
    </i>
    <i>
      <x v="31"/>
    </i>
    <i>
      <x v="33"/>
    </i>
    <i t="grand">
      <x/>
    </i>
  </rowItems>
  <colItems count="1">
    <i/>
  </colItems>
  <dataFields count="1">
    <dataField name="Somme de CV_DTC3" fld="43" baseField="1" baseItem="2" numFmtId="9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" type="button" dataOnly="0" labelOnly="1" outline="0" axis="axisRow" fieldPosition="0"/>
    </format>
    <format dxfId="20">
      <pivotArea dataOnly="0" labelOnly="1" fieldPosition="0">
        <references count="1">
          <reference field="2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eau croisé dynamique10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>
  <location ref="A42:B60" firstHeaderRow="1" firstDataRow="1" firstDataCol="1"/>
  <pivotFields count="66">
    <pivotField showAll="0"/>
    <pivotField showAll="0"/>
    <pivotField axis="axisRow" showAll="0">
      <items count="35">
        <item x="0"/>
        <item h="1" x="1"/>
        <item x="2"/>
        <item x="3"/>
        <item h="1" x="4"/>
        <item h="1" x="5"/>
        <item x="6"/>
        <item h="1" x="7"/>
        <item h="1" x="8"/>
        <item x="9"/>
        <item x="10"/>
        <item h="1" x="11"/>
        <item h="1" x="12"/>
        <item x="13"/>
        <item x="14"/>
        <item h="1" x="15"/>
        <item h="1" x="16"/>
        <item h="1" x="17"/>
        <item x="18"/>
        <item x="19"/>
        <item x="20"/>
        <item x="21"/>
        <item x="22"/>
        <item h="1" x="23"/>
        <item x="24"/>
        <item x="25"/>
        <item h="1" x="26"/>
        <item h="1" x="27"/>
        <item x="28"/>
        <item h="1" x="29"/>
        <item h="1" x="30"/>
        <item h="1" x="31"/>
        <item x="32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/>
    </i>
    <i>
      <x v="2"/>
    </i>
    <i>
      <x v="3"/>
    </i>
    <i>
      <x v="6"/>
    </i>
    <i>
      <x v="9"/>
    </i>
    <i>
      <x v="10"/>
    </i>
    <i>
      <x v="13"/>
    </i>
    <i>
      <x v="14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32"/>
    </i>
    <i t="grand">
      <x/>
    </i>
  </rowItems>
  <colItems count="1">
    <i/>
  </colItems>
  <dataFields count="1">
    <dataField name="Somme de Tx_Abandon Penta 1-3" fld="54" baseField="1" baseItem="3" numFmtId="9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Tableau croisé dynamique8" cacheId="1" applyNumberFormats="0" applyBorderFormats="0" applyFontFormats="0" applyPatternFormats="0" applyAlignmentFormats="0" applyWidthHeightFormats="1" dataCaption="Valeurs" showError="1" missingCaption="0%" updatedVersion="6" minRefreshableVersion="3" itemPrintTitles="1" createdVersion="6" indent="0" outline="1" outlineData="1" multipleFieldFilters="0">
  <location ref="A3:B21" firstHeaderRow="1" firstDataRow="1" firstDataCol="1"/>
  <pivotFields count="66">
    <pivotField showAll="0"/>
    <pivotField showAll="0"/>
    <pivotField axis="axisRow" showAll="0">
      <items count="35">
        <item x="0"/>
        <item h="1" x="1"/>
        <item x="2"/>
        <item x="3"/>
        <item h="1" x="4"/>
        <item h="1" x="5"/>
        <item x="6"/>
        <item h="1" x="7"/>
        <item h="1" x="8"/>
        <item x="9"/>
        <item x="10"/>
        <item h="1" x="11"/>
        <item h="1" x="12"/>
        <item x="13"/>
        <item x="14"/>
        <item h="1" x="15"/>
        <item h="1" x="16"/>
        <item h="1" x="17"/>
        <item x="18"/>
        <item x="19"/>
        <item x="20"/>
        <item x="21"/>
        <item x="22"/>
        <item h="1" x="23"/>
        <item x="24"/>
        <item x="25"/>
        <item h="1" x="26"/>
        <item h="1" x="27"/>
        <item x="28"/>
        <item h="1" x="29"/>
        <item h="1" x="30"/>
        <item h="1" x="31"/>
        <item x="32"/>
        <item h="1"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8">
    <i>
      <x/>
    </i>
    <i>
      <x v="2"/>
    </i>
    <i>
      <x v="3"/>
    </i>
    <i>
      <x v="6"/>
    </i>
    <i>
      <x v="9"/>
    </i>
    <i>
      <x v="10"/>
    </i>
    <i>
      <x v="13"/>
    </i>
    <i>
      <x v="14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32"/>
    </i>
    <i t="grand">
      <x/>
    </i>
  </rowItems>
  <colItems count="1">
    <i/>
  </colItems>
  <dataFields count="1">
    <dataField name="Somme de CV_DTC3" fld="43" baseField="1" baseItem="2" numFmtId="9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Tableau croisé dynamique10" cacheId="1" applyNumberFormats="0" applyBorderFormats="0" applyFontFormats="0" applyPatternFormats="0" applyAlignmentFormats="0" applyWidthHeightFormats="1" dataCaption="Valeurs" showError="1" updatedVersion="6" minRefreshableVersion="3" itemPrintTitles="1" createdVersion="6" indent="0" outline="1" outlineData="1" multipleFieldFilters="0">
  <location ref="A1:F38" firstHeaderRow="0" firstDataRow="1" firstDataCol="1"/>
  <pivotFields count="66">
    <pivotField showAll="0"/>
    <pivotField axis="axisRow" showAll="0">
      <items count="3">
        <item x="0"/>
        <item x="1"/>
        <item t="default"/>
      </items>
    </pivotField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numFmtId="165" showAll="0"/>
    <pivotField numFmtId="165" showAll="0"/>
    <pivotField numFmtId="165" showAll="0"/>
    <pivotField numFmtId="165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"/>
    <field x="2"/>
  </rowFields>
  <rowItems count="37">
    <i>
      <x/>
    </i>
    <i r="1">
      <x/>
    </i>
    <i r="1">
      <x v="2"/>
    </i>
    <i r="1">
      <x v="3"/>
    </i>
    <i r="1">
      <x v="6"/>
    </i>
    <i r="1">
      <x v="9"/>
    </i>
    <i r="1">
      <x v="10"/>
    </i>
    <i r="1">
      <x v="13"/>
    </i>
    <i r="1">
      <x v="14"/>
    </i>
    <i r="1">
      <x v="18"/>
    </i>
    <i r="1">
      <x v="19"/>
    </i>
    <i r="1">
      <x v="20"/>
    </i>
    <i r="1">
      <x v="21"/>
    </i>
    <i r="1">
      <x v="22"/>
    </i>
    <i r="1">
      <x v="24"/>
    </i>
    <i r="1">
      <x v="25"/>
    </i>
    <i r="1">
      <x v="28"/>
    </i>
    <i r="1">
      <x v="32"/>
    </i>
    <i>
      <x v="1"/>
    </i>
    <i r="1">
      <x v="1"/>
    </i>
    <i r="1">
      <x v="4"/>
    </i>
    <i r="1">
      <x v="5"/>
    </i>
    <i r="1">
      <x v="7"/>
    </i>
    <i r="1">
      <x v="8"/>
    </i>
    <i r="1">
      <x v="11"/>
    </i>
    <i r="1">
      <x v="12"/>
    </i>
    <i r="1">
      <x v="15"/>
    </i>
    <i r="1">
      <x v="16"/>
    </i>
    <i r="1">
      <x v="17"/>
    </i>
    <i r="1">
      <x v="23"/>
    </i>
    <i r="1">
      <x v="26"/>
    </i>
    <i r="1">
      <x v="27"/>
    </i>
    <i r="1">
      <x v="29"/>
    </i>
    <i r="1">
      <x v="30"/>
    </i>
    <i r="1">
      <x v="31"/>
    </i>
    <i r="1">
      <x v="3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omme de Cible_Cumulée 3,49%" fld="7" baseField="1" baseItem="0" numFmtId="3"/>
    <dataField name="Somme de Penta 1" fld="14" baseField="2" baseItem="13"/>
    <dataField name="Somme de Penta 3" fld="16" baseField="2" baseItem="13"/>
    <dataField name="Somme de VAR1" fld="23" baseField="2" baseItem="1"/>
    <dataField name="Somme de Cible_Cumulée 4%" fld="8" baseField="2" baseItem="14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ZS" sourceName="ZS">
  <extLst>
    <x:ext xmlns:x15="http://schemas.microsoft.com/office/spreadsheetml/2010/11/main" uri="{2F2917AC-EB37-4324-AD4E-5DD8C200BD13}">
      <x15:tableSlicerCache tableId="1" column="2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ategorisaton" sourceName="Categorisaton">
  <extLst>
    <x:ext xmlns:x15="http://schemas.microsoft.com/office/spreadsheetml/2010/11/main" uri="{2F2917AC-EB37-4324-AD4E-5DD8C200BD13}">
      <x15:tableSlicerCache tableId="1" column="35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Tx_Abandon" sourceName="Tx_Abandon">
  <extLst>
    <x:ext xmlns:x15="http://schemas.microsoft.com/office/spreadsheetml/2010/11/main" uri="{2F2917AC-EB37-4324-AD4E-5DD8C200BD13}">
      <x15:tableSlicerCache tableId="1" column="25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CV_Penta3" sourceName="CV_Penta3">
  <extLst>
    <x:ext xmlns:x15="http://schemas.microsoft.com/office/spreadsheetml/2010/11/main" uri="{2F2917AC-EB37-4324-AD4E-5DD8C200BD13}">
      <x15:tableSlicerCache tableId="1" column="26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_Antenne" sourceName="Antenne">
  <extLst>
    <x:ext xmlns:x15="http://schemas.microsoft.com/office/spreadsheetml/2010/11/main" uri="{2F2917AC-EB37-4324-AD4E-5DD8C200BD13}">
      <x15:tableSlicerCache tableId="1" column="2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ZS 1" cache="Segment_ZS" caption="ZS" style="SlicerStyleDark1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ZS" cache="Segment_ZS" caption="ZS" startItem="6" style="SlicerStyleDark1" rowHeight="225425"/>
  <slicer name="Categorisaton" cache="Segment_Categorisaton" caption="CATEGORISATION" columnCount="4" style="SlicerStyleLight4" rowHeight="225425"/>
  <slicer name="Tx_Abandon" cache="Segment_Tx_Abandon" caption="Tx_Abandon" columnCount="2" style="SlicerStyleDark2" rowHeight="225425"/>
  <slicer name="CV_Penta3" cache="Segment_CV_Penta3" caption="CV_Penta3" style="SlicerStyleLight6" rowHeight="225425"/>
  <slicer name="Antenne" cache="Segment_Antenne" caption="Antenne" rowHeight="225425"/>
</slicers>
</file>

<file path=xl/tables/table1.xml><?xml version="1.0" encoding="utf-8"?>
<table xmlns="http://schemas.openxmlformats.org/spreadsheetml/2006/main" id="2" name="Tableau2" displayName="Tableau2" ref="A4:AM671" totalsRowCount="1" headerRowDxfId="409" dataDxfId="408" totalsRowDxfId="407">
  <autoFilter ref="A4:AM670"/>
  <tableColumns count="39">
    <tableColumn id="1" name="Province" dataDxfId="406" totalsRowDxfId="405"/>
    <tableColumn id="22" name="Antenne" dataDxfId="404" totalsRowDxfId="403"/>
    <tableColumn id="2" name="ZS" dataDxfId="402" totalsRowDxfId="401"/>
    <tableColumn id="3" name="AS" dataDxfId="400" totalsRowDxfId="399"/>
    <tableColumn id="4" name="Pop_Totale_2024" totalsRowFunction="sum" dataDxfId="398" totalsRowDxfId="397"/>
    <tableColumn id="5" name="Cible 3,49%" totalsRowFunction="sum" dataDxfId="396" totalsRowDxfId="395">
      <calculatedColumnFormula>IFERROR(E5*3.49%,"")</calculatedColumnFormula>
    </tableColumn>
    <tableColumn id="6" name="Cible 4%" totalsRowFunction="sum" dataDxfId="394" totalsRowDxfId="393">
      <calculatedColumnFormula>IFERROR(E5*4%,"")</calculatedColumnFormula>
    </tableColumn>
    <tableColumn id="7" name="Cible_Cumulée 3,49%" totalsRowFunction="sum" dataDxfId="392" totalsRowDxfId="391">
      <calculatedColumnFormula>IFERROR((F5/12)*$C$1,"")</calculatedColumnFormula>
    </tableColumn>
    <tableColumn id="8" name="Cible_Cumulée 4%" totalsRowFunction="sum" dataDxfId="390" totalsRowDxfId="389">
      <calculatedColumnFormula>IFERROR((G5/12)*$C$1,"")</calculatedColumnFormula>
    </tableColumn>
    <tableColumn id="9" name="BCG" totalsRowFunction="sum" dataDxfId="388" totalsRowDxfId="387"/>
    <tableColumn id="37" name="VPO 0" totalsRowFunction="sum" dataDxfId="386" totalsRowDxfId="385"/>
    <tableColumn id="10" name="VPO 1" totalsRowFunction="sum" dataDxfId="384" totalsRowDxfId="383"/>
    <tableColumn id="38" name="VPO 2" totalsRowFunction="sum" dataDxfId="382" totalsRowDxfId="381"/>
    <tableColumn id="26" name="VPO 3" totalsRowFunction="sum" dataDxfId="380" totalsRowDxfId="379"/>
    <tableColumn id="11" name="Penta 1" totalsRowFunction="sum" dataDxfId="378" totalsRowDxfId="377"/>
    <tableColumn id="33" name="Penta 2" totalsRowFunction="sum" dataDxfId="376" totalsRowDxfId="375"/>
    <tableColumn id="12" name="Penta 3" totalsRowFunction="sum" dataDxfId="374" totalsRowDxfId="373"/>
    <tableColumn id="13" name="PCV-13 (1)" totalsRowFunction="sum" dataDxfId="372" totalsRowDxfId="371"/>
    <tableColumn id="34" name="PCV-13 (2)" totalsRowFunction="sum" dataDxfId="370" totalsRowDxfId="369"/>
    <tableColumn id="14" name="PCV-13 (3)" totalsRowFunction="sum" dataDxfId="368" totalsRowDxfId="367"/>
    <tableColumn id="15" name="Rota 1" totalsRowFunction="sum" dataDxfId="366" totalsRowDxfId="365"/>
    <tableColumn id="35" name="Rota 2" totalsRowFunction="sum" dataDxfId="364" totalsRowDxfId="363"/>
    <tableColumn id="16" name="Rota 3" totalsRowFunction="sum" dataDxfId="362" totalsRowDxfId="361"/>
    <tableColumn id="17" name="VAR1" totalsRowFunction="sum" dataDxfId="360" totalsRowDxfId="359"/>
    <tableColumn id="18" name="VAR 2/RR 2" totalsRowFunction="sum" dataDxfId="358" totalsRowDxfId="357"/>
    <tableColumn id="19" name="VAA" totalsRowFunction="sum" dataDxfId="356" totalsRowDxfId="355"/>
    <tableColumn id="36" name="VPI1" totalsRowFunction="sum" dataDxfId="354" totalsRowDxfId="353"/>
    <tableColumn id="20" name="VPI 2" totalsRowFunction="sum" dataDxfId="352" totalsRowDxfId="351"/>
    <tableColumn id="21" name="Td 1" totalsRowFunction="sum" dataDxfId="350" totalsRowDxfId="349"/>
    <tableColumn id="30" name="Td 2" totalsRowFunction="sum" dataDxfId="348" totalsRowDxfId="347"/>
    <tableColumn id="29" name="Td 3" totalsRowFunction="sum" dataDxfId="346" totalsRowDxfId="345"/>
    <tableColumn id="28" name="Td 4" totalsRowFunction="sum" dataDxfId="344" totalsRowDxfId="343"/>
    <tableColumn id="27" name="Td 5" totalsRowFunction="sum" dataDxfId="342" totalsRowDxfId="341"/>
    <tableColumn id="39" name="Td2+" totalsRowFunction="sum" dataDxfId="340" totalsRowDxfId="339">
      <calculatedColumnFormula>SUM(Tableau2[[#This Row],[Td 2]:[Td 5]])</calculatedColumnFormula>
    </tableColumn>
    <tableColumn id="32" name="Promptitude" totalsRowFunction="sum" dataDxfId="338" totalsRowDxfId="337"/>
    <tableColumn id="31" name="Completude" totalsRowFunction="sum" dataDxfId="336" totalsRowDxfId="335"/>
    <tableColumn id="23" name="EZD" totalsRowFunction="sum" dataDxfId="334" totalsRowDxfId="333">
      <calculatedColumnFormula>IFERROR(IF(H5-O5&lt;0,0,H5-O5),0)</calculatedColumnFormula>
    </tableColumn>
    <tableColumn id="24" name="ESV" totalsRowFunction="sum" dataDxfId="332" totalsRowDxfId="331">
      <calculatedColumnFormula>IFERROR(IF(O5-X5&lt;0,0,O5-X5),0)</calculatedColumnFormula>
    </tableColumn>
    <tableColumn id="25" name="ECV" totalsRowFunction="sum" dataDxfId="330" totalsRowDxfId="329">
      <calculatedColumnFormula>MIN(X5,Z5)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au1" displayName="Tableau1" ref="A15:AK681" headerRowDxfId="109" dataDxfId="107" totalsRowDxfId="106" headerRowBorderDxfId="108">
  <autoFilter ref="A15:AK681">
    <filterColumn colId="2">
      <filters>
        <filter val="Itebero"/>
      </filters>
    </filterColumn>
  </autoFilter>
  <tableColumns count="37">
    <tableColumn id="1" name="Province" totalsRowLabel="Total" dataDxfId="105"/>
    <tableColumn id="23" name="Antenne" dataDxfId="104">
      <calculatedColumnFormula>Data_Entry!B5</calculatedColumnFormula>
    </tableColumn>
    <tableColumn id="2" name="ZS" dataDxfId="103"/>
    <tableColumn id="3" name="AS" dataDxfId="102"/>
    <tableColumn id="4" name="BCG" totalsRowFunction="average" dataDxfId="101" totalsRowDxfId="100">
      <calculatedColumnFormula>IFERROR(IF(Data_Entry!J5/Data_Entry!$I5&lt;0,0,Data_Entry!J5/Data_Entry!$I5),0)</calculatedColumnFormula>
    </tableColumn>
    <tableColumn id="5" name="VPO 0" totalsRowFunction="average" dataDxfId="99" totalsRowDxfId="98">
      <calculatedColumnFormula>IFERROR(IF(Data_Entry!K5/Data_Entry!$H5&lt;0,0,Data_Entry!K5/Data_Entry!$H5),0)</calculatedColumnFormula>
    </tableColumn>
    <tableColumn id="22" name="VPO 1" totalsRowFunction="average" dataDxfId="97" totalsRowDxfId="96">
      <calculatedColumnFormula>IFERROR(IF(Data_Entry!L5/Data_Entry!$H5&lt;0,0,Data_Entry!L5/Data_Entry!$H5),0)</calculatedColumnFormula>
    </tableColumn>
    <tableColumn id="6" name="VPO 2" totalsRowFunction="average" dataDxfId="95" totalsRowDxfId="94">
      <calculatedColumnFormula>IFERROR(IF(Data_Entry!M5/Data_Entry!$H5&lt;0,0,Data_Entry!M5/Data_Entry!$H5),0)</calculatedColumnFormula>
    </tableColumn>
    <tableColumn id="7" name="VPO 3" totalsRowFunction="average" dataDxfId="93" totalsRowDxfId="92">
      <calculatedColumnFormula>IFERROR(IF(Data_Entry!N5/Data_Entry!$H5&lt;0,0,Data_Entry!N5/Data_Entry!$H5),0)</calculatedColumnFormula>
    </tableColumn>
    <tableColumn id="8" name="Penta 1" totalsRowFunction="average" dataDxfId="91" totalsRowDxfId="90">
      <calculatedColumnFormula>IFERROR(IF(Data_Entry!O5/Data_Entry!$H5&lt;0,0,Data_Entry!O5/Data_Entry!$H5),0)</calculatedColumnFormula>
    </tableColumn>
    <tableColumn id="9" name="Penta 2" totalsRowFunction="average" dataDxfId="89" totalsRowDxfId="88">
      <calculatedColumnFormula>IFERROR(IF(Data_Entry!P5/Data_Entry!$H5&lt;0,0,Data_Entry!P5/Data_Entry!$H5),0)</calculatedColumnFormula>
    </tableColumn>
    <tableColumn id="10" name="Penta 3" totalsRowFunction="average" dataDxfId="87" totalsRowDxfId="86">
      <calculatedColumnFormula>IFERROR(IF(Data_Entry!Q5/Data_Entry!$H5&lt;0,0,Data_Entry!Q5/Data_Entry!$H5),0)</calculatedColumnFormula>
    </tableColumn>
    <tableColumn id="11" name="PCV-13 1" totalsRowFunction="average" dataDxfId="85" totalsRowDxfId="84">
      <calculatedColumnFormula>IFERROR(IF(Data_Entry!R5/Data_Entry!$H5&lt;0,0,Data_Entry!R5/Data_Entry!$H5),0)</calculatedColumnFormula>
    </tableColumn>
    <tableColumn id="12" name="PCV-13 2" totalsRowFunction="average" dataDxfId="83" totalsRowDxfId="82">
      <calculatedColumnFormula>IFERROR(IF(Data_Entry!S5/Data_Entry!$H5&lt;0,0,Data_Entry!S5/Data_Entry!$H5),0)</calculatedColumnFormula>
    </tableColumn>
    <tableColumn id="13" name="PCV-13 3" totalsRowFunction="average" dataDxfId="81" totalsRowDxfId="80">
      <calculatedColumnFormula>IFERROR(IF(Data_Entry!T5/Data_Entry!$H5&lt;0,0,Data_Entry!T5/Data_Entry!$H5),0)</calculatedColumnFormula>
    </tableColumn>
    <tableColumn id="14" name="Rota 1" totalsRowFunction="average" dataDxfId="79" totalsRowDxfId="78">
      <calculatedColumnFormula>IFERROR(IF(Data_Entry!U5/Data_Entry!$H5&lt;0,0,Data_Entry!U5/Data_Entry!$H5),0)</calculatedColumnFormula>
    </tableColumn>
    <tableColumn id="15" name="Rota 2" totalsRowFunction="average" dataDxfId="77" totalsRowDxfId="76">
      <calculatedColumnFormula>IFERROR(IF(Data_Entry!V5/Data_Entry!$H5&lt;0,0,Data_Entry!V5/Data_Entry!$H5),0)</calculatedColumnFormula>
    </tableColumn>
    <tableColumn id="16" name="Rota 3" totalsRowFunction="average" dataDxfId="75" totalsRowDxfId="74">
      <calculatedColumnFormula>IFERROR(IF(Data_Entry!W5/Data_Entry!$H5&lt;0,0,Data_Entry!W5/Data_Entry!$H5),0)</calculatedColumnFormula>
    </tableColumn>
    <tableColumn id="17" name="VAR1" totalsRowFunction="average" dataDxfId="73" totalsRowDxfId="72">
      <calculatedColumnFormula>IFERROR(IF(Data_Entry!X5/Data_Entry!$H5&lt;0,0,Data_Entry!X5/Data_Entry!$H5),0)</calculatedColumnFormula>
    </tableColumn>
    <tableColumn id="18" name="VAR 2" totalsRowFunction="average" dataDxfId="71" totalsRowDxfId="70">
      <calculatedColumnFormula>IFERROR(IF(Data_Entry!Y5/Data_Entry!$H5&lt;0,0,Data_Entry!Y5/Data_Entry!$H5),0)</calculatedColumnFormula>
    </tableColumn>
    <tableColumn id="24" name="VAA" totalsRowFunction="sum" dataDxfId="69" totalsRowDxfId="68">
      <calculatedColumnFormula>IFERROR(IF(Data_Entry!Z5/Data_Entry!$H5&lt;0,0,Data_Entry!Z5/Data_Entry!$H5),0)</calculatedColumnFormula>
    </tableColumn>
    <tableColumn id="19" name="VPI1" totalsRowFunction="sum" dataDxfId="67" totalsRowDxfId="66">
      <calculatedColumnFormula>IFERROR(IF(Data_Entry!AA5/Data_Entry!$H5&lt;0,0,Data_Entry!AA5/Data_Entry!$H5),0)</calculatedColumnFormula>
    </tableColumn>
    <tableColumn id="20" name="VPI 2" totalsRowFunction="average" dataDxfId="65" totalsRowDxfId="64">
      <calculatedColumnFormula>IFERROR(IF(Data_Entry!AB5/Data_Entry!$H5&lt;0,0,Data_Entry!AB5/Data_Entry!$H5),0)</calculatedColumnFormula>
    </tableColumn>
    <tableColumn id="34" name="Td 1" dataDxfId="63" totalsRowDxfId="62">
      <calculatedColumnFormula>IFERROR(IF(Data_Entry!AC5/Data_Entry!$I5&lt;0,0,Data_Entry!AC5/Data_Entry!$I5),0)</calculatedColumnFormula>
    </tableColumn>
    <tableColumn id="33" name="Td 2" dataDxfId="61" totalsRowDxfId="60">
      <calculatedColumnFormula>IFERROR(IF(Data_Entry!AD5/Data_Entry!$I5&lt;0,0,Data_Entry!AD5/Data_Entry!$I5),0)</calculatedColumnFormula>
    </tableColumn>
    <tableColumn id="32" name="Td 3" dataDxfId="59" totalsRowDxfId="58">
      <calculatedColumnFormula>IFERROR(IF(Data_Entry!AE5/Data_Entry!$I5&lt;0,0,Data_Entry!AE5/Data_Entry!$I5),0)</calculatedColumnFormula>
    </tableColumn>
    <tableColumn id="31" name="Td 4" dataDxfId="57" totalsRowDxfId="56">
      <calculatedColumnFormula>IFERROR(IF(Data_Entry!AF5/Data_Entry!$I5&lt;0,0,Data_Entry!AF5/Data_Entry!$I5),0)</calculatedColumnFormula>
    </tableColumn>
    <tableColumn id="30" name="Td 5" dataDxfId="55" totalsRowDxfId="54">
      <calculatedColumnFormula>IFERROR(IF(Data_Entry!AG5/Data_Entry!$I5&lt;0,0,Data_Entry!AG5/Data_Entry!$I5),0)</calculatedColumnFormula>
    </tableColumn>
    <tableColumn id="36" name="Td2+" dataDxfId="53" totalsRowDxfId="52">
      <calculatedColumnFormula>IFERROR(IF(Data_Entry!AI5/Data_Entry!$I5&lt;0,0,Data_Entry!AI5/Data_Entry!$I5),0)</calculatedColumnFormula>
    </tableColumn>
    <tableColumn id="38" name="ECV" dataDxfId="51" totalsRowDxfId="50">
      <calculatedColumnFormula>IFERROR(IF(Data_Entry!AM5/Data_Entry!$H5&lt;0,0,Data_Entry!AM5/Data_Entry!$H5),0)</calculatedColumnFormula>
    </tableColumn>
    <tableColumn id="29" name="EZD" dataDxfId="49" totalsRowDxfId="48">
      <calculatedColumnFormula>Data_Entry!AK5</calculatedColumnFormula>
    </tableColumn>
    <tableColumn id="28" name="ESV" dataDxfId="47" totalsRowDxfId="46">
      <calculatedColumnFormula>Data_Entry!AL5</calculatedColumnFormula>
    </tableColumn>
    <tableColumn id="27" name="Tx_Ab_P1-3" dataDxfId="45" totalsRowDxfId="44">
      <calculatedColumnFormula>(Data_Entry!O5-Data_Entry!Q5)/Data_Entry!O5</calculatedColumnFormula>
    </tableColumn>
    <tableColumn id="35" name="Categorisaton" dataDxfId="43" totalsRowDxfId="42">
      <calculatedColumnFormula>IFERROR(IF(AND(AG16&lt;=10%,J16&gt;=90%),"CAT1",IF(AND(AG16&lt;=10%,J16&lt;90%),"CAT3",IF(AND(AG16&gt;10%,J16&gt;=90%),"CAT2",IF(AND(AG16&gt;10%,J16&lt;90%),"CAT4",)))),"ND")</calculatedColumnFormula>
    </tableColumn>
    <tableColumn id="21" name="Visu" dataDxfId="41" totalsRowDxfId="40"/>
    <tableColumn id="26" name="CV_Penta3" dataDxfId="39" totalsRowDxfId="38">
      <calculatedColumnFormula>_xlfn.IFS(L16&lt;50%,"&lt;50%",(AND(L16&lt;80%,L16&gt;50%)),"&gt;50%&lt;80%",(AND(L16&gt;=80%,L16&lt;95%)),"&gt;=80%&lt;95%",(AND(L16&gt;=95%,L16&lt;100%)),"95-100%",L16&gt;100%,"&gt;100%")</calculatedColumnFormula>
    </tableColumn>
    <tableColumn id="25" name="Tx_Abandon" dataDxfId="37" totalsRowDxfId="36">
      <calculatedColumnFormula>IFERROR(IF((Data_Entry!O5-Data_Entry!Q5)/Data_Entry!O5&lt;=10%,"&lt;=10%","&gt;10%"),"&lt;=10%")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microsoft.com/office/2007/relationships/slicer" Target="../slicers/slicer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"/>
  <sheetViews>
    <sheetView showGridLines="0" workbookViewId="0">
      <selection activeCell="B16" sqref="B16"/>
    </sheetView>
  </sheetViews>
  <sheetFormatPr baseColWidth="10" defaultColWidth="10.90625" defaultRowHeight="12.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/>
  </sheetPr>
  <dimension ref="A1:AZ674"/>
  <sheetViews>
    <sheetView showGridLines="0" tabSelected="1" zoomScale="90" zoomScaleNormal="90" workbookViewId="0">
      <pane xSplit="4" ySplit="4" topLeftCell="E5" activePane="bottomRight" state="frozen"/>
      <selection pane="topRight" activeCell="D1" sqref="D1"/>
      <selection pane="bottomLeft" activeCell="A5" sqref="A5"/>
      <selection pane="bottomRight" activeCell="A5" sqref="A5"/>
    </sheetView>
  </sheetViews>
  <sheetFormatPr baseColWidth="10" defaultColWidth="9.1796875" defaultRowHeight="12.5" x14ac:dyDescent="0.25"/>
  <cols>
    <col min="1" max="2" width="12.54296875" style="2" customWidth="1"/>
    <col min="3" max="3" width="12.54296875" style="2" bestFit="1" customWidth="1"/>
    <col min="4" max="4" width="19.1796875" style="2" customWidth="1"/>
    <col min="5" max="5" width="11.26953125" style="2" customWidth="1"/>
    <col min="6" max="39" width="9.81640625" style="2" customWidth="1"/>
    <col min="40" max="51" width="9.1796875" style="2"/>
    <col min="52" max="52" width="9.81640625" style="2" bestFit="1" customWidth="1"/>
    <col min="53" max="16384" width="9.1796875" style="2"/>
  </cols>
  <sheetData>
    <row r="1" spans="1:52" ht="14" x14ac:dyDescent="0.3">
      <c r="A1" s="278" t="s">
        <v>741</v>
      </c>
      <c r="B1" s="278"/>
      <c r="C1" s="8">
        <v>10</v>
      </c>
      <c r="D1" s="18" t="str">
        <f>"Janvier-"&amp;(_xlfn.IFS(Data_Entry!C1=1,"Janvier",Data_Entry!C1=2,"Février",Data_Entry!C1=3,"Mars",Data_Entry!C1=4,"Avril",Data_Entry!C1=5,"Mai",Data_Entry!C1=6,"Juin",Data_Entry!C1=7,"Juillet",Data_Entry!C1=8,"Août",Data_Entry!C1=9,"Septembre",Data_Entry!C1=10,"Octobre",Data_Entry!C1=11,"Novembre",Data_Entry!C1=12,"Décembre"))&amp;" "&amp;"2024"</f>
        <v>Janvier-Octobre 2024</v>
      </c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</row>
    <row r="2" spans="1:52" x14ac:dyDescent="0.25">
      <c r="A2" s="277" t="s">
        <v>719</v>
      </c>
      <c r="B2" s="277"/>
      <c r="C2" s="277"/>
      <c r="D2" s="277"/>
    </row>
    <row r="3" spans="1:52" ht="18.75" customHeight="1" x14ac:dyDescent="0.25">
      <c r="A3" s="277"/>
      <c r="B3" s="277"/>
      <c r="C3" s="277"/>
      <c r="D3" s="277"/>
      <c r="AO3" s="279" t="s">
        <v>880</v>
      </c>
      <c r="AP3" s="279"/>
      <c r="AQ3" s="279"/>
      <c r="AR3" s="279"/>
      <c r="AS3" s="279"/>
      <c r="AT3" s="279"/>
      <c r="AU3" s="279"/>
      <c r="AV3" s="279"/>
      <c r="AW3" s="279"/>
      <c r="AX3" s="279"/>
      <c r="AY3" s="94" t="s">
        <v>852</v>
      </c>
      <c r="AZ3" s="95">
        <v>45596</v>
      </c>
    </row>
    <row r="4" spans="1:52" s="9" customFormat="1" ht="81.75" customHeight="1" x14ac:dyDescent="0.25">
      <c r="A4" s="13" t="s">
        <v>5</v>
      </c>
      <c r="B4" s="13" t="s">
        <v>738</v>
      </c>
      <c r="C4" s="13" t="s">
        <v>4</v>
      </c>
      <c r="D4" s="13" t="s">
        <v>3</v>
      </c>
      <c r="E4" s="13" t="s">
        <v>6</v>
      </c>
      <c r="F4" s="13" t="s">
        <v>674</v>
      </c>
      <c r="G4" s="13" t="s">
        <v>675</v>
      </c>
      <c r="H4" s="13" t="s">
        <v>677</v>
      </c>
      <c r="I4" s="13" t="s">
        <v>678</v>
      </c>
      <c r="J4" s="16" t="s">
        <v>7</v>
      </c>
      <c r="K4" s="16" t="s">
        <v>745</v>
      </c>
      <c r="L4" s="16" t="s">
        <v>746</v>
      </c>
      <c r="M4" s="16" t="s">
        <v>747</v>
      </c>
      <c r="N4" s="16" t="s">
        <v>748</v>
      </c>
      <c r="O4" s="16" t="s">
        <v>749</v>
      </c>
      <c r="P4" s="16" t="s">
        <v>750</v>
      </c>
      <c r="Q4" s="16" t="s">
        <v>751</v>
      </c>
      <c r="R4" s="16" t="s">
        <v>9</v>
      </c>
      <c r="S4" s="16" t="s">
        <v>742</v>
      </c>
      <c r="T4" s="16" t="s">
        <v>10</v>
      </c>
      <c r="U4" s="16" t="s">
        <v>0</v>
      </c>
      <c r="V4" s="16" t="s">
        <v>743</v>
      </c>
      <c r="W4" s="16" t="s">
        <v>1</v>
      </c>
      <c r="X4" s="16" t="s">
        <v>11</v>
      </c>
      <c r="Y4" s="16" t="s">
        <v>12</v>
      </c>
      <c r="Z4" s="16" t="s">
        <v>13</v>
      </c>
      <c r="AA4" s="16" t="s">
        <v>744</v>
      </c>
      <c r="AB4" s="16" t="s">
        <v>14</v>
      </c>
      <c r="AC4" s="16" t="s">
        <v>15</v>
      </c>
      <c r="AD4" s="16" t="s">
        <v>715</v>
      </c>
      <c r="AE4" s="16" t="s">
        <v>716</v>
      </c>
      <c r="AF4" s="16" t="s">
        <v>717</v>
      </c>
      <c r="AG4" s="16" t="s">
        <v>718</v>
      </c>
      <c r="AH4" s="16" t="s">
        <v>723</v>
      </c>
      <c r="AI4" s="16" t="s">
        <v>720</v>
      </c>
      <c r="AJ4" s="16" t="s">
        <v>721</v>
      </c>
      <c r="AK4" s="16" t="s">
        <v>763</v>
      </c>
      <c r="AL4" s="16" t="s">
        <v>676</v>
      </c>
      <c r="AM4" s="16" t="s">
        <v>956</v>
      </c>
      <c r="AO4" s="96" t="s">
        <v>4</v>
      </c>
      <c r="AP4" s="97" t="s">
        <v>837</v>
      </c>
      <c r="AQ4" s="97" t="s">
        <v>838</v>
      </c>
      <c r="AR4" s="97" t="s">
        <v>839</v>
      </c>
      <c r="AS4" s="97" t="s">
        <v>840</v>
      </c>
      <c r="AT4" s="97" t="s">
        <v>841</v>
      </c>
      <c r="AU4" s="97" t="s">
        <v>842</v>
      </c>
      <c r="AV4" s="97" t="s">
        <v>843</v>
      </c>
      <c r="AW4" s="97" t="s">
        <v>844</v>
      </c>
      <c r="AX4" s="97" t="s">
        <v>845</v>
      </c>
      <c r="AY4" s="97" t="s">
        <v>846</v>
      </c>
      <c r="AZ4" s="97" t="s">
        <v>847</v>
      </c>
    </row>
    <row r="5" spans="1:52" s="3" customFormat="1" x14ac:dyDescent="0.25">
      <c r="A5" s="3" t="s">
        <v>16</v>
      </c>
      <c r="B5" s="29" t="s">
        <v>739</v>
      </c>
      <c r="C5" s="3" t="s">
        <v>17</v>
      </c>
      <c r="D5" s="3" t="s">
        <v>17</v>
      </c>
      <c r="E5" s="14">
        <v>12959</v>
      </c>
      <c r="F5" s="15">
        <f>IFERROR(E5*3.49%,"")</f>
        <v>452.26909999999998</v>
      </c>
      <c r="G5" s="15">
        <f>IFERROR(E5*4%,"")</f>
        <v>518.36</v>
      </c>
      <c r="H5" s="15">
        <f>IFERROR((F5/12)*$C$1,"")</f>
        <v>376.89091666666661</v>
      </c>
      <c r="I5" s="15">
        <f>IFERROR((G5/12)*$C$1,"")</f>
        <v>431.96666666666664</v>
      </c>
      <c r="J5" s="10">
        <v>371</v>
      </c>
      <c r="K5" s="10">
        <v>209</v>
      </c>
      <c r="L5" s="10">
        <v>429</v>
      </c>
      <c r="M5" s="10">
        <v>390</v>
      </c>
      <c r="N5" s="10">
        <v>399</v>
      </c>
      <c r="O5" s="10">
        <v>406</v>
      </c>
      <c r="P5" s="10">
        <v>367</v>
      </c>
      <c r="Q5" s="10">
        <v>367</v>
      </c>
      <c r="R5" s="10">
        <v>354</v>
      </c>
      <c r="S5" s="10">
        <v>304</v>
      </c>
      <c r="T5" s="10">
        <v>296</v>
      </c>
      <c r="U5" s="10">
        <v>386</v>
      </c>
      <c r="V5" s="10">
        <v>360</v>
      </c>
      <c r="W5" s="10">
        <v>358</v>
      </c>
      <c r="X5" s="10">
        <v>388</v>
      </c>
      <c r="Y5" s="10">
        <v>146</v>
      </c>
      <c r="Z5" s="10">
        <v>379</v>
      </c>
      <c r="AA5" s="10">
        <v>397</v>
      </c>
      <c r="AB5" s="10">
        <v>390</v>
      </c>
      <c r="AC5" s="10">
        <v>161</v>
      </c>
      <c r="AD5" s="10">
        <v>108</v>
      </c>
      <c r="AE5" s="10">
        <v>102</v>
      </c>
      <c r="AF5" s="10">
        <v>152</v>
      </c>
      <c r="AG5" s="10">
        <v>71</v>
      </c>
      <c r="AH5" s="102">
        <f>SUM(Tableau2[[#This Row],[Td 2]:[Td 5]])</f>
        <v>433</v>
      </c>
      <c r="AI5" s="10">
        <v>58.3</v>
      </c>
      <c r="AJ5" s="10">
        <v>100</v>
      </c>
      <c r="AK5" s="17">
        <f>IFERROR(IF(H5-O5&lt;0,0,H5-O5),0)</f>
        <v>0</v>
      </c>
      <c r="AL5" s="17">
        <f>IFERROR(IF(O5-X5&lt;0,0,O5-X5),0)</f>
        <v>18</v>
      </c>
      <c r="AM5" s="17">
        <f>MIN(X5,Z5)</f>
        <v>379</v>
      </c>
      <c r="AO5" s="98" t="s">
        <v>17</v>
      </c>
      <c r="AP5" s="92"/>
      <c r="AQ5" s="92">
        <v>0.61904761904761907</v>
      </c>
      <c r="AR5" s="92">
        <v>0.69230769230769229</v>
      </c>
      <c r="AS5" s="92">
        <v>1</v>
      </c>
      <c r="AT5" s="92">
        <v>0.38461538461538464</v>
      </c>
      <c r="AU5" s="92">
        <v>0.77777777777777779</v>
      </c>
      <c r="AV5" s="92">
        <v>1</v>
      </c>
      <c r="AW5" s="92">
        <v>0.38461538461538464</v>
      </c>
      <c r="AX5" s="92"/>
      <c r="AY5" s="92">
        <v>0</v>
      </c>
      <c r="AZ5" s="92">
        <v>0.60952380952380969</v>
      </c>
    </row>
    <row r="6" spans="1:52" s="3" customFormat="1" x14ac:dyDescent="0.25">
      <c r="A6" s="2" t="s">
        <v>16</v>
      </c>
      <c r="B6" s="29" t="s">
        <v>739</v>
      </c>
      <c r="C6" s="2" t="s">
        <v>17</v>
      </c>
      <c r="D6" s="2" t="s">
        <v>51</v>
      </c>
      <c r="E6" s="14">
        <v>14117</v>
      </c>
      <c r="F6" s="15">
        <f t="shared" ref="F6:F69" si="0">IFERROR(E6*3.49%,"")</f>
        <v>492.68330000000003</v>
      </c>
      <c r="G6" s="15">
        <f t="shared" ref="G6:G69" si="1">IFERROR(E6*4%,"")</f>
        <v>564.68000000000006</v>
      </c>
      <c r="H6" s="15">
        <f t="shared" ref="H6:H69" si="2">IFERROR((F6/12)*$C$1,"")</f>
        <v>410.56941666666665</v>
      </c>
      <c r="I6" s="15">
        <f t="shared" ref="I6:I69" si="3">IFERROR((G6/12)*$C$1,"")</f>
        <v>470.56666666666672</v>
      </c>
      <c r="J6" s="10">
        <v>490</v>
      </c>
      <c r="K6" s="10">
        <v>1398</v>
      </c>
      <c r="L6" s="10">
        <v>617</v>
      </c>
      <c r="M6" s="10">
        <v>453</v>
      </c>
      <c r="N6" s="10">
        <v>595</v>
      </c>
      <c r="O6" s="10">
        <v>617</v>
      </c>
      <c r="P6" s="10">
        <v>452</v>
      </c>
      <c r="Q6" s="10">
        <v>595</v>
      </c>
      <c r="R6" s="10">
        <v>559</v>
      </c>
      <c r="S6" s="10">
        <v>420</v>
      </c>
      <c r="T6" s="10">
        <v>539</v>
      </c>
      <c r="U6" s="10">
        <v>617</v>
      </c>
      <c r="V6" s="10">
        <v>460</v>
      </c>
      <c r="W6" s="10">
        <v>600</v>
      </c>
      <c r="X6" s="10">
        <v>583</v>
      </c>
      <c r="Y6" s="10">
        <v>177</v>
      </c>
      <c r="Z6" s="10">
        <v>583</v>
      </c>
      <c r="AA6" s="10">
        <v>892</v>
      </c>
      <c r="AB6" s="10">
        <v>583</v>
      </c>
      <c r="AC6" s="10">
        <v>224</v>
      </c>
      <c r="AD6" s="10">
        <v>130</v>
      </c>
      <c r="AE6" s="10">
        <v>154</v>
      </c>
      <c r="AF6" s="10">
        <v>138</v>
      </c>
      <c r="AG6" s="10">
        <v>150</v>
      </c>
      <c r="AH6" s="102">
        <f>SUM(Tableau2[[#This Row],[Td 2]:[Td 5]])</f>
        <v>572</v>
      </c>
      <c r="AI6" s="10">
        <v>62.5</v>
      </c>
      <c r="AJ6" s="10">
        <v>100</v>
      </c>
      <c r="AK6" s="17">
        <f t="shared" ref="AK6:AK69" si="4">IFERROR(IF(H6-O6&lt;0,0,H6-O6),0)</f>
        <v>0</v>
      </c>
      <c r="AL6" s="17">
        <f t="shared" ref="AL6:AL69" si="5">IFERROR(IF(O6-X6&lt;0,0,O6-X6),0)</f>
        <v>34</v>
      </c>
      <c r="AM6" s="17">
        <f t="shared" ref="AM6:AM69" si="6">MIN(X6,Z6)</f>
        <v>583</v>
      </c>
      <c r="AO6" s="98" t="s">
        <v>18</v>
      </c>
      <c r="AP6" s="92"/>
      <c r="AQ6" s="92">
        <v>0.92307692307692313</v>
      </c>
      <c r="AR6" s="92">
        <v>1</v>
      </c>
      <c r="AS6" s="92">
        <v>1</v>
      </c>
      <c r="AT6" s="92">
        <v>0.25</v>
      </c>
      <c r="AU6" s="92">
        <v>1</v>
      </c>
      <c r="AV6" s="92">
        <v>1</v>
      </c>
      <c r="AW6" s="92">
        <v>1</v>
      </c>
      <c r="AX6" s="92"/>
      <c r="AY6" s="92">
        <v>0</v>
      </c>
      <c r="AZ6" s="92">
        <v>0.77596153846153859</v>
      </c>
    </row>
    <row r="7" spans="1:52" s="3" customFormat="1" x14ac:dyDescent="0.25">
      <c r="A7" s="2" t="s">
        <v>16</v>
      </c>
      <c r="B7" s="29" t="s">
        <v>739</v>
      </c>
      <c r="C7" s="2" t="s">
        <v>17</v>
      </c>
      <c r="D7" s="2" t="s">
        <v>52</v>
      </c>
      <c r="E7" s="14">
        <v>17821</v>
      </c>
      <c r="F7" s="15">
        <f t="shared" si="0"/>
        <v>621.9529</v>
      </c>
      <c r="G7" s="15">
        <f t="shared" si="1"/>
        <v>712.84</v>
      </c>
      <c r="H7" s="15">
        <f t="shared" si="2"/>
        <v>518.29408333333333</v>
      </c>
      <c r="I7" s="15">
        <f t="shared" si="3"/>
        <v>594.0333333333333</v>
      </c>
      <c r="J7" s="10">
        <v>415</v>
      </c>
      <c r="K7" s="10">
        <v>408</v>
      </c>
      <c r="L7" s="10">
        <v>631</v>
      </c>
      <c r="M7" s="10">
        <v>604</v>
      </c>
      <c r="N7" s="10">
        <v>594</v>
      </c>
      <c r="O7" s="10">
        <v>555</v>
      </c>
      <c r="P7" s="10">
        <v>543</v>
      </c>
      <c r="Q7" s="10">
        <v>517</v>
      </c>
      <c r="R7" s="10">
        <v>576</v>
      </c>
      <c r="S7" s="10">
        <v>551</v>
      </c>
      <c r="T7" s="10">
        <v>527</v>
      </c>
      <c r="U7" s="10">
        <v>631</v>
      </c>
      <c r="V7" s="10">
        <v>610</v>
      </c>
      <c r="W7" s="10">
        <v>589</v>
      </c>
      <c r="X7" s="10">
        <v>615</v>
      </c>
      <c r="Y7" s="10">
        <v>357</v>
      </c>
      <c r="Z7" s="10">
        <v>547</v>
      </c>
      <c r="AA7" s="10">
        <v>602</v>
      </c>
      <c r="AB7" s="10">
        <v>421</v>
      </c>
      <c r="AC7" s="10">
        <v>264</v>
      </c>
      <c r="AD7" s="10">
        <v>130</v>
      </c>
      <c r="AE7" s="10">
        <v>86</v>
      </c>
      <c r="AF7" s="10">
        <v>90</v>
      </c>
      <c r="AG7" s="10">
        <v>129</v>
      </c>
      <c r="AH7" s="102">
        <f>SUM(Tableau2[[#This Row],[Td 2]:[Td 5]])</f>
        <v>435</v>
      </c>
      <c r="AI7" s="10">
        <v>62.5</v>
      </c>
      <c r="AJ7" s="10">
        <v>100</v>
      </c>
      <c r="AK7" s="17">
        <f t="shared" si="4"/>
        <v>0</v>
      </c>
      <c r="AL7" s="17">
        <f t="shared" si="5"/>
        <v>0</v>
      </c>
      <c r="AM7" s="17">
        <f t="shared" si="6"/>
        <v>547</v>
      </c>
      <c r="AO7" s="98" t="s">
        <v>19</v>
      </c>
      <c r="AP7" s="92"/>
      <c r="AQ7" s="92">
        <v>0</v>
      </c>
      <c r="AR7" s="92">
        <v>0</v>
      </c>
      <c r="AS7" s="92">
        <v>0</v>
      </c>
      <c r="AT7" s="92">
        <v>0</v>
      </c>
      <c r="AU7" s="92"/>
      <c r="AV7" s="92"/>
      <c r="AW7" s="92"/>
      <c r="AX7" s="92"/>
      <c r="AY7" s="92">
        <v>0</v>
      </c>
      <c r="AZ7" s="92">
        <v>0</v>
      </c>
    </row>
    <row r="8" spans="1:52" s="3" customFormat="1" x14ac:dyDescent="0.25">
      <c r="A8" s="2" t="s">
        <v>16</v>
      </c>
      <c r="B8" s="29" t="s">
        <v>739</v>
      </c>
      <c r="C8" s="2" t="s">
        <v>17</v>
      </c>
      <c r="D8" s="2" t="s">
        <v>53</v>
      </c>
      <c r="E8" s="14">
        <v>14630</v>
      </c>
      <c r="F8" s="15">
        <f t="shared" si="0"/>
        <v>510.58699999999999</v>
      </c>
      <c r="G8" s="15">
        <f t="shared" si="1"/>
        <v>585.20000000000005</v>
      </c>
      <c r="H8" s="15">
        <f t="shared" si="2"/>
        <v>425.48916666666662</v>
      </c>
      <c r="I8" s="15">
        <f t="shared" si="3"/>
        <v>487.66666666666674</v>
      </c>
      <c r="J8" s="10">
        <v>278</v>
      </c>
      <c r="K8" s="10">
        <v>14</v>
      </c>
      <c r="L8" s="10">
        <v>255</v>
      </c>
      <c r="M8" s="10">
        <v>226</v>
      </c>
      <c r="N8" s="10">
        <v>187</v>
      </c>
      <c r="O8" s="10">
        <v>262</v>
      </c>
      <c r="P8" s="10">
        <v>222</v>
      </c>
      <c r="Q8" s="10">
        <v>181</v>
      </c>
      <c r="R8" s="10">
        <v>201</v>
      </c>
      <c r="S8" s="10">
        <v>230</v>
      </c>
      <c r="T8" s="10">
        <v>193</v>
      </c>
      <c r="U8" s="10">
        <v>259</v>
      </c>
      <c r="V8" s="10">
        <v>243</v>
      </c>
      <c r="W8" s="10">
        <v>214</v>
      </c>
      <c r="X8" s="10">
        <v>296</v>
      </c>
      <c r="Y8" s="10">
        <v>74</v>
      </c>
      <c r="Z8" s="10">
        <v>247</v>
      </c>
      <c r="AA8" s="10">
        <v>208</v>
      </c>
      <c r="AB8" s="10">
        <v>186</v>
      </c>
      <c r="AC8" s="10">
        <v>103</v>
      </c>
      <c r="AD8" s="10">
        <v>87</v>
      </c>
      <c r="AE8" s="10">
        <v>43</v>
      </c>
      <c r="AF8" s="10">
        <v>37</v>
      </c>
      <c r="AG8" s="10">
        <v>33</v>
      </c>
      <c r="AH8" s="102">
        <f>SUM(Tableau2[[#This Row],[Td 2]:[Td 5]])</f>
        <v>200</v>
      </c>
      <c r="AI8" s="10">
        <v>54.2</v>
      </c>
      <c r="AJ8" s="10">
        <v>100</v>
      </c>
      <c r="AK8" s="17">
        <f t="shared" si="4"/>
        <v>163.48916666666662</v>
      </c>
      <c r="AL8" s="17">
        <f t="shared" si="5"/>
        <v>0</v>
      </c>
      <c r="AM8" s="17">
        <f t="shared" si="6"/>
        <v>247</v>
      </c>
      <c r="AO8" s="98" t="s">
        <v>20</v>
      </c>
      <c r="AP8" s="92"/>
      <c r="AQ8" s="92">
        <v>0.75</v>
      </c>
      <c r="AR8" s="92">
        <v>0.36363636363636365</v>
      </c>
      <c r="AS8" s="92">
        <v>0.90909090909090906</v>
      </c>
      <c r="AT8" s="92">
        <v>0.41666666666666669</v>
      </c>
      <c r="AU8" s="92">
        <v>0.75</v>
      </c>
      <c r="AV8" s="92">
        <v>0.75</v>
      </c>
      <c r="AW8" s="92">
        <v>0.41666666666666669</v>
      </c>
      <c r="AX8" s="92"/>
      <c r="AY8" s="92">
        <v>0</v>
      </c>
      <c r="AZ8" s="92">
        <v>0.5276515151515152</v>
      </c>
    </row>
    <row r="9" spans="1:52" s="3" customFormat="1" x14ac:dyDescent="0.25">
      <c r="A9" s="2" t="s">
        <v>16</v>
      </c>
      <c r="B9" s="29" t="s">
        <v>739</v>
      </c>
      <c r="C9" s="2" t="s">
        <v>17</v>
      </c>
      <c r="D9" s="2" t="s">
        <v>54</v>
      </c>
      <c r="E9" s="14">
        <v>7629</v>
      </c>
      <c r="F9" s="15">
        <f t="shared" si="0"/>
        <v>266.25209999999998</v>
      </c>
      <c r="G9" s="15">
        <f t="shared" si="1"/>
        <v>305.16000000000003</v>
      </c>
      <c r="H9" s="15">
        <f t="shared" si="2"/>
        <v>221.87674999999999</v>
      </c>
      <c r="I9" s="15">
        <f t="shared" si="3"/>
        <v>254.30000000000004</v>
      </c>
      <c r="J9" s="10" t="s">
        <v>2</v>
      </c>
      <c r="K9" s="10">
        <v>141</v>
      </c>
      <c r="L9" s="10">
        <v>177</v>
      </c>
      <c r="M9" s="10">
        <v>155</v>
      </c>
      <c r="N9" s="10">
        <v>150</v>
      </c>
      <c r="O9" s="10">
        <v>181</v>
      </c>
      <c r="P9" s="10">
        <v>180</v>
      </c>
      <c r="Q9" s="10">
        <v>171</v>
      </c>
      <c r="R9" s="10">
        <v>198</v>
      </c>
      <c r="S9" s="10">
        <v>141</v>
      </c>
      <c r="T9" s="10">
        <v>139</v>
      </c>
      <c r="U9" s="10">
        <v>140</v>
      </c>
      <c r="V9" s="10">
        <v>123</v>
      </c>
      <c r="W9" s="10">
        <v>137</v>
      </c>
      <c r="X9" s="10">
        <v>218</v>
      </c>
      <c r="Y9" s="10">
        <v>148</v>
      </c>
      <c r="Z9" s="10">
        <v>227</v>
      </c>
      <c r="AA9" s="10">
        <v>195</v>
      </c>
      <c r="AB9" s="10">
        <v>102</v>
      </c>
      <c r="AC9" s="10">
        <v>179</v>
      </c>
      <c r="AD9" s="10">
        <v>85</v>
      </c>
      <c r="AE9" s="10">
        <v>77</v>
      </c>
      <c r="AF9" s="10">
        <v>58</v>
      </c>
      <c r="AG9" s="10">
        <v>62</v>
      </c>
      <c r="AH9" s="102">
        <f>SUM(Tableau2[[#This Row],[Td 2]:[Td 5]])</f>
        <v>282</v>
      </c>
      <c r="AI9" s="10">
        <v>58.3</v>
      </c>
      <c r="AJ9" s="10">
        <v>100</v>
      </c>
      <c r="AK9" s="17">
        <f t="shared" si="4"/>
        <v>40.876749999999987</v>
      </c>
      <c r="AL9" s="17">
        <f t="shared" si="5"/>
        <v>0</v>
      </c>
      <c r="AM9" s="17">
        <f t="shared" si="6"/>
        <v>218</v>
      </c>
      <c r="AO9" s="98" t="s">
        <v>21</v>
      </c>
      <c r="AP9" s="92"/>
      <c r="AQ9" s="92">
        <v>0.35714285714285715</v>
      </c>
      <c r="AR9" s="92">
        <v>0.66666666666666663</v>
      </c>
      <c r="AS9" s="92">
        <v>1</v>
      </c>
      <c r="AT9" s="92">
        <v>1</v>
      </c>
      <c r="AU9" s="92">
        <v>1</v>
      </c>
      <c r="AV9" s="92">
        <v>0.6</v>
      </c>
      <c r="AW9" s="92">
        <v>0.8</v>
      </c>
      <c r="AX9" s="92"/>
      <c r="AY9" s="92">
        <v>0</v>
      </c>
      <c r="AZ9" s="92">
        <v>0.69023809523809532</v>
      </c>
    </row>
    <row r="10" spans="1:52" s="3" customFormat="1" x14ac:dyDescent="0.25">
      <c r="A10" s="2" t="s">
        <v>16</v>
      </c>
      <c r="B10" s="29" t="s">
        <v>739</v>
      </c>
      <c r="C10" s="2" t="s">
        <v>17</v>
      </c>
      <c r="D10" s="2" t="s">
        <v>55</v>
      </c>
      <c r="E10" s="14">
        <v>10164</v>
      </c>
      <c r="F10" s="15">
        <f t="shared" si="0"/>
        <v>354.72360000000003</v>
      </c>
      <c r="G10" s="15">
        <f t="shared" si="1"/>
        <v>406.56</v>
      </c>
      <c r="H10" s="15">
        <f t="shared" si="2"/>
        <v>295.60300000000001</v>
      </c>
      <c r="I10" s="15">
        <f t="shared" si="3"/>
        <v>338.8</v>
      </c>
      <c r="J10" s="10">
        <v>198</v>
      </c>
      <c r="K10" s="10">
        <v>105</v>
      </c>
      <c r="L10" s="10">
        <v>391</v>
      </c>
      <c r="M10" s="10">
        <v>384</v>
      </c>
      <c r="N10" s="10">
        <v>403</v>
      </c>
      <c r="O10" s="10">
        <v>387</v>
      </c>
      <c r="P10" s="10">
        <v>377</v>
      </c>
      <c r="Q10" s="10">
        <v>370</v>
      </c>
      <c r="R10" s="10">
        <v>347</v>
      </c>
      <c r="S10" s="10">
        <v>331</v>
      </c>
      <c r="T10" s="10">
        <v>376</v>
      </c>
      <c r="U10" s="10">
        <v>405</v>
      </c>
      <c r="V10" s="10">
        <v>380</v>
      </c>
      <c r="W10" s="10">
        <v>414</v>
      </c>
      <c r="X10" s="10">
        <v>436</v>
      </c>
      <c r="Y10" s="10">
        <v>106</v>
      </c>
      <c r="Z10" s="10">
        <v>435</v>
      </c>
      <c r="AA10" s="10">
        <v>423</v>
      </c>
      <c r="AB10" s="10">
        <v>341</v>
      </c>
      <c r="AC10" s="10">
        <v>112</v>
      </c>
      <c r="AD10" s="10">
        <v>55</v>
      </c>
      <c r="AE10" s="10">
        <v>69</v>
      </c>
      <c r="AF10" s="10">
        <v>38</v>
      </c>
      <c r="AG10" s="10">
        <v>26</v>
      </c>
      <c r="AH10" s="102">
        <f>SUM(Tableau2[[#This Row],[Td 2]:[Td 5]])</f>
        <v>188</v>
      </c>
      <c r="AI10" s="10">
        <v>50</v>
      </c>
      <c r="AJ10" s="10">
        <v>100</v>
      </c>
      <c r="AK10" s="17">
        <f t="shared" si="4"/>
        <v>0</v>
      </c>
      <c r="AL10" s="17">
        <f t="shared" si="5"/>
        <v>0</v>
      </c>
      <c r="AM10" s="17">
        <f t="shared" si="6"/>
        <v>435</v>
      </c>
      <c r="AO10" s="98" t="s">
        <v>22</v>
      </c>
      <c r="AP10" s="92"/>
      <c r="AQ10" s="92">
        <v>0.5</v>
      </c>
      <c r="AR10" s="92">
        <v>0.75</v>
      </c>
      <c r="AS10" s="92">
        <v>0.75</v>
      </c>
      <c r="AT10" s="92">
        <v>0.14285714285714285</v>
      </c>
      <c r="AU10" s="92">
        <v>1</v>
      </c>
      <c r="AV10" s="92">
        <v>0.42857142857142855</v>
      </c>
      <c r="AW10" s="92">
        <v>0.7142857142857143</v>
      </c>
      <c r="AX10" s="92"/>
      <c r="AY10" s="92">
        <v>0</v>
      </c>
      <c r="AZ10" s="92">
        <v>0.56607142857142856</v>
      </c>
    </row>
    <row r="11" spans="1:52" s="3" customFormat="1" x14ac:dyDescent="0.25">
      <c r="A11" s="2" t="s">
        <v>16</v>
      </c>
      <c r="B11" s="29" t="s">
        <v>739</v>
      </c>
      <c r="C11" s="2" t="s">
        <v>17</v>
      </c>
      <c r="D11" s="2" t="s">
        <v>56</v>
      </c>
      <c r="E11" s="14">
        <v>10467</v>
      </c>
      <c r="F11" s="15">
        <f t="shared" si="0"/>
        <v>365.29829999999998</v>
      </c>
      <c r="G11" s="15">
        <f t="shared" si="1"/>
        <v>418.68</v>
      </c>
      <c r="H11" s="15">
        <f t="shared" si="2"/>
        <v>304.41525000000001</v>
      </c>
      <c r="I11" s="15">
        <f t="shared" si="3"/>
        <v>348.9</v>
      </c>
      <c r="J11" s="10">
        <v>236</v>
      </c>
      <c r="K11" s="10">
        <v>439</v>
      </c>
      <c r="L11" s="10">
        <v>313</v>
      </c>
      <c r="M11" s="10">
        <v>298</v>
      </c>
      <c r="N11" s="10">
        <v>348</v>
      </c>
      <c r="O11" s="10">
        <v>340</v>
      </c>
      <c r="P11" s="10">
        <v>329</v>
      </c>
      <c r="Q11" s="10">
        <v>329</v>
      </c>
      <c r="R11" s="10">
        <v>306</v>
      </c>
      <c r="S11" s="10">
        <v>287</v>
      </c>
      <c r="T11" s="10">
        <v>306</v>
      </c>
      <c r="U11" s="10">
        <v>357</v>
      </c>
      <c r="V11" s="10">
        <v>337</v>
      </c>
      <c r="W11" s="10">
        <v>357</v>
      </c>
      <c r="X11" s="10">
        <v>401</v>
      </c>
      <c r="Y11" s="10">
        <v>263</v>
      </c>
      <c r="Z11" s="10">
        <v>366</v>
      </c>
      <c r="AA11" s="10">
        <v>245</v>
      </c>
      <c r="AB11" s="10">
        <v>207</v>
      </c>
      <c r="AC11" s="10">
        <v>81</v>
      </c>
      <c r="AD11" s="10">
        <v>52</v>
      </c>
      <c r="AE11" s="10">
        <v>53</v>
      </c>
      <c r="AF11" s="10">
        <v>42</v>
      </c>
      <c r="AG11" s="10">
        <v>24</v>
      </c>
      <c r="AH11" s="102">
        <f>SUM(Tableau2[[#This Row],[Td 2]:[Td 5]])</f>
        <v>171</v>
      </c>
      <c r="AI11" s="10">
        <v>62.5</v>
      </c>
      <c r="AJ11" s="10">
        <v>100</v>
      </c>
      <c r="AK11" s="17">
        <f t="shared" si="4"/>
        <v>0</v>
      </c>
      <c r="AL11" s="17">
        <f t="shared" si="5"/>
        <v>0</v>
      </c>
      <c r="AM11" s="17">
        <f t="shared" si="6"/>
        <v>366</v>
      </c>
      <c r="AO11" s="98" t="s">
        <v>23</v>
      </c>
      <c r="AP11" s="92"/>
      <c r="AQ11" s="92">
        <v>0.875</v>
      </c>
      <c r="AR11" s="92">
        <v>0.5</v>
      </c>
      <c r="AS11" s="92">
        <v>1</v>
      </c>
      <c r="AT11" s="92">
        <v>0.6428571428571429</v>
      </c>
      <c r="AU11" s="92">
        <v>1</v>
      </c>
      <c r="AV11" s="92">
        <v>0.8571428571428571</v>
      </c>
      <c r="AW11" s="92">
        <v>0.42857142857142855</v>
      </c>
      <c r="AX11" s="92"/>
      <c r="AY11" s="92">
        <v>0</v>
      </c>
      <c r="AZ11" s="92">
        <v>0.66696428571428568</v>
      </c>
    </row>
    <row r="12" spans="1:52" s="3" customFormat="1" x14ac:dyDescent="0.25">
      <c r="A12" s="2" t="s">
        <v>16</v>
      </c>
      <c r="B12" s="29" t="s">
        <v>739</v>
      </c>
      <c r="C12" s="2" t="s">
        <v>17</v>
      </c>
      <c r="D12" s="2" t="s">
        <v>57</v>
      </c>
      <c r="E12" s="14">
        <v>18343</v>
      </c>
      <c r="F12" s="15">
        <f t="shared" si="0"/>
        <v>640.17070000000001</v>
      </c>
      <c r="G12" s="15">
        <f t="shared" si="1"/>
        <v>733.72</v>
      </c>
      <c r="H12" s="15">
        <f t="shared" si="2"/>
        <v>533.47558333333336</v>
      </c>
      <c r="I12" s="15">
        <f t="shared" si="3"/>
        <v>611.43333333333339</v>
      </c>
      <c r="J12" s="10">
        <v>354</v>
      </c>
      <c r="K12" s="10">
        <v>642</v>
      </c>
      <c r="L12" s="10">
        <v>540</v>
      </c>
      <c r="M12" s="10">
        <v>527</v>
      </c>
      <c r="N12" s="10">
        <v>541</v>
      </c>
      <c r="O12" s="10">
        <v>539</v>
      </c>
      <c r="P12" s="10">
        <v>530</v>
      </c>
      <c r="Q12" s="10">
        <v>540</v>
      </c>
      <c r="R12" s="10">
        <v>540</v>
      </c>
      <c r="S12" s="10">
        <v>529</v>
      </c>
      <c r="T12" s="10">
        <v>487</v>
      </c>
      <c r="U12" s="10">
        <v>540</v>
      </c>
      <c r="V12" s="10">
        <v>529</v>
      </c>
      <c r="W12" s="10">
        <v>542</v>
      </c>
      <c r="X12" s="10">
        <v>639</v>
      </c>
      <c r="Y12" s="10">
        <v>206</v>
      </c>
      <c r="Z12" s="10">
        <v>629</v>
      </c>
      <c r="AA12" s="10">
        <v>487</v>
      </c>
      <c r="AB12" s="10">
        <v>274</v>
      </c>
      <c r="AC12" s="10">
        <v>696</v>
      </c>
      <c r="AD12" s="10">
        <v>392</v>
      </c>
      <c r="AE12" s="10">
        <v>353</v>
      </c>
      <c r="AF12" s="10">
        <v>315</v>
      </c>
      <c r="AG12" s="10">
        <v>128</v>
      </c>
      <c r="AH12" s="102">
        <f>SUM(Tableau2[[#This Row],[Td 2]:[Td 5]])</f>
        <v>1188</v>
      </c>
      <c r="AI12" s="10">
        <v>52.8</v>
      </c>
      <c r="AJ12" s="10">
        <v>100</v>
      </c>
      <c r="AK12" s="17">
        <f t="shared" si="4"/>
        <v>0</v>
      </c>
      <c r="AL12" s="17">
        <f t="shared" si="5"/>
        <v>0</v>
      </c>
      <c r="AM12" s="17">
        <f t="shared" si="6"/>
        <v>629</v>
      </c>
      <c r="AO12" s="98" t="s">
        <v>24</v>
      </c>
      <c r="AP12" s="92"/>
      <c r="AQ12" s="92">
        <v>0.5</v>
      </c>
      <c r="AR12" s="92">
        <v>1</v>
      </c>
      <c r="AS12" s="92">
        <v>1</v>
      </c>
      <c r="AT12" s="92">
        <v>0.2</v>
      </c>
      <c r="AU12" s="92"/>
      <c r="AV12" s="92">
        <v>0.8</v>
      </c>
      <c r="AW12" s="92">
        <v>0.6</v>
      </c>
      <c r="AX12" s="92"/>
      <c r="AY12" s="92">
        <v>0</v>
      </c>
      <c r="AZ12" s="92">
        <v>0.61764705882352944</v>
      </c>
    </row>
    <row r="13" spans="1:52" s="3" customFormat="1" x14ac:dyDescent="0.25">
      <c r="A13" s="2" t="s">
        <v>16</v>
      </c>
      <c r="B13" s="29" t="s">
        <v>739</v>
      </c>
      <c r="C13" s="2" t="s">
        <v>17</v>
      </c>
      <c r="D13" s="2" t="s">
        <v>58</v>
      </c>
      <c r="E13" s="14">
        <v>9186</v>
      </c>
      <c r="F13" s="15">
        <f t="shared" si="0"/>
        <v>320.59140000000002</v>
      </c>
      <c r="G13" s="15">
        <f t="shared" si="1"/>
        <v>367.44</v>
      </c>
      <c r="H13" s="15">
        <f t="shared" si="2"/>
        <v>267.15950000000004</v>
      </c>
      <c r="I13" s="15">
        <f t="shared" si="3"/>
        <v>306.2</v>
      </c>
      <c r="J13" s="10">
        <v>12</v>
      </c>
      <c r="K13" s="10">
        <v>7</v>
      </c>
      <c r="L13" s="10">
        <v>288</v>
      </c>
      <c r="M13" s="10">
        <v>276</v>
      </c>
      <c r="N13" s="10">
        <v>293</v>
      </c>
      <c r="O13" s="10">
        <v>208</v>
      </c>
      <c r="P13" s="10">
        <v>197</v>
      </c>
      <c r="Q13" s="10">
        <v>215</v>
      </c>
      <c r="R13" s="10">
        <v>213</v>
      </c>
      <c r="S13" s="10">
        <v>202</v>
      </c>
      <c r="T13" s="10">
        <v>220</v>
      </c>
      <c r="U13" s="10">
        <v>240</v>
      </c>
      <c r="V13" s="10">
        <v>204</v>
      </c>
      <c r="W13" s="10">
        <v>221</v>
      </c>
      <c r="X13" s="10">
        <v>267</v>
      </c>
      <c r="Y13" s="10">
        <v>35</v>
      </c>
      <c r="Z13" s="10">
        <v>263</v>
      </c>
      <c r="AA13" s="10">
        <v>306</v>
      </c>
      <c r="AB13" s="10">
        <v>254</v>
      </c>
      <c r="AC13" s="10">
        <v>191</v>
      </c>
      <c r="AD13" s="10">
        <v>135</v>
      </c>
      <c r="AE13" s="10">
        <v>99</v>
      </c>
      <c r="AF13" s="10">
        <v>78</v>
      </c>
      <c r="AG13" s="10">
        <v>45</v>
      </c>
      <c r="AH13" s="102">
        <f>SUM(Tableau2[[#This Row],[Td 2]:[Td 5]])</f>
        <v>357</v>
      </c>
      <c r="AI13" s="10">
        <v>50</v>
      </c>
      <c r="AJ13" s="10">
        <v>100</v>
      </c>
      <c r="AK13" s="17">
        <f t="shared" si="4"/>
        <v>59.159500000000037</v>
      </c>
      <c r="AL13" s="17">
        <f t="shared" si="5"/>
        <v>0</v>
      </c>
      <c r="AM13" s="17">
        <f t="shared" si="6"/>
        <v>263</v>
      </c>
      <c r="AO13" s="98" t="s">
        <v>25</v>
      </c>
      <c r="AP13" s="92"/>
      <c r="AQ13" s="92">
        <v>3.3333333333333333E-2</v>
      </c>
      <c r="AR13" s="92">
        <v>1</v>
      </c>
      <c r="AS13" s="92">
        <v>1</v>
      </c>
      <c r="AT13" s="92">
        <v>0</v>
      </c>
      <c r="AU13" s="92"/>
      <c r="AV13" s="92">
        <v>0</v>
      </c>
      <c r="AW13" s="92">
        <v>1</v>
      </c>
      <c r="AX13" s="92"/>
      <c r="AY13" s="92">
        <v>0</v>
      </c>
      <c r="AZ13" s="92">
        <v>0.47647058823529409</v>
      </c>
    </row>
    <row r="14" spans="1:52" s="3" customFormat="1" x14ac:dyDescent="0.25">
      <c r="A14" s="2" t="s">
        <v>16</v>
      </c>
      <c r="B14" s="29" t="s">
        <v>739</v>
      </c>
      <c r="C14" s="2" t="s">
        <v>17</v>
      </c>
      <c r="D14" s="2" t="s">
        <v>59</v>
      </c>
      <c r="E14" s="14">
        <v>12955</v>
      </c>
      <c r="F14" s="15">
        <f t="shared" si="0"/>
        <v>452.12950000000001</v>
      </c>
      <c r="G14" s="15">
        <f t="shared" si="1"/>
        <v>518.20000000000005</v>
      </c>
      <c r="H14" s="15">
        <f t="shared" si="2"/>
        <v>376.77458333333334</v>
      </c>
      <c r="I14" s="15">
        <f t="shared" si="3"/>
        <v>431.83333333333337</v>
      </c>
      <c r="J14" s="10">
        <v>283</v>
      </c>
      <c r="K14" s="10">
        <v>121</v>
      </c>
      <c r="L14" s="10">
        <v>178</v>
      </c>
      <c r="M14" s="10">
        <v>165</v>
      </c>
      <c r="N14" s="10">
        <v>167</v>
      </c>
      <c r="O14" s="10">
        <v>301</v>
      </c>
      <c r="P14" s="10">
        <v>291</v>
      </c>
      <c r="Q14" s="10">
        <v>269</v>
      </c>
      <c r="R14" s="10">
        <v>299</v>
      </c>
      <c r="S14" s="10">
        <v>282</v>
      </c>
      <c r="T14" s="10">
        <v>265</v>
      </c>
      <c r="U14" s="10">
        <v>333</v>
      </c>
      <c r="V14" s="10">
        <v>295</v>
      </c>
      <c r="W14" s="10">
        <v>309</v>
      </c>
      <c r="X14" s="10">
        <v>406</v>
      </c>
      <c r="Y14" s="10">
        <v>174</v>
      </c>
      <c r="Z14" s="10">
        <v>304</v>
      </c>
      <c r="AA14" s="10">
        <v>256</v>
      </c>
      <c r="AB14" s="10">
        <v>167</v>
      </c>
      <c r="AC14" s="10">
        <v>31</v>
      </c>
      <c r="AD14" s="10">
        <v>18</v>
      </c>
      <c r="AE14" s="10">
        <v>35</v>
      </c>
      <c r="AF14" s="10">
        <v>29</v>
      </c>
      <c r="AG14" s="10">
        <v>24</v>
      </c>
      <c r="AH14" s="102">
        <f>SUM(Tableau2[[#This Row],[Td 2]:[Td 5]])</f>
        <v>106</v>
      </c>
      <c r="AI14" s="10">
        <v>54.2</v>
      </c>
      <c r="AJ14" s="10">
        <v>100</v>
      </c>
      <c r="AK14" s="17">
        <f t="shared" si="4"/>
        <v>75.774583333333339</v>
      </c>
      <c r="AL14" s="17">
        <f t="shared" si="5"/>
        <v>0</v>
      </c>
      <c r="AM14" s="17">
        <f t="shared" si="6"/>
        <v>304</v>
      </c>
      <c r="AO14" s="98" t="s">
        <v>26</v>
      </c>
      <c r="AP14" s="92"/>
      <c r="AQ14" s="92">
        <v>0.33333333333333331</v>
      </c>
      <c r="AR14" s="92">
        <v>0.66666666666666663</v>
      </c>
      <c r="AS14" s="92">
        <v>1</v>
      </c>
      <c r="AT14" s="92">
        <v>0.33333333333333331</v>
      </c>
      <c r="AU14" s="92">
        <v>1</v>
      </c>
      <c r="AV14" s="92">
        <v>1</v>
      </c>
      <c r="AW14" s="92">
        <v>0.66666666666666663</v>
      </c>
      <c r="AX14" s="92"/>
      <c r="AY14" s="92">
        <v>0</v>
      </c>
      <c r="AZ14" s="92">
        <v>0.6</v>
      </c>
    </row>
    <row r="15" spans="1:52" s="3" customFormat="1" x14ac:dyDescent="0.25">
      <c r="A15" s="2" t="s">
        <v>16</v>
      </c>
      <c r="B15" s="29" t="s">
        <v>739</v>
      </c>
      <c r="C15" s="2" t="s">
        <v>17</v>
      </c>
      <c r="D15" s="2" t="s">
        <v>60</v>
      </c>
      <c r="E15" s="14">
        <v>13850</v>
      </c>
      <c r="F15" s="15">
        <f t="shared" si="0"/>
        <v>483.36500000000001</v>
      </c>
      <c r="G15" s="15">
        <f t="shared" si="1"/>
        <v>554</v>
      </c>
      <c r="H15" s="15">
        <f t="shared" si="2"/>
        <v>402.80416666666667</v>
      </c>
      <c r="I15" s="15">
        <f t="shared" si="3"/>
        <v>461.66666666666663</v>
      </c>
      <c r="J15" s="10">
        <v>128</v>
      </c>
      <c r="K15" s="10" t="s">
        <v>2</v>
      </c>
      <c r="L15" s="10">
        <v>166</v>
      </c>
      <c r="M15" s="10">
        <v>158</v>
      </c>
      <c r="N15" s="10">
        <v>163</v>
      </c>
      <c r="O15" s="10">
        <v>169</v>
      </c>
      <c r="P15" s="10">
        <v>159</v>
      </c>
      <c r="Q15" s="10">
        <v>147</v>
      </c>
      <c r="R15" s="10">
        <v>171</v>
      </c>
      <c r="S15" s="10">
        <v>158</v>
      </c>
      <c r="T15" s="10">
        <v>148</v>
      </c>
      <c r="U15" s="10">
        <v>160</v>
      </c>
      <c r="V15" s="10">
        <v>152</v>
      </c>
      <c r="W15" s="10">
        <v>154</v>
      </c>
      <c r="X15" s="10">
        <v>167</v>
      </c>
      <c r="Y15" s="10">
        <v>30</v>
      </c>
      <c r="Z15" s="10">
        <v>166</v>
      </c>
      <c r="AA15" s="10">
        <v>164</v>
      </c>
      <c r="AB15" s="10">
        <v>156</v>
      </c>
      <c r="AC15" s="10">
        <v>77</v>
      </c>
      <c r="AD15" s="10">
        <v>40</v>
      </c>
      <c r="AE15" s="10">
        <v>17</v>
      </c>
      <c r="AF15" s="10">
        <v>11</v>
      </c>
      <c r="AG15" s="10">
        <v>16</v>
      </c>
      <c r="AH15" s="102">
        <f>SUM(Tableau2[[#This Row],[Td 2]:[Td 5]])</f>
        <v>84</v>
      </c>
      <c r="AI15" s="10">
        <v>45.8</v>
      </c>
      <c r="AJ15" s="10">
        <v>100</v>
      </c>
      <c r="AK15" s="17">
        <f t="shared" si="4"/>
        <v>233.80416666666667</v>
      </c>
      <c r="AL15" s="17">
        <f t="shared" si="5"/>
        <v>2</v>
      </c>
      <c r="AM15" s="17">
        <f t="shared" si="6"/>
        <v>166</v>
      </c>
      <c r="AO15" s="98" t="s">
        <v>27</v>
      </c>
      <c r="AP15" s="92"/>
      <c r="AQ15" s="92">
        <v>0.14285714285714285</v>
      </c>
      <c r="AR15" s="92">
        <v>0</v>
      </c>
      <c r="AS15" s="92">
        <v>0</v>
      </c>
      <c r="AT15" s="92">
        <v>0.5</v>
      </c>
      <c r="AU15" s="92">
        <v>1</v>
      </c>
      <c r="AV15" s="92">
        <v>0</v>
      </c>
      <c r="AW15" s="92">
        <v>0.5</v>
      </c>
      <c r="AX15" s="92"/>
      <c r="AY15" s="92">
        <v>0</v>
      </c>
      <c r="AZ15" s="92">
        <v>0.27142857142857141</v>
      </c>
    </row>
    <row r="16" spans="1:52" s="3" customFormat="1" x14ac:dyDescent="0.25">
      <c r="A16" s="2" t="s">
        <v>16</v>
      </c>
      <c r="B16" s="29" t="s">
        <v>739</v>
      </c>
      <c r="C16" s="2" t="s">
        <v>17</v>
      </c>
      <c r="D16" s="2" t="s">
        <v>61</v>
      </c>
      <c r="E16" s="14">
        <v>10570</v>
      </c>
      <c r="F16" s="15">
        <f t="shared" si="0"/>
        <v>368.89300000000003</v>
      </c>
      <c r="G16" s="15">
        <f t="shared" si="1"/>
        <v>422.8</v>
      </c>
      <c r="H16" s="15">
        <f t="shared" si="2"/>
        <v>307.41083333333336</v>
      </c>
      <c r="I16" s="15">
        <f t="shared" si="3"/>
        <v>352.33333333333337</v>
      </c>
      <c r="J16" s="10">
        <v>231</v>
      </c>
      <c r="K16" s="10">
        <v>191</v>
      </c>
      <c r="L16" s="10">
        <v>368</v>
      </c>
      <c r="M16" s="10">
        <v>350</v>
      </c>
      <c r="N16" s="10">
        <v>335</v>
      </c>
      <c r="O16" s="10">
        <v>366</v>
      </c>
      <c r="P16" s="10">
        <v>354</v>
      </c>
      <c r="Q16" s="10">
        <v>334</v>
      </c>
      <c r="R16" s="10">
        <v>317</v>
      </c>
      <c r="S16" s="10">
        <v>320</v>
      </c>
      <c r="T16" s="10">
        <v>283</v>
      </c>
      <c r="U16" s="10">
        <v>356</v>
      </c>
      <c r="V16" s="10">
        <v>306</v>
      </c>
      <c r="W16" s="10">
        <v>315</v>
      </c>
      <c r="X16" s="10">
        <v>358</v>
      </c>
      <c r="Y16" s="10">
        <v>63</v>
      </c>
      <c r="Z16" s="10">
        <v>311</v>
      </c>
      <c r="AA16" s="10">
        <v>265</v>
      </c>
      <c r="AB16" s="10">
        <v>201</v>
      </c>
      <c r="AC16" s="10">
        <v>562</v>
      </c>
      <c r="AD16" s="10">
        <v>354</v>
      </c>
      <c r="AE16" s="10">
        <v>190</v>
      </c>
      <c r="AF16" s="10">
        <v>125</v>
      </c>
      <c r="AG16" s="10">
        <v>108</v>
      </c>
      <c r="AH16" s="102">
        <f>SUM(Tableau2[[#This Row],[Td 2]:[Td 5]])</f>
        <v>777</v>
      </c>
      <c r="AI16" s="10">
        <v>58.3</v>
      </c>
      <c r="AJ16" s="10">
        <v>100</v>
      </c>
      <c r="AK16" s="17">
        <f t="shared" si="4"/>
        <v>0</v>
      </c>
      <c r="AL16" s="17">
        <f t="shared" si="5"/>
        <v>8</v>
      </c>
      <c r="AM16" s="17">
        <f t="shared" si="6"/>
        <v>311</v>
      </c>
      <c r="AO16" s="98" t="s">
        <v>28</v>
      </c>
      <c r="AP16" s="92"/>
      <c r="AQ16" s="92">
        <v>0</v>
      </c>
      <c r="AR16" s="92">
        <v>0</v>
      </c>
      <c r="AS16" s="92">
        <v>0</v>
      </c>
      <c r="AT16" s="92">
        <v>0</v>
      </c>
      <c r="AU16" s="92"/>
      <c r="AV16" s="92"/>
      <c r="AW16" s="92"/>
      <c r="AX16" s="92"/>
      <c r="AY16" s="92">
        <v>0</v>
      </c>
      <c r="AZ16" s="92">
        <v>0</v>
      </c>
    </row>
    <row r="17" spans="1:52" s="3" customFormat="1" x14ac:dyDescent="0.25">
      <c r="A17" s="2" t="s">
        <v>16</v>
      </c>
      <c r="B17" s="29" t="s">
        <v>739</v>
      </c>
      <c r="C17" s="2" t="s">
        <v>17</v>
      </c>
      <c r="D17" s="2" t="s">
        <v>62</v>
      </c>
      <c r="E17" s="14">
        <v>8336</v>
      </c>
      <c r="F17" s="15">
        <f t="shared" si="0"/>
        <v>290.9264</v>
      </c>
      <c r="G17" s="15">
        <f t="shared" si="1"/>
        <v>333.44</v>
      </c>
      <c r="H17" s="15">
        <f t="shared" si="2"/>
        <v>242.43866666666665</v>
      </c>
      <c r="I17" s="15">
        <f t="shared" si="3"/>
        <v>277.86666666666667</v>
      </c>
      <c r="J17" s="10">
        <v>226</v>
      </c>
      <c r="K17" s="10">
        <v>31</v>
      </c>
      <c r="L17" s="10">
        <v>268</v>
      </c>
      <c r="M17" s="10">
        <v>254</v>
      </c>
      <c r="N17" s="10">
        <v>258</v>
      </c>
      <c r="O17" s="10">
        <v>293</v>
      </c>
      <c r="P17" s="10">
        <v>272</v>
      </c>
      <c r="Q17" s="10">
        <v>270</v>
      </c>
      <c r="R17" s="10">
        <v>283</v>
      </c>
      <c r="S17" s="10">
        <v>271</v>
      </c>
      <c r="T17" s="10">
        <v>268</v>
      </c>
      <c r="U17" s="10">
        <v>239</v>
      </c>
      <c r="V17" s="10">
        <v>240</v>
      </c>
      <c r="W17" s="10">
        <v>224</v>
      </c>
      <c r="X17" s="10">
        <v>274</v>
      </c>
      <c r="Y17" s="10">
        <v>109</v>
      </c>
      <c r="Z17" s="10">
        <v>264</v>
      </c>
      <c r="AA17" s="10">
        <v>225</v>
      </c>
      <c r="AB17" s="10">
        <v>215</v>
      </c>
      <c r="AC17" s="10">
        <v>77</v>
      </c>
      <c r="AD17" s="10">
        <v>57</v>
      </c>
      <c r="AE17" s="10">
        <v>63</v>
      </c>
      <c r="AF17" s="10">
        <v>60</v>
      </c>
      <c r="AG17" s="10">
        <v>63</v>
      </c>
      <c r="AH17" s="102">
        <f>SUM(Tableau2[[#This Row],[Td 2]:[Td 5]])</f>
        <v>243</v>
      </c>
      <c r="AI17" s="10">
        <v>58.3</v>
      </c>
      <c r="AJ17" s="10">
        <v>100</v>
      </c>
      <c r="AK17" s="17">
        <f t="shared" si="4"/>
        <v>0</v>
      </c>
      <c r="AL17" s="17">
        <f t="shared" si="5"/>
        <v>19</v>
      </c>
      <c r="AM17" s="17">
        <f t="shared" si="6"/>
        <v>264</v>
      </c>
      <c r="AO17" s="98" t="s">
        <v>29</v>
      </c>
      <c r="AP17" s="92"/>
      <c r="AQ17" s="92">
        <v>1</v>
      </c>
      <c r="AR17" s="92">
        <v>0.15789473684210525</v>
      </c>
      <c r="AS17" s="92">
        <v>0.94736842105263153</v>
      </c>
      <c r="AT17" s="92">
        <v>0.14285714285714285</v>
      </c>
      <c r="AU17" s="92">
        <v>1</v>
      </c>
      <c r="AV17" s="92">
        <v>0.5714285714285714</v>
      </c>
      <c r="AW17" s="92">
        <v>0</v>
      </c>
      <c r="AX17" s="92"/>
      <c r="AY17" s="92">
        <v>0</v>
      </c>
      <c r="AZ17" s="92">
        <v>0.48421052631578942</v>
      </c>
    </row>
    <row r="18" spans="1:52" s="3" customFormat="1" x14ac:dyDescent="0.25">
      <c r="A18" s="2" t="s">
        <v>16</v>
      </c>
      <c r="B18" s="29" t="s">
        <v>739</v>
      </c>
      <c r="C18" s="2" t="s">
        <v>17</v>
      </c>
      <c r="D18" s="2" t="s">
        <v>63</v>
      </c>
      <c r="E18" s="14">
        <v>17192</v>
      </c>
      <c r="F18" s="15">
        <f t="shared" si="0"/>
        <v>600.00080000000003</v>
      </c>
      <c r="G18" s="15">
        <f t="shared" si="1"/>
        <v>687.68000000000006</v>
      </c>
      <c r="H18" s="15">
        <f t="shared" si="2"/>
        <v>500.00066666666669</v>
      </c>
      <c r="I18" s="15">
        <f t="shared" si="3"/>
        <v>573.06666666666672</v>
      </c>
      <c r="J18" s="10">
        <v>454</v>
      </c>
      <c r="K18" s="10">
        <v>428</v>
      </c>
      <c r="L18" s="10">
        <v>425</v>
      </c>
      <c r="M18" s="10">
        <v>402</v>
      </c>
      <c r="N18" s="10">
        <v>395</v>
      </c>
      <c r="O18" s="10">
        <v>432</v>
      </c>
      <c r="P18" s="10">
        <v>404</v>
      </c>
      <c r="Q18" s="10">
        <v>387</v>
      </c>
      <c r="R18" s="10">
        <v>435</v>
      </c>
      <c r="S18" s="10">
        <v>419</v>
      </c>
      <c r="T18" s="10">
        <v>391</v>
      </c>
      <c r="U18" s="10">
        <v>368</v>
      </c>
      <c r="V18" s="10">
        <v>299</v>
      </c>
      <c r="W18" s="10">
        <v>212</v>
      </c>
      <c r="X18" s="10">
        <v>508</v>
      </c>
      <c r="Y18" s="10">
        <v>170</v>
      </c>
      <c r="Z18" s="10">
        <v>435</v>
      </c>
      <c r="AA18" s="10">
        <v>397</v>
      </c>
      <c r="AB18" s="10">
        <v>260</v>
      </c>
      <c r="AC18" s="10">
        <v>172</v>
      </c>
      <c r="AD18" s="10">
        <v>140</v>
      </c>
      <c r="AE18" s="10">
        <v>101</v>
      </c>
      <c r="AF18" s="10">
        <v>92</v>
      </c>
      <c r="AG18" s="10">
        <v>243</v>
      </c>
      <c r="AH18" s="102">
        <f>SUM(Tableau2[[#This Row],[Td 2]:[Td 5]])</f>
        <v>576</v>
      </c>
      <c r="AI18" s="10">
        <v>58.3</v>
      </c>
      <c r="AJ18" s="10">
        <v>100</v>
      </c>
      <c r="AK18" s="17">
        <f t="shared" si="4"/>
        <v>68.000666666666689</v>
      </c>
      <c r="AL18" s="17">
        <f t="shared" si="5"/>
        <v>0</v>
      </c>
      <c r="AM18" s="17">
        <f t="shared" si="6"/>
        <v>435</v>
      </c>
      <c r="AO18" s="98" t="s">
        <v>30</v>
      </c>
      <c r="AP18" s="92"/>
      <c r="AQ18" s="92">
        <v>0.65</v>
      </c>
      <c r="AR18" s="92">
        <v>0.625</v>
      </c>
      <c r="AS18" s="92">
        <v>1</v>
      </c>
      <c r="AT18" s="92">
        <v>0.30769230769230771</v>
      </c>
      <c r="AU18" s="92">
        <v>1</v>
      </c>
      <c r="AV18" s="92">
        <v>0.46153846153846156</v>
      </c>
      <c r="AW18" s="92">
        <v>0.76923076923076927</v>
      </c>
      <c r="AX18" s="92"/>
      <c r="AY18" s="92">
        <v>0</v>
      </c>
      <c r="AZ18" s="92">
        <v>0.61144230769230767</v>
      </c>
    </row>
    <row r="19" spans="1:52" s="3" customFormat="1" x14ac:dyDescent="0.25">
      <c r="A19" s="2" t="s">
        <v>16</v>
      </c>
      <c r="B19" s="29" t="s">
        <v>739</v>
      </c>
      <c r="C19" s="2" t="s">
        <v>17</v>
      </c>
      <c r="D19" s="2" t="s">
        <v>64</v>
      </c>
      <c r="E19" s="14">
        <v>11082</v>
      </c>
      <c r="F19" s="15">
        <f t="shared" si="0"/>
        <v>386.76179999999999</v>
      </c>
      <c r="G19" s="15">
        <f t="shared" si="1"/>
        <v>443.28000000000003</v>
      </c>
      <c r="H19" s="15">
        <f t="shared" si="2"/>
        <v>322.30150000000003</v>
      </c>
      <c r="I19" s="15">
        <f t="shared" si="3"/>
        <v>369.40000000000003</v>
      </c>
      <c r="J19" s="10">
        <v>188</v>
      </c>
      <c r="K19" s="10">
        <v>28</v>
      </c>
      <c r="L19" s="10">
        <v>187</v>
      </c>
      <c r="M19" s="10">
        <v>172</v>
      </c>
      <c r="N19" s="10">
        <v>190</v>
      </c>
      <c r="O19" s="10">
        <v>178</v>
      </c>
      <c r="P19" s="10">
        <v>170</v>
      </c>
      <c r="Q19" s="10">
        <v>183</v>
      </c>
      <c r="R19" s="10">
        <v>174</v>
      </c>
      <c r="S19" s="10">
        <v>149</v>
      </c>
      <c r="T19" s="10">
        <v>173</v>
      </c>
      <c r="U19" s="10">
        <v>182</v>
      </c>
      <c r="V19" s="10">
        <v>177</v>
      </c>
      <c r="W19" s="10">
        <v>187</v>
      </c>
      <c r="X19" s="10">
        <v>231</v>
      </c>
      <c r="Y19" s="10">
        <v>55</v>
      </c>
      <c r="Z19" s="10">
        <v>208</v>
      </c>
      <c r="AA19" s="10">
        <v>212</v>
      </c>
      <c r="AB19" s="10">
        <v>232</v>
      </c>
      <c r="AC19" s="10">
        <v>42</v>
      </c>
      <c r="AD19" s="10">
        <v>4</v>
      </c>
      <c r="AE19" s="10">
        <v>9</v>
      </c>
      <c r="AF19" s="10">
        <v>29</v>
      </c>
      <c r="AG19" s="10">
        <v>35</v>
      </c>
      <c r="AH19" s="102">
        <f>SUM(Tableau2[[#This Row],[Td 2]:[Td 5]])</f>
        <v>77</v>
      </c>
      <c r="AI19" s="10">
        <v>50</v>
      </c>
      <c r="AJ19" s="10">
        <v>100</v>
      </c>
      <c r="AK19" s="17">
        <f t="shared" si="4"/>
        <v>144.30150000000003</v>
      </c>
      <c r="AL19" s="17">
        <f t="shared" si="5"/>
        <v>0</v>
      </c>
      <c r="AM19" s="17">
        <f t="shared" si="6"/>
        <v>208</v>
      </c>
      <c r="AO19" s="98" t="s">
        <v>31</v>
      </c>
      <c r="AP19" s="92"/>
      <c r="AQ19" s="92">
        <v>4.3478260869565216E-2</v>
      </c>
      <c r="AR19" s="92">
        <v>0</v>
      </c>
      <c r="AS19" s="92">
        <v>0</v>
      </c>
      <c r="AT19" s="92">
        <v>1</v>
      </c>
      <c r="AU19" s="92"/>
      <c r="AV19" s="92">
        <v>0</v>
      </c>
      <c r="AW19" s="92">
        <v>1</v>
      </c>
      <c r="AX19" s="92"/>
      <c r="AY19" s="92">
        <v>0</v>
      </c>
      <c r="AZ19" s="92">
        <v>0.24296675191815853</v>
      </c>
    </row>
    <row r="20" spans="1:52" s="3" customFormat="1" x14ac:dyDescent="0.25">
      <c r="A20" s="2" t="s">
        <v>16</v>
      </c>
      <c r="B20" s="29" t="s">
        <v>739</v>
      </c>
      <c r="C20" s="2" t="s">
        <v>17</v>
      </c>
      <c r="D20" s="2" t="s">
        <v>65</v>
      </c>
      <c r="E20" s="14">
        <v>16481</v>
      </c>
      <c r="F20" s="15">
        <f t="shared" si="0"/>
        <v>575.18690000000004</v>
      </c>
      <c r="G20" s="15">
        <f t="shared" si="1"/>
        <v>659.24</v>
      </c>
      <c r="H20" s="15">
        <f t="shared" si="2"/>
        <v>479.3224166666667</v>
      </c>
      <c r="I20" s="15">
        <f t="shared" si="3"/>
        <v>549.36666666666667</v>
      </c>
      <c r="J20" s="10">
        <v>565</v>
      </c>
      <c r="K20" s="10">
        <v>596</v>
      </c>
      <c r="L20" s="10">
        <v>534</v>
      </c>
      <c r="M20" s="10">
        <v>521</v>
      </c>
      <c r="N20" s="10">
        <v>543</v>
      </c>
      <c r="O20" s="10">
        <v>519</v>
      </c>
      <c r="P20" s="10">
        <v>487</v>
      </c>
      <c r="Q20" s="10">
        <v>492</v>
      </c>
      <c r="R20" s="10">
        <v>507</v>
      </c>
      <c r="S20" s="10">
        <v>462</v>
      </c>
      <c r="T20" s="10">
        <v>457</v>
      </c>
      <c r="U20" s="10">
        <v>538</v>
      </c>
      <c r="V20" s="10">
        <v>486</v>
      </c>
      <c r="W20" s="10">
        <v>505</v>
      </c>
      <c r="X20" s="10">
        <v>540</v>
      </c>
      <c r="Y20" s="10">
        <v>167</v>
      </c>
      <c r="Z20" s="10">
        <v>563</v>
      </c>
      <c r="AA20" s="10">
        <v>547</v>
      </c>
      <c r="AB20" s="10">
        <v>443</v>
      </c>
      <c r="AC20" s="10">
        <v>490</v>
      </c>
      <c r="AD20" s="10">
        <v>340</v>
      </c>
      <c r="AE20" s="10">
        <v>126</v>
      </c>
      <c r="AF20" s="10">
        <v>75</v>
      </c>
      <c r="AG20" s="10">
        <v>25</v>
      </c>
      <c r="AH20" s="102">
        <f>SUM(Tableau2[[#This Row],[Td 2]:[Td 5]])</f>
        <v>566</v>
      </c>
      <c r="AI20" s="10">
        <v>58.3</v>
      </c>
      <c r="AJ20" s="10">
        <v>100</v>
      </c>
      <c r="AK20" s="17">
        <f t="shared" si="4"/>
        <v>0</v>
      </c>
      <c r="AL20" s="17">
        <f t="shared" si="5"/>
        <v>0</v>
      </c>
      <c r="AM20" s="17">
        <f t="shared" si="6"/>
        <v>540</v>
      </c>
      <c r="AO20" s="98" t="s">
        <v>32</v>
      </c>
      <c r="AP20" s="92"/>
      <c r="AQ20" s="92">
        <v>0.75</v>
      </c>
      <c r="AR20" s="92">
        <v>0.41176470588235292</v>
      </c>
      <c r="AS20" s="92">
        <v>0.94117647058823528</v>
      </c>
      <c r="AT20" s="92">
        <v>0.33333333333333331</v>
      </c>
      <c r="AU20" s="92">
        <v>1</v>
      </c>
      <c r="AV20" s="92">
        <v>0.77777777777777779</v>
      </c>
      <c r="AW20" s="92">
        <v>0.3888888888888889</v>
      </c>
      <c r="AX20" s="92"/>
      <c r="AY20" s="92">
        <v>0</v>
      </c>
      <c r="AZ20" s="92">
        <v>0.56789215686274508</v>
      </c>
    </row>
    <row r="21" spans="1:52" s="3" customFormat="1" x14ac:dyDescent="0.25">
      <c r="A21" s="2" t="s">
        <v>16</v>
      </c>
      <c r="B21" s="29" t="s">
        <v>739</v>
      </c>
      <c r="C21" s="2" t="s">
        <v>17</v>
      </c>
      <c r="D21" s="2" t="s">
        <v>66</v>
      </c>
      <c r="E21" s="14">
        <v>13216</v>
      </c>
      <c r="F21" s="15">
        <f t="shared" si="0"/>
        <v>461.23840000000001</v>
      </c>
      <c r="G21" s="15">
        <f t="shared" si="1"/>
        <v>528.64</v>
      </c>
      <c r="H21" s="15">
        <f t="shared" si="2"/>
        <v>384.36533333333335</v>
      </c>
      <c r="I21" s="15">
        <f t="shared" si="3"/>
        <v>440.53333333333336</v>
      </c>
      <c r="J21" s="10">
        <v>340</v>
      </c>
      <c r="K21" s="10">
        <v>284</v>
      </c>
      <c r="L21" s="10">
        <v>289</v>
      </c>
      <c r="M21" s="10">
        <v>231</v>
      </c>
      <c r="N21" s="10">
        <v>257</v>
      </c>
      <c r="O21" s="10">
        <v>299</v>
      </c>
      <c r="P21" s="10">
        <v>267</v>
      </c>
      <c r="Q21" s="10">
        <v>244</v>
      </c>
      <c r="R21" s="10">
        <v>260</v>
      </c>
      <c r="S21" s="10">
        <v>233</v>
      </c>
      <c r="T21" s="10">
        <v>221</v>
      </c>
      <c r="U21" s="10">
        <v>323</v>
      </c>
      <c r="V21" s="10">
        <v>256</v>
      </c>
      <c r="W21" s="10">
        <v>256</v>
      </c>
      <c r="X21" s="10">
        <v>337</v>
      </c>
      <c r="Y21" s="10">
        <v>90</v>
      </c>
      <c r="Z21" s="10">
        <v>298</v>
      </c>
      <c r="AA21" s="10">
        <v>227</v>
      </c>
      <c r="AB21" s="10">
        <v>228</v>
      </c>
      <c r="AC21" s="10">
        <v>169</v>
      </c>
      <c r="AD21" s="10">
        <v>90</v>
      </c>
      <c r="AE21" s="10">
        <v>32</v>
      </c>
      <c r="AF21" s="10">
        <v>18</v>
      </c>
      <c r="AG21" s="10">
        <v>22</v>
      </c>
      <c r="AH21" s="102">
        <f>SUM(Tableau2[[#This Row],[Td 2]:[Td 5]])</f>
        <v>162</v>
      </c>
      <c r="AI21" s="10">
        <v>66.7</v>
      </c>
      <c r="AJ21" s="10">
        <v>100</v>
      </c>
      <c r="AK21" s="17">
        <f t="shared" si="4"/>
        <v>85.365333333333353</v>
      </c>
      <c r="AL21" s="17">
        <f t="shared" si="5"/>
        <v>0</v>
      </c>
      <c r="AM21" s="17">
        <f t="shared" si="6"/>
        <v>298</v>
      </c>
      <c r="AO21" s="98" t="s">
        <v>33</v>
      </c>
      <c r="AP21" s="92"/>
      <c r="AQ21" s="92">
        <v>0.15789473684210525</v>
      </c>
      <c r="AR21" s="92">
        <v>1</v>
      </c>
      <c r="AS21" s="92">
        <v>1</v>
      </c>
      <c r="AT21" s="92">
        <v>0</v>
      </c>
      <c r="AU21" s="92">
        <v>1</v>
      </c>
      <c r="AV21" s="92">
        <v>0.33333333333333331</v>
      </c>
      <c r="AW21" s="92">
        <v>0</v>
      </c>
      <c r="AX21" s="92"/>
      <c r="AY21" s="92">
        <v>0</v>
      </c>
      <c r="AZ21" s="92">
        <v>0.54035087719298247</v>
      </c>
    </row>
    <row r="22" spans="1:52" s="3" customFormat="1" x14ac:dyDescent="0.25">
      <c r="A22" s="2" t="s">
        <v>16</v>
      </c>
      <c r="B22" s="29" t="s">
        <v>739</v>
      </c>
      <c r="C22" s="2" t="s">
        <v>17</v>
      </c>
      <c r="D22" s="2" t="s">
        <v>67</v>
      </c>
      <c r="E22" s="14">
        <v>17854</v>
      </c>
      <c r="F22" s="15">
        <f t="shared" si="0"/>
        <v>623.1046</v>
      </c>
      <c r="G22" s="15">
        <f t="shared" si="1"/>
        <v>714.16</v>
      </c>
      <c r="H22" s="15">
        <f t="shared" si="2"/>
        <v>519.25383333333332</v>
      </c>
      <c r="I22" s="15">
        <f t="shared" si="3"/>
        <v>595.13333333333333</v>
      </c>
      <c r="J22" s="10">
        <v>494</v>
      </c>
      <c r="K22" s="10">
        <v>436</v>
      </c>
      <c r="L22" s="10">
        <v>388</v>
      </c>
      <c r="M22" s="10">
        <v>407</v>
      </c>
      <c r="N22" s="10">
        <v>374</v>
      </c>
      <c r="O22" s="10">
        <v>442</v>
      </c>
      <c r="P22" s="10">
        <v>444</v>
      </c>
      <c r="Q22" s="10">
        <v>421</v>
      </c>
      <c r="R22" s="10">
        <v>430</v>
      </c>
      <c r="S22" s="10">
        <v>425</v>
      </c>
      <c r="T22" s="10">
        <v>413</v>
      </c>
      <c r="U22" s="10">
        <v>409</v>
      </c>
      <c r="V22" s="10">
        <v>425</v>
      </c>
      <c r="W22" s="10">
        <v>461</v>
      </c>
      <c r="X22" s="10">
        <v>585</v>
      </c>
      <c r="Y22" s="10">
        <v>218</v>
      </c>
      <c r="Z22" s="10">
        <v>534</v>
      </c>
      <c r="AA22" s="10">
        <v>470</v>
      </c>
      <c r="AB22" s="10">
        <v>333</v>
      </c>
      <c r="AC22" s="10">
        <v>169</v>
      </c>
      <c r="AD22" s="10">
        <v>107</v>
      </c>
      <c r="AE22" s="10">
        <v>128</v>
      </c>
      <c r="AF22" s="10">
        <v>124</v>
      </c>
      <c r="AG22" s="10">
        <v>103</v>
      </c>
      <c r="AH22" s="102">
        <f>SUM(Tableau2[[#This Row],[Td 2]:[Td 5]])</f>
        <v>462</v>
      </c>
      <c r="AI22" s="10">
        <v>58.3</v>
      </c>
      <c r="AJ22" s="10">
        <v>100</v>
      </c>
      <c r="AK22" s="17">
        <f t="shared" si="4"/>
        <v>77.253833333333318</v>
      </c>
      <c r="AL22" s="17">
        <f t="shared" si="5"/>
        <v>0</v>
      </c>
      <c r="AM22" s="17">
        <f t="shared" si="6"/>
        <v>534</v>
      </c>
      <c r="AO22" s="98" t="s">
        <v>34</v>
      </c>
      <c r="AP22" s="92"/>
      <c r="AQ22" s="92">
        <v>0</v>
      </c>
      <c r="AR22" s="92">
        <v>0</v>
      </c>
      <c r="AS22" s="92">
        <v>0</v>
      </c>
      <c r="AT22" s="92">
        <v>0</v>
      </c>
      <c r="AU22" s="92"/>
      <c r="AV22" s="92"/>
      <c r="AW22" s="92"/>
      <c r="AX22" s="92"/>
      <c r="AY22" s="92">
        <v>0</v>
      </c>
      <c r="AZ22" s="92">
        <v>0</v>
      </c>
    </row>
    <row r="23" spans="1:52" s="3" customFormat="1" x14ac:dyDescent="0.25">
      <c r="A23" s="2" t="s">
        <v>16</v>
      </c>
      <c r="B23" s="29" t="s">
        <v>739</v>
      </c>
      <c r="C23" s="2" t="s">
        <v>17</v>
      </c>
      <c r="D23" s="2" t="s">
        <v>68</v>
      </c>
      <c r="E23" s="14">
        <v>8599</v>
      </c>
      <c r="F23" s="15">
        <f t="shared" si="0"/>
        <v>300.10509999999999</v>
      </c>
      <c r="G23" s="15">
        <f t="shared" si="1"/>
        <v>343.96</v>
      </c>
      <c r="H23" s="15">
        <f t="shared" si="2"/>
        <v>250.08758333333333</v>
      </c>
      <c r="I23" s="15">
        <f t="shared" si="3"/>
        <v>286.63333333333333</v>
      </c>
      <c r="J23" s="10">
        <v>283</v>
      </c>
      <c r="K23" s="10">
        <v>254</v>
      </c>
      <c r="L23" s="10">
        <v>475</v>
      </c>
      <c r="M23" s="10">
        <v>379</v>
      </c>
      <c r="N23" s="10">
        <v>346</v>
      </c>
      <c r="O23" s="10">
        <v>446</v>
      </c>
      <c r="P23" s="10">
        <v>351</v>
      </c>
      <c r="Q23" s="10">
        <v>274</v>
      </c>
      <c r="R23" s="10">
        <v>412</v>
      </c>
      <c r="S23" s="10">
        <v>342</v>
      </c>
      <c r="T23" s="10">
        <v>289</v>
      </c>
      <c r="U23" s="10">
        <v>385</v>
      </c>
      <c r="V23" s="10">
        <v>300</v>
      </c>
      <c r="W23" s="10">
        <v>242</v>
      </c>
      <c r="X23" s="10">
        <v>315</v>
      </c>
      <c r="Y23" s="10">
        <v>213</v>
      </c>
      <c r="Z23" s="10">
        <v>315</v>
      </c>
      <c r="AA23" s="10">
        <v>294</v>
      </c>
      <c r="AB23" s="10">
        <v>202</v>
      </c>
      <c r="AC23" s="10">
        <v>64</v>
      </c>
      <c r="AD23" s="10">
        <v>87</v>
      </c>
      <c r="AE23" s="10">
        <v>95</v>
      </c>
      <c r="AF23" s="10">
        <v>51</v>
      </c>
      <c r="AG23" s="10">
        <v>48</v>
      </c>
      <c r="AH23" s="102">
        <f>SUM(Tableau2[[#This Row],[Td 2]:[Td 5]])</f>
        <v>281</v>
      </c>
      <c r="AI23" s="10">
        <v>58.3</v>
      </c>
      <c r="AJ23" s="10">
        <v>100</v>
      </c>
      <c r="AK23" s="17">
        <f t="shared" si="4"/>
        <v>0</v>
      </c>
      <c r="AL23" s="17">
        <f t="shared" si="5"/>
        <v>131</v>
      </c>
      <c r="AM23" s="17">
        <f t="shared" si="6"/>
        <v>315</v>
      </c>
      <c r="AO23" s="98" t="s">
        <v>35</v>
      </c>
      <c r="AP23" s="92"/>
      <c r="AQ23" s="92">
        <v>0.39130434782608697</v>
      </c>
      <c r="AR23" s="92">
        <v>0.7142857142857143</v>
      </c>
      <c r="AS23" s="92">
        <v>1</v>
      </c>
      <c r="AT23" s="92">
        <v>0.55555555555555558</v>
      </c>
      <c r="AU23" s="92">
        <v>1</v>
      </c>
      <c r="AV23" s="92">
        <v>0.77777777777777779</v>
      </c>
      <c r="AW23" s="92">
        <v>0.88888888888888884</v>
      </c>
      <c r="AX23" s="92"/>
      <c r="AY23" s="92">
        <v>0</v>
      </c>
      <c r="AZ23" s="92">
        <v>0.65393374741200816</v>
      </c>
    </row>
    <row r="24" spans="1:52" s="3" customFormat="1" x14ac:dyDescent="0.25">
      <c r="A24" s="2" t="s">
        <v>16</v>
      </c>
      <c r="B24" s="29" t="s">
        <v>739</v>
      </c>
      <c r="C24" s="2" t="s">
        <v>17</v>
      </c>
      <c r="D24" s="2" t="s">
        <v>69</v>
      </c>
      <c r="E24" s="14">
        <v>9885</v>
      </c>
      <c r="F24" s="15">
        <f t="shared" si="0"/>
        <v>344.98649999999998</v>
      </c>
      <c r="G24" s="15">
        <f t="shared" si="1"/>
        <v>395.40000000000003</v>
      </c>
      <c r="H24" s="15">
        <f t="shared" si="2"/>
        <v>287.48874999999998</v>
      </c>
      <c r="I24" s="15">
        <f t="shared" si="3"/>
        <v>329.5</v>
      </c>
      <c r="J24" s="10">
        <v>91</v>
      </c>
      <c r="K24" s="10">
        <v>106</v>
      </c>
      <c r="L24" s="10">
        <v>189</v>
      </c>
      <c r="M24" s="10">
        <v>148</v>
      </c>
      <c r="N24" s="10">
        <v>180</v>
      </c>
      <c r="O24" s="10">
        <v>168</v>
      </c>
      <c r="P24" s="10">
        <v>124</v>
      </c>
      <c r="Q24" s="10">
        <v>180</v>
      </c>
      <c r="R24" s="10">
        <v>168</v>
      </c>
      <c r="S24" s="10">
        <v>124</v>
      </c>
      <c r="T24" s="10">
        <v>160</v>
      </c>
      <c r="U24" s="10">
        <v>184</v>
      </c>
      <c r="V24" s="10">
        <v>144</v>
      </c>
      <c r="W24" s="10">
        <v>170</v>
      </c>
      <c r="X24" s="10">
        <v>215</v>
      </c>
      <c r="Y24" s="10">
        <v>41</v>
      </c>
      <c r="Z24" s="10">
        <v>213</v>
      </c>
      <c r="AA24" s="10">
        <v>180</v>
      </c>
      <c r="AB24" s="10">
        <v>179</v>
      </c>
      <c r="AC24" s="10">
        <v>63</v>
      </c>
      <c r="AD24" s="10">
        <v>38</v>
      </c>
      <c r="AE24" s="10">
        <v>17</v>
      </c>
      <c r="AF24" s="10">
        <v>22</v>
      </c>
      <c r="AG24" s="10">
        <v>20</v>
      </c>
      <c r="AH24" s="102">
        <f>SUM(Tableau2[[#This Row],[Td 2]:[Td 5]])</f>
        <v>97</v>
      </c>
      <c r="AI24" s="10">
        <v>54.2</v>
      </c>
      <c r="AJ24" s="10">
        <v>100</v>
      </c>
      <c r="AK24" s="17">
        <f t="shared" si="4"/>
        <v>119.48874999999998</v>
      </c>
      <c r="AL24" s="17">
        <f t="shared" si="5"/>
        <v>0</v>
      </c>
      <c r="AM24" s="17">
        <f t="shared" si="6"/>
        <v>213</v>
      </c>
      <c r="AO24" s="98" t="s">
        <v>36</v>
      </c>
      <c r="AP24" s="92"/>
      <c r="AQ24" s="92">
        <v>0</v>
      </c>
      <c r="AR24" s="92">
        <v>0</v>
      </c>
      <c r="AS24" s="92">
        <v>0</v>
      </c>
      <c r="AT24" s="92">
        <v>0</v>
      </c>
      <c r="AU24" s="92"/>
      <c r="AV24" s="92"/>
      <c r="AW24" s="92"/>
      <c r="AX24" s="92"/>
      <c r="AY24" s="92">
        <v>0</v>
      </c>
      <c r="AZ24" s="92">
        <v>0</v>
      </c>
    </row>
    <row r="25" spans="1:52" s="3" customFormat="1" x14ac:dyDescent="0.25">
      <c r="A25" s="2" t="s">
        <v>16</v>
      </c>
      <c r="B25" s="29" t="s">
        <v>739</v>
      </c>
      <c r="C25" s="2" t="s">
        <v>17</v>
      </c>
      <c r="D25" s="2" t="s">
        <v>70</v>
      </c>
      <c r="E25" s="14">
        <v>12794</v>
      </c>
      <c r="F25" s="15">
        <f t="shared" si="0"/>
        <v>446.51060000000001</v>
      </c>
      <c r="G25" s="15">
        <f t="shared" si="1"/>
        <v>511.76</v>
      </c>
      <c r="H25" s="15">
        <f t="shared" si="2"/>
        <v>372.09216666666669</v>
      </c>
      <c r="I25" s="15">
        <f t="shared" si="3"/>
        <v>426.4666666666667</v>
      </c>
      <c r="J25" s="10">
        <v>311</v>
      </c>
      <c r="K25" s="10">
        <v>139</v>
      </c>
      <c r="L25" s="10">
        <v>370</v>
      </c>
      <c r="M25" s="10">
        <v>363</v>
      </c>
      <c r="N25" s="10">
        <v>370</v>
      </c>
      <c r="O25" s="10">
        <v>351</v>
      </c>
      <c r="P25" s="10">
        <v>361</v>
      </c>
      <c r="Q25" s="10">
        <v>370</v>
      </c>
      <c r="R25" s="10">
        <v>333</v>
      </c>
      <c r="S25" s="10">
        <v>325</v>
      </c>
      <c r="T25" s="10">
        <v>333</v>
      </c>
      <c r="U25" s="10">
        <v>370</v>
      </c>
      <c r="V25" s="10">
        <v>361</v>
      </c>
      <c r="W25" s="10">
        <v>368</v>
      </c>
      <c r="X25" s="10">
        <v>450</v>
      </c>
      <c r="Y25" s="10">
        <v>145</v>
      </c>
      <c r="Z25" s="10">
        <v>368</v>
      </c>
      <c r="AA25" s="10">
        <v>370</v>
      </c>
      <c r="AB25" s="10">
        <v>180</v>
      </c>
      <c r="AC25" s="10">
        <v>103</v>
      </c>
      <c r="AD25" s="10">
        <v>57</v>
      </c>
      <c r="AE25" s="10">
        <v>59</v>
      </c>
      <c r="AF25" s="10">
        <v>58</v>
      </c>
      <c r="AG25" s="10">
        <v>51</v>
      </c>
      <c r="AH25" s="102">
        <f>SUM(Tableau2[[#This Row],[Td 2]:[Td 5]])</f>
        <v>225</v>
      </c>
      <c r="AI25" s="10">
        <v>58.3</v>
      </c>
      <c r="AJ25" s="10">
        <v>100</v>
      </c>
      <c r="AK25" s="17">
        <f t="shared" si="4"/>
        <v>21.092166666666685</v>
      </c>
      <c r="AL25" s="17">
        <f t="shared" si="5"/>
        <v>0</v>
      </c>
      <c r="AM25" s="17">
        <f t="shared" si="6"/>
        <v>368</v>
      </c>
      <c r="AO25" s="98" t="s">
        <v>37</v>
      </c>
      <c r="AP25" s="92"/>
      <c r="AQ25" s="92">
        <v>0.125</v>
      </c>
      <c r="AR25" s="92">
        <v>0.5</v>
      </c>
      <c r="AS25" s="92">
        <v>1</v>
      </c>
      <c r="AT25" s="92">
        <v>0</v>
      </c>
      <c r="AU25" s="92">
        <v>1</v>
      </c>
      <c r="AV25" s="92">
        <v>0.5</v>
      </c>
      <c r="AW25" s="92">
        <v>0.5</v>
      </c>
      <c r="AX25" s="92"/>
      <c r="AY25" s="92">
        <v>0</v>
      </c>
      <c r="AZ25" s="92">
        <v>0.44375000000000009</v>
      </c>
    </row>
    <row r="26" spans="1:52" s="3" customFormat="1" x14ac:dyDescent="0.25">
      <c r="A26" s="2" t="s">
        <v>16</v>
      </c>
      <c r="B26" s="29" t="s">
        <v>739</v>
      </c>
      <c r="C26" s="2" t="s">
        <v>17</v>
      </c>
      <c r="D26" s="2" t="s">
        <v>71</v>
      </c>
      <c r="E26" s="14">
        <v>7048</v>
      </c>
      <c r="F26" s="15">
        <f t="shared" si="0"/>
        <v>245.9752</v>
      </c>
      <c r="G26" s="15">
        <f t="shared" si="1"/>
        <v>281.92</v>
      </c>
      <c r="H26" s="15">
        <f t="shared" si="2"/>
        <v>204.97933333333333</v>
      </c>
      <c r="I26" s="15">
        <f t="shared" si="3"/>
        <v>234.93333333333337</v>
      </c>
      <c r="J26" s="10">
        <v>295</v>
      </c>
      <c r="K26" s="10">
        <v>192</v>
      </c>
      <c r="L26" s="10">
        <v>311</v>
      </c>
      <c r="M26" s="10">
        <v>212</v>
      </c>
      <c r="N26" s="10">
        <v>221</v>
      </c>
      <c r="O26" s="10">
        <v>261</v>
      </c>
      <c r="P26" s="10">
        <v>212</v>
      </c>
      <c r="Q26" s="10">
        <v>221</v>
      </c>
      <c r="R26" s="10">
        <v>261</v>
      </c>
      <c r="S26" s="10">
        <v>212</v>
      </c>
      <c r="T26" s="10">
        <v>221</v>
      </c>
      <c r="U26" s="10">
        <v>244</v>
      </c>
      <c r="V26" s="10">
        <v>203</v>
      </c>
      <c r="W26" s="10">
        <v>212</v>
      </c>
      <c r="X26" s="10">
        <v>197</v>
      </c>
      <c r="Y26" s="10">
        <v>116</v>
      </c>
      <c r="Z26" s="10">
        <v>197</v>
      </c>
      <c r="AA26" s="10">
        <v>221</v>
      </c>
      <c r="AB26" s="10">
        <v>100</v>
      </c>
      <c r="AC26" s="10">
        <v>76</v>
      </c>
      <c r="AD26" s="10">
        <v>76</v>
      </c>
      <c r="AE26" s="10">
        <v>84</v>
      </c>
      <c r="AF26" s="10">
        <v>52</v>
      </c>
      <c r="AG26" s="10">
        <v>21</v>
      </c>
      <c r="AH26" s="102">
        <f>SUM(Tableau2[[#This Row],[Td 2]:[Td 5]])</f>
        <v>233</v>
      </c>
      <c r="AI26" s="10">
        <v>58.3</v>
      </c>
      <c r="AJ26" s="10">
        <v>100</v>
      </c>
      <c r="AK26" s="17">
        <f t="shared" si="4"/>
        <v>0</v>
      </c>
      <c r="AL26" s="17">
        <f t="shared" si="5"/>
        <v>64</v>
      </c>
      <c r="AM26" s="17">
        <f t="shared" si="6"/>
        <v>197</v>
      </c>
      <c r="AO26" s="98" t="s">
        <v>38</v>
      </c>
      <c r="AP26" s="92"/>
      <c r="AQ26" s="92">
        <v>0.5</v>
      </c>
      <c r="AR26" s="92">
        <v>1</v>
      </c>
      <c r="AS26" s="92">
        <v>1</v>
      </c>
      <c r="AT26" s="92">
        <v>0.6</v>
      </c>
      <c r="AU26" s="92">
        <v>0.5</v>
      </c>
      <c r="AV26" s="92">
        <v>1</v>
      </c>
      <c r="AW26" s="92">
        <v>0.2</v>
      </c>
      <c r="AX26" s="92"/>
      <c r="AY26" s="92">
        <v>0</v>
      </c>
      <c r="AZ26" s="92">
        <v>0.65</v>
      </c>
    </row>
    <row r="27" spans="1:52" s="3" customFormat="1" x14ac:dyDescent="0.25">
      <c r="A27" s="2" t="s">
        <v>16</v>
      </c>
      <c r="B27" s="29" t="s">
        <v>739</v>
      </c>
      <c r="C27" s="2" t="s">
        <v>17</v>
      </c>
      <c r="D27" s="2" t="s">
        <v>72</v>
      </c>
      <c r="E27" s="14">
        <v>11191</v>
      </c>
      <c r="F27" s="15">
        <f t="shared" si="0"/>
        <v>390.5659</v>
      </c>
      <c r="G27" s="15">
        <f t="shared" si="1"/>
        <v>447.64</v>
      </c>
      <c r="H27" s="15">
        <f t="shared" si="2"/>
        <v>325.47158333333334</v>
      </c>
      <c r="I27" s="15">
        <f t="shared" si="3"/>
        <v>373.03333333333336</v>
      </c>
      <c r="J27" s="10">
        <v>316</v>
      </c>
      <c r="K27" s="10">
        <v>146</v>
      </c>
      <c r="L27" s="10">
        <v>338</v>
      </c>
      <c r="M27" s="10">
        <v>299</v>
      </c>
      <c r="N27" s="10">
        <v>281</v>
      </c>
      <c r="O27" s="10">
        <v>294</v>
      </c>
      <c r="P27" s="10">
        <v>277</v>
      </c>
      <c r="Q27" s="10">
        <v>253</v>
      </c>
      <c r="R27" s="10">
        <v>305</v>
      </c>
      <c r="S27" s="10">
        <v>269</v>
      </c>
      <c r="T27" s="10">
        <v>253</v>
      </c>
      <c r="U27" s="10">
        <v>374</v>
      </c>
      <c r="V27" s="10">
        <v>333</v>
      </c>
      <c r="W27" s="10">
        <v>313</v>
      </c>
      <c r="X27" s="10">
        <v>334</v>
      </c>
      <c r="Y27" s="10">
        <v>75</v>
      </c>
      <c r="Z27" s="10">
        <v>319</v>
      </c>
      <c r="AA27" s="10">
        <v>244</v>
      </c>
      <c r="AB27" s="10">
        <v>88</v>
      </c>
      <c r="AC27" s="10">
        <v>255</v>
      </c>
      <c r="AD27" s="10">
        <v>195</v>
      </c>
      <c r="AE27" s="10">
        <v>90</v>
      </c>
      <c r="AF27" s="10">
        <v>39</v>
      </c>
      <c r="AG27" s="10">
        <v>68</v>
      </c>
      <c r="AH27" s="102">
        <f>SUM(Tableau2[[#This Row],[Td 2]:[Td 5]])</f>
        <v>392</v>
      </c>
      <c r="AI27" s="10">
        <v>58.3</v>
      </c>
      <c r="AJ27" s="10">
        <v>100</v>
      </c>
      <c r="AK27" s="17">
        <f t="shared" si="4"/>
        <v>31.471583333333342</v>
      </c>
      <c r="AL27" s="17">
        <f t="shared" si="5"/>
        <v>0</v>
      </c>
      <c r="AM27" s="17">
        <f t="shared" si="6"/>
        <v>319</v>
      </c>
      <c r="AO27" s="98" t="s">
        <v>39</v>
      </c>
      <c r="AP27" s="92"/>
      <c r="AQ27" s="92">
        <v>0.125</v>
      </c>
      <c r="AR27" s="92">
        <v>0</v>
      </c>
      <c r="AS27" s="92">
        <v>1</v>
      </c>
      <c r="AT27" s="92">
        <v>0</v>
      </c>
      <c r="AU27" s="92"/>
      <c r="AV27" s="92">
        <v>1</v>
      </c>
      <c r="AW27" s="92">
        <v>1</v>
      </c>
      <c r="AX27" s="92"/>
      <c r="AY27" s="92">
        <v>0</v>
      </c>
      <c r="AZ27" s="92">
        <v>0.25735294117647062</v>
      </c>
    </row>
    <row r="28" spans="1:52" s="3" customFormat="1" x14ac:dyDescent="0.25">
      <c r="A28" s="2" t="s">
        <v>16</v>
      </c>
      <c r="B28" s="29" t="s">
        <v>739</v>
      </c>
      <c r="C28" s="2" t="s">
        <v>17</v>
      </c>
      <c r="D28" s="2" t="s">
        <v>73</v>
      </c>
      <c r="E28" s="14">
        <v>12999</v>
      </c>
      <c r="F28" s="15">
        <f t="shared" si="0"/>
        <v>453.6651</v>
      </c>
      <c r="G28" s="15">
        <f t="shared" si="1"/>
        <v>519.96</v>
      </c>
      <c r="H28" s="15">
        <f t="shared" si="2"/>
        <v>378.05425000000002</v>
      </c>
      <c r="I28" s="15">
        <f t="shared" si="3"/>
        <v>433.30000000000007</v>
      </c>
      <c r="J28" s="10">
        <v>474</v>
      </c>
      <c r="K28" s="10">
        <v>154</v>
      </c>
      <c r="L28" s="10">
        <v>330</v>
      </c>
      <c r="M28" s="10">
        <v>318</v>
      </c>
      <c r="N28" s="10">
        <v>268</v>
      </c>
      <c r="O28" s="10">
        <v>360</v>
      </c>
      <c r="P28" s="10">
        <v>346</v>
      </c>
      <c r="Q28" s="10">
        <v>304</v>
      </c>
      <c r="R28" s="10">
        <v>348</v>
      </c>
      <c r="S28" s="10">
        <v>344</v>
      </c>
      <c r="T28" s="10">
        <v>289</v>
      </c>
      <c r="U28" s="10">
        <v>355</v>
      </c>
      <c r="V28" s="10">
        <v>352</v>
      </c>
      <c r="W28" s="10">
        <v>284</v>
      </c>
      <c r="X28" s="10">
        <v>339</v>
      </c>
      <c r="Y28" s="10">
        <v>175</v>
      </c>
      <c r="Z28" s="10">
        <v>345</v>
      </c>
      <c r="AA28" s="10">
        <v>217</v>
      </c>
      <c r="AB28" s="10">
        <v>185</v>
      </c>
      <c r="AC28" s="10">
        <v>94</v>
      </c>
      <c r="AD28" s="10">
        <v>84</v>
      </c>
      <c r="AE28" s="10">
        <v>60</v>
      </c>
      <c r="AF28" s="10">
        <v>51</v>
      </c>
      <c r="AG28" s="10">
        <v>48</v>
      </c>
      <c r="AH28" s="102">
        <f>SUM(Tableau2[[#This Row],[Td 2]:[Td 5]])</f>
        <v>243</v>
      </c>
      <c r="AI28" s="10">
        <v>52.8</v>
      </c>
      <c r="AJ28" s="10">
        <v>100</v>
      </c>
      <c r="AK28" s="17">
        <f t="shared" si="4"/>
        <v>18.054250000000025</v>
      </c>
      <c r="AL28" s="17">
        <f t="shared" si="5"/>
        <v>21</v>
      </c>
      <c r="AM28" s="17">
        <f t="shared" si="6"/>
        <v>339</v>
      </c>
      <c r="AO28" s="98" t="s">
        <v>40</v>
      </c>
      <c r="AP28" s="92"/>
      <c r="AQ28" s="92">
        <v>3.8461538461538464E-2</v>
      </c>
      <c r="AR28" s="92">
        <v>0</v>
      </c>
      <c r="AS28" s="92">
        <v>0</v>
      </c>
      <c r="AT28" s="92">
        <v>0</v>
      </c>
      <c r="AU28" s="92"/>
      <c r="AV28" s="92">
        <v>0</v>
      </c>
      <c r="AW28" s="92">
        <v>0</v>
      </c>
      <c r="AX28" s="92"/>
      <c r="AY28" s="92">
        <v>0</v>
      </c>
      <c r="AZ28" s="92">
        <v>6.7873303167420816E-3</v>
      </c>
    </row>
    <row r="29" spans="1:52" s="3" customFormat="1" x14ac:dyDescent="0.25">
      <c r="A29" s="2" t="s">
        <v>16</v>
      </c>
      <c r="B29" s="29" t="s">
        <v>740</v>
      </c>
      <c r="C29" s="2" t="s">
        <v>18</v>
      </c>
      <c r="D29" s="2" t="s">
        <v>74</v>
      </c>
      <c r="E29" s="14">
        <v>21546</v>
      </c>
      <c r="F29" s="15">
        <f t="shared" si="0"/>
        <v>751.95540000000005</v>
      </c>
      <c r="G29" s="15">
        <f t="shared" si="1"/>
        <v>861.84</v>
      </c>
      <c r="H29" s="15">
        <f t="shared" si="2"/>
        <v>626.62950000000001</v>
      </c>
      <c r="I29" s="15">
        <f t="shared" si="3"/>
        <v>718.2</v>
      </c>
      <c r="J29" s="10">
        <v>643</v>
      </c>
      <c r="K29" s="10">
        <v>393</v>
      </c>
      <c r="L29" s="10">
        <v>589</v>
      </c>
      <c r="M29" s="10">
        <v>568</v>
      </c>
      <c r="N29" s="10">
        <v>555</v>
      </c>
      <c r="O29" s="10">
        <v>589</v>
      </c>
      <c r="P29" s="10">
        <v>568</v>
      </c>
      <c r="Q29" s="10">
        <v>555</v>
      </c>
      <c r="R29" s="10">
        <v>589</v>
      </c>
      <c r="S29" s="10">
        <v>568</v>
      </c>
      <c r="T29" s="10">
        <v>555</v>
      </c>
      <c r="U29" s="10">
        <v>585</v>
      </c>
      <c r="V29" s="10">
        <v>568</v>
      </c>
      <c r="W29" s="10">
        <v>555</v>
      </c>
      <c r="X29" s="10">
        <v>608</v>
      </c>
      <c r="Y29" s="10">
        <v>118</v>
      </c>
      <c r="Z29" s="10">
        <v>578</v>
      </c>
      <c r="AA29" s="10">
        <v>555</v>
      </c>
      <c r="AB29" s="10">
        <v>57</v>
      </c>
      <c r="AC29" s="10">
        <v>335</v>
      </c>
      <c r="AD29" s="10">
        <v>385</v>
      </c>
      <c r="AE29" s="10">
        <v>125</v>
      </c>
      <c r="AF29" s="10">
        <v>62</v>
      </c>
      <c r="AG29" s="10" t="s">
        <v>2</v>
      </c>
      <c r="AH29" s="102">
        <f>SUM(Tableau2[[#This Row],[Td 2]:[Td 5]])</f>
        <v>572</v>
      </c>
      <c r="AI29" s="10">
        <v>50</v>
      </c>
      <c r="AJ29" s="10">
        <v>100</v>
      </c>
      <c r="AK29" s="17">
        <f t="shared" si="4"/>
        <v>37.629500000000007</v>
      </c>
      <c r="AL29" s="17">
        <f t="shared" si="5"/>
        <v>0</v>
      </c>
      <c r="AM29" s="17">
        <f t="shared" si="6"/>
        <v>578</v>
      </c>
      <c r="AO29" s="98" t="s">
        <v>41</v>
      </c>
      <c r="AP29" s="92"/>
      <c r="AQ29" s="92">
        <v>0.15</v>
      </c>
      <c r="AR29" s="92">
        <v>0</v>
      </c>
      <c r="AS29" s="92">
        <v>1</v>
      </c>
      <c r="AT29" s="92">
        <v>0.66666666666666663</v>
      </c>
      <c r="AU29" s="92">
        <v>0.5</v>
      </c>
      <c r="AV29" s="92">
        <v>1</v>
      </c>
      <c r="AW29" s="92">
        <v>0</v>
      </c>
      <c r="AX29" s="92"/>
      <c r="AY29" s="92">
        <v>0</v>
      </c>
      <c r="AZ29" s="92">
        <v>0.34749999999999998</v>
      </c>
    </row>
    <row r="30" spans="1:52" s="3" customFormat="1" x14ac:dyDescent="0.25">
      <c r="A30" s="2" t="s">
        <v>16</v>
      </c>
      <c r="B30" s="29" t="s">
        <v>740</v>
      </c>
      <c r="C30" s="2" t="s">
        <v>18</v>
      </c>
      <c r="D30" s="2" t="s">
        <v>75</v>
      </c>
      <c r="E30" s="14">
        <v>17294</v>
      </c>
      <c r="F30" s="15">
        <f t="shared" si="0"/>
        <v>603.56060000000002</v>
      </c>
      <c r="G30" s="15">
        <f t="shared" si="1"/>
        <v>691.76</v>
      </c>
      <c r="H30" s="15">
        <f t="shared" si="2"/>
        <v>502.96716666666669</v>
      </c>
      <c r="I30" s="15">
        <f t="shared" si="3"/>
        <v>576.4666666666667</v>
      </c>
      <c r="J30" s="10">
        <v>1205</v>
      </c>
      <c r="K30" s="10">
        <v>685</v>
      </c>
      <c r="L30" s="10">
        <v>644</v>
      </c>
      <c r="M30" s="10">
        <v>624</v>
      </c>
      <c r="N30" s="10">
        <v>634</v>
      </c>
      <c r="O30" s="10">
        <v>644</v>
      </c>
      <c r="P30" s="10">
        <v>624</v>
      </c>
      <c r="Q30" s="10">
        <v>634</v>
      </c>
      <c r="R30" s="10">
        <v>644</v>
      </c>
      <c r="S30" s="10">
        <v>625</v>
      </c>
      <c r="T30" s="10">
        <v>634</v>
      </c>
      <c r="U30" s="10">
        <v>643</v>
      </c>
      <c r="V30" s="10">
        <v>624</v>
      </c>
      <c r="W30" s="10">
        <v>634</v>
      </c>
      <c r="X30" s="10">
        <v>634</v>
      </c>
      <c r="Y30" s="10">
        <v>182</v>
      </c>
      <c r="Z30" s="10">
        <v>634</v>
      </c>
      <c r="AA30" s="10">
        <v>634</v>
      </c>
      <c r="AB30" s="10">
        <v>280</v>
      </c>
      <c r="AC30" s="10">
        <v>390</v>
      </c>
      <c r="AD30" s="10">
        <v>324</v>
      </c>
      <c r="AE30" s="10">
        <v>285</v>
      </c>
      <c r="AF30" s="10">
        <v>228</v>
      </c>
      <c r="AG30" s="10">
        <v>198</v>
      </c>
      <c r="AH30" s="102">
        <f>SUM(Tableau2[[#This Row],[Td 2]:[Td 5]])</f>
        <v>1035</v>
      </c>
      <c r="AI30" s="10">
        <v>58.3</v>
      </c>
      <c r="AJ30" s="10">
        <v>100</v>
      </c>
      <c r="AK30" s="17">
        <f t="shared" si="4"/>
        <v>0</v>
      </c>
      <c r="AL30" s="17">
        <f t="shared" si="5"/>
        <v>10</v>
      </c>
      <c r="AM30" s="17">
        <f t="shared" si="6"/>
        <v>634</v>
      </c>
      <c r="AO30" s="98" t="s">
        <v>42</v>
      </c>
      <c r="AP30" s="92"/>
      <c r="AQ30" s="92">
        <v>0.25</v>
      </c>
      <c r="AR30" s="92">
        <v>0.66666666666666663</v>
      </c>
      <c r="AS30" s="92">
        <v>1</v>
      </c>
      <c r="AT30" s="92">
        <v>0.6</v>
      </c>
      <c r="AU30" s="92">
        <v>0.33333333333333331</v>
      </c>
      <c r="AV30" s="92">
        <v>0.6</v>
      </c>
      <c r="AW30" s="92">
        <v>0</v>
      </c>
      <c r="AX30" s="92"/>
      <c r="AY30" s="92">
        <v>0</v>
      </c>
      <c r="AZ30" s="92">
        <v>0.47416666666666663</v>
      </c>
    </row>
    <row r="31" spans="1:52" s="3" customFormat="1" x14ac:dyDescent="0.25">
      <c r="A31" s="2" t="s">
        <v>16</v>
      </c>
      <c r="B31" s="29" t="s">
        <v>740</v>
      </c>
      <c r="C31" s="2" t="s">
        <v>18</v>
      </c>
      <c r="D31" s="2" t="s">
        <v>76</v>
      </c>
      <c r="E31" s="14">
        <v>15244</v>
      </c>
      <c r="F31" s="15">
        <f t="shared" si="0"/>
        <v>532.01560000000006</v>
      </c>
      <c r="G31" s="15">
        <f t="shared" si="1"/>
        <v>609.76</v>
      </c>
      <c r="H31" s="15">
        <f t="shared" si="2"/>
        <v>443.34633333333335</v>
      </c>
      <c r="I31" s="15">
        <f t="shared" si="3"/>
        <v>508.13333333333333</v>
      </c>
      <c r="J31" s="10">
        <v>565</v>
      </c>
      <c r="K31" s="10">
        <v>362</v>
      </c>
      <c r="L31" s="10">
        <v>401</v>
      </c>
      <c r="M31" s="10">
        <v>371</v>
      </c>
      <c r="N31" s="10">
        <v>390</v>
      </c>
      <c r="O31" s="10">
        <v>463</v>
      </c>
      <c r="P31" s="10">
        <v>431</v>
      </c>
      <c r="Q31" s="10">
        <v>450</v>
      </c>
      <c r="R31" s="10">
        <v>463</v>
      </c>
      <c r="S31" s="10">
        <v>431</v>
      </c>
      <c r="T31" s="10">
        <v>450</v>
      </c>
      <c r="U31" s="10">
        <v>463</v>
      </c>
      <c r="V31" s="10">
        <v>395</v>
      </c>
      <c r="W31" s="10">
        <v>450</v>
      </c>
      <c r="X31" s="10">
        <v>454</v>
      </c>
      <c r="Y31" s="10">
        <v>195</v>
      </c>
      <c r="Z31" s="10">
        <v>452</v>
      </c>
      <c r="AA31" s="10">
        <v>448</v>
      </c>
      <c r="AB31" s="10">
        <v>258</v>
      </c>
      <c r="AC31" s="10">
        <v>84</v>
      </c>
      <c r="AD31" s="10">
        <v>62</v>
      </c>
      <c r="AE31" s="10">
        <v>77</v>
      </c>
      <c r="AF31" s="10">
        <v>43</v>
      </c>
      <c r="AG31" s="10">
        <v>55</v>
      </c>
      <c r="AH31" s="102">
        <f>SUM(Tableau2[[#This Row],[Td 2]:[Td 5]])</f>
        <v>237</v>
      </c>
      <c r="AI31" s="10">
        <v>58.3</v>
      </c>
      <c r="AJ31" s="10">
        <v>100</v>
      </c>
      <c r="AK31" s="17">
        <f t="shared" si="4"/>
        <v>0</v>
      </c>
      <c r="AL31" s="17">
        <f t="shared" si="5"/>
        <v>9</v>
      </c>
      <c r="AM31" s="17">
        <f t="shared" si="6"/>
        <v>452</v>
      </c>
      <c r="AO31" s="98" t="s">
        <v>43</v>
      </c>
      <c r="AP31" s="92"/>
      <c r="AQ31" s="92">
        <v>0.68</v>
      </c>
      <c r="AR31" s="92">
        <v>0.13333333333333333</v>
      </c>
      <c r="AS31" s="92">
        <v>1</v>
      </c>
      <c r="AT31" s="92">
        <v>0.47058823529411764</v>
      </c>
      <c r="AU31" s="92">
        <v>1</v>
      </c>
      <c r="AV31" s="92">
        <v>0.41176470588235292</v>
      </c>
      <c r="AW31" s="92">
        <v>0.58823529411764708</v>
      </c>
      <c r="AX31" s="92"/>
      <c r="AY31" s="92">
        <v>0</v>
      </c>
      <c r="AZ31" s="92">
        <v>0.50592156862745097</v>
      </c>
    </row>
    <row r="32" spans="1:52" s="3" customFormat="1" x14ac:dyDescent="0.25">
      <c r="A32" s="2" t="s">
        <v>16</v>
      </c>
      <c r="B32" s="29" t="s">
        <v>740</v>
      </c>
      <c r="C32" s="2" t="s">
        <v>18</v>
      </c>
      <c r="D32" s="2" t="s">
        <v>77</v>
      </c>
      <c r="E32" s="14">
        <v>17893</v>
      </c>
      <c r="F32" s="15">
        <f t="shared" si="0"/>
        <v>624.46569999999997</v>
      </c>
      <c r="G32" s="15">
        <f t="shared" si="1"/>
        <v>715.72</v>
      </c>
      <c r="H32" s="15">
        <f t="shared" si="2"/>
        <v>520.38808333333327</v>
      </c>
      <c r="I32" s="15">
        <f t="shared" si="3"/>
        <v>596.43333333333339</v>
      </c>
      <c r="J32" s="10">
        <v>596</v>
      </c>
      <c r="K32" s="10">
        <v>313</v>
      </c>
      <c r="L32" s="10">
        <v>540</v>
      </c>
      <c r="M32" s="10">
        <v>493</v>
      </c>
      <c r="N32" s="10">
        <v>491</v>
      </c>
      <c r="O32" s="10">
        <v>595</v>
      </c>
      <c r="P32" s="10">
        <v>545</v>
      </c>
      <c r="Q32" s="10">
        <v>538</v>
      </c>
      <c r="R32" s="10">
        <v>595</v>
      </c>
      <c r="S32" s="10">
        <v>545</v>
      </c>
      <c r="T32" s="10">
        <v>538</v>
      </c>
      <c r="U32" s="10">
        <v>595</v>
      </c>
      <c r="V32" s="10">
        <v>545</v>
      </c>
      <c r="W32" s="10">
        <v>538</v>
      </c>
      <c r="X32" s="10">
        <v>542</v>
      </c>
      <c r="Y32" s="10">
        <v>505</v>
      </c>
      <c r="Z32" s="10">
        <v>494</v>
      </c>
      <c r="AA32" s="10">
        <v>538</v>
      </c>
      <c r="AB32" s="10">
        <v>328</v>
      </c>
      <c r="AC32" s="10">
        <v>85</v>
      </c>
      <c r="AD32" s="10">
        <v>38</v>
      </c>
      <c r="AE32" s="10">
        <v>57</v>
      </c>
      <c r="AF32" s="10">
        <v>32</v>
      </c>
      <c r="AG32" s="10">
        <v>48</v>
      </c>
      <c r="AH32" s="102">
        <f>SUM(Tableau2[[#This Row],[Td 2]:[Td 5]])</f>
        <v>175</v>
      </c>
      <c r="AI32" s="10">
        <v>58.3</v>
      </c>
      <c r="AJ32" s="10">
        <v>100</v>
      </c>
      <c r="AK32" s="17">
        <f t="shared" si="4"/>
        <v>0</v>
      </c>
      <c r="AL32" s="17">
        <f t="shared" si="5"/>
        <v>53</v>
      </c>
      <c r="AM32" s="17">
        <f t="shared" si="6"/>
        <v>494</v>
      </c>
      <c r="AO32" s="98" t="s">
        <v>44</v>
      </c>
      <c r="AP32" s="92"/>
      <c r="AQ32" s="92">
        <v>0.36363636363636365</v>
      </c>
      <c r="AR32" s="92">
        <v>0.5</v>
      </c>
      <c r="AS32" s="92">
        <v>1</v>
      </c>
      <c r="AT32" s="92">
        <v>0.5</v>
      </c>
      <c r="AU32" s="92"/>
      <c r="AV32" s="92">
        <v>1</v>
      </c>
      <c r="AW32" s="92">
        <v>0.75</v>
      </c>
      <c r="AX32" s="92"/>
      <c r="AY32" s="92">
        <v>0</v>
      </c>
      <c r="AZ32" s="92">
        <v>0.52005347593582885</v>
      </c>
    </row>
    <row r="33" spans="1:52" s="3" customFormat="1" x14ac:dyDescent="0.25">
      <c r="A33" s="2" t="s">
        <v>16</v>
      </c>
      <c r="B33" s="29" t="s">
        <v>740</v>
      </c>
      <c r="C33" s="2" t="s">
        <v>18</v>
      </c>
      <c r="D33" s="2" t="s">
        <v>78</v>
      </c>
      <c r="E33" s="14">
        <v>21628</v>
      </c>
      <c r="F33" s="15">
        <f t="shared" si="0"/>
        <v>754.81719999999996</v>
      </c>
      <c r="G33" s="15">
        <f t="shared" si="1"/>
        <v>865.12</v>
      </c>
      <c r="H33" s="15">
        <f t="shared" si="2"/>
        <v>629.0143333333333</v>
      </c>
      <c r="I33" s="15">
        <f t="shared" si="3"/>
        <v>720.93333333333339</v>
      </c>
      <c r="J33" s="10">
        <v>569</v>
      </c>
      <c r="K33" s="10">
        <v>554</v>
      </c>
      <c r="L33" s="10">
        <v>393</v>
      </c>
      <c r="M33" s="10">
        <v>375</v>
      </c>
      <c r="N33" s="10">
        <v>357</v>
      </c>
      <c r="O33" s="10">
        <v>549</v>
      </c>
      <c r="P33" s="10">
        <v>524</v>
      </c>
      <c r="Q33" s="10">
        <v>511</v>
      </c>
      <c r="R33" s="10">
        <v>549</v>
      </c>
      <c r="S33" s="10">
        <v>522</v>
      </c>
      <c r="T33" s="10">
        <v>511</v>
      </c>
      <c r="U33" s="10">
        <v>549</v>
      </c>
      <c r="V33" s="10">
        <v>524</v>
      </c>
      <c r="W33" s="10">
        <v>511</v>
      </c>
      <c r="X33" s="10">
        <v>326</v>
      </c>
      <c r="Y33" s="10">
        <v>86</v>
      </c>
      <c r="Z33" s="10">
        <v>191</v>
      </c>
      <c r="AA33" s="10">
        <v>264</v>
      </c>
      <c r="AB33" s="10">
        <v>84</v>
      </c>
      <c r="AC33" s="10">
        <v>137</v>
      </c>
      <c r="AD33" s="10">
        <v>99</v>
      </c>
      <c r="AE33" s="10">
        <v>108</v>
      </c>
      <c r="AF33" s="10">
        <v>93</v>
      </c>
      <c r="AG33" s="10">
        <v>147</v>
      </c>
      <c r="AH33" s="102">
        <f>SUM(Tableau2[[#This Row],[Td 2]:[Td 5]])</f>
        <v>447</v>
      </c>
      <c r="AI33" s="10">
        <v>58.3</v>
      </c>
      <c r="AJ33" s="10">
        <v>100</v>
      </c>
      <c r="AK33" s="17">
        <f t="shared" si="4"/>
        <v>80.014333333333298</v>
      </c>
      <c r="AL33" s="17">
        <f t="shared" si="5"/>
        <v>223</v>
      </c>
      <c r="AM33" s="17">
        <f t="shared" si="6"/>
        <v>191</v>
      </c>
      <c r="AO33" s="98" t="s">
        <v>45</v>
      </c>
      <c r="AP33" s="92"/>
      <c r="AQ33" s="92">
        <v>0.18518518518518517</v>
      </c>
      <c r="AR33" s="92">
        <v>0.33333333333333331</v>
      </c>
      <c r="AS33" s="92">
        <v>1</v>
      </c>
      <c r="AT33" s="92">
        <v>0.2</v>
      </c>
      <c r="AU33" s="92">
        <v>0</v>
      </c>
      <c r="AV33" s="92">
        <v>0.4</v>
      </c>
      <c r="AW33" s="92">
        <v>0.6</v>
      </c>
      <c r="AX33" s="92"/>
      <c r="AY33" s="92">
        <v>0</v>
      </c>
      <c r="AZ33" s="92">
        <v>0.2911111111111111</v>
      </c>
    </row>
    <row r="34" spans="1:52" s="3" customFormat="1" x14ac:dyDescent="0.25">
      <c r="A34" s="2" t="s">
        <v>16</v>
      </c>
      <c r="B34" s="29" t="s">
        <v>740</v>
      </c>
      <c r="C34" s="2" t="s">
        <v>18</v>
      </c>
      <c r="D34" s="2" t="s">
        <v>79</v>
      </c>
      <c r="E34" s="14">
        <v>17723</v>
      </c>
      <c r="F34" s="15">
        <f t="shared" si="0"/>
        <v>618.53269999999998</v>
      </c>
      <c r="G34" s="15">
        <f t="shared" si="1"/>
        <v>708.92</v>
      </c>
      <c r="H34" s="15">
        <f t="shared" si="2"/>
        <v>515.44391666666661</v>
      </c>
      <c r="I34" s="15">
        <f t="shared" si="3"/>
        <v>590.76666666666665</v>
      </c>
      <c r="J34" s="10">
        <v>514</v>
      </c>
      <c r="K34" s="10">
        <v>235</v>
      </c>
      <c r="L34" s="10">
        <v>515</v>
      </c>
      <c r="M34" s="10">
        <v>500</v>
      </c>
      <c r="N34" s="10">
        <v>521</v>
      </c>
      <c r="O34" s="10">
        <v>515</v>
      </c>
      <c r="P34" s="10">
        <v>500</v>
      </c>
      <c r="Q34" s="10">
        <v>521</v>
      </c>
      <c r="R34" s="10">
        <v>519</v>
      </c>
      <c r="S34" s="10">
        <v>500</v>
      </c>
      <c r="T34" s="10">
        <v>521</v>
      </c>
      <c r="U34" s="10">
        <v>515</v>
      </c>
      <c r="V34" s="10">
        <v>500</v>
      </c>
      <c r="W34" s="10">
        <v>521</v>
      </c>
      <c r="X34" s="10">
        <v>484</v>
      </c>
      <c r="Y34" s="10">
        <v>211</v>
      </c>
      <c r="Z34" s="10">
        <v>506</v>
      </c>
      <c r="AA34" s="10">
        <v>521</v>
      </c>
      <c r="AB34" s="10">
        <v>400</v>
      </c>
      <c r="AC34" s="10">
        <v>384</v>
      </c>
      <c r="AD34" s="10">
        <v>216</v>
      </c>
      <c r="AE34" s="10">
        <v>59</v>
      </c>
      <c r="AF34" s="10">
        <v>59</v>
      </c>
      <c r="AG34" s="10">
        <v>63</v>
      </c>
      <c r="AH34" s="102">
        <f>SUM(Tableau2[[#This Row],[Td 2]:[Td 5]])</f>
        <v>397</v>
      </c>
      <c r="AI34" s="10">
        <v>58.3</v>
      </c>
      <c r="AJ34" s="10">
        <v>100</v>
      </c>
      <c r="AK34" s="17">
        <f t="shared" si="4"/>
        <v>0.44391666666660967</v>
      </c>
      <c r="AL34" s="17">
        <f t="shared" si="5"/>
        <v>31</v>
      </c>
      <c r="AM34" s="17">
        <f t="shared" si="6"/>
        <v>484</v>
      </c>
      <c r="AO34" s="98" t="s">
        <v>46</v>
      </c>
      <c r="AP34" s="92"/>
      <c r="AQ34" s="92">
        <v>0.36842105263157893</v>
      </c>
      <c r="AR34" s="92">
        <v>0.5</v>
      </c>
      <c r="AS34" s="92">
        <v>1</v>
      </c>
      <c r="AT34" s="92">
        <v>0.42857142857142855</v>
      </c>
      <c r="AU34" s="92">
        <v>0.8571428571428571</v>
      </c>
      <c r="AV34" s="92">
        <v>0.8571428571428571</v>
      </c>
      <c r="AW34" s="92">
        <v>0.14285714285714285</v>
      </c>
      <c r="AX34" s="92"/>
      <c r="AY34" s="92">
        <v>0</v>
      </c>
      <c r="AZ34" s="92">
        <v>0.52312030075187965</v>
      </c>
    </row>
    <row r="35" spans="1:52" s="3" customFormat="1" x14ac:dyDescent="0.25">
      <c r="A35" s="2" t="s">
        <v>16</v>
      </c>
      <c r="B35" s="29" t="s">
        <v>740</v>
      </c>
      <c r="C35" s="2" t="s">
        <v>18</v>
      </c>
      <c r="D35" s="2" t="s">
        <v>80</v>
      </c>
      <c r="E35" s="14">
        <v>19416</v>
      </c>
      <c r="F35" s="15">
        <f t="shared" si="0"/>
        <v>677.61840000000007</v>
      </c>
      <c r="G35" s="15">
        <f t="shared" si="1"/>
        <v>776.64</v>
      </c>
      <c r="H35" s="15">
        <f t="shared" si="2"/>
        <v>564.68200000000002</v>
      </c>
      <c r="I35" s="15">
        <f t="shared" si="3"/>
        <v>647.20000000000005</v>
      </c>
      <c r="J35" s="10">
        <v>720</v>
      </c>
      <c r="K35" s="10">
        <v>479</v>
      </c>
      <c r="L35" s="10">
        <v>556</v>
      </c>
      <c r="M35" s="10">
        <v>554</v>
      </c>
      <c r="N35" s="10">
        <v>551</v>
      </c>
      <c r="O35" s="10">
        <v>556</v>
      </c>
      <c r="P35" s="10">
        <v>554</v>
      </c>
      <c r="Q35" s="10">
        <v>550</v>
      </c>
      <c r="R35" s="10">
        <v>556</v>
      </c>
      <c r="S35" s="10">
        <v>554</v>
      </c>
      <c r="T35" s="10">
        <v>551</v>
      </c>
      <c r="U35" s="10">
        <v>565</v>
      </c>
      <c r="V35" s="10">
        <v>554</v>
      </c>
      <c r="W35" s="10">
        <v>550</v>
      </c>
      <c r="X35" s="10">
        <v>537</v>
      </c>
      <c r="Y35" s="10">
        <v>553</v>
      </c>
      <c r="Z35" s="10">
        <v>537</v>
      </c>
      <c r="AA35" s="10">
        <v>551</v>
      </c>
      <c r="AB35" s="10">
        <v>258</v>
      </c>
      <c r="AC35" s="10">
        <v>248</v>
      </c>
      <c r="AD35" s="10">
        <v>225</v>
      </c>
      <c r="AE35" s="10">
        <v>193</v>
      </c>
      <c r="AF35" s="10">
        <v>143</v>
      </c>
      <c r="AG35" s="10">
        <v>142</v>
      </c>
      <c r="AH35" s="102">
        <f>SUM(Tableau2[[#This Row],[Td 2]:[Td 5]])</f>
        <v>703</v>
      </c>
      <c r="AI35" s="10">
        <v>58.3</v>
      </c>
      <c r="AJ35" s="10">
        <v>100</v>
      </c>
      <c r="AK35" s="17">
        <f t="shared" si="4"/>
        <v>8.6820000000000164</v>
      </c>
      <c r="AL35" s="17">
        <f t="shared" si="5"/>
        <v>19</v>
      </c>
      <c r="AM35" s="17">
        <f t="shared" si="6"/>
        <v>537</v>
      </c>
      <c r="AO35" s="98" t="s">
        <v>47</v>
      </c>
      <c r="AP35" s="92"/>
      <c r="AQ35" s="92">
        <v>0.3125</v>
      </c>
      <c r="AR35" s="92">
        <v>0.66666666666666663</v>
      </c>
      <c r="AS35" s="92">
        <v>1</v>
      </c>
      <c r="AT35" s="92">
        <v>1</v>
      </c>
      <c r="AU35" s="92"/>
      <c r="AV35" s="92">
        <v>0.4</v>
      </c>
      <c r="AW35" s="92">
        <v>1</v>
      </c>
      <c r="AX35" s="92"/>
      <c r="AY35" s="92">
        <v>0</v>
      </c>
      <c r="AZ35" s="92">
        <v>0.62769607843137265</v>
      </c>
    </row>
    <row r="36" spans="1:52" s="3" customFormat="1" x14ac:dyDescent="0.25">
      <c r="A36" s="2" t="s">
        <v>16</v>
      </c>
      <c r="B36" s="29" t="s">
        <v>740</v>
      </c>
      <c r="C36" s="2" t="s">
        <v>18</v>
      </c>
      <c r="D36" s="2" t="s">
        <v>81</v>
      </c>
      <c r="E36" s="14">
        <v>16150</v>
      </c>
      <c r="F36" s="15">
        <f t="shared" si="0"/>
        <v>563.63499999999999</v>
      </c>
      <c r="G36" s="15">
        <f t="shared" si="1"/>
        <v>646</v>
      </c>
      <c r="H36" s="15">
        <f t="shared" si="2"/>
        <v>469.69583333333333</v>
      </c>
      <c r="I36" s="15">
        <f t="shared" si="3"/>
        <v>538.33333333333337</v>
      </c>
      <c r="J36" s="10">
        <v>445</v>
      </c>
      <c r="K36" s="10">
        <v>195</v>
      </c>
      <c r="L36" s="10">
        <v>380</v>
      </c>
      <c r="M36" s="10">
        <v>352</v>
      </c>
      <c r="N36" s="10">
        <v>362</v>
      </c>
      <c r="O36" s="10">
        <v>380</v>
      </c>
      <c r="P36" s="10">
        <v>352</v>
      </c>
      <c r="Q36" s="10">
        <v>362</v>
      </c>
      <c r="R36" s="10">
        <v>380</v>
      </c>
      <c r="S36" s="10">
        <v>362</v>
      </c>
      <c r="T36" s="10">
        <v>362</v>
      </c>
      <c r="U36" s="10">
        <v>380</v>
      </c>
      <c r="V36" s="10">
        <v>362</v>
      </c>
      <c r="W36" s="10">
        <v>362</v>
      </c>
      <c r="X36" s="10">
        <v>399</v>
      </c>
      <c r="Y36" s="10">
        <v>201</v>
      </c>
      <c r="Z36" s="10">
        <v>399</v>
      </c>
      <c r="AA36" s="10">
        <v>362</v>
      </c>
      <c r="AB36" s="10">
        <v>284</v>
      </c>
      <c r="AC36" s="10">
        <v>100</v>
      </c>
      <c r="AD36" s="10">
        <v>88</v>
      </c>
      <c r="AE36" s="10">
        <v>22</v>
      </c>
      <c r="AF36" s="10">
        <v>24</v>
      </c>
      <c r="AG36" s="10">
        <v>59</v>
      </c>
      <c r="AH36" s="102">
        <f>SUM(Tableau2[[#This Row],[Td 2]:[Td 5]])</f>
        <v>193</v>
      </c>
      <c r="AI36" s="10">
        <v>58.3</v>
      </c>
      <c r="AJ36" s="10">
        <v>100</v>
      </c>
      <c r="AK36" s="17">
        <f t="shared" si="4"/>
        <v>89.695833333333326</v>
      </c>
      <c r="AL36" s="17">
        <f t="shared" si="5"/>
        <v>0</v>
      </c>
      <c r="AM36" s="17">
        <f t="shared" si="6"/>
        <v>399</v>
      </c>
      <c r="AO36" s="98" t="s">
        <v>48</v>
      </c>
      <c r="AP36" s="92"/>
      <c r="AQ36" s="92">
        <v>0.66666666666666663</v>
      </c>
      <c r="AR36" s="92">
        <v>0.875</v>
      </c>
      <c r="AS36" s="92">
        <v>0.875</v>
      </c>
      <c r="AT36" s="92">
        <v>0.2857142857142857</v>
      </c>
      <c r="AU36" s="92">
        <v>1</v>
      </c>
      <c r="AV36" s="92">
        <v>0.5714285714285714</v>
      </c>
      <c r="AW36" s="92">
        <v>0.6428571428571429</v>
      </c>
      <c r="AX36" s="92"/>
      <c r="AY36" s="92">
        <v>0</v>
      </c>
      <c r="AZ36" s="92">
        <v>0.65982142857142856</v>
      </c>
    </row>
    <row r="37" spans="1:52" s="3" customFormat="1" x14ac:dyDescent="0.25">
      <c r="A37" s="2" t="s">
        <v>16</v>
      </c>
      <c r="B37" s="29" t="s">
        <v>740</v>
      </c>
      <c r="C37" s="2" t="s">
        <v>18</v>
      </c>
      <c r="D37" s="2" t="s">
        <v>82</v>
      </c>
      <c r="E37" s="14">
        <v>6986</v>
      </c>
      <c r="F37" s="15">
        <f t="shared" si="0"/>
        <v>243.81139999999999</v>
      </c>
      <c r="G37" s="15">
        <f t="shared" si="1"/>
        <v>279.44</v>
      </c>
      <c r="H37" s="15">
        <f t="shared" si="2"/>
        <v>203.17616666666666</v>
      </c>
      <c r="I37" s="15">
        <f t="shared" si="3"/>
        <v>232.86666666666665</v>
      </c>
      <c r="J37" s="10">
        <v>224</v>
      </c>
      <c r="K37" s="10">
        <v>224</v>
      </c>
      <c r="L37" s="10">
        <v>191</v>
      </c>
      <c r="M37" s="10">
        <v>168</v>
      </c>
      <c r="N37" s="10">
        <v>176</v>
      </c>
      <c r="O37" s="10">
        <v>194</v>
      </c>
      <c r="P37" s="10">
        <v>168</v>
      </c>
      <c r="Q37" s="10">
        <v>176</v>
      </c>
      <c r="R37" s="10">
        <v>184</v>
      </c>
      <c r="S37" s="10">
        <v>168</v>
      </c>
      <c r="T37" s="10">
        <v>176</v>
      </c>
      <c r="U37" s="10">
        <v>196</v>
      </c>
      <c r="V37" s="10">
        <v>168</v>
      </c>
      <c r="W37" s="10">
        <v>176</v>
      </c>
      <c r="X37" s="10">
        <v>182</v>
      </c>
      <c r="Y37" s="10">
        <v>41</v>
      </c>
      <c r="Z37" s="10">
        <v>182</v>
      </c>
      <c r="AA37" s="10">
        <v>176</v>
      </c>
      <c r="AB37" s="10">
        <v>40</v>
      </c>
      <c r="AC37" s="10">
        <v>128</v>
      </c>
      <c r="AD37" s="10">
        <v>84</v>
      </c>
      <c r="AE37" s="10">
        <v>42</v>
      </c>
      <c r="AF37" s="10">
        <v>7</v>
      </c>
      <c r="AG37" s="10" t="s">
        <v>2</v>
      </c>
      <c r="AH37" s="102">
        <f>SUM(Tableau2[[#This Row],[Td 2]:[Td 5]])</f>
        <v>133</v>
      </c>
      <c r="AI37" s="10">
        <v>58.3</v>
      </c>
      <c r="AJ37" s="10">
        <v>100</v>
      </c>
      <c r="AK37" s="17">
        <f t="shared" si="4"/>
        <v>9.1761666666666599</v>
      </c>
      <c r="AL37" s="17">
        <f t="shared" si="5"/>
        <v>12</v>
      </c>
      <c r="AM37" s="17">
        <f t="shared" si="6"/>
        <v>182</v>
      </c>
      <c r="AO37" s="98" t="s">
        <v>49</v>
      </c>
      <c r="AP37" s="92"/>
      <c r="AQ37" s="92">
        <v>0</v>
      </c>
      <c r="AR37" s="92">
        <v>0</v>
      </c>
      <c r="AS37" s="92">
        <v>0</v>
      </c>
      <c r="AT37" s="92">
        <v>0</v>
      </c>
      <c r="AU37" s="92"/>
      <c r="AV37" s="92"/>
      <c r="AW37" s="92"/>
      <c r="AX37" s="92"/>
      <c r="AY37" s="92">
        <v>0</v>
      </c>
      <c r="AZ37" s="92">
        <v>0</v>
      </c>
    </row>
    <row r="38" spans="1:52" s="3" customFormat="1" x14ac:dyDescent="0.25">
      <c r="A38" s="2" t="s">
        <v>16</v>
      </c>
      <c r="B38" s="29" t="s">
        <v>740</v>
      </c>
      <c r="C38" s="2" t="s">
        <v>18</v>
      </c>
      <c r="D38" s="2" t="s">
        <v>83</v>
      </c>
      <c r="E38" s="14">
        <v>14728</v>
      </c>
      <c r="F38" s="15">
        <f t="shared" si="0"/>
        <v>514.00720000000001</v>
      </c>
      <c r="G38" s="15">
        <f t="shared" si="1"/>
        <v>589.12</v>
      </c>
      <c r="H38" s="15">
        <f t="shared" si="2"/>
        <v>428.33933333333334</v>
      </c>
      <c r="I38" s="15">
        <f t="shared" si="3"/>
        <v>490.93333333333334</v>
      </c>
      <c r="J38" s="10">
        <v>431</v>
      </c>
      <c r="K38" s="10">
        <v>234</v>
      </c>
      <c r="L38" s="10">
        <v>365</v>
      </c>
      <c r="M38" s="10">
        <v>320</v>
      </c>
      <c r="N38" s="10">
        <v>349</v>
      </c>
      <c r="O38" s="10">
        <v>365</v>
      </c>
      <c r="P38" s="10">
        <v>320</v>
      </c>
      <c r="Q38" s="10">
        <v>349</v>
      </c>
      <c r="R38" s="10">
        <v>365</v>
      </c>
      <c r="S38" s="10">
        <v>320</v>
      </c>
      <c r="T38" s="10">
        <v>349</v>
      </c>
      <c r="U38" s="10">
        <v>365</v>
      </c>
      <c r="V38" s="10">
        <v>320</v>
      </c>
      <c r="W38" s="10">
        <v>349</v>
      </c>
      <c r="X38" s="10">
        <v>382</v>
      </c>
      <c r="Y38" s="10">
        <v>94</v>
      </c>
      <c r="Z38" s="10">
        <v>382</v>
      </c>
      <c r="AA38" s="10">
        <v>349</v>
      </c>
      <c r="AB38" s="10">
        <v>5</v>
      </c>
      <c r="AC38" s="10">
        <v>268</v>
      </c>
      <c r="AD38" s="10">
        <v>179</v>
      </c>
      <c r="AE38" s="10">
        <v>73</v>
      </c>
      <c r="AF38" s="10">
        <v>47</v>
      </c>
      <c r="AG38" s="10">
        <v>30</v>
      </c>
      <c r="AH38" s="102">
        <f>SUM(Tableau2[[#This Row],[Td 2]:[Td 5]])</f>
        <v>329</v>
      </c>
      <c r="AI38" s="10">
        <v>58.3</v>
      </c>
      <c r="AJ38" s="10">
        <v>100</v>
      </c>
      <c r="AK38" s="17">
        <f t="shared" si="4"/>
        <v>63.339333333333343</v>
      </c>
      <c r="AL38" s="17">
        <f t="shared" si="5"/>
        <v>0</v>
      </c>
      <c r="AM38" s="17">
        <f t="shared" si="6"/>
        <v>382</v>
      </c>
      <c r="AO38" s="98" t="s">
        <v>50</v>
      </c>
      <c r="AP38" s="92"/>
      <c r="AQ38" s="92">
        <v>0</v>
      </c>
      <c r="AR38" s="92">
        <v>0</v>
      </c>
      <c r="AS38" s="92">
        <v>0</v>
      </c>
      <c r="AT38" s="92">
        <v>0</v>
      </c>
      <c r="AU38" s="92"/>
      <c r="AV38" s="92"/>
      <c r="AW38" s="92"/>
      <c r="AX38" s="92"/>
      <c r="AY38" s="92">
        <v>0</v>
      </c>
      <c r="AZ38" s="92">
        <v>0</v>
      </c>
    </row>
    <row r="39" spans="1:52" s="3" customFormat="1" x14ac:dyDescent="0.25">
      <c r="A39" s="2" t="s">
        <v>16</v>
      </c>
      <c r="B39" s="29" t="s">
        <v>740</v>
      </c>
      <c r="C39" s="2" t="s">
        <v>18</v>
      </c>
      <c r="D39" s="2" t="s">
        <v>84</v>
      </c>
      <c r="E39" s="14">
        <v>8215</v>
      </c>
      <c r="F39" s="15">
        <f t="shared" si="0"/>
        <v>286.70350000000002</v>
      </c>
      <c r="G39" s="15">
        <f t="shared" si="1"/>
        <v>328.6</v>
      </c>
      <c r="H39" s="15">
        <f t="shared" si="2"/>
        <v>238.91958333333335</v>
      </c>
      <c r="I39" s="15">
        <f t="shared" si="3"/>
        <v>273.83333333333337</v>
      </c>
      <c r="J39" s="10">
        <v>441</v>
      </c>
      <c r="K39" s="10">
        <v>383</v>
      </c>
      <c r="L39" s="10">
        <v>250</v>
      </c>
      <c r="M39" s="10">
        <v>214</v>
      </c>
      <c r="N39" s="10">
        <v>209</v>
      </c>
      <c r="O39" s="10">
        <v>250</v>
      </c>
      <c r="P39" s="10">
        <v>214</v>
      </c>
      <c r="Q39" s="10">
        <v>209</v>
      </c>
      <c r="R39" s="10">
        <v>250</v>
      </c>
      <c r="S39" s="10">
        <v>214</v>
      </c>
      <c r="T39" s="10">
        <v>209</v>
      </c>
      <c r="U39" s="10">
        <v>250</v>
      </c>
      <c r="V39" s="10">
        <v>214</v>
      </c>
      <c r="W39" s="10">
        <v>209</v>
      </c>
      <c r="X39" s="10">
        <v>298</v>
      </c>
      <c r="Y39" s="10">
        <v>93</v>
      </c>
      <c r="Z39" s="10">
        <v>298</v>
      </c>
      <c r="AA39" s="10">
        <v>223</v>
      </c>
      <c r="AB39" s="10">
        <v>117</v>
      </c>
      <c r="AC39" s="10">
        <v>93</v>
      </c>
      <c r="AD39" s="10">
        <v>55</v>
      </c>
      <c r="AE39" s="10">
        <v>48</v>
      </c>
      <c r="AF39" s="10">
        <v>28</v>
      </c>
      <c r="AG39" s="10">
        <v>27</v>
      </c>
      <c r="AH39" s="102">
        <f>SUM(Tableau2[[#This Row],[Td 2]:[Td 5]])</f>
        <v>158</v>
      </c>
      <c r="AI39" s="10">
        <v>58.3</v>
      </c>
      <c r="AJ39" s="10">
        <v>100</v>
      </c>
      <c r="AK39" s="17">
        <f t="shared" si="4"/>
        <v>0</v>
      </c>
      <c r="AL39" s="17">
        <f t="shared" si="5"/>
        <v>0</v>
      </c>
      <c r="AM39" s="17">
        <f t="shared" si="6"/>
        <v>298</v>
      </c>
    </row>
    <row r="40" spans="1:52" s="3" customFormat="1" x14ac:dyDescent="0.25">
      <c r="A40" s="2" t="s">
        <v>16</v>
      </c>
      <c r="B40" s="29" t="s">
        <v>740</v>
      </c>
      <c r="C40" s="2" t="s">
        <v>18</v>
      </c>
      <c r="D40" s="2" t="s">
        <v>85</v>
      </c>
      <c r="E40" s="14">
        <v>13391</v>
      </c>
      <c r="F40" s="15">
        <f t="shared" si="0"/>
        <v>467.34590000000003</v>
      </c>
      <c r="G40" s="15">
        <f t="shared" si="1"/>
        <v>535.64</v>
      </c>
      <c r="H40" s="15">
        <f t="shared" si="2"/>
        <v>389.45491666666669</v>
      </c>
      <c r="I40" s="15">
        <f t="shared" si="3"/>
        <v>446.36666666666662</v>
      </c>
      <c r="J40" s="10">
        <v>578</v>
      </c>
      <c r="K40" s="10">
        <v>259</v>
      </c>
      <c r="L40" s="10">
        <v>525</v>
      </c>
      <c r="M40" s="10">
        <v>459</v>
      </c>
      <c r="N40" s="10">
        <v>515</v>
      </c>
      <c r="O40" s="10">
        <v>517</v>
      </c>
      <c r="P40" s="10">
        <v>459</v>
      </c>
      <c r="Q40" s="10">
        <v>515</v>
      </c>
      <c r="R40" s="10">
        <v>516</v>
      </c>
      <c r="S40" s="10">
        <v>459</v>
      </c>
      <c r="T40" s="10">
        <v>515</v>
      </c>
      <c r="U40" s="10">
        <v>525</v>
      </c>
      <c r="V40" s="10">
        <v>459</v>
      </c>
      <c r="W40" s="10">
        <v>515</v>
      </c>
      <c r="X40" s="10">
        <v>507</v>
      </c>
      <c r="Y40" s="10">
        <v>181</v>
      </c>
      <c r="Z40" s="10">
        <v>356</v>
      </c>
      <c r="AA40" s="10">
        <v>515</v>
      </c>
      <c r="AB40" s="10">
        <v>199</v>
      </c>
      <c r="AC40" s="10">
        <v>485</v>
      </c>
      <c r="AD40" s="10">
        <v>318</v>
      </c>
      <c r="AE40" s="10">
        <v>184</v>
      </c>
      <c r="AF40" s="10">
        <v>30</v>
      </c>
      <c r="AG40" s="10">
        <v>13</v>
      </c>
      <c r="AH40" s="102">
        <f>SUM(Tableau2[[#This Row],[Td 2]:[Td 5]])</f>
        <v>545</v>
      </c>
      <c r="AI40" s="10">
        <v>58.3</v>
      </c>
      <c r="AJ40" s="10">
        <v>100</v>
      </c>
      <c r="AK40" s="17">
        <f t="shared" si="4"/>
        <v>0</v>
      </c>
      <c r="AL40" s="17">
        <f t="shared" si="5"/>
        <v>10</v>
      </c>
      <c r="AM40" s="17">
        <f t="shared" si="6"/>
        <v>356</v>
      </c>
    </row>
    <row r="41" spans="1:52" s="3" customFormat="1" x14ac:dyDescent="0.25">
      <c r="A41" s="2" t="s">
        <v>16</v>
      </c>
      <c r="B41" s="29" t="s">
        <v>740</v>
      </c>
      <c r="C41" s="2" t="s">
        <v>18</v>
      </c>
      <c r="D41" s="2" t="s">
        <v>86</v>
      </c>
      <c r="E41" s="14">
        <v>22737</v>
      </c>
      <c r="F41" s="15">
        <f t="shared" si="0"/>
        <v>793.5213</v>
      </c>
      <c r="G41" s="15">
        <f t="shared" si="1"/>
        <v>909.48</v>
      </c>
      <c r="H41" s="15">
        <f t="shared" si="2"/>
        <v>661.26774999999998</v>
      </c>
      <c r="I41" s="15">
        <f t="shared" si="3"/>
        <v>757.90000000000009</v>
      </c>
      <c r="J41" s="10">
        <v>870</v>
      </c>
      <c r="K41" s="10">
        <v>589</v>
      </c>
      <c r="L41" s="10">
        <v>467</v>
      </c>
      <c r="M41" s="10">
        <v>430</v>
      </c>
      <c r="N41" s="10">
        <v>446</v>
      </c>
      <c r="O41" s="10">
        <v>657</v>
      </c>
      <c r="P41" s="10">
        <v>620</v>
      </c>
      <c r="Q41" s="10">
        <v>644</v>
      </c>
      <c r="R41" s="10">
        <v>657</v>
      </c>
      <c r="S41" s="10">
        <v>620</v>
      </c>
      <c r="T41" s="10">
        <v>644</v>
      </c>
      <c r="U41" s="10">
        <v>657</v>
      </c>
      <c r="V41" s="10">
        <v>620</v>
      </c>
      <c r="W41" s="10">
        <v>644</v>
      </c>
      <c r="X41" s="10">
        <v>709</v>
      </c>
      <c r="Y41" s="10">
        <v>412</v>
      </c>
      <c r="Z41" s="10">
        <v>576</v>
      </c>
      <c r="AA41" s="10">
        <v>582</v>
      </c>
      <c r="AB41" s="10">
        <v>431</v>
      </c>
      <c r="AC41" s="10">
        <v>531</v>
      </c>
      <c r="AD41" s="10">
        <v>391</v>
      </c>
      <c r="AE41" s="10">
        <v>62</v>
      </c>
      <c r="AF41" s="10">
        <v>13</v>
      </c>
      <c r="AG41" s="10" t="s">
        <v>2</v>
      </c>
      <c r="AH41" s="102">
        <f>SUM(Tableau2[[#This Row],[Td 2]:[Td 5]])</f>
        <v>466</v>
      </c>
      <c r="AI41" s="10">
        <v>58.3</v>
      </c>
      <c r="AJ41" s="10">
        <v>100</v>
      </c>
      <c r="AK41" s="17">
        <f t="shared" si="4"/>
        <v>4.2677499999999782</v>
      </c>
      <c r="AL41" s="17">
        <f t="shared" si="5"/>
        <v>0</v>
      </c>
      <c r="AM41" s="17">
        <f t="shared" si="6"/>
        <v>576</v>
      </c>
    </row>
    <row r="42" spans="1:52" s="3" customFormat="1" x14ac:dyDescent="0.25">
      <c r="A42" s="2" t="s">
        <v>16</v>
      </c>
      <c r="B42" s="29" t="s">
        <v>739</v>
      </c>
      <c r="C42" s="2" t="s">
        <v>19</v>
      </c>
      <c r="D42" s="2" t="s">
        <v>87</v>
      </c>
      <c r="E42" s="14">
        <v>5645</v>
      </c>
      <c r="F42" s="15">
        <f t="shared" si="0"/>
        <v>197.01050000000001</v>
      </c>
      <c r="G42" s="15">
        <f t="shared" si="1"/>
        <v>225.8</v>
      </c>
      <c r="H42" s="15">
        <f t="shared" si="2"/>
        <v>164.17541666666668</v>
      </c>
      <c r="I42" s="15">
        <f t="shared" si="3"/>
        <v>188.16666666666666</v>
      </c>
      <c r="J42" s="10">
        <v>201</v>
      </c>
      <c r="K42" s="10">
        <v>80</v>
      </c>
      <c r="L42" s="10">
        <v>291</v>
      </c>
      <c r="M42" s="10">
        <v>313</v>
      </c>
      <c r="N42" s="10">
        <v>293</v>
      </c>
      <c r="O42" s="10">
        <v>308</v>
      </c>
      <c r="P42" s="10">
        <v>291</v>
      </c>
      <c r="Q42" s="10">
        <v>305</v>
      </c>
      <c r="R42" s="10">
        <v>299</v>
      </c>
      <c r="S42" s="10">
        <v>283</v>
      </c>
      <c r="T42" s="10">
        <v>267</v>
      </c>
      <c r="U42" s="10">
        <v>269</v>
      </c>
      <c r="V42" s="10">
        <v>222</v>
      </c>
      <c r="W42" s="10">
        <v>181</v>
      </c>
      <c r="X42" s="10">
        <v>300</v>
      </c>
      <c r="Y42" s="10">
        <v>101</v>
      </c>
      <c r="Z42" s="10">
        <v>260</v>
      </c>
      <c r="AA42" s="10">
        <v>310</v>
      </c>
      <c r="AB42" s="10">
        <v>280</v>
      </c>
      <c r="AC42" s="10">
        <v>83</v>
      </c>
      <c r="AD42" s="10">
        <v>49</v>
      </c>
      <c r="AE42" s="10">
        <v>125</v>
      </c>
      <c r="AF42" s="10">
        <v>57</v>
      </c>
      <c r="AG42" s="10">
        <v>48</v>
      </c>
      <c r="AH42" s="102">
        <f>SUM(Tableau2[[#This Row],[Td 2]:[Td 5]])</f>
        <v>279</v>
      </c>
      <c r="AI42" s="10">
        <v>33.299999999999997</v>
      </c>
      <c r="AJ42" s="10">
        <v>100</v>
      </c>
      <c r="AK42" s="17">
        <f t="shared" si="4"/>
        <v>0</v>
      </c>
      <c r="AL42" s="17">
        <f t="shared" si="5"/>
        <v>8</v>
      </c>
      <c r="AM42" s="17">
        <f t="shared" si="6"/>
        <v>260</v>
      </c>
    </row>
    <row r="43" spans="1:52" s="3" customFormat="1" x14ac:dyDescent="0.25">
      <c r="A43" s="2" t="s">
        <v>16</v>
      </c>
      <c r="B43" s="29" t="s">
        <v>739</v>
      </c>
      <c r="C43" s="2" t="s">
        <v>19</v>
      </c>
      <c r="D43" s="2" t="s">
        <v>88</v>
      </c>
      <c r="E43" s="14">
        <v>10330</v>
      </c>
      <c r="F43" s="15">
        <f t="shared" si="0"/>
        <v>360.517</v>
      </c>
      <c r="G43" s="15">
        <f t="shared" si="1"/>
        <v>413.2</v>
      </c>
      <c r="H43" s="15">
        <f t="shared" si="2"/>
        <v>300.43083333333334</v>
      </c>
      <c r="I43" s="15">
        <f t="shared" si="3"/>
        <v>344.33333333333331</v>
      </c>
      <c r="J43" s="10">
        <v>322</v>
      </c>
      <c r="K43" s="10">
        <v>422</v>
      </c>
      <c r="L43" s="10">
        <v>655</v>
      </c>
      <c r="M43" s="10">
        <v>718</v>
      </c>
      <c r="N43" s="10">
        <v>750</v>
      </c>
      <c r="O43" s="10">
        <v>602</v>
      </c>
      <c r="P43" s="10">
        <v>579</v>
      </c>
      <c r="Q43" s="10">
        <v>602</v>
      </c>
      <c r="R43" s="10">
        <v>602</v>
      </c>
      <c r="S43" s="10">
        <v>579</v>
      </c>
      <c r="T43" s="10">
        <v>602</v>
      </c>
      <c r="U43" s="10">
        <v>602</v>
      </c>
      <c r="V43" s="10">
        <v>579</v>
      </c>
      <c r="W43" s="10">
        <v>602</v>
      </c>
      <c r="X43" s="10">
        <v>487</v>
      </c>
      <c r="Y43" s="10">
        <v>91</v>
      </c>
      <c r="Z43" s="10">
        <v>333</v>
      </c>
      <c r="AA43" s="10">
        <v>750</v>
      </c>
      <c r="AB43" s="10">
        <v>479</v>
      </c>
      <c r="AC43" s="10">
        <v>484</v>
      </c>
      <c r="AD43" s="10">
        <v>330</v>
      </c>
      <c r="AE43" s="10">
        <v>99</v>
      </c>
      <c r="AF43" s="10">
        <v>11</v>
      </c>
      <c r="AG43" s="10">
        <v>5</v>
      </c>
      <c r="AH43" s="102">
        <f>SUM(Tableau2[[#This Row],[Td 2]:[Td 5]])</f>
        <v>445</v>
      </c>
      <c r="AI43" s="10">
        <v>33.299999999999997</v>
      </c>
      <c r="AJ43" s="10">
        <v>100</v>
      </c>
      <c r="AK43" s="17">
        <f t="shared" si="4"/>
        <v>0</v>
      </c>
      <c r="AL43" s="17">
        <f t="shared" si="5"/>
        <v>115</v>
      </c>
      <c r="AM43" s="17">
        <f t="shared" si="6"/>
        <v>333</v>
      </c>
    </row>
    <row r="44" spans="1:52" s="3" customFormat="1" x14ac:dyDescent="0.25">
      <c r="A44" s="2" t="s">
        <v>16</v>
      </c>
      <c r="B44" s="29" t="s">
        <v>739</v>
      </c>
      <c r="C44" s="2" t="s">
        <v>19</v>
      </c>
      <c r="D44" s="2" t="s">
        <v>89</v>
      </c>
      <c r="E44" s="14">
        <v>18878</v>
      </c>
      <c r="F44" s="15">
        <f t="shared" si="0"/>
        <v>658.84220000000005</v>
      </c>
      <c r="G44" s="15">
        <f t="shared" si="1"/>
        <v>755.12</v>
      </c>
      <c r="H44" s="15">
        <f t="shared" si="2"/>
        <v>549.03516666666667</v>
      </c>
      <c r="I44" s="15">
        <f t="shared" si="3"/>
        <v>629.26666666666665</v>
      </c>
      <c r="J44" s="10">
        <v>342</v>
      </c>
      <c r="K44" s="10">
        <v>455</v>
      </c>
      <c r="L44" s="10">
        <v>558</v>
      </c>
      <c r="M44" s="10">
        <v>545</v>
      </c>
      <c r="N44" s="10">
        <v>541</v>
      </c>
      <c r="O44" s="10">
        <v>448</v>
      </c>
      <c r="P44" s="10">
        <v>454</v>
      </c>
      <c r="Q44" s="10">
        <v>435</v>
      </c>
      <c r="R44" s="10">
        <v>422</v>
      </c>
      <c r="S44" s="10">
        <v>401</v>
      </c>
      <c r="T44" s="10">
        <v>396</v>
      </c>
      <c r="U44" s="10">
        <v>377</v>
      </c>
      <c r="V44" s="10">
        <v>325</v>
      </c>
      <c r="W44" s="10">
        <v>293</v>
      </c>
      <c r="X44" s="10">
        <v>550</v>
      </c>
      <c r="Y44" s="10">
        <v>342</v>
      </c>
      <c r="Z44" s="10">
        <v>439</v>
      </c>
      <c r="AA44" s="10">
        <v>480</v>
      </c>
      <c r="AB44" s="10">
        <v>489</v>
      </c>
      <c r="AC44" s="10">
        <v>399</v>
      </c>
      <c r="AD44" s="10">
        <v>285</v>
      </c>
      <c r="AE44" s="10">
        <v>266</v>
      </c>
      <c r="AF44" s="10">
        <v>143</v>
      </c>
      <c r="AG44" s="10">
        <v>58</v>
      </c>
      <c r="AH44" s="102">
        <f>SUM(Tableau2[[#This Row],[Td 2]:[Td 5]])</f>
        <v>752</v>
      </c>
      <c r="AI44" s="10">
        <v>33.299999999999997</v>
      </c>
      <c r="AJ44" s="10">
        <v>100</v>
      </c>
      <c r="AK44" s="17">
        <f t="shared" si="4"/>
        <v>101.03516666666667</v>
      </c>
      <c r="AL44" s="17">
        <f t="shared" si="5"/>
        <v>0</v>
      </c>
      <c r="AM44" s="17">
        <f t="shared" si="6"/>
        <v>439</v>
      </c>
    </row>
    <row r="45" spans="1:52" s="3" customFormat="1" x14ac:dyDescent="0.25">
      <c r="A45" s="2" t="s">
        <v>16</v>
      </c>
      <c r="B45" s="29" t="s">
        <v>739</v>
      </c>
      <c r="C45" s="2" t="s">
        <v>19</v>
      </c>
      <c r="D45" s="2" t="s">
        <v>90</v>
      </c>
      <c r="E45" s="14">
        <v>29690</v>
      </c>
      <c r="F45" s="15">
        <f t="shared" si="0"/>
        <v>1036.181</v>
      </c>
      <c r="G45" s="15">
        <f t="shared" si="1"/>
        <v>1187.6000000000001</v>
      </c>
      <c r="H45" s="15">
        <f t="shared" si="2"/>
        <v>863.48416666666662</v>
      </c>
      <c r="I45" s="15">
        <f t="shared" si="3"/>
        <v>989.66666666666686</v>
      </c>
      <c r="J45" s="10">
        <v>753</v>
      </c>
      <c r="K45" s="10">
        <v>792</v>
      </c>
      <c r="L45" s="10">
        <v>1145</v>
      </c>
      <c r="M45" s="10">
        <v>1266</v>
      </c>
      <c r="N45" s="10">
        <v>1173</v>
      </c>
      <c r="O45" s="10">
        <v>1195</v>
      </c>
      <c r="P45" s="10">
        <v>2108</v>
      </c>
      <c r="Q45" s="10">
        <v>1178</v>
      </c>
      <c r="R45" s="10">
        <v>1108</v>
      </c>
      <c r="S45" s="10">
        <v>1131</v>
      </c>
      <c r="T45" s="10">
        <v>1963</v>
      </c>
      <c r="U45" s="10">
        <v>1840</v>
      </c>
      <c r="V45" s="10">
        <v>1794</v>
      </c>
      <c r="W45" s="10">
        <v>870</v>
      </c>
      <c r="X45" s="10">
        <v>997</v>
      </c>
      <c r="Y45" s="10">
        <v>280</v>
      </c>
      <c r="Z45" s="10">
        <v>870</v>
      </c>
      <c r="AA45" s="10">
        <v>1214</v>
      </c>
      <c r="AB45" s="10">
        <v>1138</v>
      </c>
      <c r="AC45" s="10">
        <v>488</v>
      </c>
      <c r="AD45" s="10">
        <v>254</v>
      </c>
      <c r="AE45" s="10">
        <v>301</v>
      </c>
      <c r="AF45" s="10">
        <v>232</v>
      </c>
      <c r="AG45" s="10">
        <v>164</v>
      </c>
      <c r="AH45" s="102">
        <f>SUM(Tableau2[[#This Row],[Td 2]:[Td 5]])</f>
        <v>951</v>
      </c>
      <c r="AI45" s="10">
        <v>33.299999999999997</v>
      </c>
      <c r="AJ45" s="10">
        <v>100</v>
      </c>
      <c r="AK45" s="17">
        <f t="shared" si="4"/>
        <v>0</v>
      </c>
      <c r="AL45" s="17">
        <f t="shared" si="5"/>
        <v>198</v>
      </c>
      <c r="AM45" s="17">
        <f t="shared" si="6"/>
        <v>870</v>
      </c>
    </row>
    <row r="46" spans="1:52" s="3" customFormat="1" x14ac:dyDescent="0.25">
      <c r="A46" s="2" t="s">
        <v>16</v>
      </c>
      <c r="B46" s="29" t="s">
        <v>739</v>
      </c>
      <c r="C46" s="2" t="s">
        <v>19</v>
      </c>
      <c r="D46" s="2" t="s">
        <v>91</v>
      </c>
      <c r="E46" s="14">
        <v>39094</v>
      </c>
      <c r="F46" s="15">
        <f t="shared" si="0"/>
        <v>1364.3806</v>
      </c>
      <c r="G46" s="15">
        <f t="shared" si="1"/>
        <v>1563.76</v>
      </c>
      <c r="H46" s="15">
        <f t="shared" si="2"/>
        <v>1136.9838333333332</v>
      </c>
      <c r="I46" s="15">
        <f t="shared" si="3"/>
        <v>1303.1333333333332</v>
      </c>
      <c r="J46" s="10">
        <v>996</v>
      </c>
      <c r="K46" s="10">
        <v>253</v>
      </c>
      <c r="L46" s="10">
        <v>1210</v>
      </c>
      <c r="M46" s="10">
        <v>1167</v>
      </c>
      <c r="N46" s="10">
        <v>1161</v>
      </c>
      <c r="O46" s="10">
        <v>1081</v>
      </c>
      <c r="P46" s="10">
        <v>1043</v>
      </c>
      <c r="Q46" s="10">
        <v>2589</v>
      </c>
      <c r="R46" s="10">
        <v>913</v>
      </c>
      <c r="S46" s="10">
        <v>877</v>
      </c>
      <c r="T46" s="10">
        <v>874</v>
      </c>
      <c r="U46" s="10">
        <v>1032</v>
      </c>
      <c r="V46" s="10">
        <v>992</v>
      </c>
      <c r="W46" s="10">
        <v>989</v>
      </c>
      <c r="X46" s="10">
        <v>947</v>
      </c>
      <c r="Y46" s="10">
        <v>317</v>
      </c>
      <c r="Z46" s="10">
        <v>880</v>
      </c>
      <c r="AA46" s="10">
        <v>1068</v>
      </c>
      <c r="AB46" s="10">
        <v>883</v>
      </c>
      <c r="AC46" s="10">
        <v>604</v>
      </c>
      <c r="AD46" s="10">
        <v>524</v>
      </c>
      <c r="AE46" s="10">
        <v>363</v>
      </c>
      <c r="AF46" s="10">
        <v>295</v>
      </c>
      <c r="AG46" s="10">
        <v>221</v>
      </c>
      <c r="AH46" s="102">
        <f>SUM(Tableau2[[#This Row],[Td 2]:[Td 5]])</f>
        <v>1403</v>
      </c>
      <c r="AI46" s="10">
        <v>41.7</v>
      </c>
      <c r="AJ46" s="10">
        <v>100</v>
      </c>
      <c r="AK46" s="17">
        <f t="shared" si="4"/>
        <v>55.983833333333223</v>
      </c>
      <c r="AL46" s="17">
        <f t="shared" si="5"/>
        <v>134</v>
      </c>
      <c r="AM46" s="17">
        <f t="shared" si="6"/>
        <v>880</v>
      </c>
    </row>
    <row r="47" spans="1:52" s="3" customFormat="1" x14ac:dyDescent="0.25">
      <c r="A47" s="2" t="s">
        <v>16</v>
      </c>
      <c r="B47" s="29" t="s">
        <v>739</v>
      </c>
      <c r="C47" s="2" t="s">
        <v>19</v>
      </c>
      <c r="D47" s="2" t="s">
        <v>92</v>
      </c>
      <c r="E47" s="14">
        <v>27911</v>
      </c>
      <c r="F47" s="15">
        <f t="shared" si="0"/>
        <v>974.09389999999996</v>
      </c>
      <c r="G47" s="15">
        <f t="shared" si="1"/>
        <v>1116.44</v>
      </c>
      <c r="H47" s="15">
        <f t="shared" si="2"/>
        <v>811.74491666666665</v>
      </c>
      <c r="I47" s="15">
        <f t="shared" si="3"/>
        <v>930.36666666666679</v>
      </c>
      <c r="J47" s="10">
        <v>425</v>
      </c>
      <c r="K47" s="10">
        <v>158</v>
      </c>
      <c r="L47" s="10">
        <v>842</v>
      </c>
      <c r="M47" s="10">
        <v>602</v>
      </c>
      <c r="N47" s="10">
        <v>646</v>
      </c>
      <c r="O47" s="10">
        <v>715</v>
      </c>
      <c r="P47" s="10">
        <v>630</v>
      </c>
      <c r="Q47" s="10">
        <v>654</v>
      </c>
      <c r="R47" s="10">
        <v>710</v>
      </c>
      <c r="S47" s="10">
        <v>626</v>
      </c>
      <c r="T47" s="10">
        <v>646</v>
      </c>
      <c r="U47" s="10">
        <v>626</v>
      </c>
      <c r="V47" s="10">
        <v>528</v>
      </c>
      <c r="W47" s="10">
        <v>536</v>
      </c>
      <c r="X47" s="10">
        <v>868</v>
      </c>
      <c r="Y47" s="10">
        <v>311</v>
      </c>
      <c r="Z47" s="10">
        <v>653</v>
      </c>
      <c r="AA47" s="10">
        <v>653</v>
      </c>
      <c r="AB47" s="10">
        <v>767</v>
      </c>
      <c r="AC47" s="10">
        <v>373</v>
      </c>
      <c r="AD47" s="10">
        <v>275</v>
      </c>
      <c r="AE47" s="10">
        <v>166</v>
      </c>
      <c r="AF47" s="10">
        <v>124</v>
      </c>
      <c r="AG47" s="10">
        <v>155</v>
      </c>
      <c r="AH47" s="102">
        <f>SUM(Tableau2[[#This Row],[Td 2]:[Td 5]])</f>
        <v>720</v>
      </c>
      <c r="AI47" s="10">
        <v>33.299999999999997</v>
      </c>
      <c r="AJ47" s="10">
        <v>100</v>
      </c>
      <c r="AK47" s="17">
        <f t="shared" si="4"/>
        <v>96.744916666666654</v>
      </c>
      <c r="AL47" s="17">
        <f t="shared" si="5"/>
        <v>0</v>
      </c>
      <c r="AM47" s="17">
        <f t="shared" si="6"/>
        <v>653</v>
      </c>
    </row>
    <row r="48" spans="1:52" s="3" customFormat="1" x14ac:dyDescent="0.25">
      <c r="A48" s="2" t="s">
        <v>16</v>
      </c>
      <c r="B48" s="29" t="s">
        <v>739</v>
      </c>
      <c r="C48" s="2" t="s">
        <v>19</v>
      </c>
      <c r="D48" s="2" t="s">
        <v>93</v>
      </c>
      <c r="E48" s="14">
        <v>45046</v>
      </c>
      <c r="F48" s="15">
        <f t="shared" si="0"/>
        <v>1572.1053999999999</v>
      </c>
      <c r="G48" s="15">
        <f t="shared" si="1"/>
        <v>1801.8400000000001</v>
      </c>
      <c r="H48" s="15">
        <f t="shared" si="2"/>
        <v>1310.0878333333333</v>
      </c>
      <c r="I48" s="15">
        <f t="shared" si="3"/>
        <v>1501.5333333333333</v>
      </c>
      <c r="J48" s="10">
        <v>804</v>
      </c>
      <c r="K48" s="10">
        <v>557</v>
      </c>
      <c r="L48" s="10">
        <v>1112</v>
      </c>
      <c r="M48" s="10">
        <v>1192</v>
      </c>
      <c r="N48" s="10">
        <v>1054</v>
      </c>
      <c r="O48" s="10">
        <v>1143</v>
      </c>
      <c r="P48" s="10">
        <v>1073</v>
      </c>
      <c r="Q48" s="10">
        <v>1000</v>
      </c>
      <c r="R48" s="10">
        <v>1038</v>
      </c>
      <c r="S48" s="10">
        <v>1045</v>
      </c>
      <c r="T48" s="10">
        <v>977</v>
      </c>
      <c r="U48" s="10">
        <v>806</v>
      </c>
      <c r="V48" s="10">
        <v>860</v>
      </c>
      <c r="W48" s="10">
        <v>926</v>
      </c>
      <c r="X48" s="10">
        <v>1207</v>
      </c>
      <c r="Y48" s="10">
        <v>461</v>
      </c>
      <c r="Z48" s="10">
        <v>1159</v>
      </c>
      <c r="AA48" s="10">
        <v>1027</v>
      </c>
      <c r="AB48" s="10">
        <v>1242</v>
      </c>
      <c r="AC48" s="10">
        <v>242</v>
      </c>
      <c r="AD48" s="10">
        <v>265</v>
      </c>
      <c r="AE48" s="10">
        <v>160</v>
      </c>
      <c r="AF48" s="10">
        <v>134</v>
      </c>
      <c r="AG48" s="10">
        <v>107</v>
      </c>
      <c r="AH48" s="102">
        <f>SUM(Tableau2[[#This Row],[Td 2]:[Td 5]])</f>
        <v>666</v>
      </c>
      <c r="AI48" s="10">
        <v>33.299999999999997</v>
      </c>
      <c r="AJ48" s="10">
        <v>100</v>
      </c>
      <c r="AK48" s="17">
        <f t="shared" si="4"/>
        <v>167.08783333333326</v>
      </c>
      <c r="AL48" s="17">
        <f t="shared" si="5"/>
        <v>0</v>
      </c>
      <c r="AM48" s="17">
        <f t="shared" si="6"/>
        <v>1159</v>
      </c>
    </row>
    <row r="49" spans="1:39" s="3" customFormat="1" x14ac:dyDescent="0.25">
      <c r="A49" s="2" t="s">
        <v>16</v>
      </c>
      <c r="B49" s="29" t="s">
        <v>739</v>
      </c>
      <c r="C49" s="2" t="s">
        <v>19</v>
      </c>
      <c r="D49" s="2" t="s">
        <v>94</v>
      </c>
      <c r="E49" s="14">
        <v>17284</v>
      </c>
      <c r="F49" s="15">
        <f t="shared" si="0"/>
        <v>603.21159999999998</v>
      </c>
      <c r="G49" s="15">
        <f t="shared" si="1"/>
        <v>691.36</v>
      </c>
      <c r="H49" s="15">
        <f t="shared" si="2"/>
        <v>502.67633333333328</v>
      </c>
      <c r="I49" s="15">
        <f t="shared" si="3"/>
        <v>576.13333333333333</v>
      </c>
      <c r="J49" s="10">
        <v>249</v>
      </c>
      <c r="K49" s="10">
        <v>26</v>
      </c>
      <c r="L49" s="10">
        <v>497</v>
      </c>
      <c r="M49" s="10">
        <v>406</v>
      </c>
      <c r="N49" s="10">
        <v>333</v>
      </c>
      <c r="O49" s="10">
        <v>477</v>
      </c>
      <c r="P49" s="10">
        <v>429</v>
      </c>
      <c r="Q49" s="10">
        <v>602</v>
      </c>
      <c r="R49" s="10">
        <v>421</v>
      </c>
      <c r="S49" s="10">
        <v>290</v>
      </c>
      <c r="T49" s="10">
        <v>228</v>
      </c>
      <c r="U49" s="10">
        <v>404</v>
      </c>
      <c r="V49" s="10">
        <v>308</v>
      </c>
      <c r="W49" s="10">
        <v>227</v>
      </c>
      <c r="X49" s="10">
        <v>411</v>
      </c>
      <c r="Y49" s="10">
        <v>189</v>
      </c>
      <c r="Z49" s="10">
        <v>334</v>
      </c>
      <c r="AA49" s="10">
        <v>368</v>
      </c>
      <c r="AB49" s="10">
        <v>407</v>
      </c>
      <c r="AC49" s="10">
        <v>70</v>
      </c>
      <c r="AD49" s="10">
        <v>49</v>
      </c>
      <c r="AE49" s="10">
        <v>96</v>
      </c>
      <c r="AF49" s="10">
        <v>39</v>
      </c>
      <c r="AG49" s="10">
        <v>46</v>
      </c>
      <c r="AH49" s="102">
        <f>SUM(Tableau2[[#This Row],[Td 2]:[Td 5]])</f>
        <v>230</v>
      </c>
      <c r="AI49" s="10">
        <v>33.299999999999997</v>
      </c>
      <c r="AJ49" s="10">
        <v>100</v>
      </c>
      <c r="AK49" s="17">
        <f t="shared" si="4"/>
        <v>25.676333333333275</v>
      </c>
      <c r="AL49" s="17">
        <f t="shared" si="5"/>
        <v>66</v>
      </c>
      <c r="AM49" s="17">
        <f t="shared" si="6"/>
        <v>334</v>
      </c>
    </row>
    <row r="50" spans="1:39" s="3" customFormat="1" x14ac:dyDescent="0.25">
      <c r="A50" s="2" t="s">
        <v>16</v>
      </c>
      <c r="B50" s="29" t="s">
        <v>739</v>
      </c>
      <c r="C50" s="2" t="s">
        <v>19</v>
      </c>
      <c r="D50" s="2" t="s">
        <v>95</v>
      </c>
      <c r="E50" s="14">
        <v>23020</v>
      </c>
      <c r="F50" s="15">
        <f t="shared" si="0"/>
        <v>803.39800000000002</v>
      </c>
      <c r="G50" s="15">
        <f t="shared" si="1"/>
        <v>920.80000000000007</v>
      </c>
      <c r="H50" s="15">
        <f t="shared" si="2"/>
        <v>669.49833333333333</v>
      </c>
      <c r="I50" s="15">
        <f t="shared" si="3"/>
        <v>767.33333333333337</v>
      </c>
      <c r="J50" s="10">
        <v>499</v>
      </c>
      <c r="K50" s="10">
        <v>584</v>
      </c>
      <c r="L50" s="10">
        <v>794</v>
      </c>
      <c r="M50" s="10">
        <v>747</v>
      </c>
      <c r="N50" s="10">
        <v>767</v>
      </c>
      <c r="O50" s="10">
        <v>668</v>
      </c>
      <c r="P50" s="10">
        <v>629</v>
      </c>
      <c r="Q50" s="10">
        <v>616</v>
      </c>
      <c r="R50" s="10">
        <v>626</v>
      </c>
      <c r="S50" s="10">
        <v>595</v>
      </c>
      <c r="T50" s="10">
        <v>605</v>
      </c>
      <c r="U50" s="10">
        <v>512</v>
      </c>
      <c r="V50" s="10">
        <v>484</v>
      </c>
      <c r="W50" s="10">
        <v>492</v>
      </c>
      <c r="X50" s="10">
        <v>760</v>
      </c>
      <c r="Y50" s="10">
        <v>202</v>
      </c>
      <c r="Z50" s="10">
        <v>645</v>
      </c>
      <c r="AA50" s="10">
        <v>712</v>
      </c>
      <c r="AB50" s="10">
        <v>638</v>
      </c>
      <c r="AC50" s="10">
        <v>650</v>
      </c>
      <c r="AD50" s="10">
        <v>570</v>
      </c>
      <c r="AE50" s="10">
        <v>732</v>
      </c>
      <c r="AF50" s="10">
        <v>689</v>
      </c>
      <c r="AG50" s="10">
        <v>643</v>
      </c>
      <c r="AH50" s="102">
        <f>SUM(Tableau2[[#This Row],[Td 2]:[Td 5]])</f>
        <v>2634</v>
      </c>
      <c r="AI50" s="10">
        <v>33.299999999999997</v>
      </c>
      <c r="AJ50" s="10">
        <v>100</v>
      </c>
      <c r="AK50" s="17">
        <f t="shared" si="4"/>
        <v>1.4983333333333348</v>
      </c>
      <c r="AL50" s="17">
        <f t="shared" si="5"/>
        <v>0</v>
      </c>
      <c r="AM50" s="17">
        <f t="shared" si="6"/>
        <v>645</v>
      </c>
    </row>
    <row r="51" spans="1:39" s="3" customFormat="1" x14ac:dyDescent="0.25">
      <c r="A51" s="2" t="s">
        <v>16</v>
      </c>
      <c r="B51" s="29" t="s">
        <v>739</v>
      </c>
      <c r="C51" s="2" t="s">
        <v>19</v>
      </c>
      <c r="D51" s="2" t="s">
        <v>96</v>
      </c>
      <c r="E51" s="14">
        <v>24701</v>
      </c>
      <c r="F51" s="15">
        <f t="shared" si="0"/>
        <v>862.06489999999997</v>
      </c>
      <c r="G51" s="15">
        <f t="shared" si="1"/>
        <v>988.04000000000008</v>
      </c>
      <c r="H51" s="15">
        <f t="shared" si="2"/>
        <v>718.3874166666667</v>
      </c>
      <c r="I51" s="15">
        <f t="shared" si="3"/>
        <v>823.36666666666679</v>
      </c>
      <c r="J51" s="10">
        <v>748</v>
      </c>
      <c r="K51" s="10">
        <v>160</v>
      </c>
      <c r="L51" s="10">
        <v>908</v>
      </c>
      <c r="M51" s="10">
        <v>728</v>
      </c>
      <c r="N51" s="10">
        <v>753</v>
      </c>
      <c r="O51" s="10">
        <v>632</v>
      </c>
      <c r="P51" s="10">
        <v>608</v>
      </c>
      <c r="Q51" s="10">
        <v>649</v>
      </c>
      <c r="R51" s="10">
        <v>582</v>
      </c>
      <c r="S51" s="10">
        <v>538</v>
      </c>
      <c r="T51" s="10">
        <v>538</v>
      </c>
      <c r="U51" s="10">
        <v>636</v>
      </c>
      <c r="V51" s="10">
        <v>556</v>
      </c>
      <c r="W51" s="10">
        <v>523</v>
      </c>
      <c r="X51" s="10">
        <v>661</v>
      </c>
      <c r="Y51" s="10">
        <v>234</v>
      </c>
      <c r="Z51" s="10">
        <v>520</v>
      </c>
      <c r="AA51" s="10">
        <v>753</v>
      </c>
      <c r="AB51" s="10">
        <v>560</v>
      </c>
      <c r="AC51" s="10">
        <v>516</v>
      </c>
      <c r="AD51" s="10">
        <v>457</v>
      </c>
      <c r="AE51" s="10">
        <v>202</v>
      </c>
      <c r="AF51" s="10">
        <v>128</v>
      </c>
      <c r="AG51" s="10">
        <v>65</v>
      </c>
      <c r="AH51" s="102">
        <f>SUM(Tableau2[[#This Row],[Td 2]:[Td 5]])</f>
        <v>852</v>
      </c>
      <c r="AI51" s="10">
        <v>41.7</v>
      </c>
      <c r="AJ51" s="10">
        <v>100</v>
      </c>
      <c r="AK51" s="17">
        <f t="shared" si="4"/>
        <v>86.387416666666695</v>
      </c>
      <c r="AL51" s="17">
        <f t="shared" si="5"/>
        <v>0</v>
      </c>
      <c r="AM51" s="17">
        <f t="shared" si="6"/>
        <v>520</v>
      </c>
    </row>
    <row r="52" spans="1:39" s="3" customFormat="1" x14ac:dyDescent="0.25">
      <c r="A52" s="2" t="s">
        <v>16</v>
      </c>
      <c r="B52" s="29" t="s">
        <v>739</v>
      </c>
      <c r="C52" s="2" t="s">
        <v>19</v>
      </c>
      <c r="D52" s="2" t="s">
        <v>97</v>
      </c>
      <c r="E52" s="14">
        <v>42050</v>
      </c>
      <c r="F52" s="15">
        <f t="shared" si="0"/>
        <v>1467.5450000000001</v>
      </c>
      <c r="G52" s="15">
        <f t="shared" si="1"/>
        <v>1682</v>
      </c>
      <c r="H52" s="15">
        <f t="shared" si="2"/>
        <v>1222.9541666666667</v>
      </c>
      <c r="I52" s="15">
        <f t="shared" si="3"/>
        <v>1401.6666666666665</v>
      </c>
      <c r="J52" s="10">
        <v>580</v>
      </c>
      <c r="K52" s="10">
        <v>802</v>
      </c>
      <c r="L52" s="10">
        <v>1221</v>
      </c>
      <c r="M52" s="10">
        <v>1169</v>
      </c>
      <c r="N52" s="10">
        <v>1138</v>
      </c>
      <c r="O52" s="10">
        <v>1037</v>
      </c>
      <c r="P52" s="10">
        <v>998</v>
      </c>
      <c r="Q52" s="10">
        <v>955</v>
      </c>
      <c r="R52" s="10">
        <v>1001</v>
      </c>
      <c r="S52" s="10">
        <v>968</v>
      </c>
      <c r="T52" s="10">
        <v>950</v>
      </c>
      <c r="U52" s="10">
        <v>950</v>
      </c>
      <c r="V52" s="10">
        <v>894</v>
      </c>
      <c r="W52" s="10">
        <v>867</v>
      </c>
      <c r="X52" s="10">
        <v>1330</v>
      </c>
      <c r="Y52" s="10">
        <v>445</v>
      </c>
      <c r="Z52" s="10">
        <v>944</v>
      </c>
      <c r="AA52" s="10">
        <v>1206</v>
      </c>
      <c r="AB52" s="10">
        <v>938</v>
      </c>
      <c r="AC52" s="10">
        <v>267</v>
      </c>
      <c r="AD52" s="10">
        <v>162</v>
      </c>
      <c r="AE52" s="10">
        <v>256</v>
      </c>
      <c r="AF52" s="10">
        <v>174</v>
      </c>
      <c r="AG52" s="10">
        <v>174</v>
      </c>
      <c r="AH52" s="102">
        <f>SUM(Tableau2[[#This Row],[Td 2]:[Td 5]])</f>
        <v>766</v>
      </c>
      <c r="AI52" s="10">
        <v>33.299999999999997</v>
      </c>
      <c r="AJ52" s="10">
        <v>100</v>
      </c>
      <c r="AK52" s="17">
        <f t="shared" si="4"/>
        <v>185.95416666666665</v>
      </c>
      <c r="AL52" s="17">
        <f t="shared" si="5"/>
        <v>0</v>
      </c>
      <c r="AM52" s="17">
        <f t="shared" si="6"/>
        <v>944</v>
      </c>
    </row>
    <row r="53" spans="1:39" s="3" customFormat="1" x14ac:dyDescent="0.25">
      <c r="A53" s="2" t="s">
        <v>16</v>
      </c>
      <c r="B53" s="29" t="s">
        <v>739</v>
      </c>
      <c r="C53" s="2" t="s">
        <v>19</v>
      </c>
      <c r="D53" s="2" t="s">
        <v>98</v>
      </c>
      <c r="E53" s="14">
        <v>36589</v>
      </c>
      <c r="F53" s="15">
        <f t="shared" si="0"/>
        <v>1276.9561000000001</v>
      </c>
      <c r="G53" s="15">
        <f t="shared" si="1"/>
        <v>1463.56</v>
      </c>
      <c r="H53" s="15">
        <f t="shared" si="2"/>
        <v>1064.1300833333335</v>
      </c>
      <c r="I53" s="15">
        <f t="shared" si="3"/>
        <v>1219.6333333333332</v>
      </c>
      <c r="J53" s="10">
        <v>1747</v>
      </c>
      <c r="K53" s="10">
        <v>623</v>
      </c>
      <c r="L53" s="10">
        <v>1229</v>
      </c>
      <c r="M53" s="10">
        <v>2325</v>
      </c>
      <c r="N53" s="10">
        <v>2336</v>
      </c>
      <c r="O53" s="10">
        <v>1070</v>
      </c>
      <c r="P53" s="10">
        <v>984</v>
      </c>
      <c r="Q53" s="10">
        <v>991</v>
      </c>
      <c r="R53" s="10">
        <v>872</v>
      </c>
      <c r="S53" s="10">
        <v>876</v>
      </c>
      <c r="T53" s="10">
        <v>872</v>
      </c>
      <c r="U53" s="10">
        <v>942</v>
      </c>
      <c r="V53" s="10">
        <v>946</v>
      </c>
      <c r="W53" s="10">
        <v>932</v>
      </c>
      <c r="X53" s="10">
        <v>1221</v>
      </c>
      <c r="Y53" s="10">
        <v>797</v>
      </c>
      <c r="Z53" s="10">
        <v>994</v>
      </c>
      <c r="AA53" s="10">
        <v>1229</v>
      </c>
      <c r="AB53" s="10">
        <v>1221</v>
      </c>
      <c r="AC53" s="10">
        <v>380</v>
      </c>
      <c r="AD53" s="10">
        <v>294</v>
      </c>
      <c r="AE53" s="10">
        <v>351</v>
      </c>
      <c r="AF53" s="10">
        <v>319</v>
      </c>
      <c r="AG53" s="10">
        <v>269</v>
      </c>
      <c r="AH53" s="102">
        <f>SUM(Tableau2[[#This Row],[Td 2]:[Td 5]])</f>
        <v>1233</v>
      </c>
      <c r="AI53" s="10">
        <v>29.2</v>
      </c>
      <c r="AJ53" s="10">
        <v>100</v>
      </c>
      <c r="AK53" s="17">
        <f t="shared" si="4"/>
        <v>0</v>
      </c>
      <c r="AL53" s="17">
        <f t="shared" si="5"/>
        <v>0</v>
      </c>
      <c r="AM53" s="17">
        <f t="shared" si="6"/>
        <v>994</v>
      </c>
    </row>
    <row r="54" spans="1:39" s="3" customFormat="1" x14ac:dyDescent="0.25">
      <c r="A54" s="2" t="s">
        <v>16</v>
      </c>
      <c r="B54" s="29" t="s">
        <v>739</v>
      </c>
      <c r="C54" s="2" t="s">
        <v>19</v>
      </c>
      <c r="D54" s="2" t="s">
        <v>99</v>
      </c>
      <c r="E54" s="14">
        <v>17734</v>
      </c>
      <c r="F54" s="15">
        <f t="shared" si="0"/>
        <v>618.91660000000002</v>
      </c>
      <c r="G54" s="15">
        <f t="shared" si="1"/>
        <v>709.36</v>
      </c>
      <c r="H54" s="15">
        <f t="shared" si="2"/>
        <v>515.76383333333331</v>
      </c>
      <c r="I54" s="15">
        <f t="shared" si="3"/>
        <v>591.13333333333333</v>
      </c>
      <c r="J54" s="10">
        <v>1243</v>
      </c>
      <c r="K54" s="10">
        <v>277</v>
      </c>
      <c r="L54" s="10">
        <v>1158</v>
      </c>
      <c r="M54" s="10">
        <v>981</v>
      </c>
      <c r="N54" s="10">
        <v>1059</v>
      </c>
      <c r="O54" s="10">
        <v>1048</v>
      </c>
      <c r="P54" s="10">
        <v>934</v>
      </c>
      <c r="Q54" s="10">
        <v>1012</v>
      </c>
      <c r="R54" s="10">
        <v>974</v>
      </c>
      <c r="S54" s="10">
        <v>860</v>
      </c>
      <c r="T54" s="10">
        <v>939</v>
      </c>
      <c r="U54" s="10">
        <v>1015</v>
      </c>
      <c r="V54" s="10">
        <v>934</v>
      </c>
      <c r="W54" s="10">
        <v>1003</v>
      </c>
      <c r="X54" s="10">
        <v>1041</v>
      </c>
      <c r="Y54" s="10">
        <v>377</v>
      </c>
      <c r="Z54" s="10">
        <v>984</v>
      </c>
      <c r="AA54" s="10">
        <v>1066</v>
      </c>
      <c r="AB54" s="10">
        <v>1042</v>
      </c>
      <c r="AC54" s="10">
        <v>246</v>
      </c>
      <c r="AD54" s="10">
        <v>140</v>
      </c>
      <c r="AE54" s="10">
        <v>166</v>
      </c>
      <c r="AF54" s="10">
        <v>162</v>
      </c>
      <c r="AG54" s="10">
        <v>198</v>
      </c>
      <c r="AH54" s="102">
        <f>SUM(Tableau2[[#This Row],[Td 2]:[Td 5]])</f>
        <v>666</v>
      </c>
      <c r="AI54" s="10">
        <v>33.299999999999997</v>
      </c>
      <c r="AJ54" s="10">
        <v>100</v>
      </c>
      <c r="AK54" s="17">
        <f t="shared" si="4"/>
        <v>0</v>
      </c>
      <c r="AL54" s="17">
        <f t="shared" si="5"/>
        <v>7</v>
      </c>
      <c r="AM54" s="17">
        <f t="shared" si="6"/>
        <v>984</v>
      </c>
    </row>
    <row r="55" spans="1:39" s="3" customFormat="1" x14ac:dyDescent="0.25">
      <c r="A55" s="2" t="s">
        <v>16</v>
      </c>
      <c r="B55" s="29" t="s">
        <v>739</v>
      </c>
      <c r="C55" s="2" t="s">
        <v>19</v>
      </c>
      <c r="D55" s="2" t="s">
        <v>100</v>
      </c>
      <c r="E55" s="14">
        <v>12768</v>
      </c>
      <c r="F55" s="15">
        <f t="shared" si="0"/>
        <v>445.60320000000002</v>
      </c>
      <c r="G55" s="15">
        <f t="shared" si="1"/>
        <v>510.72</v>
      </c>
      <c r="H55" s="15">
        <f t="shared" si="2"/>
        <v>371.33600000000001</v>
      </c>
      <c r="I55" s="15">
        <f t="shared" si="3"/>
        <v>425.6</v>
      </c>
      <c r="J55" s="10">
        <v>479</v>
      </c>
      <c r="K55" s="10">
        <v>56</v>
      </c>
      <c r="L55" s="10">
        <v>507</v>
      </c>
      <c r="M55" s="10">
        <v>481</v>
      </c>
      <c r="N55" s="10">
        <v>497</v>
      </c>
      <c r="O55" s="10">
        <v>443</v>
      </c>
      <c r="P55" s="10">
        <v>422</v>
      </c>
      <c r="Q55" s="10">
        <v>450</v>
      </c>
      <c r="R55" s="10">
        <v>425</v>
      </c>
      <c r="S55" s="10">
        <v>414</v>
      </c>
      <c r="T55" s="10">
        <v>418</v>
      </c>
      <c r="U55" s="10">
        <v>385</v>
      </c>
      <c r="V55" s="10">
        <v>376</v>
      </c>
      <c r="W55" s="10">
        <v>383</v>
      </c>
      <c r="X55" s="10">
        <v>396</v>
      </c>
      <c r="Y55" s="10">
        <v>197</v>
      </c>
      <c r="Z55" s="10">
        <v>391</v>
      </c>
      <c r="AA55" s="10">
        <v>481</v>
      </c>
      <c r="AB55" s="10">
        <v>358</v>
      </c>
      <c r="AC55" s="10">
        <v>109</v>
      </c>
      <c r="AD55" s="10">
        <v>76</v>
      </c>
      <c r="AE55" s="10">
        <v>88</v>
      </c>
      <c r="AF55" s="10">
        <v>76</v>
      </c>
      <c r="AG55" s="10">
        <v>45</v>
      </c>
      <c r="AH55" s="102">
        <f>SUM(Tableau2[[#This Row],[Td 2]:[Td 5]])</f>
        <v>285</v>
      </c>
      <c r="AI55" s="10">
        <v>33.299999999999997</v>
      </c>
      <c r="AJ55" s="10">
        <v>100</v>
      </c>
      <c r="AK55" s="17">
        <f t="shared" si="4"/>
        <v>0</v>
      </c>
      <c r="AL55" s="17">
        <f t="shared" si="5"/>
        <v>47</v>
      </c>
      <c r="AM55" s="17">
        <f t="shared" si="6"/>
        <v>391</v>
      </c>
    </row>
    <row r="56" spans="1:39" s="3" customFormat="1" x14ac:dyDescent="0.25">
      <c r="A56" s="2" t="s">
        <v>16</v>
      </c>
      <c r="B56" s="29" t="s">
        <v>739</v>
      </c>
      <c r="C56" s="2" t="s">
        <v>19</v>
      </c>
      <c r="D56" s="2" t="s">
        <v>101</v>
      </c>
      <c r="E56" s="14">
        <v>13926</v>
      </c>
      <c r="F56" s="15">
        <f t="shared" si="0"/>
        <v>486.01740000000001</v>
      </c>
      <c r="G56" s="15">
        <f t="shared" si="1"/>
        <v>557.04</v>
      </c>
      <c r="H56" s="15">
        <f t="shared" si="2"/>
        <v>405.0145</v>
      </c>
      <c r="I56" s="15">
        <f t="shared" si="3"/>
        <v>464.19999999999993</v>
      </c>
      <c r="J56" s="10">
        <v>303</v>
      </c>
      <c r="K56" s="10">
        <v>479</v>
      </c>
      <c r="L56" s="10">
        <v>448</v>
      </c>
      <c r="M56" s="10">
        <v>397</v>
      </c>
      <c r="N56" s="10">
        <v>385</v>
      </c>
      <c r="O56" s="10">
        <v>405</v>
      </c>
      <c r="P56" s="10">
        <v>368</v>
      </c>
      <c r="Q56" s="10">
        <v>354</v>
      </c>
      <c r="R56" s="10">
        <v>435</v>
      </c>
      <c r="S56" s="10">
        <v>379</v>
      </c>
      <c r="T56" s="10">
        <v>385</v>
      </c>
      <c r="U56" s="10">
        <v>340</v>
      </c>
      <c r="V56" s="10">
        <v>323</v>
      </c>
      <c r="W56" s="10">
        <v>322</v>
      </c>
      <c r="X56" s="10">
        <v>391</v>
      </c>
      <c r="Y56" s="10">
        <v>90</v>
      </c>
      <c r="Z56" s="10">
        <v>359</v>
      </c>
      <c r="AA56" s="10">
        <v>411</v>
      </c>
      <c r="AB56" s="10">
        <v>400</v>
      </c>
      <c r="AC56" s="10">
        <v>156</v>
      </c>
      <c r="AD56" s="10">
        <v>66</v>
      </c>
      <c r="AE56" s="10">
        <v>70</v>
      </c>
      <c r="AF56" s="10">
        <v>55</v>
      </c>
      <c r="AG56" s="10">
        <v>46</v>
      </c>
      <c r="AH56" s="102">
        <f>SUM(Tableau2[[#This Row],[Td 2]:[Td 5]])</f>
        <v>237</v>
      </c>
      <c r="AI56" s="10">
        <v>25</v>
      </c>
      <c r="AJ56" s="10">
        <v>100</v>
      </c>
      <c r="AK56" s="17">
        <f t="shared" si="4"/>
        <v>1.4499999999998181E-2</v>
      </c>
      <c r="AL56" s="17">
        <f t="shared" si="5"/>
        <v>14</v>
      </c>
      <c r="AM56" s="17">
        <f t="shared" si="6"/>
        <v>359</v>
      </c>
    </row>
    <row r="57" spans="1:39" s="3" customFormat="1" x14ac:dyDescent="0.25">
      <c r="A57" s="2" t="s">
        <v>16</v>
      </c>
      <c r="B57" s="29" t="s">
        <v>739</v>
      </c>
      <c r="C57" s="2" t="s">
        <v>19</v>
      </c>
      <c r="D57" s="2" t="s">
        <v>102</v>
      </c>
      <c r="E57" s="14">
        <v>4844</v>
      </c>
      <c r="F57" s="15">
        <f t="shared" si="0"/>
        <v>169.0556</v>
      </c>
      <c r="G57" s="15">
        <f t="shared" si="1"/>
        <v>193.76</v>
      </c>
      <c r="H57" s="15">
        <f t="shared" si="2"/>
        <v>140.87966666666665</v>
      </c>
      <c r="I57" s="15">
        <f t="shared" si="3"/>
        <v>161.46666666666664</v>
      </c>
      <c r="J57" s="10">
        <v>106</v>
      </c>
      <c r="K57" s="10">
        <v>4</v>
      </c>
      <c r="L57" s="10">
        <v>89</v>
      </c>
      <c r="M57" s="10">
        <v>122</v>
      </c>
      <c r="N57" s="10">
        <v>116</v>
      </c>
      <c r="O57" s="10">
        <v>105</v>
      </c>
      <c r="P57" s="10">
        <v>104</v>
      </c>
      <c r="Q57" s="10">
        <v>104</v>
      </c>
      <c r="R57" s="10">
        <v>124</v>
      </c>
      <c r="S57" s="10">
        <v>114</v>
      </c>
      <c r="T57" s="10">
        <v>110</v>
      </c>
      <c r="U57" s="10">
        <v>98</v>
      </c>
      <c r="V57" s="10">
        <v>74</v>
      </c>
      <c r="W57" s="10">
        <v>56</v>
      </c>
      <c r="X57" s="10">
        <v>87</v>
      </c>
      <c r="Y57" s="10">
        <v>19</v>
      </c>
      <c r="Z57" s="10">
        <v>85</v>
      </c>
      <c r="AA57" s="10">
        <v>90</v>
      </c>
      <c r="AB57" s="10">
        <v>66</v>
      </c>
      <c r="AC57" s="10">
        <v>50</v>
      </c>
      <c r="AD57" s="10">
        <v>16</v>
      </c>
      <c r="AE57" s="10">
        <v>23</v>
      </c>
      <c r="AF57" s="10">
        <v>13</v>
      </c>
      <c r="AG57" s="10">
        <v>4</v>
      </c>
      <c r="AH57" s="102">
        <f>SUM(Tableau2[[#This Row],[Td 2]:[Td 5]])</f>
        <v>56</v>
      </c>
      <c r="AI57" s="10">
        <v>8.3000000000000007</v>
      </c>
      <c r="AJ57" s="10">
        <v>100</v>
      </c>
      <c r="AK57" s="17">
        <f t="shared" si="4"/>
        <v>35.879666666666651</v>
      </c>
      <c r="AL57" s="17">
        <f t="shared" si="5"/>
        <v>18</v>
      </c>
      <c r="AM57" s="17">
        <f t="shared" si="6"/>
        <v>85</v>
      </c>
    </row>
    <row r="58" spans="1:39" s="3" customFormat="1" x14ac:dyDescent="0.25">
      <c r="A58" s="2" t="s">
        <v>16</v>
      </c>
      <c r="B58" s="29" t="s">
        <v>739</v>
      </c>
      <c r="C58" s="2" t="s">
        <v>19</v>
      </c>
      <c r="D58" s="2" t="s">
        <v>103</v>
      </c>
      <c r="E58" s="14">
        <v>25330</v>
      </c>
      <c r="F58" s="15">
        <f t="shared" si="0"/>
        <v>884.01700000000005</v>
      </c>
      <c r="G58" s="15">
        <f t="shared" si="1"/>
        <v>1013.2</v>
      </c>
      <c r="H58" s="15">
        <f t="shared" si="2"/>
        <v>736.68083333333345</v>
      </c>
      <c r="I58" s="15">
        <f t="shared" si="3"/>
        <v>844.33333333333337</v>
      </c>
      <c r="J58" s="10">
        <v>443</v>
      </c>
      <c r="K58" s="10">
        <v>139</v>
      </c>
      <c r="L58" s="10">
        <v>807</v>
      </c>
      <c r="M58" s="10">
        <v>752</v>
      </c>
      <c r="N58" s="10">
        <v>775</v>
      </c>
      <c r="O58" s="10">
        <v>656</v>
      </c>
      <c r="P58" s="10">
        <v>610</v>
      </c>
      <c r="Q58" s="10">
        <v>643</v>
      </c>
      <c r="R58" s="10">
        <v>655</v>
      </c>
      <c r="S58" s="10">
        <v>611</v>
      </c>
      <c r="T58" s="10">
        <v>643</v>
      </c>
      <c r="U58" s="10">
        <v>563</v>
      </c>
      <c r="V58" s="10">
        <v>610</v>
      </c>
      <c r="W58" s="10">
        <v>643</v>
      </c>
      <c r="X58" s="10">
        <v>749</v>
      </c>
      <c r="Y58" s="10">
        <v>261</v>
      </c>
      <c r="Z58" s="10">
        <v>619</v>
      </c>
      <c r="AA58" s="10">
        <v>772</v>
      </c>
      <c r="AB58" s="10">
        <v>750</v>
      </c>
      <c r="AC58" s="10">
        <v>334</v>
      </c>
      <c r="AD58" s="10">
        <v>361</v>
      </c>
      <c r="AE58" s="10">
        <v>353</v>
      </c>
      <c r="AF58" s="10">
        <v>230</v>
      </c>
      <c r="AG58" s="10">
        <v>159</v>
      </c>
      <c r="AH58" s="102">
        <f>SUM(Tableau2[[#This Row],[Td 2]:[Td 5]])</f>
        <v>1103</v>
      </c>
      <c r="AI58" s="10">
        <v>33.299999999999997</v>
      </c>
      <c r="AJ58" s="10">
        <v>100</v>
      </c>
      <c r="AK58" s="17">
        <f t="shared" si="4"/>
        <v>80.680833333333453</v>
      </c>
      <c r="AL58" s="17">
        <f t="shared" si="5"/>
        <v>0</v>
      </c>
      <c r="AM58" s="17">
        <f t="shared" si="6"/>
        <v>619</v>
      </c>
    </row>
    <row r="59" spans="1:39" s="3" customFormat="1" x14ac:dyDescent="0.25">
      <c r="A59" s="2" t="s">
        <v>16</v>
      </c>
      <c r="B59" s="29" t="s">
        <v>739</v>
      </c>
      <c r="C59" s="2" t="s">
        <v>19</v>
      </c>
      <c r="D59" s="2" t="s">
        <v>104</v>
      </c>
      <c r="E59" s="14">
        <v>46447</v>
      </c>
      <c r="F59" s="15">
        <f t="shared" si="0"/>
        <v>1621.0002999999999</v>
      </c>
      <c r="G59" s="15">
        <f t="shared" si="1"/>
        <v>1857.88</v>
      </c>
      <c r="H59" s="15">
        <f t="shared" si="2"/>
        <v>1350.8335833333333</v>
      </c>
      <c r="I59" s="15">
        <f t="shared" si="3"/>
        <v>1548.2333333333336</v>
      </c>
      <c r="J59" s="10">
        <v>1341</v>
      </c>
      <c r="K59" s="10">
        <v>417</v>
      </c>
      <c r="L59" s="10">
        <v>1581</v>
      </c>
      <c r="M59" s="10">
        <v>1396</v>
      </c>
      <c r="N59" s="10">
        <v>1557</v>
      </c>
      <c r="O59" s="10">
        <v>1456</v>
      </c>
      <c r="P59" s="10">
        <v>1285</v>
      </c>
      <c r="Q59" s="10">
        <v>1434</v>
      </c>
      <c r="R59" s="10">
        <v>1342</v>
      </c>
      <c r="S59" s="10">
        <v>1176</v>
      </c>
      <c r="T59" s="10">
        <v>1291</v>
      </c>
      <c r="U59" s="10">
        <v>1283</v>
      </c>
      <c r="V59" s="10">
        <v>1132</v>
      </c>
      <c r="W59" s="10">
        <v>1267</v>
      </c>
      <c r="X59" s="10">
        <v>1495</v>
      </c>
      <c r="Y59" s="10">
        <v>834</v>
      </c>
      <c r="Z59" s="10">
        <v>1498</v>
      </c>
      <c r="AA59" s="10">
        <v>1527</v>
      </c>
      <c r="AB59" s="10">
        <v>930</v>
      </c>
      <c r="AC59" s="10">
        <v>514</v>
      </c>
      <c r="AD59" s="10">
        <v>863</v>
      </c>
      <c r="AE59" s="10">
        <v>253</v>
      </c>
      <c r="AF59" s="10">
        <v>208</v>
      </c>
      <c r="AG59" s="10">
        <v>193</v>
      </c>
      <c r="AH59" s="102">
        <f>SUM(Tableau2[[#This Row],[Td 2]:[Td 5]])</f>
        <v>1517</v>
      </c>
      <c r="AI59" s="10">
        <v>41.7</v>
      </c>
      <c r="AJ59" s="10">
        <v>100</v>
      </c>
      <c r="AK59" s="17">
        <f t="shared" si="4"/>
        <v>0</v>
      </c>
      <c r="AL59" s="17">
        <f t="shared" si="5"/>
        <v>0</v>
      </c>
      <c r="AM59" s="17">
        <f t="shared" si="6"/>
        <v>1495</v>
      </c>
    </row>
    <row r="60" spans="1:39" s="3" customFormat="1" x14ac:dyDescent="0.25">
      <c r="A60" s="2" t="s">
        <v>16</v>
      </c>
      <c r="B60" s="29" t="s">
        <v>739</v>
      </c>
      <c r="C60" s="2" t="s">
        <v>19</v>
      </c>
      <c r="D60" s="2" t="s">
        <v>105</v>
      </c>
      <c r="E60" s="14">
        <v>4632</v>
      </c>
      <c r="F60" s="15">
        <f t="shared" si="0"/>
        <v>161.6568</v>
      </c>
      <c r="G60" s="15">
        <f t="shared" si="1"/>
        <v>185.28</v>
      </c>
      <c r="H60" s="15">
        <f t="shared" si="2"/>
        <v>134.714</v>
      </c>
      <c r="I60" s="15">
        <f t="shared" si="3"/>
        <v>154.4</v>
      </c>
      <c r="J60" s="10">
        <v>145</v>
      </c>
      <c r="K60" s="10">
        <v>43</v>
      </c>
      <c r="L60" s="10">
        <v>175</v>
      </c>
      <c r="M60" s="10">
        <v>136</v>
      </c>
      <c r="N60" s="10">
        <v>164</v>
      </c>
      <c r="O60" s="10">
        <v>141</v>
      </c>
      <c r="P60" s="10">
        <v>108</v>
      </c>
      <c r="Q60" s="10">
        <v>131</v>
      </c>
      <c r="R60" s="10">
        <v>141</v>
      </c>
      <c r="S60" s="10">
        <v>108</v>
      </c>
      <c r="T60" s="10">
        <v>131</v>
      </c>
      <c r="U60" s="10">
        <v>127</v>
      </c>
      <c r="V60" s="10">
        <v>92</v>
      </c>
      <c r="W60" s="10">
        <v>108</v>
      </c>
      <c r="X60" s="10">
        <v>112</v>
      </c>
      <c r="Y60" s="10">
        <v>28</v>
      </c>
      <c r="Z60" s="10">
        <v>94</v>
      </c>
      <c r="AA60" s="10">
        <v>170</v>
      </c>
      <c r="AB60" s="10">
        <v>99</v>
      </c>
      <c r="AC60" s="10">
        <v>179</v>
      </c>
      <c r="AD60" s="10">
        <v>87</v>
      </c>
      <c r="AE60" s="10">
        <v>91</v>
      </c>
      <c r="AF60" s="10">
        <v>59</v>
      </c>
      <c r="AG60" s="10">
        <v>15</v>
      </c>
      <c r="AH60" s="102">
        <f>SUM(Tableau2[[#This Row],[Td 2]:[Td 5]])</f>
        <v>252</v>
      </c>
      <c r="AI60" s="10">
        <v>16.7</v>
      </c>
      <c r="AJ60" s="10">
        <v>100</v>
      </c>
      <c r="AK60" s="17">
        <f t="shared" si="4"/>
        <v>0</v>
      </c>
      <c r="AL60" s="17">
        <f t="shared" si="5"/>
        <v>29</v>
      </c>
      <c r="AM60" s="17">
        <f t="shared" si="6"/>
        <v>94</v>
      </c>
    </row>
    <row r="61" spans="1:39" s="3" customFormat="1" x14ac:dyDescent="0.25">
      <c r="A61" s="2" t="s">
        <v>16</v>
      </c>
      <c r="B61" s="29" t="s">
        <v>739</v>
      </c>
      <c r="C61" s="2" t="s">
        <v>19</v>
      </c>
      <c r="D61" s="2" t="s">
        <v>106</v>
      </c>
      <c r="E61" s="14">
        <v>14272</v>
      </c>
      <c r="F61" s="15">
        <f t="shared" si="0"/>
        <v>498.09280000000001</v>
      </c>
      <c r="G61" s="15">
        <f t="shared" si="1"/>
        <v>570.88</v>
      </c>
      <c r="H61" s="15">
        <f t="shared" si="2"/>
        <v>415.07733333333334</v>
      </c>
      <c r="I61" s="15">
        <f t="shared" si="3"/>
        <v>475.73333333333329</v>
      </c>
      <c r="J61" s="10">
        <v>282</v>
      </c>
      <c r="K61" s="10">
        <v>110</v>
      </c>
      <c r="L61" s="10">
        <v>408</v>
      </c>
      <c r="M61" s="10">
        <v>391</v>
      </c>
      <c r="N61" s="10">
        <v>386</v>
      </c>
      <c r="O61" s="10">
        <v>346</v>
      </c>
      <c r="P61" s="10">
        <v>327</v>
      </c>
      <c r="Q61" s="10">
        <v>334</v>
      </c>
      <c r="R61" s="10">
        <v>345</v>
      </c>
      <c r="S61" s="10">
        <v>327</v>
      </c>
      <c r="T61" s="10">
        <v>334</v>
      </c>
      <c r="U61" s="10">
        <v>339</v>
      </c>
      <c r="V61" s="10">
        <v>371</v>
      </c>
      <c r="W61" s="10">
        <v>335</v>
      </c>
      <c r="X61" s="10">
        <v>382</v>
      </c>
      <c r="Y61" s="10">
        <v>74</v>
      </c>
      <c r="Z61" s="10">
        <v>305</v>
      </c>
      <c r="AA61" s="10">
        <v>394</v>
      </c>
      <c r="AB61" s="10">
        <v>333</v>
      </c>
      <c r="AC61" s="10">
        <v>157</v>
      </c>
      <c r="AD61" s="10">
        <v>101</v>
      </c>
      <c r="AE61" s="10">
        <v>142</v>
      </c>
      <c r="AF61" s="10">
        <v>107</v>
      </c>
      <c r="AG61" s="10">
        <v>99</v>
      </c>
      <c r="AH61" s="102">
        <f>SUM(Tableau2[[#This Row],[Td 2]:[Td 5]])</f>
        <v>449</v>
      </c>
      <c r="AI61" s="10">
        <v>25</v>
      </c>
      <c r="AJ61" s="10">
        <v>100</v>
      </c>
      <c r="AK61" s="17">
        <f t="shared" si="4"/>
        <v>69.077333333333343</v>
      </c>
      <c r="AL61" s="17">
        <f t="shared" si="5"/>
        <v>0</v>
      </c>
      <c r="AM61" s="17">
        <f t="shared" si="6"/>
        <v>305</v>
      </c>
    </row>
    <row r="62" spans="1:39" s="3" customFormat="1" x14ac:dyDescent="0.25">
      <c r="A62" s="2" t="s">
        <v>16</v>
      </c>
      <c r="B62" s="29" t="s">
        <v>739</v>
      </c>
      <c r="C62" s="2" t="s">
        <v>19</v>
      </c>
      <c r="D62" s="2" t="s">
        <v>107</v>
      </c>
      <c r="E62" s="14">
        <v>29626</v>
      </c>
      <c r="F62" s="15">
        <f t="shared" si="0"/>
        <v>1033.9474</v>
      </c>
      <c r="G62" s="15">
        <f t="shared" si="1"/>
        <v>1185.04</v>
      </c>
      <c r="H62" s="15">
        <f t="shared" si="2"/>
        <v>861.62283333333335</v>
      </c>
      <c r="I62" s="15">
        <f t="shared" si="3"/>
        <v>987.5333333333333</v>
      </c>
      <c r="J62" s="10">
        <v>740</v>
      </c>
      <c r="K62" s="10">
        <v>296</v>
      </c>
      <c r="L62" s="10">
        <v>932</v>
      </c>
      <c r="M62" s="10">
        <v>909</v>
      </c>
      <c r="N62" s="10">
        <v>887</v>
      </c>
      <c r="O62" s="10">
        <v>834</v>
      </c>
      <c r="P62" s="10">
        <v>1267</v>
      </c>
      <c r="Q62" s="10">
        <v>790</v>
      </c>
      <c r="R62" s="10">
        <v>834</v>
      </c>
      <c r="S62" s="10">
        <v>826</v>
      </c>
      <c r="T62" s="10">
        <v>790</v>
      </c>
      <c r="U62" s="10">
        <v>834</v>
      </c>
      <c r="V62" s="10">
        <v>826</v>
      </c>
      <c r="W62" s="10">
        <v>790</v>
      </c>
      <c r="X62" s="10">
        <v>782</v>
      </c>
      <c r="Y62" s="10">
        <v>578</v>
      </c>
      <c r="Z62" s="10">
        <v>662</v>
      </c>
      <c r="AA62" s="10">
        <v>887</v>
      </c>
      <c r="AB62" s="10">
        <v>722</v>
      </c>
      <c r="AC62" s="10">
        <v>225</v>
      </c>
      <c r="AD62" s="10">
        <v>157</v>
      </c>
      <c r="AE62" s="10">
        <v>190</v>
      </c>
      <c r="AF62" s="10">
        <v>231</v>
      </c>
      <c r="AG62" s="10">
        <v>345</v>
      </c>
      <c r="AH62" s="102">
        <f>SUM(Tableau2[[#This Row],[Td 2]:[Td 5]])</f>
        <v>923</v>
      </c>
      <c r="AI62" s="10">
        <v>33.299999999999997</v>
      </c>
      <c r="AJ62" s="10">
        <v>100</v>
      </c>
      <c r="AK62" s="17">
        <f t="shared" si="4"/>
        <v>27.622833333333347</v>
      </c>
      <c r="AL62" s="17">
        <f t="shared" si="5"/>
        <v>52</v>
      </c>
      <c r="AM62" s="17">
        <f t="shared" si="6"/>
        <v>662</v>
      </c>
    </row>
    <row r="63" spans="1:39" s="3" customFormat="1" x14ac:dyDescent="0.25">
      <c r="A63" s="2" t="s">
        <v>16</v>
      </c>
      <c r="B63" s="29" t="s">
        <v>739</v>
      </c>
      <c r="C63" s="2" t="s">
        <v>19</v>
      </c>
      <c r="D63" s="2" t="s">
        <v>108</v>
      </c>
      <c r="E63" s="14">
        <v>7389</v>
      </c>
      <c r="F63" s="15">
        <f t="shared" si="0"/>
        <v>257.87610000000001</v>
      </c>
      <c r="G63" s="15">
        <f t="shared" si="1"/>
        <v>295.56</v>
      </c>
      <c r="H63" s="15">
        <f t="shared" si="2"/>
        <v>214.89675000000003</v>
      </c>
      <c r="I63" s="15">
        <f t="shared" si="3"/>
        <v>246.29999999999998</v>
      </c>
      <c r="J63" s="10">
        <v>259</v>
      </c>
      <c r="K63" s="10">
        <v>74</v>
      </c>
      <c r="L63" s="10">
        <v>271</v>
      </c>
      <c r="M63" s="10">
        <v>234</v>
      </c>
      <c r="N63" s="10">
        <v>255</v>
      </c>
      <c r="O63" s="10">
        <v>271</v>
      </c>
      <c r="P63" s="10">
        <v>234</v>
      </c>
      <c r="Q63" s="10">
        <v>254</v>
      </c>
      <c r="R63" s="10">
        <v>209</v>
      </c>
      <c r="S63" s="10">
        <v>179</v>
      </c>
      <c r="T63" s="10">
        <v>191</v>
      </c>
      <c r="U63" s="10">
        <v>207</v>
      </c>
      <c r="V63" s="10">
        <v>179</v>
      </c>
      <c r="W63" s="10">
        <v>195</v>
      </c>
      <c r="X63" s="10">
        <v>196</v>
      </c>
      <c r="Y63" s="10">
        <v>97</v>
      </c>
      <c r="Z63" s="10">
        <v>194</v>
      </c>
      <c r="AA63" s="10">
        <v>263</v>
      </c>
      <c r="AB63" s="10">
        <v>194</v>
      </c>
      <c r="AC63" s="10">
        <v>79</v>
      </c>
      <c r="AD63" s="10">
        <v>79</v>
      </c>
      <c r="AE63" s="10">
        <v>34</v>
      </c>
      <c r="AF63" s="10">
        <v>36</v>
      </c>
      <c r="AG63" s="10">
        <v>25</v>
      </c>
      <c r="AH63" s="102">
        <f>SUM(Tableau2[[#This Row],[Td 2]:[Td 5]])</f>
        <v>174</v>
      </c>
      <c r="AI63" s="10">
        <v>33.299999999999997</v>
      </c>
      <c r="AJ63" s="10">
        <v>100</v>
      </c>
      <c r="AK63" s="17">
        <f t="shared" si="4"/>
        <v>0</v>
      </c>
      <c r="AL63" s="17">
        <f t="shared" si="5"/>
        <v>75</v>
      </c>
      <c r="AM63" s="17">
        <f t="shared" si="6"/>
        <v>194</v>
      </c>
    </row>
    <row r="64" spans="1:39" s="3" customFormat="1" x14ac:dyDescent="0.25">
      <c r="A64" s="2" t="s">
        <v>16</v>
      </c>
      <c r="B64" s="29" t="s">
        <v>739</v>
      </c>
      <c r="C64" s="2" t="s">
        <v>19</v>
      </c>
      <c r="D64" s="2" t="s">
        <v>109</v>
      </c>
      <c r="E64" s="14">
        <v>2196</v>
      </c>
      <c r="F64" s="15">
        <f t="shared" si="0"/>
        <v>76.6404</v>
      </c>
      <c r="G64" s="15">
        <f t="shared" si="1"/>
        <v>87.84</v>
      </c>
      <c r="H64" s="15">
        <f t="shared" si="2"/>
        <v>63.867000000000004</v>
      </c>
      <c r="I64" s="15">
        <f t="shared" si="3"/>
        <v>73.2</v>
      </c>
      <c r="J64" s="10">
        <v>15</v>
      </c>
      <c r="K64" s="10" t="s">
        <v>2</v>
      </c>
      <c r="L64" s="10">
        <v>39</v>
      </c>
      <c r="M64" s="10">
        <v>28</v>
      </c>
      <c r="N64" s="10">
        <v>25</v>
      </c>
      <c r="O64" s="10">
        <v>34</v>
      </c>
      <c r="P64" s="10">
        <v>25</v>
      </c>
      <c r="Q64" s="10">
        <v>22</v>
      </c>
      <c r="R64" s="10">
        <v>36</v>
      </c>
      <c r="S64" s="10">
        <v>22</v>
      </c>
      <c r="T64" s="10">
        <v>19</v>
      </c>
      <c r="U64" s="10">
        <v>34</v>
      </c>
      <c r="V64" s="10">
        <v>23</v>
      </c>
      <c r="W64" s="10">
        <v>19</v>
      </c>
      <c r="X64" s="10">
        <v>40</v>
      </c>
      <c r="Y64" s="10">
        <v>13</v>
      </c>
      <c r="Z64" s="10">
        <v>34</v>
      </c>
      <c r="AA64" s="10">
        <v>36</v>
      </c>
      <c r="AB64" s="10">
        <v>24</v>
      </c>
      <c r="AC64" s="10" t="s">
        <v>2</v>
      </c>
      <c r="AD64" s="10" t="s">
        <v>2</v>
      </c>
      <c r="AE64" s="10" t="s">
        <v>2</v>
      </c>
      <c r="AF64" s="10" t="s">
        <v>2</v>
      </c>
      <c r="AG64" s="10" t="s">
        <v>2</v>
      </c>
      <c r="AH64" s="102">
        <f>SUM(Tableau2[[#This Row],[Td 2]:[Td 5]])</f>
        <v>0</v>
      </c>
      <c r="AI64" s="10">
        <v>41.7</v>
      </c>
      <c r="AJ64" s="10">
        <v>100</v>
      </c>
      <c r="AK64" s="17">
        <f t="shared" si="4"/>
        <v>29.867000000000004</v>
      </c>
      <c r="AL64" s="17">
        <f t="shared" si="5"/>
        <v>0</v>
      </c>
      <c r="AM64" s="17">
        <f t="shared" si="6"/>
        <v>34</v>
      </c>
    </row>
    <row r="65" spans="1:39" s="3" customFormat="1" x14ac:dyDescent="0.25">
      <c r="A65" s="2" t="s">
        <v>16</v>
      </c>
      <c r="B65" s="29" t="s">
        <v>739</v>
      </c>
      <c r="C65" s="2" t="s">
        <v>19</v>
      </c>
      <c r="D65" s="2" t="s">
        <v>110</v>
      </c>
      <c r="E65" s="14">
        <v>18315</v>
      </c>
      <c r="F65" s="15">
        <f t="shared" si="0"/>
        <v>639.19349999999997</v>
      </c>
      <c r="G65" s="15">
        <f t="shared" si="1"/>
        <v>732.6</v>
      </c>
      <c r="H65" s="15">
        <f t="shared" si="2"/>
        <v>532.66125</v>
      </c>
      <c r="I65" s="15">
        <f t="shared" si="3"/>
        <v>610.5</v>
      </c>
      <c r="J65" s="10">
        <v>579</v>
      </c>
      <c r="K65" s="10">
        <v>173</v>
      </c>
      <c r="L65" s="10">
        <v>614</v>
      </c>
      <c r="M65" s="10">
        <v>498</v>
      </c>
      <c r="N65" s="10">
        <v>559</v>
      </c>
      <c r="O65" s="10">
        <v>500</v>
      </c>
      <c r="P65" s="10">
        <v>457</v>
      </c>
      <c r="Q65" s="10">
        <v>473</v>
      </c>
      <c r="R65" s="10">
        <v>510</v>
      </c>
      <c r="S65" s="10">
        <v>464</v>
      </c>
      <c r="T65" s="10">
        <v>1178</v>
      </c>
      <c r="U65" s="10">
        <v>368</v>
      </c>
      <c r="V65" s="10">
        <v>343</v>
      </c>
      <c r="W65" s="10">
        <v>352</v>
      </c>
      <c r="X65" s="10">
        <v>525</v>
      </c>
      <c r="Y65" s="10">
        <v>250</v>
      </c>
      <c r="Z65" s="10">
        <v>491</v>
      </c>
      <c r="AA65" s="10">
        <v>559</v>
      </c>
      <c r="AB65" s="10">
        <v>407</v>
      </c>
      <c r="AC65" s="10">
        <v>173</v>
      </c>
      <c r="AD65" s="10">
        <v>150</v>
      </c>
      <c r="AE65" s="10">
        <v>124</v>
      </c>
      <c r="AF65" s="10">
        <v>73</v>
      </c>
      <c r="AG65" s="10">
        <v>57</v>
      </c>
      <c r="AH65" s="102">
        <f>SUM(Tableau2[[#This Row],[Td 2]:[Td 5]])</f>
        <v>404</v>
      </c>
      <c r="AI65" s="10">
        <v>33.299999999999997</v>
      </c>
      <c r="AJ65" s="10">
        <v>100</v>
      </c>
      <c r="AK65" s="17">
        <f t="shared" si="4"/>
        <v>32.661249999999995</v>
      </c>
      <c r="AL65" s="17">
        <f t="shared" si="5"/>
        <v>0</v>
      </c>
      <c r="AM65" s="17">
        <f t="shared" si="6"/>
        <v>491</v>
      </c>
    </row>
    <row r="66" spans="1:39" s="3" customFormat="1" x14ac:dyDescent="0.25">
      <c r="A66" s="2" t="s">
        <v>16</v>
      </c>
      <c r="B66" s="29" t="s">
        <v>739</v>
      </c>
      <c r="C66" s="2" t="s">
        <v>19</v>
      </c>
      <c r="D66" s="2" t="s">
        <v>111</v>
      </c>
      <c r="E66" s="14">
        <v>16040</v>
      </c>
      <c r="F66" s="15">
        <f t="shared" si="0"/>
        <v>559.79600000000005</v>
      </c>
      <c r="G66" s="15">
        <f t="shared" si="1"/>
        <v>641.6</v>
      </c>
      <c r="H66" s="15">
        <f t="shared" si="2"/>
        <v>466.49666666666667</v>
      </c>
      <c r="I66" s="15">
        <f t="shared" si="3"/>
        <v>534.66666666666674</v>
      </c>
      <c r="J66" s="10">
        <v>552</v>
      </c>
      <c r="K66" s="10">
        <v>256</v>
      </c>
      <c r="L66" s="10">
        <v>511</v>
      </c>
      <c r="M66" s="10">
        <v>486</v>
      </c>
      <c r="N66" s="10">
        <v>577</v>
      </c>
      <c r="O66" s="10">
        <v>480</v>
      </c>
      <c r="P66" s="10">
        <v>467</v>
      </c>
      <c r="Q66" s="10">
        <v>492</v>
      </c>
      <c r="R66" s="10">
        <v>519</v>
      </c>
      <c r="S66" s="10">
        <v>373</v>
      </c>
      <c r="T66" s="10">
        <v>1273</v>
      </c>
      <c r="U66" s="10">
        <v>439</v>
      </c>
      <c r="V66" s="10">
        <v>420</v>
      </c>
      <c r="W66" s="10">
        <v>418</v>
      </c>
      <c r="X66" s="10">
        <v>479</v>
      </c>
      <c r="Y66" s="10">
        <v>154</v>
      </c>
      <c r="Z66" s="10">
        <v>459</v>
      </c>
      <c r="AA66" s="10">
        <v>496</v>
      </c>
      <c r="AB66" s="10">
        <v>440</v>
      </c>
      <c r="AC66" s="10">
        <v>89</v>
      </c>
      <c r="AD66" s="10">
        <v>25</v>
      </c>
      <c r="AE66" s="10">
        <v>104</v>
      </c>
      <c r="AF66" s="10">
        <v>72</v>
      </c>
      <c r="AG66" s="10">
        <v>57</v>
      </c>
      <c r="AH66" s="102">
        <f>SUM(Tableau2[[#This Row],[Td 2]:[Td 5]])</f>
        <v>258</v>
      </c>
      <c r="AI66" s="10">
        <v>25</v>
      </c>
      <c r="AJ66" s="10">
        <v>100</v>
      </c>
      <c r="AK66" s="17">
        <f t="shared" si="4"/>
        <v>0</v>
      </c>
      <c r="AL66" s="17">
        <f t="shared" si="5"/>
        <v>1</v>
      </c>
      <c r="AM66" s="17">
        <f t="shared" si="6"/>
        <v>459</v>
      </c>
    </row>
    <row r="67" spans="1:39" s="3" customFormat="1" x14ac:dyDescent="0.25">
      <c r="A67" s="2" t="s">
        <v>16</v>
      </c>
      <c r="B67" s="29" t="s">
        <v>739</v>
      </c>
      <c r="C67" s="2" t="s">
        <v>20</v>
      </c>
      <c r="D67" s="2" t="s">
        <v>112</v>
      </c>
      <c r="E67" s="14">
        <v>18281</v>
      </c>
      <c r="F67" s="15">
        <f t="shared" si="0"/>
        <v>638.00689999999997</v>
      </c>
      <c r="G67" s="15">
        <f t="shared" si="1"/>
        <v>731.24</v>
      </c>
      <c r="H67" s="15">
        <f t="shared" si="2"/>
        <v>531.67241666666666</v>
      </c>
      <c r="I67" s="15">
        <f t="shared" si="3"/>
        <v>609.36666666666667</v>
      </c>
      <c r="J67" s="10">
        <v>340</v>
      </c>
      <c r="K67" s="10">
        <v>168</v>
      </c>
      <c r="L67" s="10">
        <v>482</v>
      </c>
      <c r="M67" s="10">
        <v>435</v>
      </c>
      <c r="N67" s="10">
        <v>453</v>
      </c>
      <c r="O67" s="10">
        <v>484</v>
      </c>
      <c r="P67" s="10">
        <v>425</v>
      </c>
      <c r="Q67" s="10">
        <v>448</v>
      </c>
      <c r="R67" s="10">
        <v>373</v>
      </c>
      <c r="S67" s="10">
        <v>313</v>
      </c>
      <c r="T67" s="10">
        <v>335</v>
      </c>
      <c r="U67" s="10">
        <v>408</v>
      </c>
      <c r="V67" s="10">
        <v>371</v>
      </c>
      <c r="W67" s="10">
        <v>331</v>
      </c>
      <c r="X67" s="10">
        <v>450</v>
      </c>
      <c r="Y67" s="10">
        <v>136</v>
      </c>
      <c r="Z67" s="10">
        <v>418</v>
      </c>
      <c r="AA67" s="10">
        <v>442</v>
      </c>
      <c r="AB67" s="10">
        <v>423</v>
      </c>
      <c r="AC67" s="10">
        <v>79</v>
      </c>
      <c r="AD67" s="10">
        <v>79</v>
      </c>
      <c r="AE67" s="10">
        <v>82</v>
      </c>
      <c r="AF67" s="10">
        <v>40</v>
      </c>
      <c r="AG67" s="10">
        <v>31</v>
      </c>
      <c r="AH67" s="102">
        <f>SUM(Tableau2[[#This Row],[Td 2]:[Td 5]])</f>
        <v>232</v>
      </c>
      <c r="AI67" s="10">
        <v>50</v>
      </c>
      <c r="AJ67" s="10">
        <v>100</v>
      </c>
      <c r="AK67" s="17">
        <f t="shared" si="4"/>
        <v>47.672416666666663</v>
      </c>
      <c r="AL67" s="17">
        <f t="shared" si="5"/>
        <v>34</v>
      </c>
      <c r="AM67" s="17">
        <f t="shared" si="6"/>
        <v>418</v>
      </c>
    </row>
    <row r="68" spans="1:39" s="3" customFormat="1" x14ac:dyDescent="0.25">
      <c r="A68" s="2" t="s">
        <v>16</v>
      </c>
      <c r="B68" s="29" t="s">
        <v>739</v>
      </c>
      <c r="C68" s="2" t="s">
        <v>20</v>
      </c>
      <c r="D68" s="2" t="s">
        <v>113</v>
      </c>
      <c r="E68" s="14">
        <v>13847</v>
      </c>
      <c r="F68" s="15">
        <f t="shared" si="0"/>
        <v>483.26030000000003</v>
      </c>
      <c r="G68" s="15">
        <f t="shared" si="1"/>
        <v>553.88</v>
      </c>
      <c r="H68" s="15">
        <f t="shared" si="2"/>
        <v>402.71691666666669</v>
      </c>
      <c r="I68" s="15">
        <f t="shared" si="3"/>
        <v>461.56666666666666</v>
      </c>
      <c r="J68" s="10">
        <v>144</v>
      </c>
      <c r="K68" s="10">
        <v>116</v>
      </c>
      <c r="L68" s="10">
        <v>301</v>
      </c>
      <c r="M68" s="10">
        <v>245</v>
      </c>
      <c r="N68" s="10">
        <v>265</v>
      </c>
      <c r="O68" s="10">
        <v>266</v>
      </c>
      <c r="P68" s="10">
        <v>221</v>
      </c>
      <c r="Q68" s="10">
        <v>245</v>
      </c>
      <c r="R68" s="10">
        <v>214</v>
      </c>
      <c r="S68" s="10">
        <v>178</v>
      </c>
      <c r="T68" s="10">
        <v>160</v>
      </c>
      <c r="U68" s="10">
        <v>237</v>
      </c>
      <c r="V68" s="10">
        <v>202</v>
      </c>
      <c r="W68" s="10">
        <v>193</v>
      </c>
      <c r="X68" s="10">
        <v>284</v>
      </c>
      <c r="Y68" s="10">
        <v>62</v>
      </c>
      <c r="Z68" s="10">
        <v>249</v>
      </c>
      <c r="AA68" s="10">
        <v>245</v>
      </c>
      <c r="AB68" s="10">
        <v>230</v>
      </c>
      <c r="AC68" s="10">
        <v>99</v>
      </c>
      <c r="AD68" s="10">
        <v>62</v>
      </c>
      <c r="AE68" s="10">
        <v>83</v>
      </c>
      <c r="AF68" s="10">
        <v>43</v>
      </c>
      <c r="AG68" s="10">
        <v>35</v>
      </c>
      <c r="AH68" s="102">
        <f>SUM(Tableau2[[#This Row],[Td 2]:[Td 5]])</f>
        <v>223</v>
      </c>
      <c r="AI68" s="10">
        <v>54.2</v>
      </c>
      <c r="AJ68" s="10">
        <v>100</v>
      </c>
      <c r="AK68" s="17">
        <f t="shared" si="4"/>
        <v>136.71691666666669</v>
      </c>
      <c r="AL68" s="17">
        <f t="shared" si="5"/>
        <v>0</v>
      </c>
      <c r="AM68" s="17">
        <f t="shared" si="6"/>
        <v>249</v>
      </c>
    </row>
    <row r="69" spans="1:39" s="3" customFormat="1" x14ac:dyDescent="0.25">
      <c r="A69" s="2" t="s">
        <v>16</v>
      </c>
      <c r="B69" s="29" t="s">
        <v>739</v>
      </c>
      <c r="C69" s="2" t="s">
        <v>20</v>
      </c>
      <c r="D69" s="2" t="s">
        <v>114</v>
      </c>
      <c r="E69" s="14">
        <v>6508</v>
      </c>
      <c r="F69" s="15">
        <f t="shared" si="0"/>
        <v>227.1292</v>
      </c>
      <c r="G69" s="15">
        <f t="shared" si="1"/>
        <v>260.32</v>
      </c>
      <c r="H69" s="15">
        <f t="shared" si="2"/>
        <v>189.27433333333335</v>
      </c>
      <c r="I69" s="15">
        <f t="shared" si="3"/>
        <v>216.93333333333331</v>
      </c>
      <c r="J69" s="10">
        <v>141</v>
      </c>
      <c r="K69" s="10">
        <v>204</v>
      </c>
      <c r="L69" s="10">
        <v>222</v>
      </c>
      <c r="M69" s="10">
        <v>182</v>
      </c>
      <c r="N69" s="10">
        <v>213</v>
      </c>
      <c r="O69" s="10">
        <v>222</v>
      </c>
      <c r="P69" s="10">
        <v>182</v>
      </c>
      <c r="Q69" s="10">
        <v>213</v>
      </c>
      <c r="R69" s="10">
        <v>170</v>
      </c>
      <c r="S69" s="10">
        <v>145</v>
      </c>
      <c r="T69" s="10">
        <v>163</v>
      </c>
      <c r="U69" s="10">
        <v>197</v>
      </c>
      <c r="V69" s="10">
        <v>160</v>
      </c>
      <c r="W69" s="10">
        <v>189</v>
      </c>
      <c r="X69" s="10">
        <v>156</v>
      </c>
      <c r="Y69" s="10">
        <v>33</v>
      </c>
      <c r="Z69" s="10">
        <v>156</v>
      </c>
      <c r="AA69" s="10">
        <v>194</v>
      </c>
      <c r="AB69" s="10">
        <v>115</v>
      </c>
      <c r="AC69" s="10">
        <v>69</v>
      </c>
      <c r="AD69" s="10">
        <v>50</v>
      </c>
      <c r="AE69" s="10">
        <v>34</v>
      </c>
      <c r="AF69" s="10">
        <v>21</v>
      </c>
      <c r="AG69" s="10">
        <v>16</v>
      </c>
      <c r="AH69" s="102">
        <f>SUM(Tableau2[[#This Row],[Td 2]:[Td 5]])</f>
        <v>121</v>
      </c>
      <c r="AI69" s="10">
        <v>50</v>
      </c>
      <c r="AJ69" s="10">
        <v>100</v>
      </c>
      <c r="AK69" s="17">
        <f t="shared" si="4"/>
        <v>0</v>
      </c>
      <c r="AL69" s="17">
        <f t="shared" si="5"/>
        <v>66</v>
      </c>
      <c r="AM69" s="17">
        <f t="shared" si="6"/>
        <v>156</v>
      </c>
    </row>
    <row r="70" spans="1:39" s="3" customFormat="1" x14ac:dyDescent="0.25">
      <c r="A70" s="2" t="s">
        <v>16</v>
      </c>
      <c r="B70" s="29" t="s">
        <v>739</v>
      </c>
      <c r="C70" s="2" t="s">
        <v>20</v>
      </c>
      <c r="D70" s="2" t="s">
        <v>115</v>
      </c>
      <c r="E70" s="14">
        <v>9275</v>
      </c>
      <c r="F70" s="15">
        <f t="shared" ref="F70:F133" si="7">IFERROR(E70*3.49%,"")</f>
        <v>323.69749999999999</v>
      </c>
      <c r="G70" s="15">
        <f t="shared" ref="G70:G133" si="8">IFERROR(E70*4%,"")</f>
        <v>371</v>
      </c>
      <c r="H70" s="15">
        <f t="shared" ref="H70:H133" si="9">IFERROR((F70/12)*$C$1,"")</f>
        <v>269.74791666666664</v>
      </c>
      <c r="I70" s="15">
        <f t="shared" ref="I70:I133" si="10">IFERROR((G70/12)*$C$1,"")</f>
        <v>309.16666666666669</v>
      </c>
      <c r="J70" s="10">
        <v>146</v>
      </c>
      <c r="K70" s="10">
        <v>118</v>
      </c>
      <c r="L70" s="10">
        <v>207</v>
      </c>
      <c r="M70" s="10">
        <v>194</v>
      </c>
      <c r="N70" s="10">
        <v>202</v>
      </c>
      <c r="O70" s="10">
        <v>207</v>
      </c>
      <c r="P70" s="10">
        <v>195</v>
      </c>
      <c r="Q70" s="10">
        <v>203</v>
      </c>
      <c r="R70" s="10">
        <v>207</v>
      </c>
      <c r="S70" s="10">
        <v>194</v>
      </c>
      <c r="T70" s="10">
        <v>202</v>
      </c>
      <c r="U70" s="10">
        <v>147</v>
      </c>
      <c r="V70" s="10">
        <v>146</v>
      </c>
      <c r="W70" s="10">
        <v>138</v>
      </c>
      <c r="X70" s="10">
        <v>217</v>
      </c>
      <c r="Y70" s="10">
        <v>76</v>
      </c>
      <c r="Z70" s="10">
        <v>217</v>
      </c>
      <c r="AA70" s="10">
        <v>199</v>
      </c>
      <c r="AB70" s="10">
        <v>171</v>
      </c>
      <c r="AC70" s="10">
        <v>78</v>
      </c>
      <c r="AD70" s="10">
        <v>62</v>
      </c>
      <c r="AE70" s="10">
        <v>77</v>
      </c>
      <c r="AF70" s="10">
        <v>55</v>
      </c>
      <c r="AG70" s="10">
        <v>35</v>
      </c>
      <c r="AH70" s="102">
        <f>SUM(Tableau2[[#This Row],[Td 2]:[Td 5]])</f>
        <v>229</v>
      </c>
      <c r="AI70" s="10">
        <v>50</v>
      </c>
      <c r="AJ70" s="10">
        <v>100</v>
      </c>
      <c r="AK70" s="17">
        <f t="shared" ref="AK70:AK133" si="11">IFERROR(IF(H70-O70&lt;0,0,H70-O70),0)</f>
        <v>62.74791666666664</v>
      </c>
      <c r="AL70" s="17">
        <f t="shared" ref="AL70:AL133" si="12">IFERROR(IF(O70-X70&lt;0,0,O70-X70),0)</f>
        <v>0</v>
      </c>
      <c r="AM70" s="17">
        <f t="shared" ref="AM70:AM133" si="13">MIN(X70,Z70)</f>
        <v>217</v>
      </c>
    </row>
    <row r="71" spans="1:39" s="3" customFormat="1" x14ac:dyDescent="0.25">
      <c r="A71" s="2" t="s">
        <v>16</v>
      </c>
      <c r="B71" s="29" t="s">
        <v>739</v>
      </c>
      <c r="C71" s="2" t="s">
        <v>20</v>
      </c>
      <c r="D71" s="2" t="s">
        <v>116</v>
      </c>
      <c r="E71" s="14">
        <v>7880</v>
      </c>
      <c r="F71" s="15">
        <f t="shared" si="7"/>
        <v>275.012</v>
      </c>
      <c r="G71" s="15">
        <f t="shared" si="8"/>
        <v>315.2</v>
      </c>
      <c r="H71" s="15">
        <f t="shared" si="9"/>
        <v>229.17666666666665</v>
      </c>
      <c r="I71" s="15">
        <f t="shared" si="10"/>
        <v>262.66666666666663</v>
      </c>
      <c r="J71" s="10">
        <v>177</v>
      </c>
      <c r="K71" s="10">
        <v>73</v>
      </c>
      <c r="L71" s="10">
        <v>189</v>
      </c>
      <c r="M71" s="10">
        <v>179</v>
      </c>
      <c r="N71" s="10">
        <v>178</v>
      </c>
      <c r="O71" s="10">
        <v>242</v>
      </c>
      <c r="P71" s="10">
        <v>215</v>
      </c>
      <c r="Q71" s="10">
        <v>211</v>
      </c>
      <c r="R71" s="10">
        <v>167</v>
      </c>
      <c r="S71" s="10">
        <v>151</v>
      </c>
      <c r="T71" s="10">
        <v>146</v>
      </c>
      <c r="U71" s="10">
        <v>174</v>
      </c>
      <c r="V71" s="10">
        <v>157</v>
      </c>
      <c r="W71" s="10">
        <v>154</v>
      </c>
      <c r="X71" s="10">
        <v>259</v>
      </c>
      <c r="Y71" s="10">
        <v>44</v>
      </c>
      <c r="Z71" s="10">
        <v>259</v>
      </c>
      <c r="AA71" s="10">
        <v>178</v>
      </c>
      <c r="AB71" s="10">
        <v>191</v>
      </c>
      <c r="AC71" s="10">
        <v>123</v>
      </c>
      <c r="AD71" s="10">
        <v>66</v>
      </c>
      <c r="AE71" s="10">
        <v>74</v>
      </c>
      <c r="AF71" s="10">
        <v>22</v>
      </c>
      <c r="AG71" s="10">
        <v>11</v>
      </c>
      <c r="AH71" s="102">
        <f>SUM(Tableau2[[#This Row],[Td 2]:[Td 5]])</f>
        <v>173</v>
      </c>
      <c r="AI71" s="10">
        <v>58.3</v>
      </c>
      <c r="AJ71" s="10">
        <v>100</v>
      </c>
      <c r="AK71" s="17">
        <f t="shared" si="11"/>
        <v>0</v>
      </c>
      <c r="AL71" s="17">
        <f t="shared" si="12"/>
        <v>0</v>
      </c>
      <c r="AM71" s="17">
        <f t="shared" si="13"/>
        <v>259</v>
      </c>
    </row>
    <row r="72" spans="1:39" s="3" customFormat="1" x14ac:dyDescent="0.25">
      <c r="A72" s="2" t="s">
        <v>16</v>
      </c>
      <c r="B72" s="29" t="s">
        <v>739</v>
      </c>
      <c r="C72" s="2" t="s">
        <v>20</v>
      </c>
      <c r="D72" s="2" t="s">
        <v>117</v>
      </c>
      <c r="E72" s="14">
        <v>12175</v>
      </c>
      <c r="F72" s="15">
        <f t="shared" si="7"/>
        <v>424.90750000000003</v>
      </c>
      <c r="G72" s="15">
        <f t="shared" si="8"/>
        <v>487</v>
      </c>
      <c r="H72" s="15">
        <f t="shared" si="9"/>
        <v>354.08958333333339</v>
      </c>
      <c r="I72" s="15">
        <f t="shared" si="10"/>
        <v>405.83333333333337</v>
      </c>
      <c r="J72" s="10">
        <v>207</v>
      </c>
      <c r="K72" s="10">
        <v>48</v>
      </c>
      <c r="L72" s="10">
        <v>220</v>
      </c>
      <c r="M72" s="10">
        <v>205</v>
      </c>
      <c r="N72" s="10">
        <v>213</v>
      </c>
      <c r="O72" s="10">
        <v>292</v>
      </c>
      <c r="P72" s="10">
        <v>257</v>
      </c>
      <c r="Q72" s="10">
        <v>290</v>
      </c>
      <c r="R72" s="10">
        <v>215</v>
      </c>
      <c r="S72" s="10">
        <v>185</v>
      </c>
      <c r="T72" s="10">
        <v>219</v>
      </c>
      <c r="U72" s="10">
        <v>249</v>
      </c>
      <c r="V72" s="10">
        <v>200</v>
      </c>
      <c r="W72" s="10">
        <v>227</v>
      </c>
      <c r="X72" s="10">
        <v>291</v>
      </c>
      <c r="Y72" s="10">
        <v>52</v>
      </c>
      <c r="Z72" s="10">
        <v>257</v>
      </c>
      <c r="AA72" s="10">
        <v>187</v>
      </c>
      <c r="AB72" s="10">
        <v>149</v>
      </c>
      <c r="AC72" s="10">
        <v>87</v>
      </c>
      <c r="AD72" s="10">
        <v>54</v>
      </c>
      <c r="AE72" s="10">
        <v>40</v>
      </c>
      <c r="AF72" s="10">
        <v>54</v>
      </c>
      <c r="AG72" s="10">
        <v>53</v>
      </c>
      <c r="AH72" s="102">
        <f>SUM(Tableau2[[#This Row],[Td 2]:[Td 5]])</f>
        <v>201</v>
      </c>
      <c r="AI72" s="10">
        <v>58.3</v>
      </c>
      <c r="AJ72" s="10">
        <v>100</v>
      </c>
      <c r="AK72" s="17">
        <f t="shared" si="11"/>
        <v>62.089583333333394</v>
      </c>
      <c r="AL72" s="17">
        <f t="shared" si="12"/>
        <v>1</v>
      </c>
      <c r="AM72" s="17">
        <f t="shared" si="13"/>
        <v>257</v>
      </c>
    </row>
    <row r="73" spans="1:39" s="3" customFormat="1" x14ac:dyDescent="0.25">
      <c r="A73" s="2" t="s">
        <v>16</v>
      </c>
      <c r="B73" s="29" t="s">
        <v>739</v>
      </c>
      <c r="C73" s="2" t="s">
        <v>20</v>
      </c>
      <c r="D73" s="2" t="s">
        <v>118</v>
      </c>
      <c r="E73" s="14">
        <v>11122</v>
      </c>
      <c r="F73" s="15">
        <f t="shared" si="7"/>
        <v>388.15780000000001</v>
      </c>
      <c r="G73" s="15">
        <f t="shared" si="8"/>
        <v>444.88</v>
      </c>
      <c r="H73" s="15">
        <f t="shared" si="9"/>
        <v>323.46483333333333</v>
      </c>
      <c r="I73" s="15">
        <f t="shared" si="10"/>
        <v>370.73333333333329</v>
      </c>
      <c r="J73" s="10">
        <v>85</v>
      </c>
      <c r="K73" s="10">
        <v>4</v>
      </c>
      <c r="L73" s="10">
        <v>192</v>
      </c>
      <c r="M73" s="10">
        <v>149</v>
      </c>
      <c r="N73" s="10">
        <v>120</v>
      </c>
      <c r="O73" s="10">
        <v>270</v>
      </c>
      <c r="P73" s="10">
        <v>189</v>
      </c>
      <c r="Q73" s="10">
        <v>173</v>
      </c>
      <c r="R73" s="10">
        <v>208</v>
      </c>
      <c r="S73" s="10">
        <v>153</v>
      </c>
      <c r="T73" s="10">
        <v>112</v>
      </c>
      <c r="U73" s="10">
        <v>172</v>
      </c>
      <c r="V73" s="10">
        <v>106</v>
      </c>
      <c r="W73" s="10">
        <v>115</v>
      </c>
      <c r="X73" s="10">
        <v>162</v>
      </c>
      <c r="Y73" s="10">
        <v>32</v>
      </c>
      <c r="Z73" s="10">
        <v>168</v>
      </c>
      <c r="AA73" s="10">
        <v>145</v>
      </c>
      <c r="AB73" s="10">
        <v>151</v>
      </c>
      <c r="AC73" s="10">
        <v>122</v>
      </c>
      <c r="AD73" s="10">
        <v>59</v>
      </c>
      <c r="AE73" s="10">
        <v>44</v>
      </c>
      <c r="AF73" s="10">
        <v>22</v>
      </c>
      <c r="AG73" s="10">
        <v>14</v>
      </c>
      <c r="AH73" s="102">
        <f>SUM(Tableau2[[#This Row],[Td 2]:[Td 5]])</f>
        <v>139</v>
      </c>
      <c r="AI73" s="10">
        <v>58.3</v>
      </c>
      <c r="AJ73" s="10">
        <v>100</v>
      </c>
      <c r="AK73" s="17">
        <f t="shared" si="11"/>
        <v>53.464833333333331</v>
      </c>
      <c r="AL73" s="17">
        <f t="shared" si="12"/>
        <v>108</v>
      </c>
      <c r="AM73" s="17">
        <f t="shared" si="13"/>
        <v>162</v>
      </c>
    </row>
    <row r="74" spans="1:39" s="3" customFormat="1" x14ac:dyDescent="0.25">
      <c r="A74" s="2" t="s">
        <v>16</v>
      </c>
      <c r="B74" s="29" t="s">
        <v>739</v>
      </c>
      <c r="C74" s="2" t="s">
        <v>20</v>
      </c>
      <c r="D74" s="2" t="s">
        <v>119</v>
      </c>
      <c r="E74" s="14">
        <v>13683</v>
      </c>
      <c r="F74" s="15">
        <f t="shared" si="7"/>
        <v>477.5367</v>
      </c>
      <c r="G74" s="15">
        <f t="shared" si="8"/>
        <v>547.32000000000005</v>
      </c>
      <c r="H74" s="15">
        <f t="shared" si="9"/>
        <v>397.94725</v>
      </c>
      <c r="I74" s="15">
        <f t="shared" si="10"/>
        <v>456.10000000000008</v>
      </c>
      <c r="J74" s="10">
        <v>433</v>
      </c>
      <c r="K74" s="10">
        <v>128</v>
      </c>
      <c r="L74" s="10">
        <v>333</v>
      </c>
      <c r="M74" s="10">
        <v>314</v>
      </c>
      <c r="N74" s="10">
        <v>280</v>
      </c>
      <c r="O74" s="10">
        <v>399</v>
      </c>
      <c r="P74" s="10">
        <v>342</v>
      </c>
      <c r="Q74" s="10">
        <v>296</v>
      </c>
      <c r="R74" s="10">
        <v>404</v>
      </c>
      <c r="S74" s="10">
        <v>305</v>
      </c>
      <c r="T74" s="10">
        <v>283</v>
      </c>
      <c r="U74" s="10">
        <v>406</v>
      </c>
      <c r="V74" s="10">
        <v>327</v>
      </c>
      <c r="W74" s="10">
        <v>320</v>
      </c>
      <c r="X74" s="10">
        <v>407</v>
      </c>
      <c r="Y74" s="10">
        <v>140</v>
      </c>
      <c r="Z74" s="10">
        <v>395</v>
      </c>
      <c r="AA74" s="10">
        <v>323</v>
      </c>
      <c r="AB74" s="10">
        <v>395</v>
      </c>
      <c r="AC74" s="10">
        <v>224</v>
      </c>
      <c r="AD74" s="10">
        <v>133</v>
      </c>
      <c r="AE74" s="10">
        <v>129</v>
      </c>
      <c r="AF74" s="10">
        <v>84</v>
      </c>
      <c r="AG74" s="10">
        <v>71</v>
      </c>
      <c r="AH74" s="102">
        <f>SUM(Tableau2[[#This Row],[Td 2]:[Td 5]])</f>
        <v>417</v>
      </c>
      <c r="AI74" s="10">
        <v>50</v>
      </c>
      <c r="AJ74" s="10">
        <v>100</v>
      </c>
      <c r="AK74" s="17">
        <f t="shared" si="11"/>
        <v>0</v>
      </c>
      <c r="AL74" s="17">
        <f t="shared" si="12"/>
        <v>0</v>
      </c>
      <c r="AM74" s="17">
        <f t="shared" si="13"/>
        <v>395</v>
      </c>
    </row>
    <row r="75" spans="1:39" s="3" customFormat="1" x14ac:dyDescent="0.25">
      <c r="A75" s="2" t="s">
        <v>16</v>
      </c>
      <c r="B75" s="29" t="s">
        <v>739</v>
      </c>
      <c r="C75" s="2" t="s">
        <v>20</v>
      </c>
      <c r="D75" s="2" t="s">
        <v>120</v>
      </c>
      <c r="E75" s="14">
        <v>8939</v>
      </c>
      <c r="F75" s="15">
        <f t="shared" si="7"/>
        <v>311.97109999999998</v>
      </c>
      <c r="G75" s="15">
        <f t="shared" si="8"/>
        <v>357.56</v>
      </c>
      <c r="H75" s="15">
        <f t="shared" si="9"/>
        <v>259.97591666666665</v>
      </c>
      <c r="I75" s="15">
        <f t="shared" si="10"/>
        <v>297.9666666666667</v>
      </c>
      <c r="J75" s="10">
        <v>96</v>
      </c>
      <c r="K75" s="10">
        <v>84</v>
      </c>
      <c r="L75" s="10">
        <v>185</v>
      </c>
      <c r="M75" s="10">
        <v>251</v>
      </c>
      <c r="N75" s="10">
        <v>144</v>
      </c>
      <c r="O75" s="10">
        <v>177</v>
      </c>
      <c r="P75" s="10">
        <v>178</v>
      </c>
      <c r="Q75" s="10">
        <v>143</v>
      </c>
      <c r="R75" s="10">
        <v>222</v>
      </c>
      <c r="S75" s="10">
        <v>117</v>
      </c>
      <c r="T75" s="10">
        <v>44</v>
      </c>
      <c r="U75" s="10">
        <v>222</v>
      </c>
      <c r="V75" s="10">
        <v>119</v>
      </c>
      <c r="W75" s="10">
        <v>45</v>
      </c>
      <c r="X75" s="10">
        <v>236</v>
      </c>
      <c r="Y75" s="10">
        <v>52</v>
      </c>
      <c r="Z75" s="10">
        <v>224</v>
      </c>
      <c r="AA75" s="10">
        <v>220</v>
      </c>
      <c r="AB75" s="10">
        <v>124</v>
      </c>
      <c r="AC75" s="10">
        <v>40</v>
      </c>
      <c r="AD75" s="10">
        <v>27</v>
      </c>
      <c r="AE75" s="10">
        <v>42</v>
      </c>
      <c r="AF75" s="10">
        <v>20</v>
      </c>
      <c r="AG75" s="10">
        <v>12</v>
      </c>
      <c r="AH75" s="102">
        <f>SUM(Tableau2[[#This Row],[Td 2]:[Td 5]])</f>
        <v>101</v>
      </c>
      <c r="AI75" s="10">
        <v>50</v>
      </c>
      <c r="AJ75" s="10">
        <v>100</v>
      </c>
      <c r="AK75" s="17">
        <f t="shared" si="11"/>
        <v>82.975916666666649</v>
      </c>
      <c r="AL75" s="17">
        <f t="shared" si="12"/>
        <v>0</v>
      </c>
      <c r="AM75" s="17">
        <f t="shared" si="13"/>
        <v>224</v>
      </c>
    </row>
    <row r="76" spans="1:39" s="3" customFormat="1" x14ac:dyDescent="0.25">
      <c r="A76" s="2" t="s">
        <v>16</v>
      </c>
      <c r="B76" s="29" t="s">
        <v>739</v>
      </c>
      <c r="C76" s="2" t="s">
        <v>20</v>
      </c>
      <c r="D76" s="2" t="s">
        <v>121</v>
      </c>
      <c r="E76" s="14">
        <v>6455</v>
      </c>
      <c r="F76" s="15">
        <f t="shared" si="7"/>
        <v>225.27950000000001</v>
      </c>
      <c r="G76" s="15">
        <f t="shared" si="8"/>
        <v>258.2</v>
      </c>
      <c r="H76" s="15">
        <f t="shared" si="9"/>
        <v>187.73291666666668</v>
      </c>
      <c r="I76" s="15">
        <f t="shared" si="10"/>
        <v>215.16666666666666</v>
      </c>
      <c r="J76" s="10">
        <v>43</v>
      </c>
      <c r="K76" s="10">
        <v>7</v>
      </c>
      <c r="L76" s="10">
        <v>130</v>
      </c>
      <c r="M76" s="10">
        <v>137</v>
      </c>
      <c r="N76" s="10">
        <v>115</v>
      </c>
      <c r="O76" s="10">
        <v>119</v>
      </c>
      <c r="P76" s="10">
        <v>117</v>
      </c>
      <c r="Q76" s="10">
        <v>98</v>
      </c>
      <c r="R76" s="10">
        <v>70</v>
      </c>
      <c r="S76" s="10">
        <v>77</v>
      </c>
      <c r="T76" s="10">
        <v>44</v>
      </c>
      <c r="U76" s="10">
        <v>99</v>
      </c>
      <c r="V76" s="10">
        <v>84</v>
      </c>
      <c r="W76" s="10">
        <v>86</v>
      </c>
      <c r="X76" s="10">
        <v>110</v>
      </c>
      <c r="Y76" s="10">
        <v>18</v>
      </c>
      <c r="Z76" s="10">
        <v>75</v>
      </c>
      <c r="AA76" s="10">
        <v>106</v>
      </c>
      <c r="AB76" s="10">
        <v>70</v>
      </c>
      <c r="AC76" s="10">
        <v>31</v>
      </c>
      <c r="AD76" s="10">
        <v>42</v>
      </c>
      <c r="AE76" s="10">
        <v>21</v>
      </c>
      <c r="AF76" s="10">
        <v>24</v>
      </c>
      <c r="AG76" s="10">
        <v>9</v>
      </c>
      <c r="AH76" s="102">
        <f>SUM(Tableau2[[#This Row],[Td 2]:[Td 5]])</f>
        <v>96</v>
      </c>
      <c r="AI76" s="10">
        <v>58.3</v>
      </c>
      <c r="AJ76" s="10">
        <v>100</v>
      </c>
      <c r="AK76" s="17">
        <f t="shared" si="11"/>
        <v>68.732916666666682</v>
      </c>
      <c r="AL76" s="17">
        <f t="shared" si="12"/>
        <v>9</v>
      </c>
      <c r="AM76" s="17">
        <f t="shared" si="13"/>
        <v>75</v>
      </c>
    </row>
    <row r="77" spans="1:39" s="3" customFormat="1" x14ac:dyDescent="0.25">
      <c r="A77" s="2" t="s">
        <v>16</v>
      </c>
      <c r="B77" s="29" t="s">
        <v>739</v>
      </c>
      <c r="C77" s="2" t="s">
        <v>20</v>
      </c>
      <c r="D77" s="2" t="s">
        <v>122</v>
      </c>
      <c r="E77" s="14">
        <v>10262</v>
      </c>
      <c r="F77" s="15">
        <f t="shared" si="7"/>
        <v>358.1438</v>
      </c>
      <c r="G77" s="15">
        <f t="shared" si="8"/>
        <v>410.48</v>
      </c>
      <c r="H77" s="15">
        <f t="shared" si="9"/>
        <v>298.45316666666668</v>
      </c>
      <c r="I77" s="15">
        <f t="shared" si="10"/>
        <v>342.06666666666672</v>
      </c>
      <c r="J77" s="10">
        <v>55</v>
      </c>
      <c r="K77" s="10">
        <v>101</v>
      </c>
      <c r="L77" s="10">
        <v>156</v>
      </c>
      <c r="M77" s="10">
        <v>147</v>
      </c>
      <c r="N77" s="10">
        <v>151</v>
      </c>
      <c r="O77" s="10">
        <v>156</v>
      </c>
      <c r="P77" s="10">
        <v>150</v>
      </c>
      <c r="Q77" s="10">
        <v>154</v>
      </c>
      <c r="R77" s="10">
        <v>102</v>
      </c>
      <c r="S77" s="10">
        <v>97</v>
      </c>
      <c r="T77" s="10">
        <v>101</v>
      </c>
      <c r="U77" s="10">
        <v>127</v>
      </c>
      <c r="V77" s="10">
        <v>121</v>
      </c>
      <c r="W77" s="10">
        <v>121</v>
      </c>
      <c r="X77" s="10">
        <v>166</v>
      </c>
      <c r="Y77" s="10">
        <v>112</v>
      </c>
      <c r="Z77" s="10">
        <v>154</v>
      </c>
      <c r="AA77" s="10">
        <v>124</v>
      </c>
      <c r="AB77" s="10">
        <v>110</v>
      </c>
      <c r="AC77" s="10">
        <v>56</v>
      </c>
      <c r="AD77" s="10">
        <v>42</v>
      </c>
      <c r="AE77" s="10">
        <v>44</v>
      </c>
      <c r="AF77" s="10">
        <v>33</v>
      </c>
      <c r="AG77" s="10">
        <v>28</v>
      </c>
      <c r="AH77" s="102">
        <f>SUM(Tableau2[[#This Row],[Td 2]:[Td 5]])</f>
        <v>147</v>
      </c>
      <c r="AI77" s="10">
        <v>50</v>
      </c>
      <c r="AJ77" s="10">
        <v>100</v>
      </c>
      <c r="AK77" s="17">
        <f t="shared" si="11"/>
        <v>142.45316666666668</v>
      </c>
      <c r="AL77" s="17">
        <f t="shared" si="12"/>
        <v>0</v>
      </c>
      <c r="AM77" s="17">
        <f t="shared" si="13"/>
        <v>154</v>
      </c>
    </row>
    <row r="78" spans="1:39" s="3" customFormat="1" x14ac:dyDescent="0.25">
      <c r="A78" s="2" t="s">
        <v>16</v>
      </c>
      <c r="B78" s="29" t="s">
        <v>739</v>
      </c>
      <c r="C78" s="2" t="s">
        <v>20</v>
      </c>
      <c r="D78" s="2" t="s">
        <v>123</v>
      </c>
      <c r="E78" s="14">
        <v>7975</v>
      </c>
      <c r="F78" s="15">
        <f t="shared" si="7"/>
        <v>278.32749999999999</v>
      </c>
      <c r="G78" s="15">
        <f t="shared" si="8"/>
        <v>319</v>
      </c>
      <c r="H78" s="15">
        <f t="shared" si="9"/>
        <v>231.9395833333333</v>
      </c>
      <c r="I78" s="15">
        <f t="shared" si="10"/>
        <v>265.83333333333331</v>
      </c>
      <c r="J78" s="10">
        <v>254</v>
      </c>
      <c r="K78" s="10">
        <v>150</v>
      </c>
      <c r="L78" s="10">
        <v>235</v>
      </c>
      <c r="M78" s="10">
        <v>244</v>
      </c>
      <c r="N78" s="10">
        <v>231</v>
      </c>
      <c r="O78" s="10">
        <v>249</v>
      </c>
      <c r="P78" s="10">
        <v>210</v>
      </c>
      <c r="Q78" s="10">
        <v>213</v>
      </c>
      <c r="R78" s="10">
        <v>195</v>
      </c>
      <c r="S78" s="10">
        <v>176</v>
      </c>
      <c r="T78" s="10">
        <v>163</v>
      </c>
      <c r="U78" s="10">
        <v>224</v>
      </c>
      <c r="V78" s="10">
        <v>200</v>
      </c>
      <c r="W78" s="10">
        <v>177</v>
      </c>
      <c r="X78" s="10">
        <v>240</v>
      </c>
      <c r="Y78" s="10">
        <v>133</v>
      </c>
      <c r="Z78" s="10">
        <v>226</v>
      </c>
      <c r="AA78" s="10">
        <v>205</v>
      </c>
      <c r="AB78" s="10">
        <v>203</v>
      </c>
      <c r="AC78" s="10">
        <v>90</v>
      </c>
      <c r="AD78" s="10">
        <v>30</v>
      </c>
      <c r="AE78" s="10">
        <v>16</v>
      </c>
      <c r="AF78" s="10">
        <v>9</v>
      </c>
      <c r="AG78" s="10">
        <v>3</v>
      </c>
      <c r="AH78" s="102">
        <f>SUM(Tableau2[[#This Row],[Td 2]:[Td 5]])</f>
        <v>58</v>
      </c>
      <c r="AI78" s="10">
        <v>62.5</v>
      </c>
      <c r="AJ78" s="10">
        <v>100</v>
      </c>
      <c r="AK78" s="17">
        <f t="shared" si="11"/>
        <v>0</v>
      </c>
      <c r="AL78" s="17">
        <f t="shared" si="12"/>
        <v>9</v>
      </c>
      <c r="AM78" s="17">
        <f t="shared" si="13"/>
        <v>226</v>
      </c>
    </row>
    <row r="79" spans="1:39" s="3" customFormat="1" x14ac:dyDescent="0.25">
      <c r="A79" s="2" t="s">
        <v>16</v>
      </c>
      <c r="B79" s="29" t="s">
        <v>739</v>
      </c>
      <c r="C79" s="2" t="s">
        <v>20</v>
      </c>
      <c r="D79" s="2" t="s">
        <v>124</v>
      </c>
      <c r="E79" s="14">
        <v>12949</v>
      </c>
      <c r="F79" s="15">
        <f t="shared" si="7"/>
        <v>451.92009999999999</v>
      </c>
      <c r="G79" s="15">
        <f t="shared" si="8"/>
        <v>517.96</v>
      </c>
      <c r="H79" s="15">
        <f t="shared" si="9"/>
        <v>376.60008333333332</v>
      </c>
      <c r="I79" s="15">
        <f t="shared" si="10"/>
        <v>431.63333333333333</v>
      </c>
      <c r="J79" s="10">
        <v>224</v>
      </c>
      <c r="K79" s="10">
        <v>128</v>
      </c>
      <c r="L79" s="10">
        <v>264</v>
      </c>
      <c r="M79" s="10">
        <v>247</v>
      </c>
      <c r="N79" s="10">
        <v>237</v>
      </c>
      <c r="O79" s="10">
        <v>284</v>
      </c>
      <c r="P79" s="10">
        <v>266</v>
      </c>
      <c r="Q79" s="10">
        <v>236</v>
      </c>
      <c r="R79" s="10">
        <v>261</v>
      </c>
      <c r="S79" s="10">
        <v>226</v>
      </c>
      <c r="T79" s="10">
        <v>157</v>
      </c>
      <c r="U79" s="10">
        <v>297</v>
      </c>
      <c r="V79" s="10">
        <v>276</v>
      </c>
      <c r="W79" s="10">
        <v>189</v>
      </c>
      <c r="X79" s="10">
        <v>290</v>
      </c>
      <c r="Y79" s="10">
        <v>73</v>
      </c>
      <c r="Z79" s="10">
        <v>289</v>
      </c>
      <c r="AA79" s="10">
        <v>234</v>
      </c>
      <c r="AB79" s="10">
        <v>263</v>
      </c>
      <c r="AC79" s="10">
        <v>46</v>
      </c>
      <c r="AD79" s="10">
        <v>40</v>
      </c>
      <c r="AE79" s="10">
        <v>47</v>
      </c>
      <c r="AF79" s="10">
        <v>43</v>
      </c>
      <c r="AG79" s="10">
        <v>35</v>
      </c>
      <c r="AH79" s="102">
        <f>SUM(Tableau2[[#This Row],[Td 2]:[Td 5]])</f>
        <v>165</v>
      </c>
      <c r="AI79" s="10">
        <v>54.2</v>
      </c>
      <c r="AJ79" s="10">
        <v>100</v>
      </c>
      <c r="AK79" s="17">
        <f t="shared" si="11"/>
        <v>92.600083333333316</v>
      </c>
      <c r="AL79" s="17">
        <f t="shared" si="12"/>
        <v>0</v>
      </c>
      <c r="AM79" s="17">
        <f t="shared" si="13"/>
        <v>289</v>
      </c>
    </row>
    <row r="80" spans="1:39" s="3" customFormat="1" x14ac:dyDescent="0.25">
      <c r="A80" s="2" t="s">
        <v>16</v>
      </c>
      <c r="B80" s="29" t="s">
        <v>739</v>
      </c>
      <c r="C80" s="2" t="s">
        <v>20</v>
      </c>
      <c r="D80" s="2" t="s">
        <v>125</v>
      </c>
      <c r="E80" s="14">
        <v>5438</v>
      </c>
      <c r="F80" s="15">
        <f t="shared" si="7"/>
        <v>189.78620000000001</v>
      </c>
      <c r="G80" s="15">
        <f t="shared" si="8"/>
        <v>217.52</v>
      </c>
      <c r="H80" s="15">
        <f t="shared" si="9"/>
        <v>158.15516666666667</v>
      </c>
      <c r="I80" s="15">
        <f t="shared" si="10"/>
        <v>181.26666666666668</v>
      </c>
      <c r="J80" s="10">
        <v>123</v>
      </c>
      <c r="K80" s="10">
        <v>13</v>
      </c>
      <c r="L80" s="10">
        <v>144</v>
      </c>
      <c r="M80" s="10">
        <v>142</v>
      </c>
      <c r="N80" s="10">
        <v>131</v>
      </c>
      <c r="O80" s="10">
        <v>144</v>
      </c>
      <c r="P80" s="10">
        <v>142</v>
      </c>
      <c r="Q80" s="10">
        <v>131</v>
      </c>
      <c r="R80" s="10">
        <v>119</v>
      </c>
      <c r="S80" s="10">
        <v>115</v>
      </c>
      <c r="T80" s="10">
        <v>101</v>
      </c>
      <c r="U80" s="10">
        <v>137</v>
      </c>
      <c r="V80" s="10">
        <v>127</v>
      </c>
      <c r="W80" s="10">
        <v>116</v>
      </c>
      <c r="X80" s="10">
        <v>103</v>
      </c>
      <c r="Y80" s="10">
        <v>45</v>
      </c>
      <c r="Z80" s="10">
        <v>100</v>
      </c>
      <c r="AA80" s="10">
        <v>131</v>
      </c>
      <c r="AB80" s="10">
        <v>104</v>
      </c>
      <c r="AC80" s="10">
        <v>11</v>
      </c>
      <c r="AD80" s="10">
        <v>9</v>
      </c>
      <c r="AE80" s="10">
        <v>3</v>
      </c>
      <c r="AF80" s="10">
        <v>5</v>
      </c>
      <c r="AG80" s="10">
        <v>3</v>
      </c>
      <c r="AH80" s="102">
        <f>SUM(Tableau2[[#This Row],[Td 2]:[Td 5]])</f>
        <v>20</v>
      </c>
      <c r="AI80" s="10">
        <v>58.3</v>
      </c>
      <c r="AJ80" s="10">
        <v>100</v>
      </c>
      <c r="AK80" s="17">
        <f t="shared" si="11"/>
        <v>14.155166666666673</v>
      </c>
      <c r="AL80" s="17">
        <f t="shared" si="12"/>
        <v>41</v>
      </c>
      <c r="AM80" s="17">
        <f t="shared" si="13"/>
        <v>100</v>
      </c>
    </row>
    <row r="81" spans="1:39" s="3" customFormat="1" x14ac:dyDescent="0.25">
      <c r="A81" s="2" t="s">
        <v>16</v>
      </c>
      <c r="B81" s="29" t="s">
        <v>739</v>
      </c>
      <c r="C81" s="2" t="s">
        <v>20</v>
      </c>
      <c r="D81" s="2" t="s">
        <v>126</v>
      </c>
      <c r="E81" s="14">
        <v>5440</v>
      </c>
      <c r="F81" s="15">
        <f t="shared" si="7"/>
        <v>189.85599999999999</v>
      </c>
      <c r="G81" s="15">
        <f t="shared" si="8"/>
        <v>217.6</v>
      </c>
      <c r="H81" s="15">
        <f t="shared" si="9"/>
        <v>158.21333333333334</v>
      </c>
      <c r="I81" s="15">
        <f t="shared" si="10"/>
        <v>181.33333333333331</v>
      </c>
      <c r="J81" s="10">
        <v>123</v>
      </c>
      <c r="K81" s="10">
        <v>71</v>
      </c>
      <c r="L81" s="10">
        <v>138</v>
      </c>
      <c r="M81" s="10">
        <v>124</v>
      </c>
      <c r="N81" s="10">
        <v>132</v>
      </c>
      <c r="O81" s="10">
        <v>142</v>
      </c>
      <c r="P81" s="10">
        <v>132</v>
      </c>
      <c r="Q81" s="10">
        <v>135</v>
      </c>
      <c r="R81" s="10">
        <v>126</v>
      </c>
      <c r="S81" s="10">
        <v>116</v>
      </c>
      <c r="T81" s="10">
        <v>119</v>
      </c>
      <c r="U81" s="10">
        <v>153</v>
      </c>
      <c r="V81" s="10">
        <v>139</v>
      </c>
      <c r="W81" s="10">
        <v>146</v>
      </c>
      <c r="X81" s="10">
        <v>155</v>
      </c>
      <c r="Y81" s="10">
        <v>94</v>
      </c>
      <c r="Z81" s="10">
        <v>155</v>
      </c>
      <c r="AA81" s="10">
        <v>202</v>
      </c>
      <c r="AB81" s="10">
        <v>113</v>
      </c>
      <c r="AC81" s="10">
        <v>55</v>
      </c>
      <c r="AD81" s="10">
        <v>55</v>
      </c>
      <c r="AE81" s="10">
        <v>41</v>
      </c>
      <c r="AF81" s="10">
        <v>34</v>
      </c>
      <c r="AG81" s="10">
        <v>24</v>
      </c>
      <c r="AH81" s="102">
        <f>SUM(Tableau2[[#This Row],[Td 2]:[Td 5]])</f>
        <v>154</v>
      </c>
      <c r="AI81" s="10">
        <v>58.3</v>
      </c>
      <c r="AJ81" s="10">
        <v>100</v>
      </c>
      <c r="AK81" s="17">
        <f t="shared" si="11"/>
        <v>16.213333333333338</v>
      </c>
      <c r="AL81" s="17">
        <f t="shared" si="12"/>
        <v>0</v>
      </c>
      <c r="AM81" s="17">
        <f t="shared" si="13"/>
        <v>155</v>
      </c>
    </row>
    <row r="82" spans="1:39" s="3" customFormat="1" x14ac:dyDescent="0.25">
      <c r="A82" s="2" t="s">
        <v>16</v>
      </c>
      <c r="B82" s="29" t="s">
        <v>739</v>
      </c>
      <c r="C82" s="2" t="s">
        <v>20</v>
      </c>
      <c r="D82" s="2" t="s">
        <v>127</v>
      </c>
      <c r="E82" s="14">
        <v>7504</v>
      </c>
      <c r="F82" s="15">
        <f t="shared" si="7"/>
        <v>261.88960000000003</v>
      </c>
      <c r="G82" s="15">
        <f t="shared" si="8"/>
        <v>300.16000000000003</v>
      </c>
      <c r="H82" s="15">
        <f t="shared" si="9"/>
        <v>218.24133333333336</v>
      </c>
      <c r="I82" s="15">
        <f t="shared" si="10"/>
        <v>250.13333333333335</v>
      </c>
      <c r="J82" s="10">
        <v>212</v>
      </c>
      <c r="K82" s="10">
        <v>102</v>
      </c>
      <c r="L82" s="10">
        <v>295</v>
      </c>
      <c r="M82" s="10">
        <v>275</v>
      </c>
      <c r="N82" s="10">
        <v>280</v>
      </c>
      <c r="O82" s="10">
        <v>296</v>
      </c>
      <c r="P82" s="10">
        <v>275</v>
      </c>
      <c r="Q82" s="10">
        <v>280</v>
      </c>
      <c r="R82" s="10">
        <v>221</v>
      </c>
      <c r="S82" s="10">
        <v>204</v>
      </c>
      <c r="T82" s="10">
        <v>210</v>
      </c>
      <c r="U82" s="10">
        <v>242</v>
      </c>
      <c r="V82" s="10">
        <v>217</v>
      </c>
      <c r="W82" s="10">
        <v>216</v>
      </c>
      <c r="X82" s="10">
        <v>364</v>
      </c>
      <c r="Y82" s="10">
        <v>68</v>
      </c>
      <c r="Z82" s="10">
        <v>313</v>
      </c>
      <c r="AA82" s="10">
        <v>282</v>
      </c>
      <c r="AB82" s="10">
        <v>324</v>
      </c>
      <c r="AC82" s="10">
        <v>76</v>
      </c>
      <c r="AD82" s="10">
        <v>51</v>
      </c>
      <c r="AE82" s="10">
        <v>49</v>
      </c>
      <c r="AF82" s="10">
        <v>35</v>
      </c>
      <c r="AG82" s="10">
        <v>14</v>
      </c>
      <c r="AH82" s="102">
        <f>SUM(Tableau2[[#This Row],[Td 2]:[Td 5]])</f>
        <v>149</v>
      </c>
      <c r="AI82" s="10">
        <v>58.3</v>
      </c>
      <c r="AJ82" s="10">
        <v>100</v>
      </c>
      <c r="AK82" s="17">
        <f t="shared" si="11"/>
        <v>0</v>
      </c>
      <c r="AL82" s="17">
        <f t="shared" si="12"/>
        <v>0</v>
      </c>
      <c r="AM82" s="17">
        <f t="shared" si="13"/>
        <v>313</v>
      </c>
    </row>
    <row r="83" spans="1:39" s="3" customFormat="1" x14ac:dyDescent="0.25">
      <c r="A83" s="2" t="s">
        <v>16</v>
      </c>
      <c r="B83" s="29" t="s">
        <v>739</v>
      </c>
      <c r="C83" s="2" t="s">
        <v>20</v>
      </c>
      <c r="D83" s="2" t="s">
        <v>128</v>
      </c>
      <c r="E83" s="14">
        <v>8121</v>
      </c>
      <c r="F83" s="15">
        <f t="shared" si="7"/>
        <v>283.42290000000003</v>
      </c>
      <c r="G83" s="15">
        <f t="shared" si="8"/>
        <v>324.84000000000003</v>
      </c>
      <c r="H83" s="15">
        <f t="shared" si="9"/>
        <v>236.18575000000004</v>
      </c>
      <c r="I83" s="15">
        <f t="shared" si="10"/>
        <v>270.70000000000005</v>
      </c>
      <c r="J83" s="10">
        <v>55</v>
      </c>
      <c r="K83" s="10">
        <v>53</v>
      </c>
      <c r="L83" s="10">
        <v>93</v>
      </c>
      <c r="M83" s="10">
        <v>88</v>
      </c>
      <c r="N83" s="10">
        <v>85</v>
      </c>
      <c r="O83" s="10">
        <v>152</v>
      </c>
      <c r="P83" s="10">
        <v>145</v>
      </c>
      <c r="Q83" s="10">
        <v>141</v>
      </c>
      <c r="R83" s="10">
        <v>85</v>
      </c>
      <c r="S83" s="10">
        <v>83</v>
      </c>
      <c r="T83" s="10">
        <v>80</v>
      </c>
      <c r="U83" s="10">
        <v>152</v>
      </c>
      <c r="V83" s="10">
        <v>146</v>
      </c>
      <c r="W83" s="10">
        <v>141</v>
      </c>
      <c r="X83" s="10">
        <v>156</v>
      </c>
      <c r="Y83" s="10">
        <v>122</v>
      </c>
      <c r="Z83" s="10">
        <v>103</v>
      </c>
      <c r="AA83" s="10">
        <v>156</v>
      </c>
      <c r="AB83" s="10">
        <v>144</v>
      </c>
      <c r="AC83" s="10">
        <v>61</v>
      </c>
      <c r="AD83" s="10">
        <v>43</v>
      </c>
      <c r="AE83" s="10">
        <v>38</v>
      </c>
      <c r="AF83" s="10">
        <v>34</v>
      </c>
      <c r="AG83" s="10">
        <v>27</v>
      </c>
      <c r="AH83" s="102">
        <f>SUM(Tableau2[[#This Row],[Td 2]:[Td 5]])</f>
        <v>142</v>
      </c>
      <c r="AI83" s="10">
        <v>50</v>
      </c>
      <c r="AJ83" s="10">
        <v>100</v>
      </c>
      <c r="AK83" s="17">
        <f t="shared" si="11"/>
        <v>84.185750000000041</v>
      </c>
      <c r="AL83" s="17">
        <f t="shared" si="12"/>
        <v>0</v>
      </c>
      <c r="AM83" s="17">
        <f t="shared" si="13"/>
        <v>103</v>
      </c>
    </row>
    <row r="84" spans="1:39" s="3" customFormat="1" x14ac:dyDescent="0.25">
      <c r="A84" s="2" t="s">
        <v>16</v>
      </c>
      <c r="B84" s="29" t="s">
        <v>740</v>
      </c>
      <c r="C84" s="2" t="s">
        <v>21</v>
      </c>
      <c r="D84" s="2" t="s">
        <v>129</v>
      </c>
      <c r="E84" s="14">
        <v>15846</v>
      </c>
      <c r="F84" s="15">
        <f t="shared" si="7"/>
        <v>553.02539999999999</v>
      </c>
      <c r="G84" s="15">
        <f t="shared" si="8"/>
        <v>633.84</v>
      </c>
      <c r="H84" s="15">
        <f t="shared" si="9"/>
        <v>460.85450000000003</v>
      </c>
      <c r="I84" s="15">
        <f t="shared" si="10"/>
        <v>528.20000000000005</v>
      </c>
      <c r="J84" s="10">
        <v>354</v>
      </c>
      <c r="K84" s="10">
        <v>204</v>
      </c>
      <c r="L84" s="10">
        <v>341</v>
      </c>
      <c r="M84" s="10">
        <v>354</v>
      </c>
      <c r="N84" s="10">
        <v>397</v>
      </c>
      <c r="O84" s="10">
        <v>384</v>
      </c>
      <c r="P84" s="10">
        <v>400</v>
      </c>
      <c r="Q84" s="10">
        <v>431</v>
      </c>
      <c r="R84" s="10">
        <v>381</v>
      </c>
      <c r="S84" s="10">
        <v>400</v>
      </c>
      <c r="T84" s="10">
        <v>431</v>
      </c>
      <c r="U84" s="10">
        <v>368</v>
      </c>
      <c r="V84" s="10">
        <v>377</v>
      </c>
      <c r="W84" s="10">
        <v>394</v>
      </c>
      <c r="X84" s="10">
        <v>489</v>
      </c>
      <c r="Y84" s="10">
        <v>474</v>
      </c>
      <c r="Z84" s="10">
        <v>489</v>
      </c>
      <c r="AA84" s="10">
        <v>438</v>
      </c>
      <c r="AB84" s="10">
        <v>489</v>
      </c>
      <c r="AC84" s="10">
        <v>231</v>
      </c>
      <c r="AD84" s="10">
        <v>219</v>
      </c>
      <c r="AE84" s="10">
        <v>131</v>
      </c>
      <c r="AF84" s="10">
        <v>112</v>
      </c>
      <c r="AG84" s="10">
        <v>139</v>
      </c>
      <c r="AH84" s="102">
        <f>SUM(Tableau2[[#This Row],[Td 2]:[Td 5]])</f>
        <v>601</v>
      </c>
      <c r="AI84" s="10">
        <v>56.3</v>
      </c>
      <c r="AJ84" s="10">
        <v>100</v>
      </c>
      <c r="AK84" s="17">
        <f t="shared" si="11"/>
        <v>76.85450000000003</v>
      </c>
      <c r="AL84" s="17">
        <f t="shared" si="12"/>
        <v>0</v>
      </c>
      <c r="AM84" s="17">
        <f t="shared" si="13"/>
        <v>489</v>
      </c>
    </row>
    <row r="85" spans="1:39" s="3" customFormat="1" x14ac:dyDescent="0.25">
      <c r="A85" s="2" t="s">
        <v>16</v>
      </c>
      <c r="B85" s="29" t="s">
        <v>740</v>
      </c>
      <c r="C85" s="2" t="s">
        <v>21</v>
      </c>
      <c r="D85" s="2" t="s">
        <v>130</v>
      </c>
      <c r="E85" s="14">
        <v>17018</v>
      </c>
      <c r="F85" s="15">
        <f t="shared" si="7"/>
        <v>593.92820000000006</v>
      </c>
      <c r="G85" s="15">
        <f t="shared" si="8"/>
        <v>680.72</v>
      </c>
      <c r="H85" s="15">
        <f t="shared" si="9"/>
        <v>494.94016666666676</v>
      </c>
      <c r="I85" s="15">
        <f t="shared" si="10"/>
        <v>567.26666666666665</v>
      </c>
      <c r="J85" s="10">
        <v>528</v>
      </c>
      <c r="K85" s="10">
        <v>147</v>
      </c>
      <c r="L85" s="10">
        <v>529</v>
      </c>
      <c r="M85" s="10">
        <v>516</v>
      </c>
      <c r="N85" s="10">
        <v>525</v>
      </c>
      <c r="O85" s="10">
        <v>529</v>
      </c>
      <c r="P85" s="10">
        <v>516</v>
      </c>
      <c r="Q85" s="10">
        <v>525</v>
      </c>
      <c r="R85" s="10">
        <v>529</v>
      </c>
      <c r="S85" s="10">
        <v>515</v>
      </c>
      <c r="T85" s="10">
        <v>525</v>
      </c>
      <c r="U85" s="10">
        <v>529</v>
      </c>
      <c r="V85" s="10">
        <v>516</v>
      </c>
      <c r="W85" s="10">
        <v>525</v>
      </c>
      <c r="X85" s="10">
        <v>560</v>
      </c>
      <c r="Y85" s="10">
        <v>587</v>
      </c>
      <c r="Z85" s="10">
        <v>554</v>
      </c>
      <c r="AA85" s="10">
        <v>525</v>
      </c>
      <c r="AB85" s="10">
        <v>549</v>
      </c>
      <c r="AC85" s="10">
        <v>142</v>
      </c>
      <c r="AD85" s="10">
        <v>113</v>
      </c>
      <c r="AE85" s="10">
        <v>133</v>
      </c>
      <c r="AF85" s="10">
        <v>104</v>
      </c>
      <c r="AG85" s="10">
        <v>111</v>
      </c>
      <c r="AH85" s="102">
        <f>SUM(Tableau2[[#This Row],[Td 2]:[Td 5]])</f>
        <v>461</v>
      </c>
      <c r="AI85" s="10">
        <v>58.3</v>
      </c>
      <c r="AJ85" s="10">
        <v>100</v>
      </c>
      <c r="AK85" s="17">
        <f t="shared" si="11"/>
        <v>0</v>
      </c>
      <c r="AL85" s="17">
        <f t="shared" si="12"/>
        <v>0</v>
      </c>
      <c r="AM85" s="17">
        <f t="shared" si="13"/>
        <v>554</v>
      </c>
    </row>
    <row r="86" spans="1:39" s="3" customFormat="1" x14ac:dyDescent="0.25">
      <c r="A86" s="2" t="s">
        <v>16</v>
      </c>
      <c r="B86" s="29" t="s">
        <v>740</v>
      </c>
      <c r="C86" s="2" t="s">
        <v>21</v>
      </c>
      <c r="D86" s="2" t="s">
        <v>131</v>
      </c>
      <c r="E86" s="14">
        <v>9615</v>
      </c>
      <c r="F86" s="15">
        <f t="shared" si="7"/>
        <v>335.56349999999998</v>
      </c>
      <c r="G86" s="15">
        <f t="shared" si="8"/>
        <v>384.6</v>
      </c>
      <c r="H86" s="15">
        <f t="shared" si="9"/>
        <v>279.63624999999996</v>
      </c>
      <c r="I86" s="15">
        <f t="shared" si="10"/>
        <v>320.50000000000006</v>
      </c>
      <c r="J86" s="10">
        <v>392</v>
      </c>
      <c r="K86" s="10">
        <v>354</v>
      </c>
      <c r="L86" s="10">
        <v>396</v>
      </c>
      <c r="M86" s="10">
        <v>385</v>
      </c>
      <c r="N86" s="10">
        <v>389</v>
      </c>
      <c r="O86" s="10">
        <v>387</v>
      </c>
      <c r="P86" s="10">
        <v>371</v>
      </c>
      <c r="Q86" s="10">
        <v>384</v>
      </c>
      <c r="R86" s="10">
        <v>388</v>
      </c>
      <c r="S86" s="10">
        <v>374</v>
      </c>
      <c r="T86" s="10">
        <v>385</v>
      </c>
      <c r="U86" s="10">
        <v>387</v>
      </c>
      <c r="V86" s="10">
        <v>371</v>
      </c>
      <c r="W86" s="10">
        <v>384</v>
      </c>
      <c r="X86" s="10">
        <v>351</v>
      </c>
      <c r="Y86" s="10">
        <v>257</v>
      </c>
      <c r="Z86" s="10">
        <v>351</v>
      </c>
      <c r="AA86" s="10">
        <v>381</v>
      </c>
      <c r="AB86" s="10">
        <v>350</v>
      </c>
      <c r="AC86" s="10">
        <v>77</v>
      </c>
      <c r="AD86" s="10">
        <v>74</v>
      </c>
      <c r="AE86" s="10">
        <v>55</v>
      </c>
      <c r="AF86" s="10">
        <v>54</v>
      </c>
      <c r="AG86" s="10">
        <v>46</v>
      </c>
      <c r="AH86" s="102">
        <f>SUM(Tableau2[[#This Row],[Td 2]:[Td 5]])</f>
        <v>229</v>
      </c>
      <c r="AI86" s="10">
        <v>44.4</v>
      </c>
      <c r="AJ86" s="10">
        <v>100</v>
      </c>
      <c r="AK86" s="17">
        <f t="shared" si="11"/>
        <v>0</v>
      </c>
      <c r="AL86" s="17">
        <f t="shared" si="12"/>
        <v>36</v>
      </c>
      <c r="AM86" s="17">
        <f t="shared" si="13"/>
        <v>351</v>
      </c>
    </row>
    <row r="87" spans="1:39" s="3" customFormat="1" x14ac:dyDescent="0.25">
      <c r="A87" s="2" t="s">
        <v>16</v>
      </c>
      <c r="B87" s="29" t="s">
        <v>740</v>
      </c>
      <c r="C87" s="2" t="s">
        <v>21</v>
      </c>
      <c r="D87" s="2" t="s">
        <v>132</v>
      </c>
      <c r="E87" s="14">
        <v>7229</v>
      </c>
      <c r="F87" s="15">
        <f t="shared" si="7"/>
        <v>252.2921</v>
      </c>
      <c r="G87" s="15">
        <f t="shared" si="8"/>
        <v>289.16000000000003</v>
      </c>
      <c r="H87" s="15">
        <f t="shared" si="9"/>
        <v>210.24341666666669</v>
      </c>
      <c r="I87" s="15">
        <f t="shared" si="10"/>
        <v>240.96666666666667</v>
      </c>
      <c r="J87" s="10">
        <v>217</v>
      </c>
      <c r="K87" s="10">
        <v>164</v>
      </c>
      <c r="L87" s="10">
        <v>217</v>
      </c>
      <c r="M87" s="10">
        <v>223</v>
      </c>
      <c r="N87" s="10">
        <v>226</v>
      </c>
      <c r="O87" s="10">
        <v>213</v>
      </c>
      <c r="P87" s="10">
        <v>223</v>
      </c>
      <c r="Q87" s="10">
        <v>226</v>
      </c>
      <c r="R87" s="10">
        <v>217</v>
      </c>
      <c r="S87" s="10">
        <v>223</v>
      </c>
      <c r="T87" s="10">
        <v>226</v>
      </c>
      <c r="U87" s="10">
        <v>217</v>
      </c>
      <c r="V87" s="10">
        <v>223</v>
      </c>
      <c r="W87" s="10">
        <v>226</v>
      </c>
      <c r="X87" s="10">
        <v>214</v>
      </c>
      <c r="Y87" s="10">
        <v>192</v>
      </c>
      <c r="Z87" s="10">
        <v>214</v>
      </c>
      <c r="AA87" s="10">
        <v>226</v>
      </c>
      <c r="AB87" s="10">
        <v>214</v>
      </c>
      <c r="AC87" s="10">
        <v>36</v>
      </c>
      <c r="AD87" s="10">
        <v>40</v>
      </c>
      <c r="AE87" s="10">
        <v>55</v>
      </c>
      <c r="AF87" s="10">
        <v>37</v>
      </c>
      <c r="AG87" s="10">
        <v>15</v>
      </c>
      <c r="AH87" s="102">
        <f>SUM(Tableau2[[#This Row],[Td 2]:[Td 5]])</f>
        <v>147</v>
      </c>
      <c r="AI87" s="10">
        <v>58.3</v>
      </c>
      <c r="AJ87" s="10">
        <v>100</v>
      </c>
      <c r="AK87" s="17">
        <f t="shared" si="11"/>
        <v>0</v>
      </c>
      <c r="AL87" s="17">
        <f t="shared" si="12"/>
        <v>0</v>
      </c>
      <c r="AM87" s="17">
        <f t="shared" si="13"/>
        <v>214</v>
      </c>
    </row>
    <row r="88" spans="1:39" s="3" customFormat="1" x14ac:dyDescent="0.25">
      <c r="A88" s="2" t="s">
        <v>16</v>
      </c>
      <c r="B88" s="29" t="s">
        <v>740</v>
      </c>
      <c r="C88" s="2" t="s">
        <v>21</v>
      </c>
      <c r="D88" s="2" t="s">
        <v>133</v>
      </c>
      <c r="E88" s="14">
        <v>22752</v>
      </c>
      <c r="F88" s="15">
        <f t="shared" si="7"/>
        <v>794.04480000000001</v>
      </c>
      <c r="G88" s="15">
        <f t="shared" si="8"/>
        <v>910.08</v>
      </c>
      <c r="H88" s="15">
        <f t="shared" si="9"/>
        <v>661.70399999999995</v>
      </c>
      <c r="I88" s="15">
        <f t="shared" si="10"/>
        <v>758.40000000000009</v>
      </c>
      <c r="J88" s="10">
        <v>741</v>
      </c>
      <c r="K88" s="10">
        <v>425</v>
      </c>
      <c r="L88" s="10">
        <v>720</v>
      </c>
      <c r="M88" s="10">
        <v>670</v>
      </c>
      <c r="N88" s="10">
        <v>717</v>
      </c>
      <c r="O88" s="10">
        <v>734</v>
      </c>
      <c r="P88" s="10">
        <v>694</v>
      </c>
      <c r="Q88" s="10">
        <v>734</v>
      </c>
      <c r="R88" s="10">
        <v>734</v>
      </c>
      <c r="S88" s="10">
        <v>694</v>
      </c>
      <c r="T88" s="10">
        <v>724</v>
      </c>
      <c r="U88" s="10">
        <v>734</v>
      </c>
      <c r="V88" s="10">
        <v>694</v>
      </c>
      <c r="W88" s="10">
        <v>734</v>
      </c>
      <c r="X88" s="10">
        <v>675</v>
      </c>
      <c r="Y88" s="10">
        <v>614</v>
      </c>
      <c r="Z88" s="10">
        <v>675</v>
      </c>
      <c r="AA88" s="10">
        <v>734</v>
      </c>
      <c r="AB88" s="10">
        <v>675</v>
      </c>
      <c r="AC88" s="10">
        <v>163</v>
      </c>
      <c r="AD88" s="10">
        <v>160</v>
      </c>
      <c r="AE88" s="10">
        <v>153</v>
      </c>
      <c r="AF88" s="10">
        <v>123</v>
      </c>
      <c r="AG88" s="10">
        <v>104</v>
      </c>
      <c r="AH88" s="102">
        <f>SUM(Tableau2[[#This Row],[Td 2]:[Td 5]])</f>
        <v>540</v>
      </c>
      <c r="AI88" s="10">
        <v>58.3</v>
      </c>
      <c r="AJ88" s="10">
        <v>100</v>
      </c>
      <c r="AK88" s="17">
        <f t="shared" si="11"/>
        <v>0</v>
      </c>
      <c r="AL88" s="17">
        <f t="shared" si="12"/>
        <v>59</v>
      </c>
      <c r="AM88" s="17">
        <f t="shared" si="13"/>
        <v>675</v>
      </c>
    </row>
    <row r="89" spans="1:39" s="3" customFormat="1" x14ac:dyDescent="0.25">
      <c r="A89" s="2" t="s">
        <v>16</v>
      </c>
      <c r="B89" s="29" t="s">
        <v>740</v>
      </c>
      <c r="C89" s="2" t="s">
        <v>21</v>
      </c>
      <c r="D89" s="2" t="s">
        <v>134</v>
      </c>
      <c r="E89" s="14">
        <v>37466</v>
      </c>
      <c r="F89" s="15">
        <f t="shared" si="7"/>
        <v>1307.5634</v>
      </c>
      <c r="G89" s="15">
        <f t="shared" si="8"/>
        <v>1498.64</v>
      </c>
      <c r="H89" s="15">
        <f t="shared" si="9"/>
        <v>1089.6361666666667</v>
      </c>
      <c r="I89" s="15">
        <f t="shared" si="10"/>
        <v>1248.8666666666668</v>
      </c>
      <c r="J89" s="10">
        <v>1195</v>
      </c>
      <c r="K89" s="10">
        <v>772</v>
      </c>
      <c r="L89" s="10">
        <v>1146</v>
      </c>
      <c r="M89" s="10">
        <v>1095</v>
      </c>
      <c r="N89" s="10">
        <v>1104</v>
      </c>
      <c r="O89" s="10">
        <v>1188</v>
      </c>
      <c r="P89" s="10">
        <v>1140</v>
      </c>
      <c r="Q89" s="10">
        <v>1131</v>
      </c>
      <c r="R89" s="10">
        <v>1188</v>
      </c>
      <c r="S89" s="10">
        <v>1140</v>
      </c>
      <c r="T89" s="10">
        <v>1128</v>
      </c>
      <c r="U89" s="10">
        <v>1162</v>
      </c>
      <c r="V89" s="10">
        <v>1120</v>
      </c>
      <c r="W89" s="10">
        <v>1115</v>
      </c>
      <c r="X89" s="10">
        <v>1070</v>
      </c>
      <c r="Y89" s="10">
        <v>809</v>
      </c>
      <c r="Z89" s="10">
        <v>1070</v>
      </c>
      <c r="AA89" s="10">
        <v>1131</v>
      </c>
      <c r="AB89" s="10">
        <v>1068</v>
      </c>
      <c r="AC89" s="10">
        <v>222</v>
      </c>
      <c r="AD89" s="10">
        <v>258</v>
      </c>
      <c r="AE89" s="10">
        <v>235</v>
      </c>
      <c r="AF89" s="10">
        <v>210</v>
      </c>
      <c r="AG89" s="10">
        <v>238</v>
      </c>
      <c r="AH89" s="102">
        <f>SUM(Tableau2[[#This Row],[Td 2]:[Td 5]])</f>
        <v>941</v>
      </c>
      <c r="AI89" s="10">
        <v>58.3</v>
      </c>
      <c r="AJ89" s="10">
        <v>100</v>
      </c>
      <c r="AK89" s="17">
        <f t="shared" si="11"/>
        <v>0</v>
      </c>
      <c r="AL89" s="17">
        <f t="shared" si="12"/>
        <v>118</v>
      </c>
      <c r="AM89" s="17">
        <f t="shared" si="13"/>
        <v>1070</v>
      </c>
    </row>
    <row r="90" spans="1:39" s="3" customFormat="1" x14ac:dyDescent="0.25">
      <c r="A90" s="2" t="s">
        <v>16</v>
      </c>
      <c r="B90" s="29" t="s">
        <v>740</v>
      </c>
      <c r="C90" s="2" t="s">
        <v>21</v>
      </c>
      <c r="D90" s="2" t="s">
        <v>135</v>
      </c>
      <c r="E90" s="14">
        <v>14599</v>
      </c>
      <c r="F90" s="15">
        <f t="shared" si="7"/>
        <v>509.50510000000003</v>
      </c>
      <c r="G90" s="15">
        <f t="shared" si="8"/>
        <v>583.96</v>
      </c>
      <c r="H90" s="15">
        <f t="shared" si="9"/>
        <v>424.58758333333333</v>
      </c>
      <c r="I90" s="15">
        <f t="shared" si="10"/>
        <v>486.63333333333333</v>
      </c>
      <c r="J90" s="10">
        <v>456</v>
      </c>
      <c r="K90" s="10">
        <v>233</v>
      </c>
      <c r="L90" s="10">
        <v>396</v>
      </c>
      <c r="M90" s="10">
        <v>390</v>
      </c>
      <c r="N90" s="10">
        <v>397</v>
      </c>
      <c r="O90" s="10">
        <v>396</v>
      </c>
      <c r="P90" s="10">
        <v>390</v>
      </c>
      <c r="Q90" s="10">
        <v>398</v>
      </c>
      <c r="R90" s="10">
        <v>396</v>
      </c>
      <c r="S90" s="10">
        <v>390</v>
      </c>
      <c r="T90" s="10">
        <v>397</v>
      </c>
      <c r="U90" s="10">
        <v>349</v>
      </c>
      <c r="V90" s="10">
        <v>345</v>
      </c>
      <c r="W90" s="10">
        <v>347</v>
      </c>
      <c r="X90" s="10">
        <v>428</v>
      </c>
      <c r="Y90" s="10">
        <v>260</v>
      </c>
      <c r="Z90" s="10">
        <v>388</v>
      </c>
      <c r="AA90" s="10">
        <v>429</v>
      </c>
      <c r="AB90" s="10">
        <v>320</v>
      </c>
      <c r="AC90" s="10">
        <v>103</v>
      </c>
      <c r="AD90" s="10">
        <v>99</v>
      </c>
      <c r="AE90" s="10">
        <v>72</v>
      </c>
      <c r="AF90" s="10">
        <v>58</v>
      </c>
      <c r="AG90" s="10">
        <v>52</v>
      </c>
      <c r="AH90" s="102">
        <f>SUM(Tableau2[[#This Row],[Td 2]:[Td 5]])</f>
        <v>281</v>
      </c>
      <c r="AI90" s="10">
        <v>58.3</v>
      </c>
      <c r="AJ90" s="10">
        <v>100</v>
      </c>
      <c r="AK90" s="17">
        <f t="shared" si="11"/>
        <v>28.587583333333328</v>
      </c>
      <c r="AL90" s="17">
        <f t="shared" si="12"/>
        <v>0</v>
      </c>
      <c r="AM90" s="17">
        <f t="shared" si="13"/>
        <v>388</v>
      </c>
    </row>
    <row r="91" spans="1:39" s="3" customFormat="1" x14ac:dyDescent="0.25">
      <c r="A91" s="2" t="s">
        <v>16</v>
      </c>
      <c r="B91" s="29" t="s">
        <v>740</v>
      </c>
      <c r="C91" s="2" t="s">
        <v>21</v>
      </c>
      <c r="D91" s="2" t="s">
        <v>136</v>
      </c>
      <c r="E91" s="14">
        <v>14632</v>
      </c>
      <c r="F91" s="15">
        <f t="shared" si="7"/>
        <v>510.65680000000003</v>
      </c>
      <c r="G91" s="15">
        <f t="shared" si="8"/>
        <v>585.28</v>
      </c>
      <c r="H91" s="15">
        <f t="shared" si="9"/>
        <v>425.54733333333337</v>
      </c>
      <c r="I91" s="15">
        <f t="shared" si="10"/>
        <v>487.73333333333335</v>
      </c>
      <c r="J91" s="10">
        <v>399</v>
      </c>
      <c r="K91" s="10">
        <v>190</v>
      </c>
      <c r="L91" s="10">
        <v>465</v>
      </c>
      <c r="M91" s="10">
        <v>529</v>
      </c>
      <c r="N91" s="10">
        <v>467</v>
      </c>
      <c r="O91" s="10">
        <v>465</v>
      </c>
      <c r="P91" s="10">
        <v>458</v>
      </c>
      <c r="Q91" s="10">
        <v>467</v>
      </c>
      <c r="R91" s="10">
        <v>465</v>
      </c>
      <c r="S91" s="10">
        <v>458</v>
      </c>
      <c r="T91" s="10">
        <v>467</v>
      </c>
      <c r="U91" s="10">
        <v>435</v>
      </c>
      <c r="V91" s="10">
        <v>411</v>
      </c>
      <c r="W91" s="10">
        <v>407</v>
      </c>
      <c r="X91" s="10">
        <v>452</v>
      </c>
      <c r="Y91" s="10">
        <v>271</v>
      </c>
      <c r="Z91" s="10">
        <v>452</v>
      </c>
      <c r="AA91" s="10">
        <v>467</v>
      </c>
      <c r="AB91" s="10">
        <v>452</v>
      </c>
      <c r="AC91" s="10">
        <v>87</v>
      </c>
      <c r="AD91" s="10">
        <v>67</v>
      </c>
      <c r="AE91" s="10">
        <v>76</v>
      </c>
      <c r="AF91" s="10">
        <v>56</v>
      </c>
      <c r="AG91" s="10">
        <v>37</v>
      </c>
      <c r="AH91" s="102">
        <f>SUM(Tableau2[[#This Row],[Td 2]:[Td 5]])</f>
        <v>236</v>
      </c>
      <c r="AI91" s="10">
        <v>58.3</v>
      </c>
      <c r="AJ91" s="10">
        <v>100</v>
      </c>
      <c r="AK91" s="17">
        <f t="shared" si="11"/>
        <v>0</v>
      </c>
      <c r="AL91" s="17">
        <f t="shared" si="12"/>
        <v>13</v>
      </c>
      <c r="AM91" s="17">
        <f t="shared" si="13"/>
        <v>452</v>
      </c>
    </row>
    <row r="92" spans="1:39" s="3" customFormat="1" x14ac:dyDescent="0.25">
      <c r="A92" s="2" t="s">
        <v>16</v>
      </c>
      <c r="B92" s="29" t="s">
        <v>740</v>
      </c>
      <c r="C92" s="2" t="s">
        <v>21</v>
      </c>
      <c r="D92" s="2" t="s">
        <v>137</v>
      </c>
      <c r="E92" s="14">
        <v>9775</v>
      </c>
      <c r="F92" s="15">
        <f t="shared" si="7"/>
        <v>341.14749999999998</v>
      </c>
      <c r="G92" s="15">
        <f t="shared" si="8"/>
        <v>391</v>
      </c>
      <c r="H92" s="15">
        <f t="shared" si="9"/>
        <v>284.28958333333333</v>
      </c>
      <c r="I92" s="15">
        <f t="shared" si="10"/>
        <v>325.83333333333337</v>
      </c>
      <c r="J92" s="10">
        <v>304</v>
      </c>
      <c r="K92" s="10">
        <v>217</v>
      </c>
      <c r="L92" s="10">
        <v>315</v>
      </c>
      <c r="M92" s="10">
        <v>313</v>
      </c>
      <c r="N92" s="10">
        <v>324</v>
      </c>
      <c r="O92" s="10">
        <v>315</v>
      </c>
      <c r="P92" s="10">
        <v>313</v>
      </c>
      <c r="Q92" s="10">
        <v>322</v>
      </c>
      <c r="R92" s="10">
        <v>325</v>
      </c>
      <c r="S92" s="10">
        <v>313</v>
      </c>
      <c r="T92" s="10">
        <v>320</v>
      </c>
      <c r="U92" s="10">
        <v>311</v>
      </c>
      <c r="V92" s="10">
        <v>293</v>
      </c>
      <c r="W92" s="10">
        <v>308</v>
      </c>
      <c r="X92" s="10">
        <v>300</v>
      </c>
      <c r="Y92" s="10">
        <v>154</v>
      </c>
      <c r="Z92" s="10">
        <v>304</v>
      </c>
      <c r="AA92" s="10">
        <v>322</v>
      </c>
      <c r="AB92" s="10">
        <v>304</v>
      </c>
      <c r="AC92" s="10">
        <v>54</v>
      </c>
      <c r="AD92" s="10">
        <v>61</v>
      </c>
      <c r="AE92" s="10">
        <v>52</v>
      </c>
      <c r="AF92" s="10">
        <v>47</v>
      </c>
      <c r="AG92" s="10">
        <v>46</v>
      </c>
      <c r="AH92" s="102">
        <f>SUM(Tableau2[[#This Row],[Td 2]:[Td 5]])</f>
        <v>206</v>
      </c>
      <c r="AI92" s="10">
        <v>58.3</v>
      </c>
      <c r="AJ92" s="10">
        <v>100</v>
      </c>
      <c r="AK92" s="17">
        <f t="shared" si="11"/>
        <v>0</v>
      </c>
      <c r="AL92" s="17">
        <f t="shared" si="12"/>
        <v>15</v>
      </c>
      <c r="AM92" s="17">
        <f t="shared" si="13"/>
        <v>300</v>
      </c>
    </row>
    <row r="93" spans="1:39" s="3" customFormat="1" x14ac:dyDescent="0.25">
      <c r="A93" s="2" t="s">
        <v>16</v>
      </c>
      <c r="B93" s="29" t="s">
        <v>740</v>
      </c>
      <c r="C93" s="2" t="s">
        <v>21</v>
      </c>
      <c r="D93" s="2" t="s">
        <v>138</v>
      </c>
      <c r="E93" s="14">
        <v>10612</v>
      </c>
      <c r="F93" s="15">
        <f t="shared" si="7"/>
        <v>370.35880000000003</v>
      </c>
      <c r="G93" s="15">
        <f t="shared" si="8"/>
        <v>424.48</v>
      </c>
      <c r="H93" s="15">
        <f t="shared" si="9"/>
        <v>308.63233333333335</v>
      </c>
      <c r="I93" s="15">
        <f t="shared" si="10"/>
        <v>353.73333333333335</v>
      </c>
      <c r="J93" s="10">
        <v>386</v>
      </c>
      <c r="K93" s="10">
        <v>275</v>
      </c>
      <c r="L93" s="10">
        <v>314</v>
      </c>
      <c r="M93" s="10">
        <v>343</v>
      </c>
      <c r="N93" s="10">
        <v>329</v>
      </c>
      <c r="O93" s="10">
        <v>307</v>
      </c>
      <c r="P93" s="10">
        <v>315</v>
      </c>
      <c r="Q93" s="10">
        <v>311</v>
      </c>
      <c r="R93" s="10">
        <v>307</v>
      </c>
      <c r="S93" s="10">
        <v>315</v>
      </c>
      <c r="T93" s="10">
        <v>311</v>
      </c>
      <c r="U93" s="10">
        <v>290</v>
      </c>
      <c r="V93" s="10">
        <v>302</v>
      </c>
      <c r="W93" s="10">
        <v>320</v>
      </c>
      <c r="X93" s="10">
        <v>347</v>
      </c>
      <c r="Y93" s="10">
        <v>268</v>
      </c>
      <c r="Z93" s="10">
        <v>338</v>
      </c>
      <c r="AA93" s="10">
        <v>312</v>
      </c>
      <c r="AB93" s="10">
        <v>338</v>
      </c>
      <c r="AC93" s="10">
        <v>51</v>
      </c>
      <c r="AD93" s="10">
        <v>50</v>
      </c>
      <c r="AE93" s="10">
        <v>51</v>
      </c>
      <c r="AF93" s="10">
        <v>52</v>
      </c>
      <c r="AG93" s="10">
        <v>56</v>
      </c>
      <c r="AH93" s="102">
        <f>SUM(Tableau2[[#This Row],[Td 2]:[Td 5]])</f>
        <v>209</v>
      </c>
      <c r="AI93" s="10">
        <v>58.3</v>
      </c>
      <c r="AJ93" s="10">
        <v>100</v>
      </c>
      <c r="AK93" s="17">
        <f t="shared" si="11"/>
        <v>1.6323333333333494</v>
      </c>
      <c r="AL93" s="17">
        <f t="shared" si="12"/>
        <v>0</v>
      </c>
      <c r="AM93" s="17">
        <f t="shared" si="13"/>
        <v>338</v>
      </c>
    </row>
    <row r="94" spans="1:39" s="3" customFormat="1" x14ac:dyDescent="0.25">
      <c r="A94" s="2" t="s">
        <v>16</v>
      </c>
      <c r="B94" s="29" t="s">
        <v>740</v>
      </c>
      <c r="C94" s="2" t="s">
        <v>21</v>
      </c>
      <c r="D94" s="2" t="s">
        <v>139</v>
      </c>
      <c r="E94" s="14">
        <v>5988</v>
      </c>
      <c r="F94" s="15">
        <f t="shared" si="7"/>
        <v>208.9812</v>
      </c>
      <c r="G94" s="15">
        <f t="shared" si="8"/>
        <v>239.52</v>
      </c>
      <c r="H94" s="15">
        <f t="shared" si="9"/>
        <v>174.15099999999998</v>
      </c>
      <c r="I94" s="15">
        <f t="shared" si="10"/>
        <v>199.60000000000002</v>
      </c>
      <c r="J94" s="10">
        <v>187</v>
      </c>
      <c r="K94" s="10">
        <v>98</v>
      </c>
      <c r="L94" s="10">
        <v>155</v>
      </c>
      <c r="M94" s="10">
        <v>155</v>
      </c>
      <c r="N94" s="10">
        <v>155</v>
      </c>
      <c r="O94" s="10">
        <v>155</v>
      </c>
      <c r="P94" s="10">
        <v>155</v>
      </c>
      <c r="Q94" s="10">
        <v>155</v>
      </c>
      <c r="R94" s="10">
        <v>155</v>
      </c>
      <c r="S94" s="10">
        <v>155</v>
      </c>
      <c r="T94" s="10">
        <v>155</v>
      </c>
      <c r="U94" s="10">
        <v>154</v>
      </c>
      <c r="V94" s="10">
        <v>155</v>
      </c>
      <c r="W94" s="10">
        <v>155</v>
      </c>
      <c r="X94" s="10">
        <v>165</v>
      </c>
      <c r="Y94" s="10">
        <v>95</v>
      </c>
      <c r="Z94" s="10">
        <v>159</v>
      </c>
      <c r="AA94" s="10">
        <v>155</v>
      </c>
      <c r="AB94" s="10">
        <v>161</v>
      </c>
      <c r="AC94" s="10">
        <v>29</v>
      </c>
      <c r="AD94" s="10">
        <v>25</v>
      </c>
      <c r="AE94" s="10">
        <v>25</v>
      </c>
      <c r="AF94" s="10">
        <v>20</v>
      </c>
      <c r="AG94" s="10">
        <v>11</v>
      </c>
      <c r="AH94" s="102">
        <f>SUM(Tableau2[[#This Row],[Td 2]:[Td 5]])</f>
        <v>81</v>
      </c>
      <c r="AI94" s="10">
        <v>58.3</v>
      </c>
      <c r="AJ94" s="10">
        <v>100</v>
      </c>
      <c r="AK94" s="17">
        <f t="shared" si="11"/>
        <v>19.150999999999982</v>
      </c>
      <c r="AL94" s="17">
        <f t="shared" si="12"/>
        <v>0</v>
      </c>
      <c r="AM94" s="17">
        <f t="shared" si="13"/>
        <v>159</v>
      </c>
    </row>
    <row r="95" spans="1:39" s="3" customFormat="1" x14ac:dyDescent="0.25">
      <c r="A95" s="2" t="s">
        <v>16</v>
      </c>
      <c r="B95" s="29" t="s">
        <v>740</v>
      </c>
      <c r="C95" s="2" t="s">
        <v>21</v>
      </c>
      <c r="D95" s="2" t="s">
        <v>140</v>
      </c>
      <c r="E95" s="14">
        <v>11975</v>
      </c>
      <c r="F95" s="15">
        <f t="shared" si="7"/>
        <v>417.92750000000001</v>
      </c>
      <c r="G95" s="15">
        <f t="shared" si="8"/>
        <v>479</v>
      </c>
      <c r="H95" s="15">
        <f t="shared" si="9"/>
        <v>348.27291666666667</v>
      </c>
      <c r="I95" s="15">
        <f t="shared" si="10"/>
        <v>399.16666666666663</v>
      </c>
      <c r="J95" s="10">
        <v>405</v>
      </c>
      <c r="K95" s="10">
        <v>73</v>
      </c>
      <c r="L95" s="10">
        <v>420</v>
      </c>
      <c r="M95" s="10">
        <v>406</v>
      </c>
      <c r="N95" s="10">
        <v>417</v>
      </c>
      <c r="O95" s="10">
        <v>420</v>
      </c>
      <c r="P95" s="10">
        <v>427</v>
      </c>
      <c r="Q95" s="10">
        <v>422</v>
      </c>
      <c r="R95" s="10">
        <v>420</v>
      </c>
      <c r="S95" s="10">
        <v>406</v>
      </c>
      <c r="T95" s="10">
        <v>417</v>
      </c>
      <c r="U95" s="10">
        <v>363</v>
      </c>
      <c r="V95" s="10">
        <v>375</v>
      </c>
      <c r="W95" s="10">
        <v>401</v>
      </c>
      <c r="X95" s="10">
        <v>384</v>
      </c>
      <c r="Y95" s="10">
        <v>227</v>
      </c>
      <c r="Z95" s="10">
        <v>390</v>
      </c>
      <c r="AA95" s="10">
        <v>417</v>
      </c>
      <c r="AB95" s="10">
        <v>386</v>
      </c>
      <c r="AC95" s="10">
        <v>51</v>
      </c>
      <c r="AD95" s="10">
        <v>46</v>
      </c>
      <c r="AE95" s="10">
        <v>57</v>
      </c>
      <c r="AF95" s="10">
        <v>61</v>
      </c>
      <c r="AG95" s="10">
        <v>69</v>
      </c>
      <c r="AH95" s="102">
        <f>SUM(Tableau2[[#This Row],[Td 2]:[Td 5]])</f>
        <v>233</v>
      </c>
      <c r="AI95" s="10">
        <v>58.3</v>
      </c>
      <c r="AJ95" s="10">
        <v>100</v>
      </c>
      <c r="AK95" s="17">
        <f t="shared" si="11"/>
        <v>0</v>
      </c>
      <c r="AL95" s="17">
        <f t="shared" si="12"/>
        <v>36</v>
      </c>
      <c r="AM95" s="17">
        <f t="shared" si="13"/>
        <v>384</v>
      </c>
    </row>
    <row r="96" spans="1:39" s="3" customFormat="1" x14ac:dyDescent="0.25">
      <c r="A96" s="2" t="s">
        <v>16</v>
      </c>
      <c r="B96" s="29" t="s">
        <v>740</v>
      </c>
      <c r="C96" s="2" t="s">
        <v>21</v>
      </c>
      <c r="D96" s="2" t="s">
        <v>141</v>
      </c>
      <c r="E96" s="14">
        <v>29201</v>
      </c>
      <c r="F96" s="15">
        <f t="shared" si="7"/>
        <v>1019.1149</v>
      </c>
      <c r="G96" s="15">
        <f t="shared" si="8"/>
        <v>1168.04</v>
      </c>
      <c r="H96" s="15">
        <f t="shared" si="9"/>
        <v>849.2624166666667</v>
      </c>
      <c r="I96" s="15">
        <f t="shared" si="10"/>
        <v>973.36666666666656</v>
      </c>
      <c r="J96" s="10">
        <v>879</v>
      </c>
      <c r="K96" s="10">
        <v>615</v>
      </c>
      <c r="L96" s="10">
        <v>762</v>
      </c>
      <c r="M96" s="10">
        <v>720</v>
      </c>
      <c r="N96" s="10">
        <v>741</v>
      </c>
      <c r="O96" s="10">
        <v>762</v>
      </c>
      <c r="P96" s="10">
        <v>693</v>
      </c>
      <c r="Q96" s="10">
        <v>756</v>
      </c>
      <c r="R96" s="10">
        <v>762</v>
      </c>
      <c r="S96" s="10">
        <v>693</v>
      </c>
      <c r="T96" s="10">
        <v>756</v>
      </c>
      <c r="U96" s="10">
        <v>762</v>
      </c>
      <c r="V96" s="10">
        <v>693</v>
      </c>
      <c r="W96" s="10">
        <v>756</v>
      </c>
      <c r="X96" s="10">
        <v>822</v>
      </c>
      <c r="Y96" s="10">
        <v>365</v>
      </c>
      <c r="Z96" s="10">
        <v>774</v>
      </c>
      <c r="AA96" s="10">
        <v>756</v>
      </c>
      <c r="AB96" s="10">
        <v>742</v>
      </c>
      <c r="AC96" s="10">
        <v>177</v>
      </c>
      <c r="AD96" s="10">
        <v>170</v>
      </c>
      <c r="AE96" s="10">
        <v>167</v>
      </c>
      <c r="AF96" s="10">
        <v>127</v>
      </c>
      <c r="AG96" s="10">
        <v>114</v>
      </c>
      <c r="AH96" s="102">
        <f>SUM(Tableau2[[#This Row],[Td 2]:[Td 5]])</f>
        <v>578</v>
      </c>
      <c r="AI96" s="10">
        <v>54.2</v>
      </c>
      <c r="AJ96" s="10">
        <v>100</v>
      </c>
      <c r="AK96" s="17">
        <f t="shared" si="11"/>
        <v>87.262416666666695</v>
      </c>
      <c r="AL96" s="17">
        <f t="shared" si="12"/>
        <v>0</v>
      </c>
      <c r="AM96" s="17">
        <f t="shared" si="13"/>
        <v>774</v>
      </c>
    </row>
    <row r="97" spans="1:39" s="3" customFormat="1" x14ac:dyDescent="0.25">
      <c r="A97" s="2" t="s">
        <v>16</v>
      </c>
      <c r="B97" s="29" t="s">
        <v>740</v>
      </c>
      <c r="C97" s="2" t="s">
        <v>21</v>
      </c>
      <c r="D97" s="2" t="s">
        <v>142</v>
      </c>
      <c r="E97" s="14">
        <v>13327</v>
      </c>
      <c r="F97" s="15">
        <f t="shared" si="7"/>
        <v>465.1123</v>
      </c>
      <c r="G97" s="15">
        <f t="shared" si="8"/>
        <v>533.08000000000004</v>
      </c>
      <c r="H97" s="15">
        <f t="shared" si="9"/>
        <v>387.5935833333333</v>
      </c>
      <c r="I97" s="15">
        <f t="shared" si="10"/>
        <v>444.23333333333341</v>
      </c>
      <c r="J97" s="10">
        <v>409</v>
      </c>
      <c r="K97" s="10">
        <v>144</v>
      </c>
      <c r="L97" s="10">
        <v>450</v>
      </c>
      <c r="M97" s="10">
        <v>459</v>
      </c>
      <c r="N97" s="10">
        <v>473</v>
      </c>
      <c r="O97" s="10">
        <v>450</v>
      </c>
      <c r="P97" s="10">
        <v>459</v>
      </c>
      <c r="Q97" s="10">
        <v>473</v>
      </c>
      <c r="R97" s="10">
        <v>450</v>
      </c>
      <c r="S97" s="10">
        <v>459</v>
      </c>
      <c r="T97" s="10">
        <v>472</v>
      </c>
      <c r="U97" s="10">
        <v>425</v>
      </c>
      <c r="V97" s="10">
        <v>431</v>
      </c>
      <c r="W97" s="10">
        <v>457</v>
      </c>
      <c r="X97" s="10">
        <v>407</v>
      </c>
      <c r="Y97" s="10">
        <v>195</v>
      </c>
      <c r="Z97" s="10">
        <v>407</v>
      </c>
      <c r="AA97" s="10">
        <v>473</v>
      </c>
      <c r="AB97" s="10">
        <v>407</v>
      </c>
      <c r="AC97" s="10">
        <v>91</v>
      </c>
      <c r="AD97" s="10">
        <v>60</v>
      </c>
      <c r="AE97" s="10">
        <v>83</v>
      </c>
      <c r="AF97" s="10">
        <v>70</v>
      </c>
      <c r="AG97" s="10">
        <v>86</v>
      </c>
      <c r="AH97" s="102">
        <f>SUM(Tableau2[[#This Row],[Td 2]:[Td 5]])</f>
        <v>299</v>
      </c>
      <c r="AI97" s="10">
        <v>58.3</v>
      </c>
      <c r="AJ97" s="10">
        <v>100</v>
      </c>
      <c r="AK97" s="17">
        <f t="shared" si="11"/>
        <v>0</v>
      </c>
      <c r="AL97" s="17">
        <f t="shared" si="12"/>
        <v>43</v>
      </c>
      <c r="AM97" s="17">
        <f t="shared" si="13"/>
        <v>407</v>
      </c>
    </row>
    <row r="98" spans="1:39" s="3" customFormat="1" x14ac:dyDescent="0.25">
      <c r="A98" s="2" t="s">
        <v>16</v>
      </c>
      <c r="B98" s="29" t="s">
        <v>740</v>
      </c>
      <c r="C98" s="2" t="s">
        <v>22</v>
      </c>
      <c r="D98" s="2" t="s">
        <v>22</v>
      </c>
      <c r="E98" s="14">
        <v>31077</v>
      </c>
      <c r="F98" s="15">
        <f t="shared" si="7"/>
        <v>1084.5872999999999</v>
      </c>
      <c r="G98" s="15">
        <f t="shared" si="8"/>
        <v>1243.08</v>
      </c>
      <c r="H98" s="15">
        <f t="shared" si="9"/>
        <v>903.82274999999993</v>
      </c>
      <c r="I98" s="15">
        <f t="shared" si="10"/>
        <v>1035.8999999999999</v>
      </c>
      <c r="J98" s="10">
        <v>875</v>
      </c>
      <c r="K98" s="10">
        <v>580</v>
      </c>
      <c r="L98" s="10">
        <v>970</v>
      </c>
      <c r="M98" s="10">
        <v>924</v>
      </c>
      <c r="N98" s="10">
        <v>873</v>
      </c>
      <c r="O98" s="10">
        <v>970</v>
      </c>
      <c r="P98" s="10">
        <v>924</v>
      </c>
      <c r="Q98" s="10">
        <v>873</v>
      </c>
      <c r="R98" s="10">
        <v>970</v>
      </c>
      <c r="S98" s="10">
        <v>924</v>
      </c>
      <c r="T98" s="10">
        <v>873</v>
      </c>
      <c r="U98" s="10">
        <v>864</v>
      </c>
      <c r="V98" s="10">
        <v>835</v>
      </c>
      <c r="W98" s="10">
        <v>792</v>
      </c>
      <c r="X98" s="10">
        <v>684</v>
      </c>
      <c r="Y98" s="10">
        <v>497</v>
      </c>
      <c r="Z98" s="10">
        <v>752</v>
      </c>
      <c r="AA98" s="10">
        <v>873</v>
      </c>
      <c r="AB98" s="10">
        <v>465</v>
      </c>
      <c r="AC98" s="10">
        <v>404</v>
      </c>
      <c r="AD98" s="10">
        <v>294</v>
      </c>
      <c r="AE98" s="10">
        <v>240</v>
      </c>
      <c r="AF98" s="10">
        <v>197</v>
      </c>
      <c r="AG98" s="10">
        <v>131</v>
      </c>
      <c r="AH98" s="102">
        <f>SUM(Tableau2[[#This Row],[Td 2]:[Td 5]])</f>
        <v>862</v>
      </c>
      <c r="AI98" s="10">
        <v>58.3</v>
      </c>
      <c r="AJ98" s="10">
        <v>100</v>
      </c>
      <c r="AK98" s="17">
        <f t="shared" si="11"/>
        <v>0</v>
      </c>
      <c r="AL98" s="17">
        <f t="shared" si="12"/>
        <v>286</v>
      </c>
      <c r="AM98" s="17">
        <f t="shared" si="13"/>
        <v>684</v>
      </c>
    </row>
    <row r="99" spans="1:39" s="3" customFormat="1" x14ac:dyDescent="0.25">
      <c r="A99" s="2" t="s">
        <v>16</v>
      </c>
      <c r="B99" s="29" t="s">
        <v>740</v>
      </c>
      <c r="C99" s="2" t="s">
        <v>22</v>
      </c>
      <c r="D99" s="2" t="s">
        <v>143</v>
      </c>
      <c r="E99" s="14">
        <v>18115</v>
      </c>
      <c r="F99" s="15">
        <f t="shared" si="7"/>
        <v>632.21349999999995</v>
      </c>
      <c r="G99" s="15">
        <f t="shared" si="8"/>
        <v>724.6</v>
      </c>
      <c r="H99" s="15">
        <f t="shared" si="9"/>
        <v>526.84458333333328</v>
      </c>
      <c r="I99" s="15">
        <f t="shared" si="10"/>
        <v>603.83333333333337</v>
      </c>
      <c r="J99" s="10">
        <v>578</v>
      </c>
      <c r="K99" s="10">
        <v>458</v>
      </c>
      <c r="L99" s="10">
        <v>530</v>
      </c>
      <c r="M99" s="10">
        <v>509</v>
      </c>
      <c r="N99" s="10">
        <v>517</v>
      </c>
      <c r="O99" s="10">
        <v>530</v>
      </c>
      <c r="P99" s="10">
        <v>508</v>
      </c>
      <c r="Q99" s="10">
        <v>517</v>
      </c>
      <c r="R99" s="10">
        <v>530</v>
      </c>
      <c r="S99" s="10">
        <v>509</v>
      </c>
      <c r="T99" s="10">
        <v>517</v>
      </c>
      <c r="U99" s="10">
        <v>369</v>
      </c>
      <c r="V99" s="10">
        <v>356</v>
      </c>
      <c r="W99" s="10">
        <v>356</v>
      </c>
      <c r="X99" s="10">
        <v>405</v>
      </c>
      <c r="Y99" s="10">
        <v>250</v>
      </c>
      <c r="Z99" s="10">
        <v>445</v>
      </c>
      <c r="AA99" s="10">
        <v>425</v>
      </c>
      <c r="AB99" s="10">
        <v>331</v>
      </c>
      <c r="AC99" s="10">
        <v>279</v>
      </c>
      <c r="AD99" s="10">
        <v>242</v>
      </c>
      <c r="AE99" s="10">
        <v>126</v>
      </c>
      <c r="AF99" s="10">
        <v>85</v>
      </c>
      <c r="AG99" s="10">
        <v>77</v>
      </c>
      <c r="AH99" s="102">
        <f>SUM(Tableau2[[#This Row],[Td 2]:[Td 5]])</f>
        <v>530</v>
      </c>
      <c r="AI99" s="10">
        <v>58.3</v>
      </c>
      <c r="AJ99" s="10">
        <v>100</v>
      </c>
      <c r="AK99" s="17">
        <f t="shared" si="11"/>
        <v>0</v>
      </c>
      <c r="AL99" s="17">
        <f t="shared" si="12"/>
        <v>125</v>
      </c>
      <c r="AM99" s="17">
        <f t="shared" si="13"/>
        <v>405</v>
      </c>
    </row>
    <row r="100" spans="1:39" s="3" customFormat="1" x14ac:dyDescent="0.25">
      <c r="A100" s="2" t="s">
        <v>16</v>
      </c>
      <c r="B100" s="29" t="s">
        <v>740</v>
      </c>
      <c r="C100" s="2" t="s">
        <v>22</v>
      </c>
      <c r="D100" s="2" t="s">
        <v>144</v>
      </c>
      <c r="E100" s="14">
        <v>9149</v>
      </c>
      <c r="F100" s="15">
        <f t="shared" si="7"/>
        <v>319.30009999999999</v>
      </c>
      <c r="G100" s="15">
        <f t="shared" si="8"/>
        <v>365.96</v>
      </c>
      <c r="H100" s="15">
        <f t="shared" si="9"/>
        <v>266.08341666666666</v>
      </c>
      <c r="I100" s="15">
        <f t="shared" si="10"/>
        <v>304.96666666666664</v>
      </c>
      <c r="J100" s="10">
        <v>366</v>
      </c>
      <c r="K100" s="10">
        <v>138</v>
      </c>
      <c r="L100" s="10">
        <v>314</v>
      </c>
      <c r="M100" s="10">
        <v>260</v>
      </c>
      <c r="N100" s="10">
        <v>306</v>
      </c>
      <c r="O100" s="10">
        <v>314</v>
      </c>
      <c r="P100" s="10">
        <v>260</v>
      </c>
      <c r="Q100" s="10">
        <v>305</v>
      </c>
      <c r="R100" s="10">
        <v>314</v>
      </c>
      <c r="S100" s="10">
        <v>260</v>
      </c>
      <c r="T100" s="10">
        <v>305</v>
      </c>
      <c r="U100" s="10">
        <v>215</v>
      </c>
      <c r="V100" s="10">
        <v>179</v>
      </c>
      <c r="W100" s="10">
        <v>209</v>
      </c>
      <c r="X100" s="10">
        <v>277</v>
      </c>
      <c r="Y100" s="10">
        <v>146</v>
      </c>
      <c r="Z100" s="10">
        <v>268</v>
      </c>
      <c r="AA100" s="10">
        <v>239</v>
      </c>
      <c r="AB100" s="10">
        <v>97</v>
      </c>
      <c r="AC100" s="10">
        <v>298</v>
      </c>
      <c r="AD100" s="10">
        <v>256</v>
      </c>
      <c r="AE100" s="10">
        <v>177</v>
      </c>
      <c r="AF100" s="10">
        <v>68</v>
      </c>
      <c r="AG100" s="10">
        <v>30</v>
      </c>
      <c r="AH100" s="102">
        <f>SUM(Tableau2[[#This Row],[Td 2]:[Td 5]])</f>
        <v>531</v>
      </c>
      <c r="AI100" s="10">
        <v>58.3</v>
      </c>
      <c r="AJ100" s="10">
        <v>100</v>
      </c>
      <c r="AK100" s="17">
        <f t="shared" si="11"/>
        <v>0</v>
      </c>
      <c r="AL100" s="17">
        <f t="shared" si="12"/>
        <v>37</v>
      </c>
      <c r="AM100" s="17">
        <f t="shared" si="13"/>
        <v>268</v>
      </c>
    </row>
    <row r="101" spans="1:39" s="3" customFormat="1" x14ac:dyDescent="0.25">
      <c r="A101" s="2" t="s">
        <v>16</v>
      </c>
      <c r="B101" s="29" t="s">
        <v>740</v>
      </c>
      <c r="C101" s="2" t="s">
        <v>22</v>
      </c>
      <c r="D101" s="2" t="s">
        <v>145</v>
      </c>
      <c r="E101" s="14">
        <v>11790</v>
      </c>
      <c r="F101" s="15">
        <f t="shared" si="7"/>
        <v>411.471</v>
      </c>
      <c r="G101" s="15">
        <f t="shared" si="8"/>
        <v>471.6</v>
      </c>
      <c r="H101" s="15">
        <f t="shared" si="9"/>
        <v>342.89250000000004</v>
      </c>
      <c r="I101" s="15">
        <f t="shared" si="10"/>
        <v>393.00000000000006</v>
      </c>
      <c r="J101" s="10">
        <v>304</v>
      </c>
      <c r="K101" s="10">
        <v>128</v>
      </c>
      <c r="L101" s="10">
        <v>350</v>
      </c>
      <c r="M101" s="10">
        <v>316</v>
      </c>
      <c r="N101" s="10">
        <v>324</v>
      </c>
      <c r="O101" s="10">
        <v>350</v>
      </c>
      <c r="P101" s="10">
        <v>316</v>
      </c>
      <c r="Q101" s="10">
        <v>324</v>
      </c>
      <c r="R101" s="10">
        <v>350</v>
      </c>
      <c r="S101" s="10">
        <v>316</v>
      </c>
      <c r="T101" s="10">
        <v>324</v>
      </c>
      <c r="U101" s="10">
        <v>350</v>
      </c>
      <c r="V101" s="10">
        <v>316</v>
      </c>
      <c r="W101" s="10">
        <v>324</v>
      </c>
      <c r="X101" s="10">
        <v>340</v>
      </c>
      <c r="Y101" s="10">
        <v>169</v>
      </c>
      <c r="Z101" s="10">
        <v>330</v>
      </c>
      <c r="AA101" s="10">
        <v>331</v>
      </c>
      <c r="AB101" s="10">
        <v>268</v>
      </c>
      <c r="AC101" s="10">
        <v>273</v>
      </c>
      <c r="AD101" s="10">
        <v>210</v>
      </c>
      <c r="AE101" s="10">
        <v>141</v>
      </c>
      <c r="AF101" s="10">
        <v>88</v>
      </c>
      <c r="AG101" s="10">
        <v>25</v>
      </c>
      <c r="AH101" s="102">
        <f>SUM(Tableau2[[#This Row],[Td 2]:[Td 5]])</f>
        <v>464</v>
      </c>
      <c r="AI101" s="10">
        <v>58.3</v>
      </c>
      <c r="AJ101" s="10">
        <v>100</v>
      </c>
      <c r="AK101" s="17">
        <f t="shared" si="11"/>
        <v>0</v>
      </c>
      <c r="AL101" s="17">
        <f t="shared" si="12"/>
        <v>10</v>
      </c>
      <c r="AM101" s="17">
        <f t="shared" si="13"/>
        <v>330</v>
      </c>
    </row>
    <row r="102" spans="1:39" s="3" customFormat="1" x14ac:dyDescent="0.25">
      <c r="A102" s="2" t="s">
        <v>16</v>
      </c>
      <c r="B102" s="29" t="s">
        <v>740</v>
      </c>
      <c r="C102" s="2" t="s">
        <v>22</v>
      </c>
      <c r="D102" s="2" t="s">
        <v>146</v>
      </c>
      <c r="E102" s="14">
        <v>34690</v>
      </c>
      <c r="F102" s="15">
        <f t="shared" si="7"/>
        <v>1210.681</v>
      </c>
      <c r="G102" s="15">
        <f t="shared" si="8"/>
        <v>1387.6000000000001</v>
      </c>
      <c r="H102" s="15">
        <f t="shared" si="9"/>
        <v>1008.9008333333334</v>
      </c>
      <c r="I102" s="15">
        <f t="shared" si="10"/>
        <v>1156.3333333333335</v>
      </c>
      <c r="J102" s="10">
        <v>841</v>
      </c>
      <c r="K102" s="10">
        <v>102</v>
      </c>
      <c r="L102" s="10">
        <v>886</v>
      </c>
      <c r="M102" s="10">
        <v>861</v>
      </c>
      <c r="N102" s="10">
        <v>859</v>
      </c>
      <c r="O102" s="10">
        <v>876</v>
      </c>
      <c r="P102" s="10">
        <v>861</v>
      </c>
      <c r="Q102" s="10">
        <v>854</v>
      </c>
      <c r="R102" s="10">
        <v>886</v>
      </c>
      <c r="S102" s="10">
        <v>862</v>
      </c>
      <c r="T102" s="10">
        <v>859</v>
      </c>
      <c r="U102" s="10">
        <v>886</v>
      </c>
      <c r="V102" s="10">
        <v>861</v>
      </c>
      <c r="W102" s="10">
        <v>859</v>
      </c>
      <c r="X102" s="10">
        <v>758</v>
      </c>
      <c r="Y102" s="10">
        <v>449</v>
      </c>
      <c r="Z102" s="10">
        <v>840</v>
      </c>
      <c r="AA102" s="10">
        <v>859</v>
      </c>
      <c r="AB102" s="10">
        <v>775</v>
      </c>
      <c r="AC102" s="10">
        <v>95</v>
      </c>
      <c r="AD102" s="10">
        <v>31</v>
      </c>
      <c r="AE102" s="10">
        <v>6</v>
      </c>
      <c r="AF102" s="10">
        <v>5</v>
      </c>
      <c r="AG102" s="10">
        <v>10</v>
      </c>
      <c r="AH102" s="102">
        <f>SUM(Tableau2[[#This Row],[Td 2]:[Td 5]])</f>
        <v>52</v>
      </c>
      <c r="AI102" s="10">
        <v>58.3</v>
      </c>
      <c r="AJ102" s="10">
        <v>100</v>
      </c>
      <c r="AK102" s="17">
        <f t="shared" si="11"/>
        <v>132.90083333333337</v>
      </c>
      <c r="AL102" s="17">
        <f t="shared" si="12"/>
        <v>118</v>
      </c>
      <c r="AM102" s="17">
        <f t="shared" si="13"/>
        <v>758</v>
      </c>
    </row>
    <row r="103" spans="1:39" s="3" customFormat="1" x14ac:dyDescent="0.25">
      <c r="A103" s="2" t="s">
        <v>16</v>
      </c>
      <c r="B103" s="29" t="s">
        <v>740</v>
      </c>
      <c r="C103" s="2" t="s">
        <v>22</v>
      </c>
      <c r="D103" s="2" t="s">
        <v>147</v>
      </c>
      <c r="E103" s="14">
        <v>10806</v>
      </c>
      <c r="F103" s="15">
        <f t="shared" si="7"/>
        <v>377.12940000000003</v>
      </c>
      <c r="G103" s="15">
        <f t="shared" si="8"/>
        <v>432.24</v>
      </c>
      <c r="H103" s="15">
        <f t="shared" si="9"/>
        <v>314.27450000000005</v>
      </c>
      <c r="I103" s="15">
        <f t="shared" si="10"/>
        <v>360.20000000000005</v>
      </c>
      <c r="J103" s="10">
        <v>348</v>
      </c>
      <c r="K103" s="10">
        <v>111</v>
      </c>
      <c r="L103" s="10">
        <v>374</v>
      </c>
      <c r="M103" s="10">
        <v>362</v>
      </c>
      <c r="N103" s="10">
        <v>326</v>
      </c>
      <c r="O103" s="10">
        <v>374</v>
      </c>
      <c r="P103" s="10">
        <v>362</v>
      </c>
      <c r="Q103" s="10">
        <v>326</v>
      </c>
      <c r="R103" s="10">
        <v>374</v>
      </c>
      <c r="S103" s="10">
        <v>364</v>
      </c>
      <c r="T103" s="10">
        <v>326</v>
      </c>
      <c r="U103" s="10">
        <v>374</v>
      </c>
      <c r="V103" s="10">
        <v>362</v>
      </c>
      <c r="W103" s="10">
        <v>326</v>
      </c>
      <c r="X103" s="10">
        <v>293</v>
      </c>
      <c r="Y103" s="10">
        <v>337</v>
      </c>
      <c r="Z103" s="10">
        <v>301</v>
      </c>
      <c r="AA103" s="10">
        <v>326</v>
      </c>
      <c r="AB103" s="10">
        <v>273</v>
      </c>
      <c r="AC103" s="10">
        <v>63</v>
      </c>
      <c r="AD103" s="10">
        <v>57</v>
      </c>
      <c r="AE103" s="10">
        <v>39</v>
      </c>
      <c r="AF103" s="10">
        <v>17</v>
      </c>
      <c r="AG103" s="10">
        <v>24</v>
      </c>
      <c r="AH103" s="102">
        <f>SUM(Tableau2[[#This Row],[Td 2]:[Td 5]])</f>
        <v>137</v>
      </c>
      <c r="AI103" s="10">
        <v>58.3</v>
      </c>
      <c r="AJ103" s="10">
        <v>100</v>
      </c>
      <c r="AK103" s="17">
        <f t="shared" si="11"/>
        <v>0</v>
      </c>
      <c r="AL103" s="17">
        <f t="shared" si="12"/>
        <v>81</v>
      </c>
      <c r="AM103" s="17">
        <f t="shared" si="13"/>
        <v>293</v>
      </c>
    </row>
    <row r="104" spans="1:39" s="3" customFormat="1" x14ac:dyDescent="0.25">
      <c r="A104" s="2" t="s">
        <v>16</v>
      </c>
      <c r="B104" s="29" t="s">
        <v>740</v>
      </c>
      <c r="C104" s="2" t="s">
        <v>22</v>
      </c>
      <c r="D104" s="2" t="s">
        <v>148</v>
      </c>
      <c r="E104" s="14">
        <v>27360</v>
      </c>
      <c r="F104" s="15">
        <f t="shared" si="7"/>
        <v>954.86400000000003</v>
      </c>
      <c r="G104" s="15">
        <f t="shared" si="8"/>
        <v>1094.4000000000001</v>
      </c>
      <c r="H104" s="15">
        <f t="shared" si="9"/>
        <v>795.72</v>
      </c>
      <c r="I104" s="15">
        <f t="shared" si="10"/>
        <v>912</v>
      </c>
      <c r="J104" s="10">
        <v>773</v>
      </c>
      <c r="K104" s="10">
        <v>595</v>
      </c>
      <c r="L104" s="10">
        <v>639</v>
      </c>
      <c r="M104" s="10">
        <v>566</v>
      </c>
      <c r="N104" s="10">
        <v>584</v>
      </c>
      <c r="O104" s="10">
        <v>775</v>
      </c>
      <c r="P104" s="10">
        <v>714</v>
      </c>
      <c r="Q104" s="10">
        <v>726</v>
      </c>
      <c r="R104" s="10">
        <v>775</v>
      </c>
      <c r="S104" s="10">
        <v>714</v>
      </c>
      <c r="T104" s="10">
        <v>726</v>
      </c>
      <c r="U104" s="10">
        <v>775</v>
      </c>
      <c r="V104" s="10">
        <v>714</v>
      </c>
      <c r="W104" s="10">
        <v>726</v>
      </c>
      <c r="X104" s="10">
        <v>673</v>
      </c>
      <c r="Y104" s="10">
        <v>361</v>
      </c>
      <c r="Z104" s="10">
        <v>653</v>
      </c>
      <c r="AA104" s="10">
        <v>607</v>
      </c>
      <c r="AB104" s="10">
        <v>455</v>
      </c>
      <c r="AC104" s="10">
        <v>656</v>
      </c>
      <c r="AD104" s="10">
        <v>403</v>
      </c>
      <c r="AE104" s="10">
        <v>180</v>
      </c>
      <c r="AF104" s="10">
        <v>77</v>
      </c>
      <c r="AG104" s="10">
        <v>9</v>
      </c>
      <c r="AH104" s="102">
        <f>SUM(Tableau2[[#This Row],[Td 2]:[Td 5]])</f>
        <v>669</v>
      </c>
      <c r="AI104" s="10">
        <v>50</v>
      </c>
      <c r="AJ104" s="10">
        <v>100</v>
      </c>
      <c r="AK104" s="17">
        <f t="shared" si="11"/>
        <v>20.720000000000027</v>
      </c>
      <c r="AL104" s="17">
        <f t="shared" si="12"/>
        <v>102</v>
      </c>
      <c r="AM104" s="17">
        <f t="shared" si="13"/>
        <v>653</v>
      </c>
    </row>
    <row r="105" spans="1:39" s="3" customFormat="1" x14ac:dyDescent="0.25">
      <c r="A105" s="2" t="s">
        <v>16</v>
      </c>
      <c r="B105" s="29" t="s">
        <v>740</v>
      </c>
      <c r="C105" s="2" t="s">
        <v>22</v>
      </c>
      <c r="D105" s="2" t="s">
        <v>149</v>
      </c>
      <c r="E105" s="14">
        <v>10277</v>
      </c>
      <c r="F105" s="15">
        <f t="shared" si="7"/>
        <v>358.66730000000001</v>
      </c>
      <c r="G105" s="15">
        <f t="shared" si="8"/>
        <v>411.08</v>
      </c>
      <c r="H105" s="15">
        <f t="shared" si="9"/>
        <v>298.88941666666665</v>
      </c>
      <c r="I105" s="15">
        <f t="shared" si="10"/>
        <v>342.56666666666666</v>
      </c>
      <c r="J105" s="10">
        <v>318</v>
      </c>
      <c r="K105" s="10">
        <v>318</v>
      </c>
      <c r="L105" s="10">
        <v>296</v>
      </c>
      <c r="M105" s="10">
        <v>291</v>
      </c>
      <c r="N105" s="10">
        <v>290</v>
      </c>
      <c r="O105" s="10">
        <v>296</v>
      </c>
      <c r="P105" s="10">
        <v>291</v>
      </c>
      <c r="Q105" s="10">
        <v>290</v>
      </c>
      <c r="R105" s="10">
        <v>296</v>
      </c>
      <c r="S105" s="10">
        <v>291</v>
      </c>
      <c r="T105" s="10">
        <v>290</v>
      </c>
      <c r="U105" s="10">
        <v>296</v>
      </c>
      <c r="V105" s="10">
        <v>291</v>
      </c>
      <c r="W105" s="10">
        <v>290</v>
      </c>
      <c r="X105" s="10">
        <v>485</v>
      </c>
      <c r="Y105" s="10">
        <v>230</v>
      </c>
      <c r="Z105" s="10">
        <v>435</v>
      </c>
      <c r="AA105" s="10">
        <v>290</v>
      </c>
      <c r="AB105" s="10">
        <v>435</v>
      </c>
      <c r="AC105" s="10">
        <v>214</v>
      </c>
      <c r="AD105" s="10">
        <v>128</v>
      </c>
      <c r="AE105" s="10">
        <v>95</v>
      </c>
      <c r="AF105" s="10">
        <v>64</v>
      </c>
      <c r="AG105" s="10">
        <v>50</v>
      </c>
      <c r="AH105" s="102">
        <f>SUM(Tableau2[[#This Row],[Td 2]:[Td 5]])</f>
        <v>337</v>
      </c>
      <c r="AI105" s="10">
        <v>58.3</v>
      </c>
      <c r="AJ105" s="10">
        <v>100</v>
      </c>
      <c r="AK105" s="17">
        <f t="shared" si="11"/>
        <v>2.8894166666666479</v>
      </c>
      <c r="AL105" s="17">
        <f t="shared" si="12"/>
        <v>0</v>
      </c>
      <c r="AM105" s="17">
        <f t="shared" si="13"/>
        <v>435</v>
      </c>
    </row>
    <row r="106" spans="1:39" s="3" customFormat="1" x14ac:dyDescent="0.25">
      <c r="A106" s="2" t="s">
        <v>16</v>
      </c>
      <c r="B106" s="29" t="s">
        <v>740</v>
      </c>
      <c r="C106" s="2" t="s">
        <v>22</v>
      </c>
      <c r="D106" s="2" t="s">
        <v>150</v>
      </c>
      <c r="E106" s="14">
        <v>13906</v>
      </c>
      <c r="F106" s="15">
        <f t="shared" si="7"/>
        <v>485.31940000000003</v>
      </c>
      <c r="G106" s="15">
        <f t="shared" si="8"/>
        <v>556.24</v>
      </c>
      <c r="H106" s="15">
        <f t="shared" si="9"/>
        <v>404.43283333333335</v>
      </c>
      <c r="I106" s="15">
        <f t="shared" si="10"/>
        <v>463.5333333333333</v>
      </c>
      <c r="J106" s="10">
        <v>527</v>
      </c>
      <c r="K106" s="10">
        <v>345</v>
      </c>
      <c r="L106" s="10">
        <v>439</v>
      </c>
      <c r="M106" s="10">
        <v>327</v>
      </c>
      <c r="N106" s="10">
        <v>404</v>
      </c>
      <c r="O106" s="10">
        <v>439</v>
      </c>
      <c r="P106" s="10">
        <v>327</v>
      </c>
      <c r="Q106" s="10">
        <v>399</v>
      </c>
      <c r="R106" s="10">
        <v>439</v>
      </c>
      <c r="S106" s="10">
        <v>327</v>
      </c>
      <c r="T106" s="10">
        <v>404</v>
      </c>
      <c r="U106" s="10">
        <v>442</v>
      </c>
      <c r="V106" s="10">
        <v>329</v>
      </c>
      <c r="W106" s="10">
        <v>403</v>
      </c>
      <c r="X106" s="10">
        <v>407</v>
      </c>
      <c r="Y106" s="10">
        <v>292</v>
      </c>
      <c r="Z106" s="10">
        <v>406</v>
      </c>
      <c r="AA106" s="10">
        <v>404</v>
      </c>
      <c r="AB106" s="10">
        <v>328</v>
      </c>
      <c r="AC106" s="10">
        <v>340</v>
      </c>
      <c r="AD106" s="10">
        <v>234</v>
      </c>
      <c r="AE106" s="10">
        <v>91</v>
      </c>
      <c r="AF106" s="10">
        <v>11</v>
      </c>
      <c r="AG106" s="10" t="s">
        <v>2</v>
      </c>
      <c r="AH106" s="102">
        <f>SUM(Tableau2[[#This Row],[Td 2]:[Td 5]])</f>
        <v>336</v>
      </c>
      <c r="AI106" s="10">
        <v>58.3</v>
      </c>
      <c r="AJ106" s="10">
        <v>100</v>
      </c>
      <c r="AK106" s="17">
        <f t="shared" si="11"/>
        <v>0</v>
      </c>
      <c r="AL106" s="17">
        <f t="shared" si="12"/>
        <v>32</v>
      </c>
      <c r="AM106" s="17">
        <f t="shared" si="13"/>
        <v>406</v>
      </c>
    </row>
    <row r="107" spans="1:39" s="3" customFormat="1" x14ac:dyDescent="0.25">
      <c r="A107" s="2" t="s">
        <v>16</v>
      </c>
      <c r="B107" s="29" t="s">
        <v>740</v>
      </c>
      <c r="C107" s="2" t="s">
        <v>22</v>
      </c>
      <c r="D107" s="2" t="s">
        <v>151</v>
      </c>
      <c r="E107" s="14">
        <v>16689</v>
      </c>
      <c r="F107" s="15">
        <f t="shared" si="7"/>
        <v>582.4461</v>
      </c>
      <c r="G107" s="15">
        <f t="shared" si="8"/>
        <v>667.56000000000006</v>
      </c>
      <c r="H107" s="15">
        <f t="shared" si="9"/>
        <v>485.37174999999996</v>
      </c>
      <c r="I107" s="15">
        <f t="shared" si="10"/>
        <v>556.30000000000007</v>
      </c>
      <c r="J107" s="10">
        <v>538</v>
      </c>
      <c r="K107" s="10">
        <v>538</v>
      </c>
      <c r="L107" s="10">
        <v>502</v>
      </c>
      <c r="M107" s="10">
        <v>475</v>
      </c>
      <c r="N107" s="10">
        <v>484</v>
      </c>
      <c r="O107" s="10">
        <v>502</v>
      </c>
      <c r="P107" s="10">
        <v>472</v>
      </c>
      <c r="Q107" s="10">
        <v>484</v>
      </c>
      <c r="R107" s="10">
        <v>502</v>
      </c>
      <c r="S107" s="10">
        <v>475</v>
      </c>
      <c r="T107" s="10">
        <v>484</v>
      </c>
      <c r="U107" s="10">
        <v>502</v>
      </c>
      <c r="V107" s="10">
        <v>475</v>
      </c>
      <c r="W107" s="10">
        <v>484</v>
      </c>
      <c r="X107" s="10">
        <v>436</v>
      </c>
      <c r="Y107" s="10">
        <v>334</v>
      </c>
      <c r="Z107" s="10">
        <v>471</v>
      </c>
      <c r="AA107" s="10">
        <v>484</v>
      </c>
      <c r="AB107" s="10">
        <v>471</v>
      </c>
      <c r="AC107" s="10">
        <v>431</v>
      </c>
      <c r="AD107" s="10">
        <v>259</v>
      </c>
      <c r="AE107" s="10">
        <v>138</v>
      </c>
      <c r="AF107" s="10">
        <v>50</v>
      </c>
      <c r="AG107" s="10">
        <v>30</v>
      </c>
      <c r="AH107" s="102">
        <f>SUM(Tableau2[[#This Row],[Td 2]:[Td 5]])</f>
        <v>477</v>
      </c>
      <c r="AI107" s="10">
        <v>58.3</v>
      </c>
      <c r="AJ107" s="10">
        <v>100</v>
      </c>
      <c r="AK107" s="17">
        <f t="shared" si="11"/>
        <v>0</v>
      </c>
      <c r="AL107" s="17">
        <f t="shared" si="12"/>
        <v>66</v>
      </c>
      <c r="AM107" s="17">
        <f t="shared" si="13"/>
        <v>436</v>
      </c>
    </row>
    <row r="108" spans="1:39" s="3" customFormat="1" x14ac:dyDescent="0.25">
      <c r="A108" s="2" t="s">
        <v>16</v>
      </c>
      <c r="B108" s="29" t="s">
        <v>740</v>
      </c>
      <c r="C108" s="2" t="s">
        <v>22</v>
      </c>
      <c r="D108" s="2" t="s">
        <v>152</v>
      </c>
      <c r="E108" s="14">
        <v>12465</v>
      </c>
      <c r="F108" s="15">
        <f t="shared" si="7"/>
        <v>435.02850000000001</v>
      </c>
      <c r="G108" s="15">
        <f t="shared" si="8"/>
        <v>498.6</v>
      </c>
      <c r="H108" s="15">
        <f t="shared" si="9"/>
        <v>362.52375000000001</v>
      </c>
      <c r="I108" s="15">
        <f t="shared" si="10"/>
        <v>415.50000000000006</v>
      </c>
      <c r="J108" s="10">
        <v>344</v>
      </c>
      <c r="K108" s="10">
        <v>287</v>
      </c>
      <c r="L108" s="10">
        <v>342</v>
      </c>
      <c r="M108" s="10">
        <v>312</v>
      </c>
      <c r="N108" s="10">
        <v>287</v>
      </c>
      <c r="O108" s="10">
        <v>342</v>
      </c>
      <c r="P108" s="10">
        <v>312</v>
      </c>
      <c r="Q108" s="10">
        <v>287</v>
      </c>
      <c r="R108" s="10">
        <v>342</v>
      </c>
      <c r="S108" s="10">
        <v>312</v>
      </c>
      <c r="T108" s="10">
        <v>287</v>
      </c>
      <c r="U108" s="10">
        <v>338</v>
      </c>
      <c r="V108" s="10">
        <v>312</v>
      </c>
      <c r="W108" s="10">
        <v>285</v>
      </c>
      <c r="X108" s="10">
        <v>297</v>
      </c>
      <c r="Y108" s="10">
        <v>230</v>
      </c>
      <c r="Z108" s="10">
        <v>261</v>
      </c>
      <c r="AA108" s="10">
        <v>285</v>
      </c>
      <c r="AB108" s="10">
        <v>234</v>
      </c>
      <c r="AC108" s="10">
        <v>129</v>
      </c>
      <c r="AD108" s="10">
        <v>76</v>
      </c>
      <c r="AE108" s="10">
        <v>58</v>
      </c>
      <c r="AF108" s="10">
        <v>29</v>
      </c>
      <c r="AG108" s="10">
        <v>13</v>
      </c>
      <c r="AH108" s="102">
        <f>SUM(Tableau2[[#This Row],[Td 2]:[Td 5]])</f>
        <v>176</v>
      </c>
      <c r="AI108" s="10">
        <v>58.3</v>
      </c>
      <c r="AJ108" s="10">
        <v>100</v>
      </c>
      <c r="AK108" s="17">
        <f t="shared" si="11"/>
        <v>20.523750000000007</v>
      </c>
      <c r="AL108" s="17">
        <f t="shared" si="12"/>
        <v>45</v>
      </c>
      <c r="AM108" s="17">
        <f t="shared" si="13"/>
        <v>261</v>
      </c>
    </row>
    <row r="109" spans="1:39" s="3" customFormat="1" x14ac:dyDescent="0.25">
      <c r="A109" s="2" t="s">
        <v>16</v>
      </c>
      <c r="B109" s="29" t="s">
        <v>740</v>
      </c>
      <c r="C109" s="2" t="s">
        <v>22</v>
      </c>
      <c r="D109" s="2" t="s">
        <v>153</v>
      </c>
      <c r="E109" s="14">
        <v>17605</v>
      </c>
      <c r="F109" s="15">
        <f t="shared" si="7"/>
        <v>614.41449999999998</v>
      </c>
      <c r="G109" s="15">
        <f t="shared" si="8"/>
        <v>704.2</v>
      </c>
      <c r="H109" s="15">
        <f t="shared" si="9"/>
        <v>512.01208333333329</v>
      </c>
      <c r="I109" s="15">
        <f t="shared" si="10"/>
        <v>586.83333333333337</v>
      </c>
      <c r="J109" s="10">
        <v>524</v>
      </c>
      <c r="K109" s="10">
        <v>462</v>
      </c>
      <c r="L109" s="10">
        <v>546</v>
      </c>
      <c r="M109" s="10">
        <v>488</v>
      </c>
      <c r="N109" s="10">
        <v>514</v>
      </c>
      <c r="O109" s="10">
        <v>546</v>
      </c>
      <c r="P109" s="10">
        <v>498</v>
      </c>
      <c r="Q109" s="10">
        <v>514</v>
      </c>
      <c r="R109" s="10">
        <v>546</v>
      </c>
      <c r="S109" s="10">
        <v>496</v>
      </c>
      <c r="T109" s="10">
        <v>514</v>
      </c>
      <c r="U109" s="10">
        <v>546</v>
      </c>
      <c r="V109" s="10">
        <v>488</v>
      </c>
      <c r="W109" s="10">
        <v>514</v>
      </c>
      <c r="X109" s="10">
        <v>411</v>
      </c>
      <c r="Y109" s="10">
        <v>141</v>
      </c>
      <c r="Z109" s="10">
        <v>429</v>
      </c>
      <c r="AA109" s="10">
        <v>516</v>
      </c>
      <c r="AB109" s="10">
        <v>197</v>
      </c>
      <c r="AC109" s="10">
        <v>384</v>
      </c>
      <c r="AD109" s="10">
        <v>181</v>
      </c>
      <c r="AE109" s="10">
        <v>91</v>
      </c>
      <c r="AF109" s="10">
        <v>27</v>
      </c>
      <c r="AG109" s="10">
        <v>7</v>
      </c>
      <c r="AH109" s="102">
        <f>SUM(Tableau2[[#This Row],[Td 2]:[Td 5]])</f>
        <v>306</v>
      </c>
      <c r="AI109" s="10">
        <v>58.3</v>
      </c>
      <c r="AJ109" s="10">
        <v>100</v>
      </c>
      <c r="AK109" s="17">
        <f t="shared" si="11"/>
        <v>0</v>
      </c>
      <c r="AL109" s="17">
        <f t="shared" si="12"/>
        <v>135</v>
      </c>
      <c r="AM109" s="17">
        <f t="shared" si="13"/>
        <v>411</v>
      </c>
    </row>
    <row r="110" spans="1:39" s="3" customFormat="1" x14ac:dyDescent="0.25">
      <c r="A110" s="2" t="s">
        <v>16</v>
      </c>
      <c r="B110" s="29" t="s">
        <v>740</v>
      </c>
      <c r="C110" s="2" t="s">
        <v>22</v>
      </c>
      <c r="D110" s="2" t="s">
        <v>154</v>
      </c>
      <c r="E110" s="14">
        <v>14384</v>
      </c>
      <c r="F110" s="15">
        <f t="shared" si="7"/>
        <v>502.0016</v>
      </c>
      <c r="G110" s="15">
        <f t="shared" si="8"/>
        <v>575.36</v>
      </c>
      <c r="H110" s="15">
        <f t="shared" si="9"/>
        <v>418.33466666666664</v>
      </c>
      <c r="I110" s="15">
        <f t="shared" si="10"/>
        <v>479.46666666666664</v>
      </c>
      <c r="J110" s="10">
        <v>457</v>
      </c>
      <c r="K110" s="10">
        <v>474</v>
      </c>
      <c r="L110" s="10">
        <v>417</v>
      </c>
      <c r="M110" s="10">
        <v>380</v>
      </c>
      <c r="N110" s="10">
        <v>384</v>
      </c>
      <c r="O110" s="10">
        <v>417</v>
      </c>
      <c r="P110" s="10">
        <v>380</v>
      </c>
      <c r="Q110" s="10">
        <v>384</v>
      </c>
      <c r="R110" s="10">
        <v>417</v>
      </c>
      <c r="S110" s="10">
        <v>380</v>
      </c>
      <c r="T110" s="10">
        <v>384</v>
      </c>
      <c r="U110" s="10">
        <v>417</v>
      </c>
      <c r="V110" s="10">
        <v>380</v>
      </c>
      <c r="W110" s="10">
        <v>384</v>
      </c>
      <c r="X110" s="10">
        <v>400</v>
      </c>
      <c r="Y110" s="10">
        <v>228</v>
      </c>
      <c r="Z110" s="10">
        <v>410</v>
      </c>
      <c r="AA110" s="10">
        <v>378</v>
      </c>
      <c r="AB110" s="10">
        <v>400</v>
      </c>
      <c r="AC110" s="10">
        <v>126</v>
      </c>
      <c r="AD110" s="10">
        <v>64</v>
      </c>
      <c r="AE110" s="10">
        <v>37</v>
      </c>
      <c r="AF110" s="10">
        <v>31</v>
      </c>
      <c r="AG110" s="10">
        <v>28</v>
      </c>
      <c r="AH110" s="102">
        <f>SUM(Tableau2[[#This Row],[Td 2]:[Td 5]])</f>
        <v>160</v>
      </c>
      <c r="AI110" s="10">
        <v>58.3</v>
      </c>
      <c r="AJ110" s="10">
        <v>100</v>
      </c>
      <c r="AK110" s="17">
        <f t="shared" si="11"/>
        <v>1.3346666666666351</v>
      </c>
      <c r="AL110" s="17">
        <f t="shared" si="12"/>
        <v>17</v>
      </c>
      <c r="AM110" s="17">
        <f t="shared" si="13"/>
        <v>400</v>
      </c>
    </row>
    <row r="111" spans="1:39" s="3" customFormat="1" x14ac:dyDescent="0.25">
      <c r="A111" s="2" t="s">
        <v>16</v>
      </c>
      <c r="B111" s="29" t="s">
        <v>740</v>
      </c>
      <c r="C111" s="2" t="s">
        <v>22</v>
      </c>
      <c r="D111" s="2" t="s">
        <v>155</v>
      </c>
      <c r="E111" s="14">
        <v>12845</v>
      </c>
      <c r="F111" s="15">
        <f t="shared" si="7"/>
        <v>448.29050000000001</v>
      </c>
      <c r="G111" s="15">
        <f t="shared" si="8"/>
        <v>513.79999999999995</v>
      </c>
      <c r="H111" s="15">
        <f t="shared" si="9"/>
        <v>373.57541666666668</v>
      </c>
      <c r="I111" s="15">
        <f t="shared" si="10"/>
        <v>428.16666666666663</v>
      </c>
      <c r="J111" s="10">
        <v>316</v>
      </c>
      <c r="K111" s="10">
        <v>316</v>
      </c>
      <c r="L111" s="10">
        <v>534</v>
      </c>
      <c r="M111" s="10">
        <v>433</v>
      </c>
      <c r="N111" s="10">
        <v>428</v>
      </c>
      <c r="O111" s="10">
        <v>534</v>
      </c>
      <c r="P111" s="10">
        <v>433</v>
      </c>
      <c r="Q111" s="10">
        <v>428</v>
      </c>
      <c r="R111" s="10">
        <v>534</v>
      </c>
      <c r="S111" s="10">
        <v>433</v>
      </c>
      <c r="T111" s="10">
        <v>428</v>
      </c>
      <c r="U111" s="10">
        <v>534</v>
      </c>
      <c r="V111" s="10">
        <v>433</v>
      </c>
      <c r="W111" s="10">
        <v>428</v>
      </c>
      <c r="X111" s="10">
        <v>469</v>
      </c>
      <c r="Y111" s="10">
        <v>319</v>
      </c>
      <c r="Z111" s="10">
        <v>461</v>
      </c>
      <c r="AA111" s="10">
        <v>434</v>
      </c>
      <c r="AB111" s="10">
        <v>407</v>
      </c>
      <c r="AC111" s="10">
        <v>264</v>
      </c>
      <c r="AD111" s="10">
        <v>217</v>
      </c>
      <c r="AE111" s="10">
        <v>145</v>
      </c>
      <c r="AF111" s="10">
        <v>26</v>
      </c>
      <c r="AG111" s="10">
        <v>2</v>
      </c>
      <c r="AH111" s="102">
        <f>SUM(Tableau2[[#This Row],[Td 2]:[Td 5]])</f>
        <v>390</v>
      </c>
      <c r="AI111" s="10">
        <v>58.3</v>
      </c>
      <c r="AJ111" s="10">
        <v>100</v>
      </c>
      <c r="AK111" s="17">
        <f t="shared" si="11"/>
        <v>0</v>
      </c>
      <c r="AL111" s="17">
        <f t="shared" si="12"/>
        <v>65</v>
      </c>
      <c r="AM111" s="17">
        <f t="shared" si="13"/>
        <v>461</v>
      </c>
    </row>
    <row r="112" spans="1:39" s="3" customFormat="1" x14ac:dyDescent="0.25">
      <c r="A112" s="2" t="s">
        <v>16</v>
      </c>
      <c r="B112" s="29" t="s">
        <v>739</v>
      </c>
      <c r="C112" s="2" t="s">
        <v>23</v>
      </c>
      <c r="D112" s="2" t="s">
        <v>156</v>
      </c>
      <c r="E112" s="14">
        <v>22568</v>
      </c>
      <c r="F112" s="15">
        <f t="shared" si="7"/>
        <v>787.6232</v>
      </c>
      <c r="G112" s="15">
        <f t="shared" si="8"/>
        <v>902.72</v>
      </c>
      <c r="H112" s="15">
        <f t="shared" si="9"/>
        <v>656.35266666666666</v>
      </c>
      <c r="I112" s="15">
        <f t="shared" si="10"/>
        <v>752.26666666666677</v>
      </c>
      <c r="J112" s="10">
        <v>490</v>
      </c>
      <c r="K112" s="10">
        <v>85</v>
      </c>
      <c r="L112" s="10">
        <v>598</v>
      </c>
      <c r="M112" s="10">
        <v>540</v>
      </c>
      <c r="N112" s="10">
        <v>565</v>
      </c>
      <c r="O112" s="10">
        <v>533</v>
      </c>
      <c r="P112" s="10">
        <v>484</v>
      </c>
      <c r="Q112" s="10">
        <v>506</v>
      </c>
      <c r="R112" s="10">
        <v>533</v>
      </c>
      <c r="S112" s="10">
        <v>484</v>
      </c>
      <c r="T112" s="10">
        <v>506</v>
      </c>
      <c r="U112" s="10">
        <v>528</v>
      </c>
      <c r="V112" s="10">
        <v>480</v>
      </c>
      <c r="W112" s="10">
        <v>507</v>
      </c>
      <c r="X112" s="10">
        <v>529</v>
      </c>
      <c r="Y112" s="10">
        <v>44</v>
      </c>
      <c r="Z112" s="10">
        <v>529</v>
      </c>
      <c r="AA112" s="10">
        <v>575</v>
      </c>
      <c r="AB112" s="10">
        <v>529</v>
      </c>
      <c r="AC112" s="10">
        <v>62</v>
      </c>
      <c r="AD112" s="10">
        <v>33</v>
      </c>
      <c r="AE112" s="10">
        <v>26</v>
      </c>
      <c r="AF112" s="10">
        <v>19</v>
      </c>
      <c r="AG112" s="10">
        <v>13</v>
      </c>
      <c r="AH112" s="102">
        <f>SUM(Tableau2[[#This Row],[Td 2]:[Td 5]])</f>
        <v>91</v>
      </c>
      <c r="AI112" s="10">
        <v>58.3</v>
      </c>
      <c r="AJ112" s="10">
        <v>100</v>
      </c>
      <c r="AK112" s="17">
        <f t="shared" si="11"/>
        <v>123.35266666666666</v>
      </c>
      <c r="AL112" s="17">
        <f t="shared" si="12"/>
        <v>4</v>
      </c>
      <c r="AM112" s="17">
        <f t="shared" si="13"/>
        <v>529</v>
      </c>
    </row>
    <row r="113" spans="1:39" s="3" customFormat="1" x14ac:dyDescent="0.25">
      <c r="A113" s="2" t="s">
        <v>16</v>
      </c>
      <c r="B113" s="29" t="s">
        <v>739</v>
      </c>
      <c r="C113" s="2" t="s">
        <v>23</v>
      </c>
      <c r="D113" s="2" t="s">
        <v>157</v>
      </c>
      <c r="E113" s="14">
        <v>16032</v>
      </c>
      <c r="F113" s="15">
        <f t="shared" si="7"/>
        <v>559.51679999999999</v>
      </c>
      <c r="G113" s="15">
        <f t="shared" si="8"/>
        <v>641.28</v>
      </c>
      <c r="H113" s="15">
        <f t="shared" si="9"/>
        <v>466.26399999999995</v>
      </c>
      <c r="I113" s="15">
        <f t="shared" si="10"/>
        <v>534.4</v>
      </c>
      <c r="J113" s="10">
        <v>411</v>
      </c>
      <c r="K113" s="10">
        <v>52</v>
      </c>
      <c r="L113" s="10">
        <v>409</v>
      </c>
      <c r="M113" s="10">
        <v>404</v>
      </c>
      <c r="N113" s="10">
        <v>379</v>
      </c>
      <c r="O113" s="10">
        <v>444</v>
      </c>
      <c r="P113" s="10">
        <v>404</v>
      </c>
      <c r="Q113" s="10">
        <v>391</v>
      </c>
      <c r="R113" s="10">
        <v>442</v>
      </c>
      <c r="S113" s="10">
        <v>403</v>
      </c>
      <c r="T113" s="10">
        <v>325</v>
      </c>
      <c r="U113" s="10">
        <v>283</v>
      </c>
      <c r="V113" s="10">
        <v>273</v>
      </c>
      <c r="W113" s="10">
        <v>259</v>
      </c>
      <c r="X113" s="10">
        <v>456</v>
      </c>
      <c r="Y113" s="10">
        <v>50</v>
      </c>
      <c r="Z113" s="10">
        <v>319</v>
      </c>
      <c r="AA113" s="10">
        <v>376</v>
      </c>
      <c r="AB113" s="10">
        <v>378</v>
      </c>
      <c r="AC113" s="10">
        <v>687</v>
      </c>
      <c r="AD113" s="10">
        <v>424</v>
      </c>
      <c r="AE113" s="10">
        <v>79</v>
      </c>
      <c r="AF113" s="10">
        <v>16</v>
      </c>
      <c r="AG113" s="10">
        <v>13</v>
      </c>
      <c r="AH113" s="102">
        <f>SUM(Tableau2[[#This Row],[Td 2]:[Td 5]])</f>
        <v>532</v>
      </c>
      <c r="AI113" s="10">
        <v>50</v>
      </c>
      <c r="AJ113" s="10">
        <v>100</v>
      </c>
      <c r="AK113" s="17">
        <f t="shared" si="11"/>
        <v>22.263999999999953</v>
      </c>
      <c r="AL113" s="17">
        <f t="shared" si="12"/>
        <v>0</v>
      </c>
      <c r="AM113" s="17">
        <f t="shared" si="13"/>
        <v>319</v>
      </c>
    </row>
    <row r="114" spans="1:39" s="3" customFormat="1" x14ac:dyDescent="0.25">
      <c r="A114" s="2" t="s">
        <v>16</v>
      </c>
      <c r="B114" s="29" t="s">
        <v>739</v>
      </c>
      <c r="C114" s="2" t="s">
        <v>23</v>
      </c>
      <c r="D114" s="2" t="s">
        <v>158</v>
      </c>
      <c r="E114" s="14">
        <v>12822</v>
      </c>
      <c r="F114" s="15">
        <f t="shared" si="7"/>
        <v>447.48779999999999</v>
      </c>
      <c r="G114" s="15">
        <f t="shared" si="8"/>
        <v>512.88</v>
      </c>
      <c r="H114" s="15">
        <f t="shared" si="9"/>
        <v>372.90649999999999</v>
      </c>
      <c r="I114" s="15">
        <f t="shared" si="10"/>
        <v>427.40000000000003</v>
      </c>
      <c r="J114" s="10">
        <v>645</v>
      </c>
      <c r="K114" s="10">
        <v>348</v>
      </c>
      <c r="L114" s="10">
        <v>315</v>
      </c>
      <c r="M114" s="10">
        <v>286</v>
      </c>
      <c r="N114" s="10">
        <v>271</v>
      </c>
      <c r="O114" s="10">
        <v>330</v>
      </c>
      <c r="P114" s="10">
        <v>295</v>
      </c>
      <c r="Q114" s="10">
        <v>283</v>
      </c>
      <c r="R114" s="10">
        <v>323</v>
      </c>
      <c r="S114" s="10">
        <v>301</v>
      </c>
      <c r="T114" s="10">
        <v>274</v>
      </c>
      <c r="U114" s="10">
        <v>340</v>
      </c>
      <c r="V114" s="10">
        <v>302</v>
      </c>
      <c r="W114" s="10">
        <v>305</v>
      </c>
      <c r="X114" s="10">
        <v>304</v>
      </c>
      <c r="Y114" s="10">
        <v>56</v>
      </c>
      <c r="Z114" s="10">
        <v>277</v>
      </c>
      <c r="AA114" s="10">
        <v>284</v>
      </c>
      <c r="AB114" s="10">
        <v>304</v>
      </c>
      <c r="AC114" s="10">
        <v>806</v>
      </c>
      <c r="AD114" s="10">
        <v>656</v>
      </c>
      <c r="AE114" s="10">
        <v>371</v>
      </c>
      <c r="AF114" s="10">
        <v>288</v>
      </c>
      <c r="AG114" s="10">
        <v>209</v>
      </c>
      <c r="AH114" s="102">
        <f>SUM(Tableau2[[#This Row],[Td 2]:[Td 5]])</f>
        <v>1524</v>
      </c>
      <c r="AI114" s="10">
        <v>58.3</v>
      </c>
      <c r="AJ114" s="10">
        <v>100</v>
      </c>
      <c r="AK114" s="17">
        <f t="shared" si="11"/>
        <v>42.906499999999994</v>
      </c>
      <c r="AL114" s="17">
        <f t="shared" si="12"/>
        <v>26</v>
      </c>
      <c r="AM114" s="17">
        <f t="shared" si="13"/>
        <v>277</v>
      </c>
    </row>
    <row r="115" spans="1:39" s="3" customFormat="1" x14ac:dyDescent="0.25">
      <c r="A115" s="2" t="s">
        <v>16</v>
      </c>
      <c r="B115" s="29" t="s">
        <v>739</v>
      </c>
      <c r="C115" s="2" t="s">
        <v>23</v>
      </c>
      <c r="D115" s="2" t="s">
        <v>159</v>
      </c>
      <c r="E115" s="14">
        <v>10516</v>
      </c>
      <c r="F115" s="15">
        <f t="shared" si="7"/>
        <v>367.00839999999999</v>
      </c>
      <c r="G115" s="15">
        <f t="shared" si="8"/>
        <v>420.64</v>
      </c>
      <c r="H115" s="15">
        <f t="shared" si="9"/>
        <v>305.84033333333332</v>
      </c>
      <c r="I115" s="15">
        <f t="shared" si="10"/>
        <v>350.53333333333336</v>
      </c>
      <c r="J115" s="10">
        <v>250</v>
      </c>
      <c r="K115" s="10">
        <v>84</v>
      </c>
      <c r="L115" s="10">
        <v>299</v>
      </c>
      <c r="M115" s="10">
        <v>272</v>
      </c>
      <c r="N115" s="10">
        <v>299</v>
      </c>
      <c r="O115" s="10">
        <v>235</v>
      </c>
      <c r="P115" s="10">
        <v>231</v>
      </c>
      <c r="Q115" s="10">
        <v>261</v>
      </c>
      <c r="R115" s="10">
        <v>282</v>
      </c>
      <c r="S115" s="10">
        <v>238</v>
      </c>
      <c r="T115" s="10">
        <v>262</v>
      </c>
      <c r="U115" s="10">
        <v>315</v>
      </c>
      <c r="V115" s="10">
        <v>254</v>
      </c>
      <c r="W115" s="10">
        <v>198</v>
      </c>
      <c r="X115" s="10">
        <v>320</v>
      </c>
      <c r="Y115" s="10">
        <v>3</v>
      </c>
      <c r="Z115" s="10">
        <v>296</v>
      </c>
      <c r="AA115" s="10">
        <v>293</v>
      </c>
      <c r="AB115" s="10">
        <v>318</v>
      </c>
      <c r="AC115" s="10">
        <v>138</v>
      </c>
      <c r="AD115" s="10">
        <v>112</v>
      </c>
      <c r="AE115" s="10">
        <v>103</v>
      </c>
      <c r="AF115" s="10">
        <v>93</v>
      </c>
      <c r="AG115" s="10">
        <v>56</v>
      </c>
      <c r="AH115" s="102">
        <f>SUM(Tableau2[[#This Row],[Td 2]:[Td 5]])</f>
        <v>364</v>
      </c>
      <c r="AI115" s="10">
        <v>50</v>
      </c>
      <c r="AJ115" s="10">
        <v>100</v>
      </c>
      <c r="AK115" s="17">
        <f t="shared" si="11"/>
        <v>70.840333333333319</v>
      </c>
      <c r="AL115" s="17">
        <f t="shared" si="12"/>
        <v>0</v>
      </c>
      <c r="AM115" s="17">
        <f t="shared" si="13"/>
        <v>296</v>
      </c>
    </row>
    <row r="116" spans="1:39" s="3" customFormat="1" x14ac:dyDescent="0.25">
      <c r="A116" s="2" t="s">
        <v>16</v>
      </c>
      <c r="B116" s="29" t="s">
        <v>739</v>
      </c>
      <c r="C116" s="2" t="s">
        <v>23</v>
      </c>
      <c r="D116" s="2" t="s">
        <v>160</v>
      </c>
      <c r="E116" s="14">
        <v>15729</v>
      </c>
      <c r="F116" s="15">
        <f t="shared" si="7"/>
        <v>548.94209999999998</v>
      </c>
      <c r="G116" s="15">
        <f t="shared" si="8"/>
        <v>629.16</v>
      </c>
      <c r="H116" s="15">
        <f t="shared" si="9"/>
        <v>457.45174999999995</v>
      </c>
      <c r="I116" s="15">
        <f t="shared" si="10"/>
        <v>524.29999999999995</v>
      </c>
      <c r="J116" s="10">
        <v>328</v>
      </c>
      <c r="K116" s="10">
        <v>40</v>
      </c>
      <c r="L116" s="10">
        <v>272</v>
      </c>
      <c r="M116" s="10">
        <v>307</v>
      </c>
      <c r="N116" s="10">
        <v>371</v>
      </c>
      <c r="O116" s="10">
        <v>323</v>
      </c>
      <c r="P116" s="10">
        <v>317</v>
      </c>
      <c r="Q116" s="10">
        <v>330</v>
      </c>
      <c r="R116" s="10">
        <v>362</v>
      </c>
      <c r="S116" s="10">
        <v>353</v>
      </c>
      <c r="T116" s="10">
        <v>370</v>
      </c>
      <c r="U116" s="10">
        <v>335</v>
      </c>
      <c r="V116" s="10">
        <v>326</v>
      </c>
      <c r="W116" s="10">
        <v>345</v>
      </c>
      <c r="X116" s="10">
        <v>357</v>
      </c>
      <c r="Y116" s="10">
        <v>108</v>
      </c>
      <c r="Z116" s="10">
        <v>357</v>
      </c>
      <c r="AA116" s="10">
        <v>370</v>
      </c>
      <c r="AB116" s="10">
        <v>193</v>
      </c>
      <c r="AC116" s="10">
        <v>118</v>
      </c>
      <c r="AD116" s="10">
        <v>60</v>
      </c>
      <c r="AE116" s="10">
        <v>15</v>
      </c>
      <c r="AF116" s="10">
        <v>8</v>
      </c>
      <c r="AG116" s="10">
        <v>1</v>
      </c>
      <c r="AH116" s="102">
        <f>SUM(Tableau2[[#This Row],[Td 2]:[Td 5]])</f>
        <v>84</v>
      </c>
      <c r="AI116" s="10">
        <v>58.3</v>
      </c>
      <c r="AJ116" s="10">
        <v>100</v>
      </c>
      <c r="AK116" s="17">
        <f t="shared" si="11"/>
        <v>134.45174999999995</v>
      </c>
      <c r="AL116" s="17">
        <f t="shared" si="12"/>
        <v>0</v>
      </c>
      <c r="AM116" s="17">
        <f t="shared" si="13"/>
        <v>357</v>
      </c>
    </row>
    <row r="117" spans="1:39" s="3" customFormat="1" x14ac:dyDescent="0.25">
      <c r="A117" s="2" t="s">
        <v>16</v>
      </c>
      <c r="B117" s="29" t="s">
        <v>739</v>
      </c>
      <c r="C117" s="2" t="s">
        <v>23</v>
      </c>
      <c r="D117" s="2" t="s">
        <v>161</v>
      </c>
      <c r="E117" s="14">
        <v>14776</v>
      </c>
      <c r="F117" s="15">
        <f t="shared" si="7"/>
        <v>515.68240000000003</v>
      </c>
      <c r="G117" s="15">
        <f t="shared" si="8"/>
        <v>591.04</v>
      </c>
      <c r="H117" s="15">
        <f t="shared" si="9"/>
        <v>429.73533333333336</v>
      </c>
      <c r="I117" s="15">
        <f t="shared" si="10"/>
        <v>492.5333333333333</v>
      </c>
      <c r="J117" s="10">
        <v>164</v>
      </c>
      <c r="K117" s="10">
        <v>53</v>
      </c>
      <c r="L117" s="10">
        <v>360</v>
      </c>
      <c r="M117" s="10">
        <v>354</v>
      </c>
      <c r="N117" s="10">
        <v>320</v>
      </c>
      <c r="O117" s="10">
        <v>316</v>
      </c>
      <c r="P117" s="10">
        <v>303</v>
      </c>
      <c r="Q117" s="10">
        <v>296</v>
      </c>
      <c r="R117" s="10">
        <v>328</v>
      </c>
      <c r="S117" s="10">
        <v>306</v>
      </c>
      <c r="T117" s="10">
        <v>289</v>
      </c>
      <c r="U117" s="10">
        <v>327</v>
      </c>
      <c r="V117" s="10">
        <v>316</v>
      </c>
      <c r="W117" s="10">
        <v>287</v>
      </c>
      <c r="X117" s="10">
        <v>354</v>
      </c>
      <c r="Y117" s="10">
        <v>45</v>
      </c>
      <c r="Z117" s="10">
        <v>335</v>
      </c>
      <c r="AA117" s="10">
        <v>313</v>
      </c>
      <c r="AB117" s="10">
        <v>354</v>
      </c>
      <c r="AC117" s="10">
        <v>48</v>
      </c>
      <c r="AD117" s="10">
        <v>39</v>
      </c>
      <c r="AE117" s="10">
        <v>37</v>
      </c>
      <c r="AF117" s="10">
        <v>30</v>
      </c>
      <c r="AG117" s="10">
        <v>18</v>
      </c>
      <c r="AH117" s="102">
        <f>SUM(Tableau2[[#This Row],[Td 2]:[Td 5]])</f>
        <v>124</v>
      </c>
      <c r="AI117" s="10">
        <v>58.3</v>
      </c>
      <c r="AJ117" s="10">
        <v>100</v>
      </c>
      <c r="AK117" s="17">
        <f t="shared" si="11"/>
        <v>113.73533333333336</v>
      </c>
      <c r="AL117" s="17">
        <f t="shared" si="12"/>
        <v>0</v>
      </c>
      <c r="AM117" s="17">
        <f t="shared" si="13"/>
        <v>335</v>
      </c>
    </row>
    <row r="118" spans="1:39" s="3" customFormat="1" x14ac:dyDescent="0.25">
      <c r="A118" s="2" t="s">
        <v>16</v>
      </c>
      <c r="B118" s="29" t="s">
        <v>739</v>
      </c>
      <c r="C118" s="2" t="s">
        <v>23</v>
      </c>
      <c r="D118" s="2" t="s">
        <v>162</v>
      </c>
      <c r="E118" s="14">
        <v>18987</v>
      </c>
      <c r="F118" s="15">
        <f t="shared" si="7"/>
        <v>662.6463</v>
      </c>
      <c r="G118" s="15">
        <f t="shared" si="8"/>
        <v>759.48</v>
      </c>
      <c r="H118" s="15">
        <f t="shared" si="9"/>
        <v>552.20524999999998</v>
      </c>
      <c r="I118" s="15">
        <f t="shared" si="10"/>
        <v>632.9</v>
      </c>
      <c r="J118" s="10">
        <v>546</v>
      </c>
      <c r="K118" s="10">
        <v>154</v>
      </c>
      <c r="L118" s="10">
        <v>519</v>
      </c>
      <c r="M118" s="10">
        <v>490</v>
      </c>
      <c r="N118" s="10">
        <v>507</v>
      </c>
      <c r="O118" s="10">
        <v>488</v>
      </c>
      <c r="P118" s="10">
        <v>405</v>
      </c>
      <c r="Q118" s="10">
        <v>422</v>
      </c>
      <c r="R118" s="10">
        <v>445</v>
      </c>
      <c r="S118" s="10">
        <v>423</v>
      </c>
      <c r="T118" s="10">
        <v>438</v>
      </c>
      <c r="U118" s="10">
        <v>448</v>
      </c>
      <c r="V118" s="10">
        <v>423</v>
      </c>
      <c r="W118" s="10">
        <v>438</v>
      </c>
      <c r="X118" s="10">
        <v>530</v>
      </c>
      <c r="Y118" s="10">
        <v>143</v>
      </c>
      <c r="Z118" s="10">
        <v>482</v>
      </c>
      <c r="AA118" s="10">
        <v>511</v>
      </c>
      <c r="AB118" s="10">
        <v>587</v>
      </c>
      <c r="AC118" s="10">
        <v>124</v>
      </c>
      <c r="AD118" s="10">
        <v>91</v>
      </c>
      <c r="AE118" s="10">
        <v>186</v>
      </c>
      <c r="AF118" s="10">
        <v>43</v>
      </c>
      <c r="AG118" s="10">
        <v>19</v>
      </c>
      <c r="AH118" s="102">
        <f>SUM(Tableau2[[#This Row],[Td 2]:[Td 5]])</f>
        <v>339</v>
      </c>
      <c r="AI118" s="10">
        <v>58.3</v>
      </c>
      <c r="AJ118" s="10">
        <v>100</v>
      </c>
      <c r="AK118" s="17">
        <f t="shared" si="11"/>
        <v>64.205249999999978</v>
      </c>
      <c r="AL118" s="17">
        <f t="shared" si="12"/>
        <v>0</v>
      </c>
      <c r="AM118" s="17">
        <f t="shared" si="13"/>
        <v>482</v>
      </c>
    </row>
    <row r="119" spans="1:39" s="3" customFormat="1" x14ac:dyDescent="0.25">
      <c r="A119" s="2" t="s">
        <v>16</v>
      </c>
      <c r="B119" s="29" t="s">
        <v>739</v>
      </c>
      <c r="C119" s="2" t="s">
        <v>23</v>
      </c>
      <c r="D119" s="2" t="s">
        <v>163</v>
      </c>
      <c r="E119" s="14">
        <v>23425</v>
      </c>
      <c r="F119" s="15">
        <f t="shared" si="7"/>
        <v>817.53250000000003</v>
      </c>
      <c r="G119" s="15">
        <f t="shared" si="8"/>
        <v>937</v>
      </c>
      <c r="H119" s="15">
        <f t="shared" si="9"/>
        <v>681.27708333333328</v>
      </c>
      <c r="I119" s="15">
        <f t="shared" si="10"/>
        <v>780.83333333333326</v>
      </c>
      <c r="J119" s="10">
        <v>451</v>
      </c>
      <c r="K119" s="10">
        <v>194</v>
      </c>
      <c r="L119" s="10">
        <v>614</v>
      </c>
      <c r="M119" s="10">
        <v>464</v>
      </c>
      <c r="N119" s="10">
        <v>560</v>
      </c>
      <c r="O119" s="10">
        <v>549</v>
      </c>
      <c r="P119" s="10">
        <v>410</v>
      </c>
      <c r="Q119" s="10">
        <v>505</v>
      </c>
      <c r="R119" s="10">
        <v>566</v>
      </c>
      <c r="S119" s="10">
        <v>411</v>
      </c>
      <c r="T119" s="10">
        <v>496</v>
      </c>
      <c r="U119" s="10">
        <v>531</v>
      </c>
      <c r="V119" s="10">
        <v>360</v>
      </c>
      <c r="W119" s="10">
        <v>409</v>
      </c>
      <c r="X119" s="10">
        <v>582</v>
      </c>
      <c r="Y119" s="10">
        <v>56</v>
      </c>
      <c r="Z119" s="10">
        <v>503</v>
      </c>
      <c r="AA119" s="10">
        <v>557</v>
      </c>
      <c r="AB119" s="10">
        <v>582</v>
      </c>
      <c r="AC119" s="10">
        <v>57</v>
      </c>
      <c r="AD119" s="10">
        <v>25</v>
      </c>
      <c r="AE119" s="10">
        <v>31</v>
      </c>
      <c r="AF119" s="10">
        <v>15</v>
      </c>
      <c r="AG119" s="10">
        <v>18</v>
      </c>
      <c r="AH119" s="102">
        <f>SUM(Tableau2[[#This Row],[Td 2]:[Td 5]])</f>
        <v>89</v>
      </c>
      <c r="AI119" s="10">
        <v>58.3</v>
      </c>
      <c r="AJ119" s="10">
        <v>100</v>
      </c>
      <c r="AK119" s="17">
        <f t="shared" si="11"/>
        <v>132.27708333333328</v>
      </c>
      <c r="AL119" s="17">
        <f t="shared" si="12"/>
        <v>0</v>
      </c>
      <c r="AM119" s="17">
        <f t="shared" si="13"/>
        <v>503</v>
      </c>
    </row>
    <row r="120" spans="1:39" s="3" customFormat="1" x14ac:dyDescent="0.25">
      <c r="A120" s="2" t="s">
        <v>16</v>
      </c>
      <c r="B120" s="29" t="s">
        <v>739</v>
      </c>
      <c r="C120" s="2" t="s">
        <v>23</v>
      </c>
      <c r="D120" s="2" t="s">
        <v>164</v>
      </c>
      <c r="E120" s="14">
        <v>11463</v>
      </c>
      <c r="F120" s="15">
        <f t="shared" si="7"/>
        <v>400.05869999999999</v>
      </c>
      <c r="G120" s="15">
        <f t="shared" si="8"/>
        <v>458.52</v>
      </c>
      <c r="H120" s="15">
        <f t="shared" si="9"/>
        <v>333.38225</v>
      </c>
      <c r="I120" s="15">
        <f t="shared" si="10"/>
        <v>382.1</v>
      </c>
      <c r="J120" s="10">
        <v>383</v>
      </c>
      <c r="K120" s="10">
        <v>34</v>
      </c>
      <c r="L120" s="10">
        <v>461</v>
      </c>
      <c r="M120" s="10">
        <v>442</v>
      </c>
      <c r="N120" s="10">
        <v>398</v>
      </c>
      <c r="O120" s="10">
        <v>447</v>
      </c>
      <c r="P120" s="10">
        <v>432</v>
      </c>
      <c r="Q120" s="10">
        <v>390</v>
      </c>
      <c r="R120" s="10">
        <v>454</v>
      </c>
      <c r="S120" s="10">
        <v>435</v>
      </c>
      <c r="T120" s="10">
        <v>390</v>
      </c>
      <c r="U120" s="10">
        <v>434</v>
      </c>
      <c r="V120" s="10">
        <v>420</v>
      </c>
      <c r="W120" s="10">
        <v>371</v>
      </c>
      <c r="X120" s="10">
        <v>396</v>
      </c>
      <c r="Y120" s="10">
        <v>37</v>
      </c>
      <c r="Z120" s="10">
        <v>396</v>
      </c>
      <c r="AA120" s="10">
        <v>398</v>
      </c>
      <c r="AB120" s="10">
        <v>365</v>
      </c>
      <c r="AC120" s="10">
        <v>63</v>
      </c>
      <c r="AD120" s="10">
        <v>20</v>
      </c>
      <c r="AE120" s="10">
        <v>1</v>
      </c>
      <c r="AF120" s="10">
        <v>1</v>
      </c>
      <c r="AG120" s="10" t="s">
        <v>2</v>
      </c>
      <c r="AH120" s="102">
        <f>SUM(Tableau2[[#This Row],[Td 2]:[Td 5]])</f>
        <v>22</v>
      </c>
      <c r="AI120" s="10">
        <v>58.3</v>
      </c>
      <c r="AJ120" s="10">
        <v>100</v>
      </c>
      <c r="AK120" s="17">
        <f t="shared" si="11"/>
        <v>0</v>
      </c>
      <c r="AL120" s="17">
        <f t="shared" si="12"/>
        <v>51</v>
      </c>
      <c r="AM120" s="17">
        <f t="shared" si="13"/>
        <v>396</v>
      </c>
    </row>
    <row r="121" spans="1:39" s="3" customFormat="1" x14ac:dyDescent="0.25">
      <c r="A121" s="2" t="s">
        <v>16</v>
      </c>
      <c r="B121" s="29" t="s">
        <v>739</v>
      </c>
      <c r="C121" s="2" t="s">
        <v>23</v>
      </c>
      <c r="D121" s="2" t="s">
        <v>165</v>
      </c>
      <c r="E121" s="14">
        <v>18173</v>
      </c>
      <c r="F121" s="15">
        <f t="shared" si="7"/>
        <v>634.23770000000002</v>
      </c>
      <c r="G121" s="15">
        <f t="shared" si="8"/>
        <v>726.92</v>
      </c>
      <c r="H121" s="15">
        <f t="shared" si="9"/>
        <v>528.5314166666667</v>
      </c>
      <c r="I121" s="15">
        <f t="shared" si="10"/>
        <v>605.76666666666665</v>
      </c>
      <c r="J121" s="10">
        <v>482</v>
      </c>
      <c r="K121" s="10" t="s">
        <v>2</v>
      </c>
      <c r="L121" s="10">
        <v>491</v>
      </c>
      <c r="M121" s="10">
        <v>422</v>
      </c>
      <c r="N121" s="10">
        <v>465</v>
      </c>
      <c r="O121" s="10">
        <v>502</v>
      </c>
      <c r="P121" s="10">
        <v>354</v>
      </c>
      <c r="Q121" s="10">
        <v>380</v>
      </c>
      <c r="R121" s="10">
        <v>481</v>
      </c>
      <c r="S121" s="10">
        <v>382</v>
      </c>
      <c r="T121" s="10">
        <v>413</v>
      </c>
      <c r="U121" s="10">
        <v>514</v>
      </c>
      <c r="V121" s="10">
        <v>349</v>
      </c>
      <c r="W121" s="10">
        <v>371</v>
      </c>
      <c r="X121" s="10">
        <v>441</v>
      </c>
      <c r="Y121" s="10">
        <v>56</v>
      </c>
      <c r="Z121" s="10">
        <v>441</v>
      </c>
      <c r="AA121" s="10">
        <v>465</v>
      </c>
      <c r="AB121" s="10">
        <v>411</v>
      </c>
      <c r="AC121" s="10">
        <v>124</v>
      </c>
      <c r="AD121" s="10">
        <v>59</v>
      </c>
      <c r="AE121" s="10">
        <v>9</v>
      </c>
      <c r="AF121" s="10">
        <v>1</v>
      </c>
      <c r="AG121" s="10">
        <v>1</v>
      </c>
      <c r="AH121" s="102">
        <f>SUM(Tableau2[[#This Row],[Td 2]:[Td 5]])</f>
        <v>70</v>
      </c>
      <c r="AI121" s="10">
        <v>58.3</v>
      </c>
      <c r="AJ121" s="10">
        <v>100</v>
      </c>
      <c r="AK121" s="17">
        <f t="shared" si="11"/>
        <v>26.531416666666701</v>
      </c>
      <c r="AL121" s="17">
        <f t="shared" si="12"/>
        <v>61</v>
      </c>
      <c r="AM121" s="17">
        <f t="shared" si="13"/>
        <v>441</v>
      </c>
    </row>
    <row r="122" spans="1:39" s="3" customFormat="1" x14ac:dyDescent="0.25">
      <c r="A122" s="2" t="s">
        <v>16</v>
      </c>
      <c r="B122" s="29" t="s">
        <v>739</v>
      </c>
      <c r="C122" s="2" t="s">
        <v>23</v>
      </c>
      <c r="D122" s="2" t="s">
        <v>166</v>
      </c>
      <c r="E122" s="14">
        <v>17670</v>
      </c>
      <c r="F122" s="15">
        <f t="shared" si="7"/>
        <v>616.68299999999999</v>
      </c>
      <c r="G122" s="15">
        <f t="shared" si="8"/>
        <v>706.80000000000007</v>
      </c>
      <c r="H122" s="15">
        <f t="shared" si="9"/>
        <v>513.90250000000003</v>
      </c>
      <c r="I122" s="15">
        <f t="shared" si="10"/>
        <v>589</v>
      </c>
      <c r="J122" s="10">
        <v>582</v>
      </c>
      <c r="K122" s="10">
        <v>138</v>
      </c>
      <c r="L122" s="10">
        <v>598</v>
      </c>
      <c r="M122" s="10">
        <v>546</v>
      </c>
      <c r="N122" s="10">
        <v>569</v>
      </c>
      <c r="O122" s="10">
        <v>546</v>
      </c>
      <c r="P122" s="10">
        <v>492</v>
      </c>
      <c r="Q122" s="10">
        <v>512</v>
      </c>
      <c r="R122" s="10">
        <v>591</v>
      </c>
      <c r="S122" s="10">
        <v>541</v>
      </c>
      <c r="T122" s="10">
        <v>562</v>
      </c>
      <c r="U122" s="10">
        <v>517</v>
      </c>
      <c r="V122" s="10">
        <v>468</v>
      </c>
      <c r="W122" s="10">
        <v>489</v>
      </c>
      <c r="X122" s="10">
        <v>537</v>
      </c>
      <c r="Y122" s="10">
        <v>158</v>
      </c>
      <c r="Z122" s="10">
        <v>442</v>
      </c>
      <c r="AA122" s="10">
        <v>619</v>
      </c>
      <c r="AB122" s="10">
        <v>468</v>
      </c>
      <c r="AC122" s="10">
        <v>155</v>
      </c>
      <c r="AD122" s="10">
        <v>113</v>
      </c>
      <c r="AE122" s="10">
        <v>80</v>
      </c>
      <c r="AF122" s="10">
        <v>61</v>
      </c>
      <c r="AG122" s="10">
        <v>56</v>
      </c>
      <c r="AH122" s="102">
        <f>SUM(Tableau2[[#This Row],[Td 2]:[Td 5]])</f>
        <v>310</v>
      </c>
      <c r="AI122" s="10">
        <v>58.3</v>
      </c>
      <c r="AJ122" s="10">
        <v>100</v>
      </c>
      <c r="AK122" s="17">
        <f t="shared" si="11"/>
        <v>0</v>
      </c>
      <c r="AL122" s="17">
        <f t="shared" si="12"/>
        <v>9</v>
      </c>
      <c r="AM122" s="17">
        <f t="shared" si="13"/>
        <v>442</v>
      </c>
    </row>
    <row r="123" spans="1:39" s="3" customFormat="1" x14ac:dyDescent="0.25">
      <c r="A123" s="2" t="s">
        <v>16</v>
      </c>
      <c r="B123" s="29" t="s">
        <v>739</v>
      </c>
      <c r="C123" s="2" t="s">
        <v>23</v>
      </c>
      <c r="D123" s="2" t="s">
        <v>167</v>
      </c>
      <c r="E123" s="14" t="s">
        <v>2</v>
      </c>
      <c r="F123" s="15" t="str">
        <f t="shared" si="7"/>
        <v/>
      </c>
      <c r="G123" s="15" t="str">
        <f t="shared" si="8"/>
        <v/>
      </c>
      <c r="H123" s="15" t="str">
        <f t="shared" si="9"/>
        <v/>
      </c>
      <c r="I123" s="15" t="str">
        <f t="shared" si="10"/>
        <v/>
      </c>
      <c r="J123" s="10" t="s">
        <v>2</v>
      </c>
      <c r="K123" s="10" t="s">
        <v>2</v>
      </c>
      <c r="L123" s="10" t="s">
        <v>2</v>
      </c>
      <c r="M123" s="10" t="s">
        <v>2</v>
      </c>
      <c r="N123" s="10" t="s">
        <v>2</v>
      </c>
      <c r="O123" s="10" t="s">
        <v>2</v>
      </c>
      <c r="P123" s="10" t="s">
        <v>2</v>
      </c>
      <c r="Q123" s="10" t="s">
        <v>2</v>
      </c>
      <c r="R123" s="10" t="s">
        <v>2</v>
      </c>
      <c r="S123" s="10" t="s">
        <v>2</v>
      </c>
      <c r="T123" s="10" t="s">
        <v>2</v>
      </c>
      <c r="U123" s="10" t="s">
        <v>2</v>
      </c>
      <c r="V123" s="10" t="s">
        <v>2</v>
      </c>
      <c r="W123" s="10" t="s">
        <v>2</v>
      </c>
      <c r="X123" s="10" t="s">
        <v>2</v>
      </c>
      <c r="Y123" s="10" t="s">
        <v>2</v>
      </c>
      <c r="Z123" s="10" t="s">
        <v>2</v>
      </c>
      <c r="AA123" s="10" t="s">
        <v>2</v>
      </c>
      <c r="AB123" s="10" t="s">
        <v>2</v>
      </c>
      <c r="AC123" s="10">
        <v>257</v>
      </c>
      <c r="AD123" s="10">
        <v>158</v>
      </c>
      <c r="AE123" s="10">
        <v>17</v>
      </c>
      <c r="AF123" s="10">
        <v>6</v>
      </c>
      <c r="AG123" s="10">
        <v>15</v>
      </c>
      <c r="AH123" s="102">
        <f>SUM(Tableau2[[#This Row],[Td 2]:[Td 5]])</f>
        <v>196</v>
      </c>
      <c r="AI123" s="10" t="s">
        <v>2</v>
      </c>
      <c r="AJ123" s="10">
        <v>100</v>
      </c>
      <c r="AK123" s="17">
        <f t="shared" si="11"/>
        <v>0</v>
      </c>
      <c r="AL123" s="17">
        <f t="shared" si="12"/>
        <v>0</v>
      </c>
      <c r="AM123" s="17">
        <f t="shared" si="13"/>
        <v>0</v>
      </c>
    </row>
    <row r="124" spans="1:39" s="3" customFormat="1" x14ac:dyDescent="0.25">
      <c r="A124" s="2" t="s">
        <v>16</v>
      </c>
      <c r="B124" s="29" t="s">
        <v>739</v>
      </c>
      <c r="C124" s="2" t="s">
        <v>23</v>
      </c>
      <c r="D124" s="2" t="s">
        <v>168</v>
      </c>
      <c r="E124" s="14">
        <v>29565</v>
      </c>
      <c r="F124" s="15">
        <f t="shared" si="7"/>
        <v>1031.8185000000001</v>
      </c>
      <c r="G124" s="15">
        <f t="shared" si="8"/>
        <v>1182.6000000000001</v>
      </c>
      <c r="H124" s="15">
        <f t="shared" si="9"/>
        <v>859.84875</v>
      </c>
      <c r="I124" s="15">
        <f t="shared" si="10"/>
        <v>985.50000000000011</v>
      </c>
      <c r="J124" s="10">
        <v>507</v>
      </c>
      <c r="K124" s="10">
        <v>54</v>
      </c>
      <c r="L124" s="10">
        <v>797</v>
      </c>
      <c r="M124" s="10">
        <v>756</v>
      </c>
      <c r="N124" s="10">
        <v>791</v>
      </c>
      <c r="O124" s="10">
        <v>621</v>
      </c>
      <c r="P124" s="10">
        <v>584</v>
      </c>
      <c r="Q124" s="10">
        <v>612</v>
      </c>
      <c r="R124" s="10">
        <v>621</v>
      </c>
      <c r="S124" s="10">
        <v>583</v>
      </c>
      <c r="T124" s="10">
        <v>599</v>
      </c>
      <c r="U124" s="10">
        <v>634</v>
      </c>
      <c r="V124" s="10">
        <v>1356</v>
      </c>
      <c r="W124" s="10">
        <v>593</v>
      </c>
      <c r="X124" s="10">
        <v>819</v>
      </c>
      <c r="Y124" s="10">
        <v>87</v>
      </c>
      <c r="Z124" s="10">
        <v>621</v>
      </c>
      <c r="AA124" s="10">
        <v>777</v>
      </c>
      <c r="AB124" s="10">
        <v>763</v>
      </c>
      <c r="AC124" s="10">
        <v>55</v>
      </c>
      <c r="AD124" s="10">
        <v>30</v>
      </c>
      <c r="AE124" s="10">
        <v>43</v>
      </c>
      <c r="AF124" s="10">
        <v>22</v>
      </c>
      <c r="AG124" s="10">
        <v>11</v>
      </c>
      <c r="AH124" s="102">
        <f>SUM(Tableau2[[#This Row],[Td 2]:[Td 5]])</f>
        <v>106</v>
      </c>
      <c r="AI124" s="10">
        <v>58.3</v>
      </c>
      <c r="AJ124" s="10">
        <v>100</v>
      </c>
      <c r="AK124" s="17">
        <f t="shared" si="11"/>
        <v>238.84875</v>
      </c>
      <c r="AL124" s="17">
        <f t="shared" si="12"/>
        <v>0</v>
      </c>
      <c r="AM124" s="17">
        <f t="shared" si="13"/>
        <v>621</v>
      </c>
    </row>
    <row r="125" spans="1:39" s="3" customFormat="1" x14ac:dyDescent="0.25">
      <c r="A125" s="2" t="s">
        <v>16</v>
      </c>
      <c r="B125" s="29" t="s">
        <v>739</v>
      </c>
      <c r="C125" s="2" t="s">
        <v>23</v>
      </c>
      <c r="D125" s="2" t="s">
        <v>169</v>
      </c>
      <c r="E125" s="14">
        <v>17882</v>
      </c>
      <c r="F125" s="15">
        <f t="shared" si="7"/>
        <v>624.08180000000004</v>
      </c>
      <c r="G125" s="15">
        <f t="shared" si="8"/>
        <v>715.28</v>
      </c>
      <c r="H125" s="15">
        <f t="shared" si="9"/>
        <v>520.06816666666668</v>
      </c>
      <c r="I125" s="15">
        <f t="shared" si="10"/>
        <v>596.06666666666661</v>
      </c>
      <c r="J125" s="10">
        <v>493</v>
      </c>
      <c r="K125" s="10">
        <v>44</v>
      </c>
      <c r="L125" s="10">
        <v>352</v>
      </c>
      <c r="M125" s="10">
        <v>280</v>
      </c>
      <c r="N125" s="10">
        <v>338</v>
      </c>
      <c r="O125" s="10">
        <v>519</v>
      </c>
      <c r="P125" s="10">
        <v>465</v>
      </c>
      <c r="Q125" s="10">
        <v>441</v>
      </c>
      <c r="R125" s="10">
        <v>523</v>
      </c>
      <c r="S125" s="10">
        <v>467</v>
      </c>
      <c r="T125" s="10">
        <v>452</v>
      </c>
      <c r="U125" s="10">
        <v>525</v>
      </c>
      <c r="V125" s="10">
        <v>456</v>
      </c>
      <c r="W125" s="10">
        <v>422</v>
      </c>
      <c r="X125" s="10">
        <v>438</v>
      </c>
      <c r="Y125" s="10">
        <v>84</v>
      </c>
      <c r="Z125" s="10">
        <v>421</v>
      </c>
      <c r="AA125" s="10">
        <v>447</v>
      </c>
      <c r="AB125" s="10">
        <v>429</v>
      </c>
      <c r="AC125" s="10">
        <v>288</v>
      </c>
      <c r="AD125" s="10">
        <v>99</v>
      </c>
      <c r="AE125" s="10">
        <v>70</v>
      </c>
      <c r="AF125" s="10">
        <v>41</v>
      </c>
      <c r="AG125" s="10">
        <v>29</v>
      </c>
      <c r="AH125" s="102">
        <f>SUM(Tableau2[[#This Row],[Td 2]:[Td 5]])</f>
        <v>239</v>
      </c>
      <c r="AI125" s="10">
        <v>58.3</v>
      </c>
      <c r="AJ125" s="10">
        <v>100</v>
      </c>
      <c r="AK125" s="17">
        <f t="shared" si="11"/>
        <v>1.0681666666666843</v>
      </c>
      <c r="AL125" s="17">
        <f t="shared" si="12"/>
        <v>81</v>
      </c>
      <c r="AM125" s="17">
        <f t="shared" si="13"/>
        <v>421</v>
      </c>
    </row>
    <row r="126" spans="1:39" s="3" customFormat="1" x14ac:dyDescent="0.25">
      <c r="A126" s="2" t="s">
        <v>16</v>
      </c>
      <c r="B126" s="29" t="s">
        <v>739</v>
      </c>
      <c r="C126" s="2" t="s">
        <v>23</v>
      </c>
      <c r="D126" s="2" t="s">
        <v>170</v>
      </c>
      <c r="E126" s="14">
        <v>22480</v>
      </c>
      <c r="F126" s="15">
        <f t="shared" si="7"/>
        <v>784.55200000000002</v>
      </c>
      <c r="G126" s="15">
        <f t="shared" si="8"/>
        <v>899.2</v>
      </c>
      <c r="H126" s="15">
        <f t="shared" si="9"/>
        <v>653.79333333333329</v>
      </c>
      <c r="I126" s="15">
        <f t="shared" si="10"/>
        <v>749.33333333333337</v>
      </c>
      <c r="J126" s="10">
        <v>272</v>
      </c>
      <c r="K126" s="10">
        <v>33</v>
      </c>
      <c r="L126" s="10">
        <v>397</v>
      </c>
      <c r="M126" s="10">
        <v>365</v>
      </c>
      <c r="N126" s="10">
        <v>375</v>
      </c>
      <c r="O126" s="10">
        <v>373</v>
      </c>
      <c r="P126" s="10">
        <v>343</v>
      </c>
      <c r="Q126" s="10">
        <v>348</v>
      </c>
      <c r="R126" s="10">
        <v>388</v>
      </c>
      <c r="S126" s="10">
        <v>361</v>
      </c>
      <c r="T126" s="10">
        <v>372</v>
      </c>
      <c r="U126" s="10">
        <v>350</v>
      </c>
      <c r="V126" s="10">
        <v>320</v>
      </c>
      <c r="W126" s="10">
        <v>321</v>
      </c>
      <c r="X126" s="10">
        <v>359</v>
      </c>
      <c r="Y126" s="10">
        <v>30</v>
      </c>
      <c r="Z126" s="10">
        <v>359</v>
      </c>
      <c r="AA126" s="10">
        <v>375</v>
      </c>
      <c r="AB126" s="10">
        <v>349</v>
      </c>
      <c r="AC126" s="10">
        <v>14</v>
      </c>
      <c r="AD126" s="10">
        <v>7</v>
      </c>
      <c r="AE126" s="10">
        <v>5</v>
      </c>
      <c r="AF126" s="10">
        <v>3</v>
      </c>
      <c r="AG126" s="10">
        <v>5</v>
      </c>
      <c r="AH126" s="102">
        <f>SUM(Tableau2[[#This Row],[Td 2]:[Td 5]])</f>
        <v>20</v>
      </c>
      <c r="AI126" s="10">
        <v>58.3</v>
      </c>
      <c r="AJ126" s="10">
        <v>100</v>
      </c>
      <c r="AK126" s="17">
        <f t="shared" si="11"/>
        <v>280.79333333333329</v>
      </c>
      <c r="AL126" s="17">
        <f t="shared" si="12"/>
        <v>14</v>
      </c>
      <c r="AM126" s="17">
        <f t="shared" si="13"/>
        <v>359</v>
      </c>
    </row>
    <row r="127" spans="1:39" s="3" customFormat="1" x14ac:dyDescent="0.25">
      <c r="A127" s="2" t="s">
        <v>16</v>
      </c>
      <c r="B127" s="29" t="s">
        <v>739</v>
      </c>
      <c r="C127" s="2" t="s">
        <v>23</v>
      </c>
      <c r="D127" s="2" t="s">
        <v>171</v>
      </c>
      <c r="E127" s="14">
        <v>16442</v>
      </c>
      <c r="F127" s="15">
        <f t="shared" si="7"/>
        <v>573.82579999999996</v>
      </c>
      <c r="G127" s="15">
        <f t="shared" si="8"/>
        <v>657.68000000000006</v>
      </c>
      <c r="H127" s="15">
        <f t="shared" si="9"/>
        <v>478.18816666666663</v>
      </c>
      <c r="I127" s="15">
        <f t="shared" si="10"/>
        <v>548.06666666666672</v>
      </c>
      <c r="J127" s="10">
        <v>540</v>
      </c>
      <c r="K127" s="10">
        <v>99</v>
      </c>
      <c r="L127" s="10">
        <v>499</v>
      </c>
      <c r="M127" s="10">
        <v>438</v>
      </c>
      <c r="N127" s="10">
        <v>464</v>
      </c>
      <c r="O127" s="10">
        <v>495</v>
      </c>
      <c r="P127" s="10">
        <v>415</v>
      </c>
      <c r="Q127" s="10">
        <v>420</v>
      </c>
      <c r="R127" s="10">
        <v>482</v>
      </c>
      <c r="S127" s="10">
        <v>418</v>
      </c>
      <c r="T127" s="10">
        <v>416</v>
      </c>
      <c r="U127" s="10">
        <v>532</v>
      </c>
      <c r="V127" s="10">
        <v>420</v>
      </c>
      <c r="W127" s="10">
        <v>369</v>
      </c>
      <c r="X127" s="10">
        <v>485</v>
      </c>
      <c r="Y127" s="10">
        <v>104</v>
      </c>
      <c r="Z127" s="10">
        <v>415</v>
      </c>
      <c r="AA127" s="10">
        <v>500</v>
      </c>
      <c r="AB127" s="10">
        <v>485</v>
      </c>
      <c r="AC127" s="10">
        <v>87</v>
      </c>
      <c r="AD127" s="10">
        <v>65</v>
      </c>
      <c r="AE127" s="10">
        <v>69</v>
      </c>
      <c r="AF127" s="10">
        <v>46</v>
      </c>
      <c r="AG127" s="10">
        <v>27</v>
      </c>
      <c r="AH127" s="102">
        <f>SUM(Tableau2[[#This Row],[Td 2]:[Td 5]])</f>
        <v>207</v>
      </c>
      <c r="AI127" s="10">
        <v>58.3</v>
      </c>
      <c r="AJ127" s="10">
        <v>100</v>
      </c>
      <c r="AK127" s="17">
        <f t="shared" si="11"/>
        <v>0</v>
      </c>
      <c r="AL127" s="17">
        <f t="shared" si="12"/>
        <v>10</v>
      </c>
      <c r="AM127" s="17">
        <f t="shared" si="13"/>
        <v>415</v>
      </c>
    </row>
    <row r="128" spans="1:39" s="3" customFormat="1" x14ac:dyDescent="0.25">
      <c r="A128" s="2" t="s">
        <v>16</v>
      </c>
      <c r="B128" s="29" t="s">
        <v>740</v>
      </c>
      <c r="C128" s="2" t="s">
        <v>24</v>
      </c>
      <c r="D128" s="2" t="s">
        <v>172</v>
      </c>
      <c r="E128" s="14">
        <v>20039</v>
      </c>
      <c r="F128" s="15">
        <f t="shared" si="7"/>
        <v>699.36109999999996</v>
      </c>
      <c r="G128" s="15">
        <f t="shared" si="8"/>
        <v>801.56000000000006</v>
      </c>
      <c r="H128" s="15">
        <f t="shared" si="9"/>
        <v>582.80091666666658</v>
      </c>
      <c r="I128" s="15">
        <f t="shared" si="10"/>
        <v>667.9666666666667</v>
      </c>
      <c r="J128" s="10">
        <v>5789</v>
      </c>
      <c r="K128" s="10">
        <v>1548</v>
      </c>
      <c r="L128" s="10">
        <v>4302</v>
      </c>
      <c r="M128" s="10">
        <v>3684</v>
      </c>
      <c r="N128" s="10">
        <v>3660</v>
      </c>
      <c r="O128" s="10">
        <v>4302</v>
      </c>
      <c r="P128" s="10">
        <v>3697</v>
      </c>
      <c r="Q128" s="10">
        <v>3690</v>
      </c>
      <c r="R128" s="10">
        <v>4302</v>
      </c>
      <c r="S128" s="10">
        <v>3691</v>
      </c>
      <c r="T128" s="10">
        <v>3690</v>
      </c>
      <c r="U128" s="10">
        <v>4241</v>
      </c>
      <c r="V128" s="10">
        <v>3639</v>
      </c>
      <c r="W128" s="10">
        <v>3639</v>
      </c>
      <c r="X128" s="10">
        <v>3463</v>
      </c>
      <c r="Y128" s="10">
        <v>2232</v>
      </c>
      <c r="Z128" s="10">
        <v>3429</v>
      </c>
      <c r="AA128" s="10">
        <v>3607</v>
      </c>
      <c r="AB128" s="10">
        <v>2492</v>
      </c>
      <c r="AC128" s="10">
        <v>1296</v>
      </c>
      <c r="AD128" s="10">
        <v>920</v>
      </c>
      <c r="AE128" s="10">
        <v>730</v>
      </c>
      <c r="AF128" s="10">
        <v>587</v>
      </c>
      <c r="AG128" s="10">
        <v>514</v>
      </c>
      <c r="AH128" s="102">
        <f>SUM(Tableau2[[#This Row],[Td 2]:[Td 5]])</f>
        <v>2751</v>
      </c>
      <c r="AI128" s="10">
        <v>58.3</v>
      </c>
      <c r="AJ128" s="10">
        <v>100</v>
      </c>
      <c r="AK128" s="17">
        <f t="shared" si="11"/>
        <v>0</v>
      </c>
      <c r="AL128" s="17">
        <f t="shared" si="12"/>
        <v>839</v>
      </c>
      <c r="AM128" s="17">
        <f t="shared" si="13"/>
        <v>3429</v>
      </c>
    </row>
    <row r="129" spans="1:39" s="3" customFormat="1" x14ac:dyDescent="0.25">
      <c r="A129" s="2" t="s">
        <v>16</v>
      </c>
      <c r="B129" s="29" t="s">
        <v>740</v>
      </c>
      <c r="C129" s="2" t="s">
        <v>24</v>
      </c>
      <c r="D129" s="2" t="s">
        <v>173</v>
      </c>
      <c r="E129" s="14">
        <v>11725</v>
      </c>
      <c r="F129" s="15">
        <f t="shared" si="7"/>
        <v>409.20249999999999</v>
      </c>
      <c r="G129" s="15">
        <f t="shared" si="8"/>
        <v>469</v>
      </c>
      <c r="H129" s="15">
        <f t="shared" si="9"/>
        <v>341.00208333333336</v>
      </c>
      <c r="I129" s="15">
        <f t="shared" si="10"/>
        <v>390.83333333333337</v>
      </c>
      <c r="J129" s="10">
        <v>337</v>
      </c>
      <c r="K129" s="10">
        <v>99</v>
      </c>
      <c r="L129" s="10">
        <v>379</v>
      </c>
      <c r="M129" s="10">
        <v>98</v>
      </c>
      <c r="N129" s="10">
        <v>370</v>
      </c>
      <c r="O129" s="10">
        <v>325</v>
      </c>
      <c r="P129" s="10">
        <v>98</v>
      </c>
      <c r="Q129" s="10">
        <v>370</v>
      </c>
      <c r="R129" s="10">
        <v>379</v>
      </c>
      <c r="S129" s="10">
        <v>98</v>
      </c>
      <c r="T129" s="10">
        <v>370</v>
      </c>
      <c r="U129" s="10">
        <v>379</v>
      </c>
      <c r="V129" s="10">
        <v>98</v>
      </c>
      <c r="W129" s="10">
        <v>366</v>
      </c>
      <c r="X129" s="10">
        <v>334</v>
      </c>
      <c r="Y129" s="10">
        <v>128</v>
      </c>
      <c r="Z129" s="10">
        <v>334</v>
      </c>
      <c r="AA129" s="10">
        <v>377</v>
      </c>
      <c r="AB129" s="10">
        <v>327</v>
      </c>
      <c r="AC129" s="10">
        <v>81</v>
      </c>
      <c r="AD129" s="10">
        <v>54</v>
      </c>
      <c r="AE129" s="10">
        <v>56</v>
      </c>
      <c r="AF129" s="10">
        <v>48</v>
      </c>
      <c r="AG129" s="10">
        <v>58</v>
      </c>
      <c r="AH129" s="102">
        <f>SUM(Tableau2[[#This Row],[Td 2]:[Td 5]])</f>
        <v>216</v>
      </c>
      <c r="AI129" s="10">
        <v>58.3</v>
      </c>
      <c r="AJ129" s="10">
        <v>100</v>
      </c>
      <c r="AK129" s="17">
        <f t="shared" si="11"/>
        <v>16.00208333333336</v>
      </c>
      <c r="AL129" s="17">
        <f t="shared" si="12"/>
        <v>0</v>
      </c>
      <c r="AM129" s="17">
        <f t="shared" si="13"/>
        <v>334</v>
      </c>
    </row>
    <row r="130" spans="1:39" s="3" customFormat="1" x14ac:dyDescent="0.25">
      <c r="A130" s="2" t="s">
        <v>16</v>
      </c>
      <c r="B130" s="29" t="s">
        <v>740</v>
      </c>
      <c r="C130" s="2" t="s">
        <v>24</v>
      </c>
      <c r="D130" s="2" t="s">
        <v>174</v>
      </c>
      <c r="E130" s="14">
        <v>49578</v>
      </c>
      <c r="F130" s="15">
        <f t="shared" si="7"/>
        <v>1730.2722000000001</v>
      </c>
      <c r="G130" s="15">
        <f t="shared" si="8"/>
        <v>1983.1200000000001</v>
      </c>
      <c r="H130" s="15">
        <f t="shared" si="9"/>
        <v>1441.8935000000001</v>
      </c>
      <c r="I130" s="15">
        <f t="shared" si="10"/>
        <v>1652.6000000000001</v>
      </c>
      <c r="J130" s="10">
        <v>2703</v>
      </c>
      <c r="K130" s="10">
        <v>497</v>
      </c>
      <c r="L130" s="10">
        <v>2739</v>
      </c>
      <c r="M130" s="10">
        <v>2667</v>
      </c>
      <c r="N130" s="10">
        <v>2552</v>
      </c>
      <c r="O130" s="10">
        <v>2739</v>
      </c>
      <c r="P130" s="10">
        <v>2664</v>
      </c>
      <c r="Q130" s="10">
        <v>2552</v>
      </c>
      <c r="R130" s="10">
        <v>2737</v>
      </c>
      <c r="S130" s="10">
        <v>2667</v>
      </c>
      <c r="T130" s="10">
        <v>2552</v>
      </c>
      <c r="U130" s="10">
        <v>2739</v>
      </c>
      <c r="V130" s="10">
        <v>2667</v>
      </c>
      <c r="W130" s="10">
        <v>2552</v>
      </c>
      <c r="X130" s="10">
        <v>1824</v>
      </c>
      <c r="Y130" s="10">
        <v>104</v>
      </c>
      <c r="Z130" s="10">
        <v>1816</v>
      </c>
      <c r="AA130" s="10">
        <v>2552</v>
      </c>
      <c r="AB130" s="10">
        <v>1752</v>
      </c>
      <c r="AC130" s="10">
        <v>534</v>
      </c>
      <c r="AD130" s="10">
        <v>473</v>
      </c>
      <c r="AE130" s="10">
        <v>378</v>
      </c>
      <c r="AF130" s="10">
        <v>314</v>
      </c>
      <c r="AG130" s="10">
        <v>284</v>
      </c>
      <c r="AH130" s="102">
        <f>SUM(Tableau2[[#This Row],[Td 2]:[Td 5]])</f>
        <v>1449</v>
      </c>
      <c r="AI130" s="10">
        <v>54.2</v>
      </c>
      <c r="AJ130" s="10">
        <v>100</v>
      </c>
      <c r="AK130" s="17">
        <f t="shared" si="11"/>
        <v>0</v>
      </c>
      <c r="AL130" s="17">
        <f t="shared" si="12"/>
        <v>915</v>
      </c>
      <c r="AM130" s="17">
        <f t="shared" si="13"/>
        <v>1816</v>
      </c>
    </row>
    <row r="131" spans="1:39" s="3" customFormat="1" x14ac:dyDescent="0.25">
      <c r="A131" s="2" t="s">
        <v>16</v>
      </c>
      <c r="B131" s="29" t="s">
        <v>740</v>
      </c>
      <c r="C131" s="2" t="s">
        <v>24</v>
      </c>
      <c r="D131" s="2" t="s">
        <v>175</v>
      </c>
      <c r="E131" s="14">
        <v>28155</v>
      </c>
      <c r="F131" s="15">
        <f t="shared" si="7"/>
        <v>982.60950000000003</v>
      </c>
      <c r="G131" s="15">
        <f t="shared" si="8"/>
        <v>1126.2</v>
      </c>
      <c r="H131" s="15">
        <f t="shared" si="9"/>
        <v>818.84124999999995</v>
      </c>
      <c r="I131" s="15">
        <f t="shared" si="10"/>
        <v>938.50000000000011</v>
      </c>
      <c r="J131" s="10">
        <v>863</v>
      </c>
      <c r="K131" s="10">
        <v>809</v>
      </c>
      <c r="L131" s="10">
        <v>891</v>
      </c>
      <c r="M131" s="10">
        <v>856</v>
      </c>
      <c r="N131" s="10">
        <v>838</v>
      </c>
      <c r="O131" s="10">
        <v>890</v>
      </c>
      <c r="P131" s="10">
        <v>856</v>
      </c>
      <c r="Q131" s="10">
        <v>838</v>
      </c>
      <c r="R131" s="10">
        <v>886</v>
      </c>
      <c r="S131" s="10">
        <v>856</v>
      </c>
      <c r="T131" s="10">
        <v>838</v>
      </c>
      <c r="U131" s="10">
        <v>891</v>
      </c>
      <c r="V131" s="10">
        <v>853</v>
      </c>
      <c r="W131" s="10">
        <v>838</v>
      </c>
      <c r="X131" s="10">
        <v>826</v>
      </c>
      <c r="Y131" s="10">
        <v>454</v>
      </c>
      <c r="Z131" s="10">
        <v>832</v>
      </c>
      <c r="AA131" s="10">
        <v>843</v>
      </c>
      <c r="AB131" s="10">
        <v>831</v>
      </c>
      <c r="AC131" s="10">
        <v>225</v>
      </c>
      <c r="AD131" s="10">
        <v>164</v>
      </c>
      <c r="AE131" s="10">
        <v>151</v>
      </c>
      <c r="AF131" s="10">
        <v>130</v>
      </c>
      <c r="AG131" s="10">
        <v>108</v>
      </c>
      <c r="AH131" s="102">
        <f>SUM(Tableau2[[#This Row],[Td 2]:[Td 5]])</f>
        <v>553</v>
      </c>
      <c r="AI131" s="10">
        <v>50</v>
      </c>
      <c r="AJ131" s="10">
        <v>100</v>
      </c>
      <c r="AK131" s="17">
        <f t="shared" si="11"/>
        <v>0</v>
      </c>
      <c r="AL131" s="17">
        <f t="shared" si="12"/>
        <v>64</v>
      </c>
      <c r="AM131" s="17">
        <f t="shared" si="13"/>
        <v>826</v>
      </c>
    </row>
    <row r="132" spans="1:39" s="3" customFormat="1" x14ac:dyDescent="0.25">
      <c r="A132" s="2" t="s">
        <v>16</v>
      </c>
      <c r="B132" s="29" t="s">
        <v>740</v>
      </c>
      <c r="C132" s="2" t="s">
        <v>24</v>
      </c>
      <c r="D132" s="2" t="s">
        <v>176</v>
      </c>
      <c r="E132" s="14">
        <v>18133</v>
      </c>
      <c r="F132" s="15">
        <f t="shared" si="7"/>
        <v>632.84170000000006</v>
      </c>
      <c r="G132" s="15">
        <f t="shared" si="8"/>
        <v>725.32</v>
      </c>
      <c r="H132" s="15">
        <f t="shared" si="9"/>
        <v>527.3680833333334</v>
      </c>
      <c r="I132" s="15">
        <f t="shared" si="10"/>
        <v>604.43333333333339</v>
      </c>
      <c r="J132" s="10">
        <v>1406</v>
      </c>
      <c r="K132" s="10">
        <v>1260</v>
      </c>
      <c r="L132" s="10">
        <v>871</v>
      </c>
      <c r="M132" s="10">
        <v>792</v>
      </c>
      <c r="N132" s="10">
        <v>786</v>
      </c>
      <c r="O132" s="10">
        <v>871</v>
      </c>
      <c r="P132" s="10">
        <v>792</v>
      </c>
      <c r="Q132" s="10">
        <v>789</v>
      </c>
      <c r="R132" s="10">
        <v>871</v>
      </c>
      <c r="S132" s="10">
        <v>792</v>
      </c>
      <c r="T132" s="10">
        <v>789</v>
      </c>
      <c r="U132" s="10">
        <v>871</v>
      </c>
      <c r="V132" s="10">
        <v>792</v>
      </c>
      <c r="W132" s="10">
        <v>789</v>
      </c>
      <c r="X132" s="10">
        <v>1130</v>
      </c>
      <c r="Y132" s="10">
        <v>461</v>
      </c>
      <c r="Z132" s="10">
        <v>775</v>
      </c>
      <c r="AA132" s="10">
        <v>789</v>
      </c>
      <c r="AB132" s="10">
        <v>796</v>
      </c>
      <c r="AC132" s="10">
        <v>436</v>
      </c>
      <c r="AD132" s="10">
        <v>349</v>
      </c>
      <c r="AE132" s="10">
        <v>349</v>
      </c>
      <c r="AF132" s="10">
        <v>263</v>
      </c>
      <c r="AG132" s="10">
        <v>226</v>
      </c>
      <c r="AH132" s="102">
        <f>SUM(Tableau2[[#This Row],[Td 2]:[Td 5]])</f>
        <v>1187</v>
      </c>
      <c r="AI132" s="10">
        <v>50</v>
      </c>
      <c r="AJ132" s="10">
        <v>100</v>
      </c>
      <c r="AK132" s="17">
        <f t="shared" si="11"/>
        <v>0</v>
      </c>
      <c r="AL132" s="17">
        <f t="shared" si="12"/>
        <v>0</v>
      </c>
      <c r="AM132" s="17">
        <f t="shared" si="13"/>
        <v>775</v>
      </c>
    </row>
    <row r="133" spans="1:39" s="3" customFormat="1" x14ac:dyDescent="0.25">
      <c r="A133" s="2" t="s">
        <v>16</v>
      </c>
      <c r="B133" s="29" t="s">
        <v>740</v>
      </c>
      <c r="C133" s="2" t="s">
        <v>24</v>
      </c>
      <c r="D133" s="2" t="s">
        <v>177</v>
      </c>
      <c r="E133" s="14">
        <v>37283</v>
      </c>
      <c r="F133" s="15">
        <f t="shared" si="7"/>
        <v>1301.1767</v>
      </c>
      <c r="G133" s="15">
        <f t="shared" si="8"/>
        <v>1491.32</v>
      </c>
      <c r="H133" s="15">
        <f t="shared" si="9"/>
        <v>1084.3139166666667</v>
      </c>
      <c r="I133" s="15">
        <f t="shared" si="10"/>
        <v>1242.7666666666667</v>
      </c>
      <c r="J133" s="10">
        <v>932</v>
      </c>
      <c r="K133" s="10">
        <v>671</v>
      </c>
      <c r="L133" s="10">
        <v>935</v>
      </c>
      <c r="M133" s="10">
        <v>728</v>
      </c>
      <c r="N133" s="10">
        <v>886</v>
      </c>
      <c r="O133" s="10">
        <v>935</v>
      </c>
      <c r="P133" s="10">
        <v>735</v>
      </c>
      <c r="Q133" s="10">
        <v>892</v>
      </c>
      <c r="R133" s="10">
        <v>935</v>
      </c>
      <c r="S133" s="10">
        <v>728</v>
      </c>
      <c r="T133" s="10">
        <v>886</v>
      </c>
      <c r="U133" s="10">
        <v>935</v>
      </c>
      <c r="V133" s="10">
        <v>728</v>
      </c>
      <c r="W133" s="10">
        <v>886</v>
      </c>
      <c r="X133" s="10">
        <v>959</v>
      </c>
      <c r="Y133" s="10">
        <v>268</v>
      </c>
      <c r="Z133" s="10">
        <v>959</v>
      </c>
      <c r="AA133" s="10">
        <v>900</v>
      </c>
      <c r="AB133" s="10">
        <v>927</v>
      </c>
      <c r="AC133" s="10">
        <v>272</v>
      </c>
      <c r="AD133" s="10">
        <v>192</v>
      </c>
      <c r="AE133" s="10">
        <v>185</v>
      </c>
      <c r="AF133" s="10">
        <v>108</v>
      </c>
      <c r="AG133" s="10">
        <v>68</v>
      </c>
      <c r="AH133" s="102">
        <f>SUM(Tableau2[[#This Row],[Td 2]:[Td 5]])</f>
        <v>553</v>
      </c>
      <c r="AI133" s="10">
        <v>58.3</v>
      </c>
      <c r="AJ133" s="10">
        <v>100</v>
      </c>
      <c r="AK133" s="17">
        <f t="shared" si="11"/>
        <v>149.31391666666673</v>
      </c>
      <c r="AL133" s="17">
        <f t="shared" si="12"/>
        <v>0</v>
      </c>
      <c r="AM133" s="17">
        <f t="shared" si="13"/>
        <v>959</v>
      </c>
    </row>
    <row r="134" spans="1:39" s="3" customFormat="1" x14ac:dyDescent="0.25">
      <c r="A134" s="2" t="s">
        <v>16</v>
      </c>
      <c r="B134" s="29" t="s">
        <v>740</v>
      </c>
      <c r="C134" s="2" t="s">
        <v>24</v>
      </c>
      <c r="D134" s="2" t="s">
        <v>178</v>
      </c>
      <c r="E134" s="14">
        <v>28178</v>
      </c>
      <c r="F134" s="15">
        <f t="shared" ref="F134:F197" si="14">IFERROR(E134*3.49%,"")</f>
        <v>983.41219999999998</v>
      </c>
      <c r="G134" s="15">
        <f t="shared" ref="G134:G197" si="15">IFERROR(E134*4%,"")</f>
        <v>1127.1200000000001</v>
      </c>
      <c r="H134" s="15">
        <f t="shared" ref="H134:H197" si="16">IFERROR((F134/12)*$C$1,"")</f>
        <v>819.51016666666658</v>
      </c>
      <c r="I134" s="15">
        <f t="shared" ref="I134:I197" si="17">IFERROR((G134/12)*$C$1,"")</f>
        <v>939.26666666666677</v>
      </c>
      <c r="J134" s="10">
        <v>744</v>
      </c>
      <c r="K134" s="10">
        <v>260</v>
      </c>
      <c r="L134" s="10">
        <v>692</v>
      </c>
      <c r="M134" s="10">
        <v>685</v>
      </c>
      <c r="N134" s="10">
        <v>676</v>
      </c>
      <c r="O134" s="10">
        <v>698</v>
      </c>
      <c r="P134" s="10">
        <v>689</v>
      </c>
      <c r="Q134" s="10">
        <v>676</v>
      </c>
      <c r="R134" s="10">
        <v>698</v>
      </c>
      <c r="S134" s="10">
        <v>689</v>
      </c>
      <c r="T134" s="10">
        <v>672</v>
      </c>
      <c r="U134" s="10">
        <v>698</v>
      </c>
      <c r="V134" s="10">
        <v>689</v>
      </c>
      <c r="W134" s="10">
        <v>672</v>
      </c>
      <c r="X134" s="10">
        <v>697</v>
      </c>
      <c r="Y134" s="10">
        <v>489</v>
      </c>
      <c r="Z134" s="10">
        <v>655</v>
      </c>
      <c r="AA134" s="10">
        <v>677</v>
      </c>
      <c r="AB134" s="10">
        <v>697</v>
      </c>
      <c r="AC134" s="10">
        <v>292</v>
      </c>
      <c r="AD134" s="10">
        <v>221</v>
      </c>
      <c r="AE134" s="10">
        <v>197</v>
      </c>
      <c r="AF134" s="10">
        <v>121</v>
      </c>
      <c r="AG134" s="10">
        <v>80</v>
      </c>
      <c r="AH134" s="102">
        <f>SUM(Tableau2[[#This Row],[Td 2]:[Td 5]])</f>
        <v>619</v>
      </c>
      <c r="AI134" s="10">
        <v>58.3</v>
      </c>
      <c r="AJ134" s="10">
        <v>100</v>
      </c>
      <c r="AK134" s="17">
        <f t="shared" ref="AK134:AK197" si="18">IFERROR(IF(H134-O134&lt;0,0,H134-O134),0)</f>
        <v>121.51016666666658</v>
      </c>
      <c r="AL134" s="17">
        <f t="shared" ref="AL134:AL197" si="19">IFERROR(IF(O134-X134&lt;0,0,O134-X134),0)</f>
        <v>1</v>
      </c>
      <c r="AM134" s="17">
        <f t="shared" ref="AM134:AM197" si="20">MIN(X134,Z134)</f>
        <v>655</v>
      </c>
    </row>
    <row r="135" spans="1:39" s="3" customFormat="1" x14ac:dyDescent="0.25">
      <c r="A135" s="2" t="s">
        <v>16</v>
      </c>
      <c r="B135" s="29" t="s">
        <v>740</v>
      </c>
      <c r="C135" s="2" t="s">
        <v>24</v>
      </c>
      <c r="D135" s="2" t="s">
        <v>179</v>
      </c>
      <c r="E135" s="14">
        <v>47455</v>
      </c>
      <c r="F135" s="15">
        <f t="shared" si="14"/>
        <v>1656.1795</v>
      </c>
      <c r="G135" s="15">
        <f t="shared" si="15"/>
        <v>1898.2</v>
      </c>
      <c r="H135" s="15">
        <f t="shared" si="16"/>
        <v>1380.1495833333333</v>
      </c>
      <c r="I135" s="15">
        <f t="shared" si="17"/>
        <v>1581.8333333333335</v>
      </c>
      <c r="J135" s="10">
        <v>2567</v>
      </c>
      <c r="K135" s="10">
        <v>1872</v>
      </c>
      <c r="L135" s="10">
        <v>1969</v>
      </c>
      <c r="M135" s="10">
        <v>1995</v>
      </c>
      <c r="N135" s="10">
        <v>1932</v>
      </c>
      <c r="O135" s="10">
        <v>1969</v>
      </c>
      <c r="P135" s="10">
        <v>1995</v>
      </c>
      <c r="Q135" s="10">
        <v>1932</v>
      </c>
      <c r="R135" s="10">
        <v>1969</v>
      </c>
      <c r="S135" s="10">
        <v>1995</v>
      </c>
      <c r="T135" s="10">
        <v>1918</v>
      </c>
      <c r="U135" s="10">
        <v>1969</v>
      </c>
      <c r="V135" s="10">
        <v>1981</v>
      </c>
      <c r="W135" s="10">
        <v>1932</v>
      </c>
      <c r="X135" s="10">
        <v>1726</v>
      </c>
      <c r="Y135" s="10">
        <v>777</v>
      </c>
      <c r="Z135" s="10">
        <v>1723</v>
      </c>
      <c r="AA135" s="10">
        <v>1932</v>
      </c>
      <c r="AB135" s="10">
        <v>1221</v>
      </c>
      <c r="AC135" s="10">
        <v>604</v>
      </c>
      <c r="AD135" s="10">
        <v>469</v>
      </c>
      <c r="AE135" s="10">
        <v>470</v>
      </c>
      <c r="AF135" s="10">
        <v>378</v>
      </c>
      <c r="AG135" s="10">
        <v>282</v>
      </c>
      <c r="AH135" s="102">
        <f>SUM(Tableau2[[#This Row],[Td 2]:[Td 5]])</f>
        <v>1599</v>
      </c>
      <c r="AI135" s="10">
        <v>58.3</v>
      </c>
      <c r="AJ135" s="10">
        <v>100</v>
      </c>
      <c r="AK135" s="17">
        <f t="shared" si="18"/>
        <v>0</v>
      </c>
      <c r="AL135" s="17">
        <f t="shared" si="19"/>
        <v>243</v>
      </c>
      <c r="AM135" s="17">
        <f t="shared" si="20"/>
        <v>1723</v>
      </c>
    </row>
    <row r="136" spans="1:39" s="3" customFormat="1" x14ac:dyDescent="0.25">
      <c r="A136" s="2" t="s">
        <v>16</v>
      </c>
      <c r="B136" s="29" t="s">
        <v>740</v>
      </c>
      <c r="C136" s="2" t="s">
        <v>24</v>
      </c>
      <c r="D136" s="2" t="s">
        <v>180</v>
      </c>
      <c r="E136" s="14">
        <v>47617</v>
      </c>
      <c r="F136" s="15">
        <f t="shared" si="14"/>
        <v>1661.8333</v>
      </c>
      <c r="G136" s="15">
        <f t="shared" si="15"/>
        <v>1904.68</v>
      </c>
      <c r="H136" s="15">
        <f t="shared" si="16"/>
        <v>1384.8610833333332</v>
      </c>
      <c r="I136" s="15">
        <f t="shared" si="17"/>
        <v>1587.2333333333333</v>
      </c>
      <c r="J136" s="10">
        <v>1344</v>
      </c>
      <c r="K136" s="10">
        <v>791</v>
      </c>
      <c r="L136" s="10">
        <v>1185</v>
      </c>
      <c r="M136" s="10">
        <v>1216</v>
      </c>
      <c r="N136" s="10">
        <v>1251</v>
      </c>
      <c r="O136" s="10">
        <v>1199</v>
      </c>
      <c r="P136" s="10">
        <v>1237</v>
      </c>
      <c r="Q136" s="10">
        <v>1208</v>
      </c>
      <c r="R136" s="10">
        <v>1199</v>
      </c>
      <c r="S136" s="10">
        <v>1237</v>
      </c>
      <c r="T136" s="10">
        <v>1208</v>
      </c>
      <c r="U136" s="10">
        <v>1199</v>
      </c>
      <c r="V136" s="10">
        <v>1237</v>
      </c>
      <c r="W136" s="10">
        <v>1208</v>
      </c>
      <c r="X136" s="10">
        <v>1071</v>
      </c>
      <c r="Y136" s="10">
        <v>233</v>
      </c>
      <c r="Z136" s="10">
        <v>1071</v>
      </c>
      <c r="AA136" s="10">
        <v>1251</v>
      </c>
      <c r="AB136" s="10">
        <v>1068</v>
      </c>
      <c r="AC136" s="10">
        <v>395</v>
      </c>
      <c r="AD136" s="10">
        <v>336</v>
      </c>
      <c r="AE136" s="10">
        <v>306</v>
      </c>
      <c r="AF136" s="10">
        <v>212</v>
      </c>
      <c r="AG136" s="10">
        <v>186</v>
      </c>
      <c r="AH136" s="102">
        <f>SUM(Tableau2[[#This Row],[Td 2]:[Td 5]])</f>
        <v>1040</v>
      </c>
      <c r="AI136" s="10">
        <v>50</v>
      </c>
      <c r="AJ136" s="10">
        <v>100</v>
      </c>
      <c r="AK136" s="17">
        <f t="shared" si="18"/>
        <v>185.86108333333323</v>
      </c>
      <c r="AL136" s="17">
        <f t="shared" si="19"/>
        <v>128</v>
      </c>
      <c r="AM136" s="17">
        <f t="shared" si="20"/>
        <v>1071</v>
      </c>
    </row>
    <row r="137" spans="1:39" s="3" customFormat="1" x14ac:dyDescent="0.25">
      <c r="A137" s="2" t="s">
        <v>16</v>
      </c>
      <c r="B137" s="29" t="s">
        <v>740</v>
      </c>
      <c r="C137" s="2" t="s">
        <v>24</v>
      </c>
      <c r="D137" s="2" t="s">
        <v>181</v>
      </c>
      <c r="E137" s="14">
        <v>41376</v>
      </c>
      <c r="F137" s="15">
        <f t="shared" si="14"/>
        <v>1444.0224000000001</v>
      </c>
      <c r="G137" s="15">
        <f t="shared" si="15"/>
        <v>1655.04</v>
      </c>
      <c r="H137" s="15">
        <f t="shared" si="16"/>
        <v>1203.3520000000001</v>
      </c>
      <c r="I137" s="15">
        <f t="shared" si="17"/>
        <v>1379.1999999999998</v>
      </c>
      <c r="J137" s="10">
        <v>1463</v>
      </c>
      <c r="K137" s="10">
        <v>672</v>
      </c>
      <c r="L137" s="10">
        <v>1281</v>
      </c>
      <c r="M137" s="10">
        <v>1303</v>
      </c>
      <c r="N137" s="10">
        <v>1337</v>
      </c>
      <c r="O137" s="10">
        <v>1281</v>
      </c>
      <c r="P137" s="10">
        <v>1303</v>
      </c>
      <c r="Q137" s="10">
        <v>1337</v>
      </c>
      <c r="R137" s="10">
        <v>1281</v>
      </c>
      <c r="S137" s="10">
        <v>1302</v>
      </c>
      <c r="T137" s="10">
        <v>1337</v>
      </c>
      <c r="U137" s="10">
        <v>1269</v>
      </c>
      <c r="V137" s="10">
        <v>1267</v>
      </c>
      <c r="W137" s="10">
        <v>1308</v>
      </c>
      <c r="X137" s="10">
        <v>1299</v>
      </c>
      <c r="Y137" s="10">
        <v>490</v>
      </c>
      <c r="Z137" s="10">
        <v>1174</v>
      </c>
      <c r="AA137" s="10">
        <v>1228</v>
      </c>
      <c r="AB137" s="10">
        <v>1119</v>
      </c>
      <c r="AC137" s="10">
        <v>425</v>
      </c>
      <c r="AD137" s="10">
        <v>319</v>
      </c>
      <c r="AE137" s="10">
        <v>259</v>
      </c>
      <c r="AF137" s="10">
        <v>209</v>
      </c>
      <c r="AG137" s="10">
        <v>182</v>
      </c>
      <c r="AH137" s="102">
        <f>SUM(Tableau2[[#This Row],[Td 2]:[Td 5]])</f>
        <v>969</v>
      </c>
      <c r="AI137" s="10">
        <v>50</v>
      </c>
      <c r="AJ137" s="10">
        <v>100</v>
      </c>
      <c r="AK137" s="17">
        <f t="shared" si="18"/>
        <v>0</v>
      </c>
      <c r="AL137" s="17">
        <f t="shared" si="19"/>
        <v>0</v>
      </c>
      <c r="AM137" s="17">
        <f t="shared" si="20"/>
        <v>1174</v>
      </c>
    </row>
    <row r="138" spans="1:39" s="3" customFormat="1" x14ac:dyDescent="0.25">
      <c r="A138" s="2" t="s">
        <v>16</v>
      </c>
      <c r="B138" s="29" t="s">
        <v>740</v>
      </c>
      <c r="C138" s="2" t="s">
        <v>25</v>
      </c>
      <c r="D138" s="2" t="s">
        <v>182</v>
      </c>
      <c r="E138" s="14">
        <v>9676</v>
      </c>
      <c r="F138" s="15">
        <f t="shared" si="14"/>
        <v>337.69240000000002</v>
      </c>
      <c r="G138" s="15">
        <f t="shared" si="15"/>
        <v>387.04</v>
      </c>
      <c r="H138" s="15">
        <f t="shared" si="16"/>
        <v>281.41033333333337</v>
      </c>
      <c r="I138" s="15">
        <f t="shared" si="17"/>
        <v>322.53333333333336</v>
      </c>
      <c r="J138" s="10">
        <v>297</v>
      </c>
      <c r="K138" s="10">
        <v>212</v>
      </c>
      <c r="L138" s="10">
        <v>226</v>
      </c>
      <c r="M138" s="10">
        <v>209</v>
      </c>
      <c r="N138" s="10">
        <v>205</v>
      </c>
      <c r="O138" s="10">
        <v>282</v>
      </c>
      <c r="P138" s="10">
        <v>261</v>
      </c>
      <c r="Q138" s="10">
        <v>252</v>
      </c>
      <c r="R138" s="10">
        <v>282</v>
      </c>
      <c r="S138" s="10">
        <v>259</v>
      </c>
      <c r="T138" s="10">
        <v>247</v>
      </c>
      <c r="U138" s="10">
        <v>257</v>
      </c>
      <c r="V138" s="10">
        <v>237</v>
      </c>
      <c r="W138" s="10">
        <v>234</v>
      </c>
      <c r="X138" s="10">
        <v>239</v>
      </c>
      <c r="Y138" s="10">
        <v>206</v>
      </c>
      <c r="Z138" s="10">
        <v>224</v>
      </c>
      <c r="AA138" s="10">
        <v>167</v>
      </c>
      <c r="AB138" s="10">
        <v>150</v>
      </c>
      <c r="AC138" s="10">
        <v>133</v>
      </c>
      <c r="AD138" s="10">
        <v>93</v>
      </c>
      <c r="AE138" s="10">
        <v>53</v>
      </c>
      <c r="AF138" s="10">
        <v>6</v>
      </c>
      <c r="AG138" s="10" t="s">
        <v>2</v>
      </c>
      <c r="AH138" s="102">
        <f>SUM(Tableau2[[#This Row],[Td 2]:[Td 5]])</f>
        <v>152</v>
      </c>
      <c r="AI138" s="10">
        <v>50</v>
      </c>
      <c r="AJ138" s="10">
        <v>100</v>
      </c>
      <c r="AK138" s="17">
        <f t="shared" si="18"/>
        <v>0</v>
      </c>
      <c r="AL138" s="17">
        <f t="shared" si="19"/>
        <v>43</v>
      </c>
      <c r="AM138" s="17">
        <f t="shared" si="20"/>
        <v>224</v>
      </c>
    </row>
    <row r="139" spans="1:39" s="3" customFormat="1" x14ac:dyDescent="0.25">
      <c r="A139" s="2" t="s">
        <v>16</v>
      </c>
      <c r="B139" s="29" t="s">
        <v>740</v>
      </c>
      <c r="C139" s="2" t="s">
        <v>25</v>
      </c>
      <c r="D139" s="2" t="s">
        <v>183</v>
      </c>
      <c r="E139" s="14">
        <v>6323</v>
      </c>
      <c r="F139" s="15">
        <f t="shared" si="14"/>
        <v>220.67269999999999</v>
      </c>
      <c r="G139" s="15">
        <f t="shared" si="15"/>
        <v>252.92000000000002</v>
      </c>
      <c r="H139" s="15">
        <f t="shared" si="16"/>
        <v>183.89391666666666</v>
      </c>
      <c r="I139" s="15">
        <f t="shared" si="17"/>
        <v>210.76666666666668</v>
      </c>
      <c r="J139" s="10">
        <v>169</v>
      </c>
      <c r="K139" s="10">
        <v>177</v>
      </c>
      <c r="L139" s="10">
        <v>170</v>
      </c>
      <c r="M139" s="10">
        <v>176</v>
      </c>
      <c r="N139" s="10">
        <v>167</v>
      </c>
      <c r="O139" s="10">
        <v>188</v>
      </c>
      <c r="P139" s="10">
        <v>175</v>
      </c>
      <c r="Q139" s="10">
        <v>168</v>
      </c>
      <c r="R139" s="10">
        <v>187</v>
      </c>
      <c r="S139" s="10">
        <v>175</v>
      </c>
      <c r="T139" s="10">
        <v>168</v>
      </c>
      <c r="U139" s="10">
        <v>187</v>
      </c>
      <c r="V139" s="10">
        <v>175</v>
      </c>
      <c r="W139" s="10">
        <v>168</v>
      </c>
      <c r="X139" s="10">
        <v>162</v>
      </c>
      <c r="Y139" s="10">
        <v>140</v>
      </c>
      <c r="Z139" s="10">
        <v>162</v>
      </c>
      <c r="AA139" s="10">
        <v>168</v>
      </c>
      <c r="AB139" s="10">
        <v>159</v>
      </c>
      <c r="AC139" s="10">
        <v>188</v>
      </c>
      <c r="AD139" s="10">
        <v>170</v>
      </c>
      <c r="AE139" s="10">
        <v>151</v>
      </c>
      <c r="AF139" s="10">
        <v>132</v>
      </c>
      <c r="AG139" s="10" t="s">
        <v>2</v>
      </c>
      <c r="AH139" s="102">
        <f>SUM(Tableau2[[#This Row],[Td 2]:[Td 5]])</f>
        <v>453</v>
      </c>
      <c r="AI139" s="10">
        <v>41.7</v>
      </c>
      <c r="AJ139" s="10">
        <v>100</v>
      </c>
      <c r="AK139" s="17">
        <f t="shared" si="18"/>
        <v>0</v>
      </c>
      <c r="AL139" s="17">
        <f t="shared" si="19"/>
        <v>26</v>
      </c>
      <c r="AM139" s="17">
        <f t="shared" si="20"/>
        <v>162</v>
      </c>
    </row>
    <row r="140" spans="1:39" s="3" customFormat="1" x14ac:dyDescent="0.25">
      <c r="A140" s="2" t="s">
        <v>16</v>
      </c>
      <c r="B140" s="29" t="s">
        <v>740</v>
      </c>
      <c r="C140" s="2" t="s">
        <v>25</v>
      </c>
      <c r="D140" s="2" t="s">
        <v>184</v>
      </c>
      <c r="E140" s="14">
        <v>7423</v>
      </c>
      <c r="F140" s="15">
        <f t="shared" si="14"/>
        <v>259.06270000000001</v>
      </c>
      <c r="G140" s="15">
        <f t="shared" si="15"/>
        <v>296.92</v>
      </c>
      <c r="H140" s="15">
        <f t="shared" si="16"/>
        <v>215.88558333333336</v>
      </c>
      <c r="I140" s="15">
        <f t="shared" si="17"/>
        <v>247.43333333333337</v>
      </c>
      <c r="J140" s="10">
        <v>264</v>
      </c>
      <c r="K140" s="10">
        <v>237</v>
      </c>
      <c r="L140" s="10">
        <v>322</v>
      </c>
      <c r="M140" s="10">
        <v>318</v>
      </c>
      <c r="N140" s="10">
        <v>339</v>
      </c>
      <c r="O140" s="10">
        <v>316</v>
      </c>
      <c r="P140" s="10">
        <v>426</v>
      </c>
      <c r="Q140" s="10">
        <v>339</v>
      </c>
      <c r="R140" s="10">
        <v>322</v>
      </c>
      <c r="S140" s="10">
        <v>342</v>
      </c>
      <c r="T140" s="10">
        <v>360</v>
      </c>
      <c r="U140" s="10">
        <v>345</v>
      </c>
      <c r="V140" s="10">
        <v>342</v>
      </c>
      <c r="W140" s="10">
        <v>362</v>
      </c>
      <c r="X140" s="10">
        <v>318</v>
      </c>
      <c r="Y140" s="10">
        <v>171</v>
      </c>
      <c r="Z140" s="10">
        <v>328</v>
      </c>
      <c r="AA140" s="10">
        <v>344</v>
      </c>
      <c r="AB140" s="10">
        <v>90</v>
      </c>
      <c r="AC140" s="10">
        <v>472</v>
      </c>
      <c r="AD140" s="10">
        <v>416</v>
      </c>
      <c r="AE140" s="10">
        <v>336</v>
      </c>
      <c r="AF140" s="10">
        <v>16</v>
      </c>
      <c r="AG140" s="10" t="s">
        <v>2</v>
      </c>
      <c r="AH140" s="102">
        <f>SUM(Tableau2[[#This Row],[Td 2]:[Td 5]])</f>
        <v>768</v>
      </c>
      <c r="AI140" s="10">
        <v>41.7</v>
      </c>
      <c r="AJ140" s="10">
        <v>100</v>
      </c>
      <c r="AK140" s="17">
        <f t="shared" si="18"/>
        <v>0</v>
      </c>
      <c r="AL140" s="17">
        <f t="shared" si="19"/>
        <v>0</v>
      </c>
      <c r="AM140" s="17">
        <f t="shared" si="20"/>
        <v>318</v>
      </c>
    </row>
    <row r="141" spans="1:39" s="3" customFormat="1" x14ac:dyDescent="0.25">
      <c r="A141" s="2" t="s">
        <v>16</v>
      </c>
      <c r="B141" s="29" t="s">
        <v>740</v>
      </c>
      <c r="C141" s="2" t="s">
        <v>25</v>
      </c>
      <c r="D141" s="2" t="s">
        <v>185</v>
      </c>
      <c r="E141" s="14">
        <v>16880</v>
      </c>
      <c r="F141" s="15">
        <f t="shared" si="14"/>
        <v>589.11199999999997</v>
      </c>
      <c r="G141" s="15">
        <f t="shared" si="15"/>
        <v>675.2</v>
      </c>
      <c r="H141" s="15">
        <f t="shared" si="16"/>
        <v>490.92666666666668</v>
      </c>
      <c r="I141" s="15">
        <f t="shared" si="17"/>
        <v>562.66666666666674</v>
      </c>
      <c r="J141" s="10">
        <v>640</v>
      </c>
      <c r="K141" s="10">
        <v>191</v>
      </c>
      <c r="L141" s="10">
        <v>603</v>
      </c>
      <c r="M141" s="10">
        <v>594</v>
      </c>
      <c r="N141" s="10">
        <v>579</v>
      </c>
      <c r="O141" s="10">
        <v>640</v>
      </c>
      <c r="P141" s="10">
        <v>620</v>
      </c>
      <c r="Q141" s="10">
        <v>621</v>
      </c>
      <c r="R141" s="10">
        <v>586</v>
      </c>
      <c r="S141" s="10">
        <v>788</v>
      </c>
      <c r="T141" s="10">
        <v>566</v>
      </c>
      <c r="U141" s="10">
        <v>510</v>
      </c>
      <c r="V141" s="10">
        <v>456</v>
      </c>
      <c r="W141" s="10">
        <v>508</v>
      </c>
      <c r="X141" s="10">
        <v>583</v>
      </c>
      <c r="Y141" s="10">
        <v>350</v>
      </c>
      <c r="Z141" s="10">
        <v>543</v>
      </c>
      <c r="AA141" s="10">
        <v>508</v>
      </c>
      <c r="AB141" s="10">
        <v>453</v>
      </c>
      <c r="AC141" s="10">
        <v>297</v>
      </c>
      <c r="AD141" s="10">
        <v>294</v>
      </c>
      <c r="AE141" s="10">
        <v>244</v>
      </c>
      <c r="AF141" s="10">
        <v>201</v>
      </c>
      <c r="AG141" s="10">
        <v>189</v>
      </c>
      <c r="AH141" s="102">
        <f>SUM(Tableau2[[#This Row],[Td 2]:[Td 5]])</f>
        <v>928</v>
      </c>
      <c r="AI141" s="10">
        <v>33.299999999999997</v>
      </c>
      <c r="AJ141" s="10">
        <v>100</v>
      </c>
      <c r="AK141" s="17">
        <f t="shared" si="18"/>
        <v>0</v>
      </c>
      <c r="AL141" s="17">
        <f t="shared" si="19"/>
        <v>57</v>
      </c>
      <c r="AM141" s="17">
        <f t="shared" si="20"/>
        <v>543</v>
      </c>
    </row>
    <row r="142" spans="1:39" s="3" customFormat="1" x14ac:dyDescent="0.25">
      <c r="A142" s="2" t="s">
        <v>16</v>
      </c>
      <c r="B142" s="29" t="s">
        <v>740</v>
      </c>
      <c r="C142" s="2" t="s">
        <v>25</v>
      </c>
      <c r="D142" s="2" t="s">
        <v>186</v>
      </c>
      <c r="E142" s="14">
        <v>12687</v>
      </c>
      <c r="F142" s="15">
        <f t="shared" si="14"/>
        <v>442.77629999999999</v>
      </c>
      <c r="G142" s="15">
        <f t="shared" si="15"/>
        <v>507.48</v>
      </c>
      <c r="H142" s="15">
        <f t="shared" si="16"/>
        <v>368.98024999999996</v>
      </c>
      <c r="I142" s="15">
        <f t="shared" si="17"/>
        <v>422.9</v>
      </c>
      <c r="J142" s="10">
        <v>379</v>
      </c>
      <c r="K142" s="10">
        <v>240</v>
      </c>
      <c r="L142" s="10">
        <v>268</v>
      </c>
      <c r="M142" s="10">
        <v>246</v>
      </c>
      <c r="N142" s="10">
        <v>261</v>
      </c>
      <c r="O142" s="10">
        <v>340</v>
      </c>
      <c r="P142" s="10">
        <v>311</v>
      </c>
      <c r="Q142" s="10">
        <v>331</v>
      </c>
      <c r="R142" s="10">
        <v>339</v>
      </c>
      <c r="S142" s="10">
        <v>298</v>
      </c>
      <c r="T142" s="10">
        <v>331</v>
      </c>
      <c r="U142" s="10">
        <v>339</v>
      </c>
      <c r="V142" s="10">
        <v>311</v>
      </c>
      <c r="W142" s="10">
        <v>331</v>
      </c>
      <c r="X142" s="10">
        <v>334</v>
      </c>
      <c r="Y142" s="10">
        <v>229</v>
      </c>
      <c r="Z142" s="10">
        <v>279</v>
      </c>
      <c r="AA142" s="10">
        <v>261</v>
      </c>
      <c r="AB142" s="10">
        <v>245</v>
      </c>
      <c r="AC142" s="10">
        <v>134</v>
      </c>
      <c r="AD142" s="10">
        <v>78</v>
      </c>
      <c r="AE142" s="10">
        <v>13</v>
      </c>
      <c r="AF142" s="10">
        <v>4</v>
      </c>
      <c r="AG142" s="10" t="s">
        <v>2</v>
      </c>
      <c r="AH142" s="102">
        <f>SUM(Tableau2[[#This Row],[Td 2]:[Td 5]])</f>
        <v>95</v>
      </c>
      <c r="AI142" s="10">
        <v>41.7</v>
      </c>
      <c r="AJ142" s="10">
        <v>100</v>
      </c>
      <c r="AK142" s="17">
        <f t="shared" si="18"/>
        <v>28.980249999999955</v>
      </c>
      <c r="AL142" s="17">
        <f t="shared" si="19"/>
        <v>6</v>
      </c>
      <c r="AM142" s="17">
        <f t="shared" si="20"/>
        <v>279</v>
      </c>
    </row>
    <row r="143" spans="1:39" s="3" customFormat="1" x14ac:dyDescent="0.25">
      <c r="A143" s="2" t="s">
        <v>16</v>
      </c>
      <c r="B143" s="29" t="s">
        <v>740</v>
      </c>
      <c r="C143" s="2" t="s">
        <v>25</v>
      </c>
      <c r="D143" s="2" t="s">
        <v>187</v>
      </c>
      <c r="E143" s="14">
        <v>6414</v>
      </c>
      <c r="F143" s="15">
        <f t="shared" si="14"/>
        <v>223.8486</v>
      </c>
      <c r="G143" s="15">
        <f t="shared" si="15"/>
        <v>256.56</v>
      </c>
      <c r="H143" s="15">
        <f t="shared" si="16"/>
        <v>186.54050000000001</v>
      </c>
      <c r="I143" s="15">
        <f t="shared" si="17"/>
        <v>213.79999999999998</v>
      </c>
      <c r="J143" s="10">
        <v>92</v>
      </c>
      <c r="K143" s="10">
        <v>84</v>
      </c>
      <c r="L143" s="10">
        <v>151</v>
      </c>
      <c r="M143" s="10">
        <v>152</v>
      </c>
      <c r="N143" s="10">
        <v>180</v>
      </c>
      <c r="O143" s="10">
        <v>170</v>
      </c>
      <c r="P143" s="10">
        <v>171</v>
      </c>
      <c r="Q143" s="10">
        <v>197</v>
      </c>
      <c r="R143" s="10">
        <v>170</v>
      </c>
      <c r="S143" s="10">
        <v>175</v>
      </c>
      <c r="T143" s="10">
        <v>199</v>
      </c>
      <c r="U143" s="10">
        <v>169</v>
      </c>
      <c r="V143" s="10">
        <v>175</v>
      </c>
      <c r="W143" s="10">
        <v>199</v>
      </c>
      <c r="X143" s="10">
        <v>202</v>
      </c>
      <c r="Y143" s="10">
        <v>120</v>
      </c>
      <c r="Z143" s="10">
        <v>187</v>
      </c>
      <c r="AA143" s="10">
        <v>180</v>
      </c>
      <c r="AB143" s="10">
        <v>113</v>
      </c>
      <c r="AC143" s="10">
        <v>139</v>
      </c>
      <c r="AD143" s="10">
        <v>120</v>
      </c>
      <c r="AE143" s="10">
        <v>78</v>
      </c>
      <c r="AF143" s="10">
        <v>2</v>
      </c>
      <c r="AG143" s="10">
        <v>2</v>
      </c>
      <c r="AH143" s="102">
        <f>SUM(Tableau2[[#This Row],[Td 2]:[Td 5]])</f>
        <v>202</v>
      </c>
      <c r="AI143" s="10">
        <v>33.299999999999997</v>
      </c>
      <c r="AJ143" s="10">
        <v>100</v>
      </c>
      <c r="AK143" s="17">
        <f t="shared" si="18"/>
        <v>16.540500000000009</v>
      </c>
      <c r="AL143" s="17">
        <f t="shared" si="19"/>
        <v>0</v>
      </c>
      <c r="AM143" s="17">
        <f t="shared" si="20"/>
        <v>187</v>
      </c>
    </row>
    <row r="144" spans="1:39" s="3" customFormat="1" x14ac:dyDescent="0.25">
      <c r="A144" s="2" t="s">
        <v>16</v>
      </c>
      <c r="B144" s="29" t="s">
        <v>740</v>
      </c>
      <c r="C144" s="2" t="s">
        <v>25</v>
      </c>
      <c r="D144" s="2" t="s">
        <v>188</v>
      </c>
      <c r="E144" s="14">
        <v>5186</v>
      </c>
      <c r="F144" s="15">
        <f t="shared" si="14"/>
        <v>180.9914</v>
      </c>
      <c r="G144" s="15">
        <f t="shared" si="15"/>
        <v>207.44</v>
      </c>
      <c r="H144" s="15">
        <f t="shared" si="16"/>
        <v>150.82616666666667</v>
      </c>
      <c r="I144" s="15">
        <f t="shared" si="17"/>
        <v>172.86666666666665</v>
      </c>
      <c r="J144" s="10">
        <v>95</v>
      </c>
      <c r="K144" s="10">
        <v>45</v>
      </c>
      <c r="L144" s="10">
        <v>141</v>
      </c>
      <c r="M144" s="10">
        <v>78</v>
      </c>
      <c r="N144" s="10">
        <v>127</v>
      </c>
      <c r="O144" s="10">
        <v>115</v>
      </c>
      <c r="P144" s="10">
        <v>73</v>
      </c>
      <c r="Q144" s="10">
        <v>132</v>
      </c>
      <c r="R144" s="10">
        <v>112</v>
      </c>
      <c r="S144" s="10">
        <v>77</v>
      </c>
      <c r="T144" s="10">
        <v>125</v>
      </c>
      <c r="U144" s="10">
        <v>106</v>
      </c>
      <c r="V144" s="10">
        <v>69</v>
      </c>
      <c r="W144" s="10">
        <v>114</v>
      </c>
      <c r="X144" s="10">
        <v>108</v>
      </c>
      <c r="Y144" s="10">
        <v>19</v>
      </c>
      <c r="Z144" s="10">
        <v>118</v>
      </c>
      <c r="AA144" s="10">
        <v>121</v>
      </c>
      <c r="AB144" s="10">
        <v>24</v>
      </c>
      <c r="AC144" s="10">
        <v>108</v>
      </c>
      <c r="AD144" s="10">
        <v>86</v>
      </c>
      <c r="AE144" s="10" t="s">
        <v>2</v>
      </c>
      <c r="AF144" s="10" t="s">
        <v>2</v>
      </c>
      <c r="AG144" s="10" t="s">
        <v>2</v>
      </c>
      <c r="AH144" s="102">
        <f>SUM(Tableau2[[#This Row],[Td 2]:[Td 5]])</f>
        <v>86</v>
      </c>
      <c r="AI144" s="10">
        <v>41.7</v>
      </c>
      <c r="AJ144" s="10">
        <v>100</v>
      </c>
      <c r="AK144" s="17">
        <f t="shared" si="18"/>
        <v>35.826166666666666</v>
      </c>
      <c r="AL144" s="17">
        <f t="shared" si="19"/>
        <v>7</v>
      </c>
      <c r="AM144" s="17">
        <f t="shared" si="20"/>
        <v>108</v>
      </c>
    </row>
    <row r="145" spans="1:39" s="3" customFormat="1" x14ac:dyDescent="0.25">
      <c r="A145" s="2" t="s">
        <v>16</v>
      </c>
      <c r="B145" s="29" t="s">
        <v>740</v>
      </c>
      <c r="C145" s="2" t="s">
        <v>25</v>
      </c>
      <c r="D145" s="2" t="s">
        <v>189</v>
      </c>
      <c r="E145" s="14">
        <v>5196</v>
      </c>
      <c r="F145" s="15">
        <f t="shared" si="14"/>
        <v>181.34039999999999</v>
      </c>
      <c r="G145" s="15">
        <f t="shared" si="15"/>
        <v>207.84</v>
      </c>
      <c r="H145" s="15">
        <f t="shared" si="16"/>
        <v>151.11699999999999</v>
      </c>
      <c r="I145" s="15">
        <f t="shared" si="17"/>
        <v>173.2</v>
      </c>
      <c r="J145" s="10">
        <v>159</v>
      </c>
      <c r="K145" s="10">
        <v>8</v>
      </c>
      <c r="L145" s="10">
        <v>169</v>
      </c>
      <c r="M145" s="10">
        <v>169</v>
      </c>
      <c r="N145" s="10">
        <v>171</v>
      </c>
      <c r="O145" s="10">
        <v>169</v>
      </c>
      <c r="P145" s="10">
        <v>168</v>
      </c>
      <c r="Q145" s="10">
        <v>170</v>
      </c>
      <c r="R145" s="10">
        <v>169</v>
      </c>
      <c r="S145" s="10">
        <v>169</v>
      </c>
      <c r="T145" s="10">
        <v>170</v>
      </c>
      <c r="U145" s="10">
        <v>169</v>
      </c>
      <c r="V145" s="10">
        <v>169</v>
      </c>
      <c r="W145" s="10">
        <v>170</v>
      </c>
      <c r="X145" s="10">
        <v>145</v>
      </c>
      <c r="Y145" s="10">
        <v>109</v>
      </c>
      <c r="Z145" s="10">
        <v>162</v>
      </c>
      <c r="AA145" s="10">
        <v>170</v>
      </c>
      <c r="AB145" s="10">
        <v>157</v>
      </c>
      <c r="AC145" s="10">
        <v>163</v>
      </c>
      <c r="AD145" s="10">
        <v>155</v>
      </c>
      <c r="AE145" s="10">
        <v>40</v>
      </c>
      <c r="AF145" s="10" t="s">
        <v>2</v>
      </c>
      <c r="AG145" s="10" t="s">
        <v>2</v>
      </c>
      <c r="AH145" s="102">
        <f>SUM(Tableau2[[#This Row],[Td 2]:[Td 5]])</f>
        <v>195</v>
      </c>
      <c r="AI145" s="10">
        <v>33.299999999999997</v>
      </c>
      <c r="AJ145" s="10">
        <v>100</v>
      </c>
      <c r="AK145" s="17">
        <f t="shared" si="18"/>
        <v>0</v>
      </c>
      <c r="AL145" s="17">
        <f t="shared" si="19"/>
        <v>24</v>
      </c>
      <c r="AM145" s="17">
        <f t="shared" si="20"/>
        <v>145</v>
      </c>
    </row>
    <row r="146" spans="1:39" s="3" customFormat="1" x14ac:dyDescent="0.25">
      <c r="A146" s="2" t="s">
        <v>16</v>
      </c>
      <c r="B146" s="29" t="s">
        <v>740</v>
      </c>
      <c r="C146" s="2" t="s">
        <v>25</v>
      </c>
      <c r="D146" s="2" t="s">
        <v>25</v>
      </c>
      <c r="E146" s="14">
        <v>11610</v>
      </c>
      <c r="F146" s="15">
        <f t="shared" si="14"/>
        <v>405.18900000000002</v>
      </c>
      <c r="G146" s="15">
        <f t="shared" si="15"/>
        <v>464.40000000000003</v>
      </c>
      <c r="H146" s="15">
        <f t="shared" si="16"/>
        <v>337.65750000000003</v>
      </c>
      <c r="I146" s="15">
        <f t="shared" si="17"/>
        <v>387</v>
      </c>
      <c r="J146" s="10">
        <v>355</v>
      </c>
      <c r="K146" s="10">
        <v>272</v>
      </c>
      <c r="L146" s="10">
        <v>446</v>
      </c>
      <c r="M146" s="10">
        <v>488</v>
      </c>
      <c r="N146" s="10">
        <v>493</v>
      </c>
      <c r="O146" s="10">
        <v>442</v>
      </c>
      <c r="P146" s="10">
        <v>463</v>
      </c>
      <c r="Q146" s="10">
        <v>496</v>
      </c>
      <c r="R146" s="10">
        <v>443</v>
      </c>
      <c r="S146" s="10">
        <v>471</v>
      </c>
      <c r="T146" s="10">
        <v>495</v>
      </c>
      <c r="U146" s="10">
        <v>453</v>
      </c>
      <c r="V146" s="10">
        <v>470</v>
      </c>
      <c r="W146" s="10">
        <v>490</v>
      </c>
      <c r="X146" s="10">
        <v>389</v>
      </c>
      <c r="Y146" s="10">
        <v>203</v>
      </c>
      <c r="Z146" s="10">
        <v>410</v>
      </c>
      <c r="AA146" s="10">
        <v>427</v>
      </c>
      <c r="AB146" s="10">
        <v>182</v>
      </c>
      <c r="AC146" s="10">
        <v>471</v>
      </c>
      <c r="AD146" s="10">
        <v>403</v>
      </c>
      <c r="AE146" s="10">
        <v>297</v>
      </c>
      <c r="AF146" s="10">
        <v>25</v>
      </c>
      <c r="AG146" s="10">
        <v>20</v>
      </c>
      <c r="AH146" s="102">
        <f>SUM(Tableau2[[#This Row],[Td 2]:[Td 5]])</f>
        <v>745</v>
      </c>
      <c r="AI146" s="10">
        <v>25</v>
      </c>
      <c r="AJ146" s="10">
        <v>100</v>
      </c>
      <c r="AK146" s="17">
        <f t="shared" si="18"/>
        <v>0</v>
      </c>
      <c r="AL146" s="17">
        <f t="shared" si="19"/>
        <v>53</v>
      </c>
      <c r="AM146" s="17">
        <f t="shared" si="20"/>
        <v>389</v>
      </c>
    </row>
    <row r="147" spans="1:39" s="3" customFormat="1" x14ac:dyDescent="0.25">
      <c r="A147" s="2" t="s">
        <v>16</v>
      </c>
      <c r="B147" s="29" t="s">
        <v>740</v>
      </c>
      <c r="C147" s="2" t="s">
        <v>25</v>
      </c>
      <c r="D147" s="2" t="s">
        <v>190</v>
      </c>
      <c r="E147" s="14">
        <v>6659</v>
      </c>
      <c r="F147" s="15">
        <f t="shared" si="14"/>
        <v>232.3991</v>
      </c>
      <c r="G147" s="15">
        <f t="shared" si="15"/>
        <v>266.36</v>
      </c>
      <c r="H147" s="15">
        <f t="shared" si="16"/>
        <v>193.66591666666667</v>
      </c>
      <c r="I147" s="15">
        <f t="shared" si="17"/>
        <v>221.9666666666667</v>
      </c>
      <c r="J147" s="10">
        <v>129</v>
      </c>
      <c r="K147" s="10">
        <v>33</v>
      </c>
      <c r="L147" s="10">
        <v>175</v>
      </c>
      <c r="M147" s="10">
        <v>166</v>
      </c>
      <c r="N147" s="10">
        <v>163</v>
      </c>
      <c r="O147" s="10">
        <v>175</v>
      </c>
      <c r="P147" s="10">
        <v>202</v>
      </c>
      <c r="Q147" s="10">
        <v>163</v>
      </c>
      <c r="R147" s="10">
        <v>175</v>
      </c>
      <c r="S147" s="10">
        <v>166</v>
      </c>
      <c r="T147" s="10">
        <v>165</v>
      </c>
      <c r="U147" s="10">
        <v>154</v>
      </c>
      <c r="V147" s="10">
        <v>146</v>
      </c>
      <c r="W147" s="10">
        <v>155</v>
      </c>
      <c r="X147" s="10">
        <v>163</v>
      </c>
      <c r="Y147" s="10">
        <v>116</v>
      </c>
      <c r="Z147" s="10">
        <v>163</v>
      </c>
      <c r="AA147" s="10">
        <v>171</v>
      </c>
      <c r="AB147" s="10">
        <v>145</v>
      </c>
      <c r="AC147" s="10">
        <v>154</v>
      </c>
      <c r="AD147" s="10">
        <v>140</v>
      </c>
      <c r="AE147" s="10" t="s">
        <v>2</v>
      </c>
      <c r="AF147" s="10" t="s">
        <v>2</v>
      </c>
      <c r="AG147" s="10" t="s">
        <v>2</v>
      </c>
      <c r="AH147" s="102">
        <f>SUM(Tableau2[[#This Row],[Td 2]:[Td 5]])</f>
        <v>140</v>
      </c>
      <c r="AI147" s="10">
        <v>33.299999999999997</v>
      </c>
      <c r="AJ147" s="10">
        <v>100</v>
      </c>
      <c r="AK147" s="17">
        <f t="shared" si="18"/>
        <v>18.665916666666675</v>
      </c>
      <c r="AL147" s="17">
        <f t="shared" si="19"/>
        <v>12</v>
      </c>
      <c r="AM147" s="17">
        <f t="shared" si="20"/>
        <v>163</v>
      </c>
    </row>
    <row r="148" spans="1:39" s="3" customFormat="1" x14ac:dyDescent="0.25">
      <c r="A148" s="2" t="s">
        <v>16</v>
      </c>
      <c r="B148" s="29" t="s">
        <v>740</v>
      </c>
      <c r="C148" s="2" t="s">
        <v>25</v>
      </c>
      <c r="D148" s="2" t="s">
        <v>191</v>
      </c>
      <c r="E148" s="14">
        <v>8267</v>
      </c>
      <c r="F148" s="15">
        <f t="shared" si="14"/>
        <v>288.51830000000001</v>
      </c>
      <c r="G148" s="15">
        <f t="shared" si="15"/>
        <v>330.68</v>
      </c>
      <c r="H148" s="15">
        <f t="shared" si="16"/>
        <v>240.43191666666669</v>
      </c>
      <c r="I148" s="15">
        <f t="shared" si="17"/>
        <v>275.56666666666666</v>
      </c>
      <c r="J148" s="10">
        <v>238</v>
      </c>
      <c r="K148" s="10">
        <v>197</v>
      </c>
      <c r="L148" s="10">
        <v>238</v>
      </c>
      <c r="M148" s="10">
        <v>235</v>
      </c>
      <c r="N148" s="10">
        <v>235</v>
      </c>
      <c r="O148" s="10">
        <v>238</v>
      </c>
      <c r="P148" s="10">
        <v>236</v>
      </c>
      <c r="Q148" s="10">
        <v>387</v>
      </c>
      <c r="R148" s="10">
        <v>238</v>
      </c>
      <c r="S148" s="10">
        <v>235</v>
      </c>
      <c r="T148" s="10">
        <v>234</v>
      </c>
      <c r="U148" s="10">
        <v>214</v>
      </c>
      <c r="V148" s="10">
        <v>212</v>
      </c>
      <c r="W148" s="10">
        <v>210</v>
      </c>
      <c r="X148" s="10">
        <v>229</v>
      </c>
      <c r="Y148" s="10">
        <v>215</v>
      </c>
      <c r="Z148" s="10">
        <v>229</v>
      </c>
      <c r="AA148" s="10">
        <v>167</v>
      </c>
      <c r="AB148" s="10">
        <v>139</v>
      </c>
      <c r="AC148" s="10">
        <v>281</v>
      </c>
      <c r="AD148" s="10">
        <v>243</v>
      </c>
      <c r="AE148" s="10">
        <v>217</v>
      </c>
      <c r="AF148" s="10">
        <v>145</v>
      </c>
      <c r="AG148" s="10">
        <v>66</v>
      </c>
      <c r="AH148" s="102">
        <f>SUM(Tableau2[[#This Row],[Td 2]:[Td 5]])</f>
        <v>671</v>
      </c>
      <c r="AI148" s="10">
        <v>50</v>
      </c>
      <c r="AJ148" s="10">
        <v>100</v>
      </c>
      <c r="AK148" s="17">
        <f t="shared" si="18"/>
        <v>2.4319166666666945</v>
      </c>
      <c r="AL148" s="17">
        <f t="shared" si="19"/>
        <v>9</v>
      </c>
      <c r="AM148" s="17">
        <f t="shared" si="20"/>
        <v>229</v>
      </c>
    </row>
    <row r="149" spans="1:39" s="3" customFormat="1" x14ac:dyDescent="0.25">
      <c r="A149" s="2" t="s">
        <v>16</v>
      </c>
      <c r="B149" s="29" t="s">
        <v>740</v>
      </c>
      <c r="C149" s="2" t="s">
        <v>25</v>
      </c>
      <c r="D149" s="2" t="s">
        <v>192</v>
      </c>
      <c r="E149" s="14">
        <v>7113</v>
      </c>
      <c r="F149" s="15">
        <f t="shared" si="14"/>
        <v>248.24369999999999</v>
      </c>
      <c r="G149" s="15">
        <f t="shared" si="15"/>
        <v>284.52</v>
      </c>
      <c r="H149" s="15">
        <f t="shared" si="16"/>
        <v>206.86975000000001</v>
      </c>
      <c r="I149" s="15">
        <f t="shared" si="17"/>
        <v>237.09999999999997</v>
      </c>
      <c r="J149" s="10">
        <v>208</v>
      </c>
      <c r="K149" s="10">
        <v>9</v>
      </c>
      <c r="L149" s="10">
        <v>186</v>
      </c>
      <c r="M149" s="10">
        <v>154</v>
      </c>
      <c r="N149" s="10">
        <v>163</v>
      </c>
      <c r="O149" s="10">
        <v>197</v>
      </c>
      <c r="P149" s="10">
        <v>144</v>
      </c>
      <c r="Q149" s="10">
        <v>163</v>
      </c>
      <c r="R149" s="10">
        <v>186</v>
      </c>
      <c r="S149" s="10">
        <v>152</v>
      </c>
      <c r="T149" s="10">
        <v>163</v>
      </c>
      <c r="U149" s="10">
        <v>187</v>
      </c>
      <c r="V149" s="10">
        <v>155</v>
      </c>
      <c r="W149" s="10">
        <v>166</v>
      </c>
      <c r="X149" s="10">
        <v>169</v>
      </c>
      <c r="Y149" s="10">
        <v>113</v>
      </c>
      <c r="Z149" s="10">
        <v>172</v>
      </c>
      <c r="AA149" s="10">
        <v>149</v>
      </c>
      <c r="AB149" s="10">
        <v>118</v>
      </c>
      <c r="AC149" s="10">
        <v>225</v>
      </c>
      <c r="AD149" s="10">
        <v>210</v>
      </c>
      <c r="AE149" s="10">
        <v>51</v>
      </c>
      <c r="AF149" s="10">
        <v>7</v>
      </c>
      <c r="AG149" s="10" t="s">
        <v>2</v>
      </c>
      <c r="AH149" s="102">
        <f>SUM(Tableau2[[#This Row],[Td 2]:[Td 5]])</f>
        <v>268</v>
      </c>
      <c r="AI149" s="10">
        <v>33.299999999999997</v>
      </c>
      <c r="AJ149" s="10">
        <v>100</v>
      </c>
      <c r="AK149" s="17">
        <f t="shared" si="18"/>
        <v>9.8697500000000105</v>
      </c>
      <c r="AL149" s="17">
        <f t="shared" si="19"/>
        <v>28</v>
      </c>
      <c r="AM149" s="17">
        <f t="shared" si="20"/>
        <v>169</v>
      </c>
    </row>
    <row r="150" spans="1:39" s="3" customFormat="1" x14ac:dyDescent="0.25">
      <c r="A150" s="2" t="s">
        <v>16</v>
      </c>
      <c r="B150" s="29" t="s">
        <v>740</v>
      </c>
      <c r="C150" s="2" t="s">
        <v>25</v>
      </c>
      <c r="D150" s="2" t="s">
        <v>193</v>
      </c>
      <c r="E150" s="14">
        <v>6569</v>
      </c>
      <c r="F150" s="15">
        <f t="shared" si="14"/>
        <v>229.25810000000001</v>
      </c>
      <c r="G150" s="15">
        <f t="shared" si="15"/>
        <v>262.76</v>
      </c>
      <c r="H150" s="15">
        <f t="shared" si="16"/>
        <v>191.0484166666667</v>
      </c>
      <c r="I150" s="15">
        <f t="shared" si="17"/>
        <v>218.96666666666664</v>
      </c>
      <c r="J150" s="10">
        <v>200</v>
      </c>
      <c r="K150" s="10">
        <v>76</v>
      </c>
      <c r="L150" s="10">
        <v>198</v>
      </c>
      <c r="M150" s="10">
        <v>168</v>
      </c>
      <c r="N150" s="10">
        <v>186</v>
      </c>
      <c r="O150" s="10">
        <v>198</v>
      </c>
      <c r="P150" s="10">
        <v>170</v>
      </c>
      <c r="Q150" s="10">
        <v>186</v>
      </c>
      <c r="R150" s="10">
        <v>198</v>
      </c>
      <c r="S150" s="10">
        <v>170</v>
      </c>
      <c r="T150" s="10">
        <v>186</v>
      </c>
      <c r="U150" s="10">
        <v>197</v>
      </c>
      <c r="V150" s="10">
        <v>171</v>
      </c>
      <c r="W150" s="10">
        <v>186</v>
      </c>
      <c r="X150" s="10">
        <v>184</v>
      </c>
      <c r="Y150" s="10">
        <v>186</v>
      </c>
      <c r="Z150" s="10">
        <v>184</v>
      </c>
      <c r="AA150" s="10">
        <v>187</v>
      </c>
      <c r="AB150" s="10">
        <v>201</v>
      </c>
      <c r="AC150" s="10">
        <v>180</v>
      </c>
      <c r="AD150" s="10">
        <v>158</v>
      </c>
      <c r="AE150" s="10">
        <v>51</v>
      </c>
      <c r="AF150" s="10">
        <v>4</v>
      </c>
      <c r="AG150" s="10" t="s">
        <v>2</v>
      </c>
      <c r="AH150" s="102">
        <f>SUM(Tableau2[[#This Row],[Td 2]:[Td 5]])</f>
        <v>213</v>
      </c>
      <c r="AI150" s="10">
        <v>25</v>
      </c>
      <c r="AJ150" s="10">
        <v>100</v>
      </c>
      <c r="AK150" s="17">
        <f t="shared" si="18"/>
        <v>0</v>
      </c>
      <c r="AL150" s="17">
        <f t="shared" si="19"/>
        <v>14</v>
      </c>
      <c r="AM150" s="17">
        <f t="shared" si="20"/>
        <v>184</v>
      </c>
    </row>
    <row r="151" spans="1:39" s="3" customFormat="1" x14ac:dyDescent="0.25">
      <c r="A151" s="2" t="s">
        <v>16</v>
      </c>
      <c r="B151" s="29" t="s">
        <v>740</v>
      </c>
      <c r="C151" s="2" t="s">
        <v>25</v>
      </c>
      <c r="D151" s="2" t="s">
        <v>194</v>
      </c>
      <c r="E151" s="14">
        <v>10717</v>
      </c>
      <c r="F151" s="15">
        <f t="shared" si="14"/>
        <v>374.02330000000001</v>
      </c>
      <c r="G151" s="15">
        <f t="shared" si="15"/>
        <v>428.68</v>
      </c>
      <c r="H151" s="15">
        <f t="shared" si="16"/>
        <v>311.68608333333333</v>
      </c>
      <c r="I151" s="15">
        <f t="shared" si="17"/>
        <v>357.23333333333335</v>
      </c>
      <c r="J151" s="10">
        <v>277</v>
      </c>
      <c r="K151" s="10">
        <v>32</v>
      </c>
      <c r="L151" s="10">
        <v>258</v>
      </c>
      <c r="M151" s="10">
        <v>258</v>
      </c>
      <c r="N151" s="10">
        <v>226</v>
      </c>
      <c r="O151" s="10">
        <v>320</v>
      </c>
      <c r="P151" s="10">
        <v>319</v>
      </c>
      <c r="Q151" s="10">
        <v>289</v>
      </c>
      <c r="R151" s="10">
        <v>287</v>
      </c>
      <c r="S151" s="10">
        <v>284</v>
      </c>
      <c r="T151" s="10">
        <v>322</v>
      </c>
      <c r="U151" s="10">
        <v>258</v>
      </c>
      <c r="V151" s="10">
        <v>258</v>
      </c>
      <c r="W151" s="10">
        <v>261</v>
      </c>
      <c r="X151" s="10">
        <v>282</v>
      </c>
      <c r="Y151" s="10">
        <v>265</v>
      </c>
      <c r="Z151" s="10">
        <v>282</v>
      </c>
      <c r="AA151" s="10">
        <v>133</v>
      </c>
      <c r="AB151" s="10">
        <v>130</v>
      </c>
      <c r="AC151" s="10">
        <v>210</v>
      </c>
      <c r="AD151" s="10">
        <v>229</v>
      </c>
      <c r="AE151" s="10">
        <v>205</v>
      </c>
      <c r="AF151" s="10">
        <v>253</v>
      </c>
      <c r="AG151" s="10">
        <v>222</v>
      </c>
      <c r="AH151" s="102">
        <f>SUM(Tableau2[[#This Row],[Td 2]:[Td 5]])</f>
        <v>909</v>
      </c>
      <c r="AI151" s="10">
        <v>33.299999999999997</v>
      </c>
      <c r="AJ151" s="10">
        <v>100</v>
      </c>
      <c r="AK151" s="17">
        <f t="shared" si="18"/>
        <v>0</v>
      </c>
      <c r="AL151" s="17">
        <f t="shared" si="19"/>
        <v>38</v>
      </c>
      <c r="AM151" s="17">
        <f t="shared" si="20"/>
        <v>282</v>
      </c>
    </row>
    <row r="152" spans="1:39" s="3" customFormat="1" x14ac:dyDescent="0.25">
      <c r="A152" s="2" t="s">
        <v>16</v>
      </c>
      <c r="B152" s="29" t="s">
        <v>740</v>
      </c>
      <c r="C152" s="2" t="s">
        <v>25</v>
      </c>
      <c r="D152" s="2" t="s">
        <v>195</v>
      </c>
      <c r="E152" s="14">
        <v>7648</v>
      </c>
      <c r="F152" s="15">
        <f t="shared" si="14"/>
        <v>266.91520000000003</v>
      </c>
      <c r="G152" s="15">
        <f t="shared" si="15"/>
        <v>305.92</v>
      </c>
      <c r="H152" s="15">
        <f t="shared" si="16"/>
        <v>222.42933333333337</v>
      </c>
      <c r="I152" s="15">
        <f t="shared" si="17"/>
        <v>254.93333333333337</v>
      </c>
      <c r="J152" s="10">
        <v>176</v>
      </c>
      <c r="K152" s="10">
        <v>65</v>
      </c>
      <c r="L152" s="10">
        <v>189</v>
      </c>
      <c r="M152" s="10">
        <v>141</v>
      </c>
      <c r="N152" s="10">
        <v>179</v>
      </c>
      <c r="O152" s="10">
        <v>250</v>
      </c>
      <c r="P152" s="10">
        <v>191</v>
      </c>
      <c r="Q152" s="10">
        <v>236</v>
      </c>
      <c r="R152" s="10">
        <v>250</v>
      </c>
      <c r="S152" s="10">
        <v>191</v>
      </c>
      <c r="T152" s="10">
        <v>237</v>
      </c>
      <c r="U152" s="10">
        <v>248</v>
      </c>
      <c r="V152" s="10">
        <v>183</v>
      </c>
      <c r="W152" s="10">
        <v>236</v>
      </c>
      <c r="X152" s="10">
        <v>209</v>
      </c>
      <c r="Y152" s="10">
        <v>161</v>
      </c>
      <c r="Z152" s="10">
        <v>209</v>
      </c>
      <c r="AA152" s="10">
        <v>125</v>
      </c>
      <c r="AB152" s="10">
        <v>88</v>
      </c>
      <c r="AC152" s="10">
        <v>213</v>
      </c>
      <c r="AD152" s="10">
        <v>169</v>
      </c>
      <c r="AE152" s="10">
        <v>112</v>
      </c>
      <c r="AF152" s="10">
        <v>51</v>
      </c>
      <c r="AG152" s="10" t="s">
        <v>2</v>
      </c>
      <c r="AH152" s="102">
        <f>SUM(Tableau2[[#This Row],[Td 2]:[Td 5]])</f>
        <v>332</v>
      </c>
      <c r="AI152" s="10">
        <v>41.7</v>
      </c>
      <c r="AJ152" s="10">
        <v>100</v>
      </c>
      <c r="AK152" s="17">
        <f t="shared" si="18"/>
        <v>0</v>
      </c>
      <c r="AL152" s="17">
        <f t="shared" si="19"/>
        <v>41</v>
      </c>
      <c r="AM152" s="17">
        <f t="shared" si="20"/>
        <v>209</v>
      </c>
    </row>
    <row r="153" spans="1:39" s="3" customFormat="1" x14ac:dyDescent="0.25">
      <c r="A153" s="2" t="s">
        <v>16</v>
      </c>
      <c r="B153" s="29" t="s">
        <v>740</v>
      </c>
      <c r="C153" s="2" t="s">
        <v>25</v>
      </c>
      <c r="D153" s="2" t="s">
        <v>196</v>
      </c>
      <c r="E153" s="14">
        <v>10771</v>
      </c>
      <c r="F153" s="15">
        <f t="shared" si="14"/>
        <v>375.90789999999998</v>
      </c>
      <c r="G153" s="15">
        <f t="shared" si="15"/>
        <v>430.84000000000003</v>
      </c>
      <c r="H153" s="15">
        <f t="shared" si="16"/>
        <v>313.25658333333331</v>
      </c>
      <c r="I153" s="15">
        <f t="shared" si="17"/>
        <v>359.03333333333336</v>
      </c>
      <c r="J153" s="10">
        <v>343</v>
      </c>
      <c r="K153" s="10">
        <v>320</v>
      </c>
      <c r="L153" s="10">
        <v>316</v>
      </c>
      <c r="M153" s="10">
        <v>306</v>
      </c>
      <c r="N153" s="10">
        <v>323</v>
      </c>
      <c r="O153" s="10">
        <v>316</v>
      </c>
      <c r="P153" s="10">
        <v>298</v>
      </c>
      <c r="Q153" s="10">
        <v>312</v>
      </c>
      <c r="R153" s="10">
        <v>324</v>
      </c>
      <c r="S153" s="10">
        <v>300</v>
      </c>
      <c r="T153" s="10">
        <v>312</v>
      </c>
      <c r="U153" s="10">
        <v>325</v>
      </c>
      <c r="V153" s="10">
        <v>302</v>
      </c>
      <c r="W153" s="10">
        <v>313</v>
      </c>
      <c r="X153" s="10">
        <v>325</v>
      </c>
      <c r="Y153" s="10">
        <v>238</v>
      </c>
      <c r="Z153" s="10">
        <v>308</v>
      </c>
      <c r="AA153" s="10">
        <v>271</v>
      </c>
      <c r="AB153" s="10">
        <v>229</v>
      </c>
      <c r="AC153" s="10">
        <v>320</v>
      </c>
      <c r="AD153" s="10">
        <v>296</v>
      </c>
      <c r="AE153" s="10" t="s">
        <v>2</v>
      </c>
      <c r="AF153" s="10" t="s">
        <v>2</v>
      </c>
      <c r="AG153" s="10" t="s">
        <v>2</v>
      </c>
      <c r="AH153" s="102">
        <f>SUM(Tableau2[[#This Row],[Td 2]:[Td 5]])</f>
        <v>296</v>
      </c>
      <c r="AI153" s="10">
        <v>50</v>
      </c>
      <c r="AJ153" s="10">
        <v>100</v>
      </c>
      <c r="AK153" s="17">
        <f t="shared" si="18"/>
        <v>0</v>
      </c>
      <c r="AL153" s="17">
        <f t="shared" si="19"/>
        <v>0</v>
      </c>
      <c r="AM153" s="17">
        <f t="shared" si="20"/>
        <v>308</v>
      </c>
    </row>
    <row r="154" spans="1:39" s="3" customFormat="1" x14ac:dyDescent="0.25">
      <c r="A154" s="2" t="s">
        <v>16</v>
      </c>
      <c r="B154" s="29" t="s">
        <v>740</v>
      </c>
      <c r="C154" s="2" t="s">
        <v>25</v>
      </c>
      <c r="D154" s="2" t="s">
        <v>197</v>
      </c>
      <c r="E154" s="14">
        <v>7073</v>
      </c>
      <c r="F154" s="15">
        <f t="shared" si="14"/>
        <v>246.8477</v>
      </c>
      <c r="G154" s="15">
        <f t="shared" si="15"/>
        <v>282.92</v>
      </c>
      <c r="H154" s="15">
        <f t="shared" si="16"/>
        <v>205.70641666666666</v>
      </c>
      <c r="I154" s="15">
        <f t="shared" si="17"/>
        <v>235.76666666666668</v>
      </c>
      <c r="J154" s="10">
        <v>193</v>
      </c>
      <c r="K154" s="10">
        <v>120</v>
      </c>
      <c r="L154" s="10">
        <v>207</v>
      </c>
      <c r="M154" s="10">
        <v>197</v>
      </c>
      <c r="N154" s="10">
        <v>187</v>
      </c>
      <c r="O154" s="10">
        <v>207</v>
      </c>
      <c r="P154" s="10">
        <v>200</v>
      </c>
      <c r="Q154" s="10">
        <v>187</v>
      </c>
      <c r="R154" s="10">
        <v>207</v>
      </c>
      <c r="S154" s="10">
        <v>197</v>
      </c>
      <c r="T154" s="10">
        <v>196</v>
      </c>
      <c r="U154" s="10">
        <v>208</v>
      </c>
      <c r="V154" s="10">
        <v>201</v>
      </c>
      <c r="W154" s="10">
        <v>190</v>
      </c>
      <c r="X154" s="10">
        <v>189</v>
      </c>
      <c r="Y154" s="10">
        <v>128</v>
      </c>
      <c r="Z154" s="10">
        <v>189</v>
      </c>
      <c r="AA154" s="10">
        <v>187</v>
      </c>
      <c r="AB154" s="10">
        <v>175</v>
      </c>
      <c r="AC154" s="10">
        <v>160</v>
      </c>
      <c r="AD154" s="10">
        <v>140</v>
      </c>
      <c r="AE154" s="10">
        <v>115</v>
      </c>
      <c r="AF154" s="10">
        <v>76</v>
      </c>
      <c r="AG154" s="10" t="s">
        <v>2</v>
      </c>
      <c r="AH154" s="102">
        <f>SUM(Tableau2[[#This Row],[Td 2]:[Td 5]])</f>
        <v>331</v>
      </c>
      <c r="AI154" s="10">
        <v>33.299999999999997</v>
      </c>
      <c r="AJ154" s="10">
        <v>100</v>
      </c>
      <c r="AK154" s="17">
        <f t="shared" si="18"/>
        <v>0</v>
      </c>
      <c r="AL154" s="17">
        <f t="shared" si="19"/>
        <v>18</v>
      </c>
      <c r="AM154" s="17">
        <f t="shared" si="20"/>
        <v>189</v>
      </c>
    </row>
    <row r="155" spans="1:39" s="3" customFormat="1" x14ac:dyDescent="0.25">
      <c r="A155" s="2" t="s">
        <v>16</v>
      </c>
      <c r="B155" s="29" t="s">
        <v>740</v>
      </c>
      <c r="C155" s="2" t="s">
        <v>25</v>
      </c>
      <c r="D155" s="2" t="s">
        <v>198</v>
      </c>
      <c r="E155" s="14">
        <v>12895</v>
      </c>
      <c r="F155" s="15">
        <f t="shared" si="14"/>
        <v>450.03550000000001</v>
      </c>
      <c r="G155" s="15">
        <f t="shared" si="15"/>
        <v>515.79999999999995</v>
      </c>
      <c r="H155" s="15">
        <f t="shared" si="16"/>
        <v>375.02958333333333</v>
      </c>
      <c r="I155" s="15">
        <f t="shared" si="17"/>
        <v>429.83333333333326</v>
      </c>
      <c r="J155" s="10">
        <v>613</v>
      </c>
      <c r="K155" s="10">
        <v>212</v>
      </c>
      <c r="L155" s="10">
        <v>372</v>
      </c>
      <c r="M155" s="10">
        <v>337</v>
      </c>
      <c r="N155" s="10">
        <v>353</v>
      </c>
      <c r="O155" s="10">
        <v>370</v>
      </c>
      <c r="P155" s="10">
        <v>336</v>
      </c>
      <c r="Q155" s="10">
        <v>343</v>
      </c>
      <c r="R155" s="10">
        <v>370</v>
      </c>
      <c r="S155" s="10">
        <v>338</v>
      </c>
      <c r="T155" s="10">
        <v>355</v>
      </c>
      <c r="U155" s="10">
        <v>370</v>
      </c>
      <c r="V155" s="10">
        <v>336</v>
      </c>
      <c r="W155" s="10">
        <v>355</v>
      </c>
      <c r="X155" s="10">
        <v>345</v>
      </c>
      <c r="Y155" s="10">
        <v>223</v>
      </c>
      <c r="Z155" s="10">
        <v>345</v>
      </c>
      <c r="AA155" s="10">
        <v>353</v>
      </c>
      <c r="AB155" s="10">
        <v>334</v>
      </c>
      <c r="AC155" s="10">
        <v>394</v>
      </c>
      <c r="AD155" s="10">
        <v>294</v>
      </c>
      <c r="AE155" s="10">
        <v>257</v>
      </c>
      <c r="AF155" s="10" t="s">
        <v>2</v>
      </c>
      <c r="AG155" s="10" t="s">
        <v>2</v>
      </c>
      <c r="AH155" s="102">
        <f>SUM(Tableau2[[#This Row],[Td 2]:[Td 5]])</f>
        <v>551</v>
      </c>
      <c r="AI155" s="10">
        <v>25</v>
      </c>
      <c r="AJ155" s="10">
        <v>100</v>
      </c>
      <c r="AK155" s="17">
        <f t="shared" si="18"/>
        <v>5.0295833333333348</v>
      </c>
      <c r="AL155" s="17">
        <f t="shared" si="19"/>
        <v>25</v>
      </c>
      <c r="AM155" s="17">
        <f t="shared" si="20"/>
        <v>345</v>
      </c>
    </row>
    <row r="156" spans="1:39" s="3" customFormat="1" x14ac:dyDescent="0.25">
      <c r="A156" s="2" t="s">
        <v>16</v>
      </c>
      <c r="B156" s="29" t="s">
        <v>740</v>
      </c>
      <c r="C156" s="2" t="s">
        <v>25</v>
      </c>
      <c r="D156" s="2" t="s">
        <v>199</v>
      </c>
      <c r="E156" s="14">
        <v>11598</v>
      </c>
      <c r="F156" s="15">
        <f t="shared" si="14"/>
        <v>404.77019999999999</v>
      </c>
      <c r="G156" s="15">
        <f t="shared" si="15"/>
        <v>463.92</v>
      </c>
      <c r="H156" s="15">
        <f t="shared" si="16"/>
        <v>337.30849999999998</v>
      </c>
      <c r="I156" s="15">
        <f t="shared" si="17"/>
        <v>386.6</v>
      </c>
      <c r="J156" s="10">
        <v>370</v>
      </c>
      <c r="K156" s="10" t="s">
        <v>2</v>
      </c>
      <c r="L156" s="10">
        <v>302</v>
      </c>
      <c r="M156" s="10">
        <v>298</v>
      </c>
      <c r="N156" s="10">
        <v>299</v>
      </c>
      <c r="O156" s="10">
        <v>336</v>
      </c>
      <c r="P156" s="10">
        <v>330</v>
      </c>
      <c r="Q156" s="10">
        <v>332</v>
      </c>
      <c r="R156" s="10">
        <v>334</v>
      </c>
      <c r="S156" s="10">
        <v>330</v>
      </c>
      <c r="T156" s="10">
        <v>332</v>
      </c>
      <c r="U156" s="10">
        <v>336</v>
      </c>
      <c r="V156" s="10">
        <v>329</v>
      </c>
      <c r="W156" s="10">
        <v>331</v>
      </c>
      <c r="X156" s="10">
        <v>298</v>
      </c>
      <c r="Y156" s="10">
        <v>268</v>
      </c>
      <c r="Z156" s="10">
        <v>298</v>
      </c>
      <c r="AA156" s="10">
        <v>299</v>
      </c>
      <c r="AB156" s="10">
        <v>299</v>
      </c>
      <c r="AC156" s="10">
        <v>192</v>
      </c>
      <c r="AD156" s="10">
        <v>189</v>
      </c>
      <c r="AE156" s="10">
        <v>4</v>
      </c>
      <c r="AF156" s="10">
        <v>1</v>
      </c>
      <c r="AG156" s="10" t="s">
        <v>2</v>
      </c>
      <c r="AH156" s="102">
        <f>SUM(Tableau2[[#This Row],[Td 2]:[Td 5]])</f>
        <v>194</v>
      </c>
      <c r="AI156" s="10">
        <v>41.7</v>
      </c>
      <c r="AJ156" s="10">
        <v>100</v>
      </c>
      <c r="AK156" s="17">
        <f t="shared" si="18"/>
        <v>1.3084999999999809</v>
      </c>
      <c r="AL156" s="17">
        <f t="shared" si="19"/>
        <v>38</v>
      </c>
      <c r="AM156" s="17">
        <f t="shared" si="20"/>
        <v>298</v>
      </c>
    </row>
    <row r="157" spans="1:39" s="3" customFormat="1" x14ac:dyDescent="0.25">
      <c r="A157" s="2" t="s">
        <v>16</v>
      </c>
      <c r="B157" s="29" t="s">
        <v>740</v>
      </c>
      <c r="C157" s="2" t="s">
        <v>25</v>
      </c>
      <c r="D157" s="2" t="s">
        <v>200</v>
      </c>
      <c r="E157" s="14">
        <v>6579</v>
      </c>
      <c r="F157" s="15">
        <f t="shared" si="14"/>
        <v>229.6071</v>
      </c>
      <c r="G157" s="15">
        <f t="shared" si="15"/>
        <v>263.16000000000003</v>
      </c>
      <c r="H157" s="15">
        <f t="shared" si="16"/>
        <v>191.33925000000002</v>
      </c>
      <c r="I157" s="15">
        <f t="shared" si="17"/>
        <v>219.30000000000004</v>
      </c>
      <c r="J157" s="10">
        <v>190</v>
      </c>
      <c r="K157" s="10">
        <v>67</v>
      </c>
      <c r="L157" s="10">
        <v>104</v>
      </c>
      <c r="M157" s="10">
        <v>91</v>
      </c>
      <c r="N157" s="10">
        <v>96</v>
      </c>
      <c r="O157" s="10">
        <v>174</v>
      </c>
      <c r="P157" s="10">
        <v>160</v>
      </c>
      <c r="Q157" s="10">
        <v>168</v>
      </c>
      <c r="R157" s="10">
        <v>174</v>
      </c>
      <c r="S157" s="10">
        <v>160</v>
      </c>
      <c r="T157" s="10">
        <v>168</v>
      </c>
      <c r="U157" s="10">
        <v>155</v>
      </c>
      <c r="V157" s="10">
        <v>141</v>
      </c>
      <c r="W157" s="10">
        <v>150</v>
      </c>
      <c r="X157" s="10">
        <v>172</v>
      </c>
      <c r="Y157" s="10">
        <v>124</v>
      </c>
      <c r="Z157" s="10">
        <v>172</v>
      </c>
      <c r="AA157" s="10">
        <v>96</v>
      </c>
      <c r="AB157" s="10">
        <v>86</v>
      </c>
      <c r="AC157" s="10">
        <v>71</v>
      </c>
      <c r="AD157" s="10">
        <v>29</v>
      </c>
      <c r="AE157" s="10">
        <v>17</v>
      </c>
      <c r="AF157" s="10">
        <v>14</v>
      </c>
      <c r="AG157" s="10">
        <v>8</v>
      </c>
      <c r="AH157" s="102">
        <f>SUM(Tableau2[[#This Row],[Td 2]:[Td 5]])</f>
        <v>68</v>
      </c>
      <c r="AI157" s="10">
        <v>41.7</v>
      </c>
      <c r="AJ157" s="10">
        <v>100</v>
      </c>
      <c r="AK157" s="17">
        <f t="shared" si="18"/>
        <v>17.339250000000021</v>
      </c>
      <c r="AL157" s="17">
        <f t="shared" si="19"/>
        <v>2</v>
      </c>
      <c r="AM157" s="17">
        <f t="shared" si="20"/>
        <v>172</v>
      </c>
    </row>
    <row r="158" spans="1:39" s="3" customFormat="1" x14ac:dyDescent="0.25">
      <c r="A158" s="2" t="s">
        <v>16</v>
      </c>
      <c r="B158" s="29" t="s">
        <v>740</v>
      </c>
      <c r="C158" s="2" t="s">
        <v>25</v>
      </c>
      <c r="D158" s="2" t="s">
        <v>201</v>
      </c>
      <c r="E158" s="14">
        <v>7188</v>
      </c>
      <c r="F158" s="15">
        <f t="shared" si="14"/>
        <v>250.8612</v>
      </c>
      <c r="G158" s="15">
        <f t="shared" si="15"/>
        <v>287.52</v>
      </c>
      <c r="H158" s="15">
        <f t="shared" si="16"/>
        <v>209.05100000000002</v>
      </c>
      <c r="I158" s="15">
        <f t="shared" si="17"/>
        <v>239.59999999999997</v>
      </c>
      <c r="J158" s="10">
        <v>243</v>
      </c>
      <c r="K158" s="10">
        <v>109</v>
      </c>
      <c r="L158" s="10">
        <v>204</v>
      </c>
      <c r="M158" s="10">
        <v>205</v>
      </c>
      <c r="N158" s="10">
        <v>206</v>
      </c>
      <c r="O158" s="10">
        <v>204</v>
      </c>
      <c r="P158" s="10">
        <v>205</v>
      </c>
      <c r="Q158" s="10">
        <v>206</v>
      </c>
      <c r="R158" s="10">
        <v>204</v>
      </c>
      <c r="S158" s="10">
        <v>205</v>
      </c>
      <c r="T158" s="10">
        <v>206</v>
      </c>
      <c r="U158" s="10">
        <v>208</v>
      </c>
      <c r="V158" s="10">
        <v>202</v>
      </c>
      <c r="W158" s="10">
        <v>206</v>
      </c>
      <c r="X158" s="10">
        <v>227</v>
      </c>
      <c r="Y158" s="10">
        <v>178</v>
      </c>
      <c r="Z158" s="10">
        <v>237</v>
      </c>
      <c r="AA158" s="10">
        <v>221</v>
      </c>
      <c r="AB158" s="10">
        <v>150</v>
      </c>
      <c r="AC158" s="10">
        <v>110</v>
      </c>
      <c r="AD158" s="10">
        <v>95</v>
      </c>
      <c r="AE158" s="10">
        <v>78</v>
      </c>
      <c r="AF158" s="10">
        <v>37</v>
      </c>
      <c r="AG158" s="10">
        <v>17</v>
      </c>
      <c r="AH158" s="102">
        <f>SUM(Tableau2[[#This Row],[Td 2]:[Td 5]])</f>
        <v>227</v>
      </c>
      <c r="AI158" s="10">
        <v>25</v>
      </c>
      <c r="AJ158" s="10">
        <v>100</v>
      </c>
      <c r="AK158" s="17">
        <f t="shared" si="18"/>
        <v>5.0510000000000161</v>
      </c>
      <c r="AL158" s="17">
        <f t="shared" si="19"/>
        <v>0</v>
      </c>
      <c r="AM158" s="17">
        <f t="shared" si="20"/>
        <v>227</v>
      </c>
    </row>
    <row r="159" spans="1:39" s="3" customFormat="1" x14ac:dyDescent="0.25">
      <c r="A159" s="2" t="s">
        <v>16</v>
      </c>
      <c r="B159" s="29" t="s">
        <v>740</v>
      </c>
      <c r="C159" s="2" t="s">
        <v>25</v>
      </c>
      <c r="D159" s="2" t="s">
        <v>202</v>
      </c>
      <c r="E159" s="14">
        <v>5540</v>
      </c>
      <c r="F159" s="15">
        <f t="shared" si="14"/>
        <v>193.346</v>
      </c>
      <c r="G159" s="15">
        <f t="shared" si="15"/>
        <v>221.6</v>
      </c>
      <c r="H159" s="15">
        <f t="shared" si="16"/>
        <v>161.12166666666667</v>
      </c>
      <c r="I159" s="15">
        <f t="shared" si="17"/>
        <v>184.66666666666666</v>
      </c>
      <c r="J159" s="10">
        <v>154</v>
      </c>
      <c r="K159" s="10">
        <v>72</v>
      </c>
      <c r="L159" s="10">
        <v>167</v>
      </c>
      <c r="M159" s="10">
        <v>147</v>
      </c>
      <c r="N159" s="10">
        <v>130</v>
      </c>
      <c r="O159" s="10">
        <v>137</v>
      </c>
      <c r="P159" s="10">
        <v>140</v>
      </c>
      <c r="Q159" s="10">
        <v>144</v>
      </c>
      <c r="R159" s="10">
        <v>139</v>
      </c>
      <c r="S159" s="10">
        <v>147</v>
      </c>
      <c r="T159" s="10">
        <v>151</v>
      </c>
      <c r="U159" s="10">
        <v>167</v>
      </c>
      <c r="V159" s="10">
        <v>138</v>
      </c>
      <c r="W159" s="10">
        <v>152</v>
      </c>
      <c r="X159" s="10">
        <v>129</v>
      </c>
      <c r="Y159" s="10">
        <v>84</v>
      </c>
      <c r="Z159" s="10">
        <v>142</v>
      </c>
      <c r="AA159" s="10">
        <v>88</v>
      </c>
      <c r="AB159" s="10">
        <v>98</v>
      </c>
      <c r="AC159" s="10">
        <v>161</v>
      </c>
      <c r="AD159" s="10">
        <v>130</v>
      </c>
      <c r="AE159" s="10">
        <v>20</v>
      </c>
      <c r="AF159" s="10" t="s">
        <v>2</v>
      </c>
      <c r="AG159" s="10" t="s">
        <v>2</v>
      </c>
      <c r="AH159" s="102">
        <f>SUM(Tableau2[[#This Row],[Td 2]:[Td 5]])</f>
        <v>150</v>
      </c>
      <c r="AI159" s="10">
        <v>33.299999999999997</v>
      </c>
      <c r="AJ159" s="10">
        <v>100</v>
      </c>
      <c r="AK159" s="17">
        <f t="shared" si="18"/>
        <v>24.12166666666667</v>
      </c>
      <c r="AL159" s="17">
        <f t="shared" si="19"/>
        <v>8</v>
      </c>
      <c r="AM159" s="17">
        <f t="shared" si="20"/>
        <v>129</v>
      </c>
    </row>
    <row r="160" spans="1:39" s="3" customFormat="1" x14ac:dyDescent="0.25">
      <c r="A160" s="2" t="s">
        <v>16</v>
      </c>
      <c r="B160" s="29" t="s">
        <v>740</v>
      </c>
      <c r="C160" s="2" t="s">
        <v>25</v>
      </c>
      <c r="D160" s="2" t="s">
        <v>203</v>
      </c>
      <c r="E160" s="14">
        <v>5119</v>
      </c>
      <c r="F160" s="15">
        <f t="shared" si="14"/>
        <v>178.65309999999999</v>
      </c>
      <c r="G160" s="15">
        <f t="shared" si="15"/>
        <v>204.76</v>
      </c>
      <c r="H160" s="15">
        <f t="shared" si="16"/>
        <v>148.87758333333332</v>
      </c>
      <c r="I160" s="15">
        <f t="shared" si="17"/>
        <v>170.63333333333333</v>
      </c>
      <c r="J160" s="10">
        <v>133</v>
      </c>
      <c r="K160" s="10">
        <v>82</v>
      </c>
      <c r="L160" s="10">
        <v>115</v>
      </c>
      <c r="M160" s="10">
        <v>110</v>
      </c>
      <c r="N160" s="10">
        <v>112</v>
      </c>
      <c r="O160" s="10">
        <v>115</v>
      </c>
      <c r="P160" s="10">
        <v>110</v>
      </c>
      <c r="Q160" s="10">
        <v>112</v>
      </c>
      <c r="R160" s="10">
        <v>115</v>
      </c>
      <c r="S160" s="10">
        <v>110</v>
      </c>
      <c r="T160" s="10">
        <v>112</v>
      </c>
      <c r="U160" s="10">
        <v>115</v>
      </c>
      <c r="V160" s="10">
        <v>110</v>
      </c>
      <c r="W160" s="10">
        <v>113</v>
      </c>
      <c r="X160" s="10">
        <v>140</v>
      </c>
      <c r="Y160" s="10">
        <v>101</v>
      </c>
      <c r="Z160" s="10">
        <v>104</v>
      </c>
      <c r="AA160" s="10">
        <v>112</v>
      </c>
      <c r="AB160" s="10">
        <v>104</v>
      </c>
      <c r="AC160" s="10">
        <v>148</v>
      </c>
      <c r="AD160" s="10">
        <v>103</v>
      </c>
      <c r="AE160" s="10" t="s">
        <v>2</v>
      </c>
      <c r="AF160" s="10" t="s">
        <v>2</v>
      </c>
      <c r="AG160" s="10" t="s">
        <v>2</v>
      </c>
      <c r="AH160" s="102">
        <f>SUM(Tableau2[[#This Row],[Td 2]:[Td 5]])</f>
        <v>103</v>
      </c>
      <c r="AI160" s="10">
        <v>33.299999999999997</v>
      </c>
      <c r="AJ160" s="10">
        <v>100</v>
      </c>
      <c r="AK160" s="17">
        <f t="shared" si="18"/>
        <v>33.87758333333332</v>
      </c>
      <c r="AL160" s="17">
        <f t="shared" si="19"/>
        <v>0</v>
      </c>
      <c r="AM160" s="17">
        <f t="shared" si="20"/>
        <v>104</v>
      </c>
    </row>
    <row r="161" spans="1:39" s="3" customFormat="1" x14ac:dyDescent="0.25">
      <c r="A161" s="2" t="s">
        <v>16</v>
      </c>
      <c r="B161" s="29" t="s">
        <v>740</v>
      </c>
      <c r="C161" s="2" t="s">
        <v>25</v>
      </c>
      <c r="D161" s="2" t="s">
        <v>204</v>
      </c>
      <c r="E161" s="14">
        <v>6553</v>
      </c>
      <c r="F161" s="15">
        <f t="shared" si="14"/>
        <v>228.69970000000001</v>
      </c>
      <c r="G161" s="15">
        <f t="shared" si="15"/>
        <v>262.12</v>
      </c>
      <c r="H161" s="15">
        <f t="shared" si="16"/>
        <v>190.58308333333332</v>
      </c>
      <c r="I161" s="15">
        <f t="shared" si="17"/>
        <v>218.43333333333334</v>
      </c>
      <c r="J161" s="10">
        <v>167</v>
      </c>
      <c r="K161" s="10">
        <v>43</v>
      </c>
      <c r="L161" s="10">
        <v>169</v>
      </c>
      <c r="M161" s="10">
        <v>155</v>
      </c>
      <c r="N161" s="10">
        <v>147</v>
      </c>
      <c r="O161" s="10">
        <v>169</v>
      </c>
      <c r="P161" s="10">
        <v>155</v>
      </c>
      <c r="Q161" s="10">
        <v>147</v>
      </c>
      <c r="R161" s="10">
        <v>169</v>
      </c>
      <c r="S161" s="10">
        <v>155</v>
      </c>
      <c r="T161" s="10">
        <v>147</v>
      </c>
      <c r="U161" s="10">
        <v>169</v>
      </c>
      <c r="V161" s="10">
        <v>155</v>
      </c>
      <c r="W161" s="10">
        <v>147</v>
      </c>
      <c r="X161" s="10">
        <v>151</v>
      </c>
      <c r="Y161" s="10">
        <v>116</v>
      </c>
      <c r="Z161" s="10">
        <v>151</v>
      </c>
      <c r="AA161" s="10">
        <v>147</v>
      </c>
      <c r="AB161" s="10">
        <v>145</v>
      </c>
      <c r="AC161" s="10">
        <v>165</v>
      </c>
      <c r="AD161" s="10">
        <v>152</v>
      </c>
      <c r="AE161" s="10">
        <v>105</v>
      </c>
      <c r="AF161" s="10" t="s">
        <v>2</v>
      </c>
      <c r="AG161" s="10" t="s">
        <v>2</v>
      </c>
      <c r="AH161" s="102">
        <f>SUM(Tableau2[[#This Row],[Td 2]:[Td 5]])</f>
        <v>257</v>
      </c>
      <c r="AI161" s="10">
        <v>33.299999999999997</v>
      </c>
      <c r="AJ161" s="10">
        <v>100</v>
      </c>
      <c r="AK161" s="17">
        <f t="shared" si="18"/>
        <v>21.58308333333332</v>
      </c>
      <c r="AL161" s="17">
        <f t="shared" si="19"/>
        <v>18</v>
      </c>
      <c r="AM161" s="17">
        <f t="shared" si="20"/>
        <v>151</v>
      </c>
    </row>
    <row r="162" spans="1:39" s="3" customFormat="1" x14ac:dyDescent="0.25">
      <c r="A162" s="2" t="s">
        <v>16</v>
      </c>
      <c r="B162" s="29" t="s">
        <v>740</v>
      </c>
      <c r="C162" s="2" t="s">
        <v>25</v>
      </c>
      <c r="D162" s="2" t="s">
        <v>126</v>
      </c>
      <c r="E162" s="14">
        <v>8589</v>
      </c>
      <c r="F162" s="15">
        <f t="shared" si="14"/>
        <v>299.7561</v>
      </c>
      <c r="G162" s="15">
        <f t="shared" si="15"/>
        <v>343.56</v>
      </c>
      <c r="H162" s="15">
        <f t="shared" si="16"/>
        <v>249.79675</v>
      </c>
      <c r="I162" s="15">
        <f t="shared" si="17"/>
        <v>286.3</v>
      </c>
      <c r="J162" s="10">
        <v>276</v>
      </c>
      <c r="K162" s="10">
        <v>116</v>
      </c>
      <c r="L162" s="10">
        <v>224</v>
      </c>
      <c r="M162" s="10">
        <v>208</v>
      </c>
      <c r="N162" s="10">
        <v>222</v>
      </c>
      <c r="O162" s="10">
        <v>224</v>
      </c>
      <c r="P162" s="10">
        <v>208</v>
      </c>
      <c r="Q162" s="10">
        <v>222</v>
      </c>
      <c r="R162" s="10">
        <v>223</v>
      </c>
      <c r="S162" s="10">
        <v>208</v>
      </c>
      <c r="T162" s="10">
        <v>222</v>
      </c>
      <c r="U162" s="10">
        <v>225</v>
      </c>
      <c r="V162" s="10">
        <v>213</v>
      </c>
      <c r="W162" s="10">
        <v>223</v>
      </c>
      <c r="X162" s="10">
        <v>215</v>
      </c>
      <c r="Y162" s="10">
        <v>188</v>
      </c>
      <c r="Z162" s="10">
        <v>222</v>
      </c>
      <c r="AA162" s="10">
        <v>221</v>
      </c>
      <c r="AB162" s="10">
        <v>192</v>
      </c>
      <c r="AC162" s="10">
        <v>270</v>
      </c>
      <c r="AD162" s="10">
        <v>250</v>
      </c>
      <c r="AE162" s="10">
        <v>2</v>
      </c>
      <c r="AF162" s="10">
        <v>1</v>
      </c>
      <c r="AG162" s="10" t="s">
        <v>2</v>
      </c>
      <c r="AH162" s="102">
        <f>SUM(Tableau2[[#This Row],[Td 2]:[Td 5]])</f>
        <v>253</v>
      </c>
      <c r="AI162" s="10">
        <v>50</v>
      </c>
      <c r="AJ162" s="10">
        <v>100</v>
      </c>
      <c r="AK162" s="17">
        <f t="shared" si="18"/>
        <v>25.796750000000003</v>
      </c>
      <c r="AL162" s="17">
        <f t="shared" si="19"/>
        <v>9</v>
      </c>
      <c r="AM162" s="17">
        <f t="shared" si="20"/>
        <v>215</v>
      </c>
    </row>
    <row r="163" spans="1:39" s="3" customFormat="1" x14ac:dyDescent="0.25">
      <c r="A163" s="2" t="s">
        <v>16</v>
      </c>
      <c r="B163" s="29" t="s">
        <v>740</v>
      </c>
      <c r="C163" s="2" t="s">
        <v>25</v>
      </c>
      <c r="D163" s="2" t="s">
        <v>205</v>
      </c>
      <c r="E163" s="14">
        <v>7739</v>
      </c>
      <c r="F163" s="15">
        <f t="shared" si="14"/>
        <v>270.09109999999998</v>
      </c>
      <c r="G163" s="15">
        <f t="shared" si="15"/>
        <v>309.56</v>
      </c>
      <c r="H163" s="15">
        <f t="shared" si="16"/>
        <v>225.07591666666667</v>
      </c>
      <c r="I163" s="15">
        <f t="shared" si="17"/>
        <v>257.9666666666667</v>
      </c>
      <c r="J163" s="10">
        <v>416</v>
      </c>
      <c r="K163" s="10">
        <v>360</v>
      </c>
      <c r="L163" s="10">
        <v>423</v>
      </c>
      <c r="M163" s="10">
        <v>407</v>
      </c>
      <c r="N163" s="10">
        <v>393</v>
      </c>
      <c r="O163" s="10">
        <v>423</v>
      </c>
      <c r="P163" s="10">
        <v>407</v>
      </c>
      <c r="Q163" s="10">
        <v>393</v>
      </c>
      <c r="R163" s="10">
        <v>423</v>
      </c>
      <c r="S163" s="10">
        <v>433</v>
      </c>
      <c r="T163" s="10">
        <v>393</v>
      </c>
      <c r="U163" s="10">
        <v>423</v>
      </c>
      <c r="V163" s="10">
        <v>399</v>
      </c>
      <c r="W163" s="10">
        <v>393</v>
      </c>
      <c r="X163" s="10">
        <v>314</v>
      </c>
      <c r="Y163" s="10">
        <v>219</v>
      </c>
      <c r="Z163" s="10">
        <v>363</v>
      </c>
      <c r="AA163" s="10">
        <v>393</v>
      </c>
      <c r="AB163" s="10">
        <v>210</v>
      </c>
      <c r="AC163" s="10">
        <v>387</v>
      </c>
      <c r="AD163" s="10">
        <v>278</v>
      </c>
      <c r="AE163" s="10">
        <v>215</v>
      </c>
      <c r="AF163" s="10">
        <v>111</v>
      </c>
      <c r="AG163" s="10">
        <v>47</v>
      </c>
      <c r="AH163" s="102">
        <f>SUM(Tableau2[[#This Row],[Td 2]:[Td 5]])</f>
        <v>651</v>
      </c>
      <c r="AI163" s="10">
        <v>33.299999999999997</v>
      </c>
      <c r="AJ163" s="10">
        <v>100</v>
      </c>
      <c r="AK163" s="17">
        <f t="shared" si="18"/>
        <v>0</v>
      </c>
      <c r="AL163" s="17">
        <f t="shared" si="19"/>
        <v>109</v>
      </c>
      <c r="AM163" s="17">
        <f t="shared" si="20"/>
        <v>314</v>
      </c>
    </row>
    <row r="164" spans="1:39" s="3" customFormat="1" x14ac:dyDescent="0.25">
      <c r="A164" s="2" t="s">
        <v>16</v>
      </c>
      <c r="B164" s="29" t="s">
        <v>740</v>
      </c>
      <c r="C164" s="2" t="s">
        <v>25</v>
      </c>
      <c r="D164" s="2" t="s">
        <v>206</v>
      </c>
      <c r="E164" s="14">
        <v>13625</v>
      </c>
      <c r="F164" s="15">
        <f t="shared" si="14"/>
        <v>475.51249999999999</v>
      </c>
      <c r="G164" s="15">
        <f t="shared" si="15"/>
        <v>545</v>
      </c>
      <c r="H164" s="15">
        <f t="shared" si="16"/>
        <v>396.26041666666663</v>
      </c>
      <c r="I164" s="15">
        <f t="shared" si="17"/>
        <v>454.16666666666663</v>
      </c>
      <c r="J164" s="10">
        <v>444</v>
      </c>
      <c r="K164" s="10">
        <v>82</v>
      </c>
      <c r="L164" s="10">
        <v>426</v>
      </c>
      <c r="M164" s="10">
        <v>372</v>
      </c>
      <c r="N164" s="10">
        <v>377</v>
      </c>
      <c r="O164" s="10">
        <v>417</v>
      </c>
      <c r="P164" s="10">
        <v>408</v>
      </c>
      <c r="Q164" s="10">
        <v>419</v>
      </c>
      <c r="R164" s="10">
        <v>426</v>
      </c>
      <c r="S164" s="10">
        <v>372</v>
      </c>
      <c r="T164" s="10">
        <v>410</v>
      </c>
      <c r="U164" s="10">
        <v>417</v>
      </c>
      <c r="V164" s="10">
        <v>372</v>
      </c>
      <c r="W164" s="10">
        <v>424</v>
      </c>
      <c r="X164" s="10">
        <v>398</v>
      </c>
      <c r="Y164" s="10">
        <v>269</v>
      </c>
      <c r="Z164" s="10">
        <v>399</v>
      </c>
      <c r="AA164" s="10">
        <v>341</v>
      </c>
      <c r="AB164" s="10">
        <v>391</v>
      </c>
      <c r="AC164" s="10">
        <v>376</v>
      </c>
      <c r="AD164" s="10">
        <v>297</v>
      </c>
      <c r="AE164" s="10">
        <v>196</v>
      </c>
      <c r="AF164" s="10">
        <v>10</v>
      </c>
      <c r="AG164" s="10">
        <v>5</v>
      </c>
      <c r="AH164" s="102">
        <f>SUM(Tableau2[[#This Row],[Td 2]:[Td 5]])</f>
        <v>508</v>
      </c>
      <c r="AI164" s="10">
        <v>41.7</v>
      </c>
      <c r="AJ164" s="10">
        <v>100</v>
      </c>
      <c r="AK164" s="17">
        <f t="shared" si="18"/>
        <v>0</v>
      </c>
      <c r="AL164" s="17">
        <f t="shared" si="19"/>
        <v>19</v>
      </c>
      <c r="AM164" s="17">
        <f t="shared" si="20"/>
        <v>398</v>
      </c>
    </row>
    <row r="165" spans="1:39" s="3" customFormat="1" x14ac:dyDescent="0.25">
      <c r="A165" s="2" t="s">
        <v>16</v>
      </c>
      <c r="B165" s="29" t="s">
        <v>740</v>
      </c>
      <c r="C165" s="2" t="s">
        <v>25</v>
      </c>
      <c r="D165" s="2" t="s">
        <v>207</v>
      </c>
      <c r="E165" s="14">
        <v>6470</v>
      </c>
      <c r="F165" s="15">
        <f t="shared" si="14"/>
        <v>225.803</v>
      </c>
      <c r="G165" s="15">
        <f t="shared" si="15"/>
        <v>258.8</v>
      </c>
      <c r="H165" s="15">
        <f t="shared" si="16"/>
        <v>188.16916666666668</v>
      </c>
      <c r="I165" s="15">
        <f t="shared" si="17"/>
        <v>215.66666666666666</v>
      </c>
      <c r="J165" s="10">
        <v>91</v>
      </c>
      <c r="K165" s="10">
        <v>114</v>
      </c>
      <c r="L165" s="10">
        <v>156</v>
      </c>
      <c r="M165" s="10">
        <v>147</v>
      </c>
      <c r="N165" s="10">
        <v>163</v>
      </c>
      <c r="O165" s="10">
        <v>156</v>
      </c>
      <c r="P165" s="10">
        <v>147</v>
      </c>
      <c r="Q165" s="10">
        <v>163</v>
      </c>
      <c r="R165" s="10">
        <v>156</v>
      </c>
      <c r="S165" s="10">
        <v>147</v>
      </c>
      <c r="T165" s="10">
        <v>163</v>
      </c>
      <c r="U165" s="10">
        <v>156</v>
      </c>
      <c r="V165" s="10">
        <v>147</v>
      </c>
      <c r="W165" s="10">
        <v>163</v>
      </c>
      <c r="X165" s="10">
        <v>119</v>
      </c>
      <c r="Y165" s="10">
        <v>109</v>
      </c>
      <c r="Z165" s="10">
        <v>119</v>
      </c>
      <c r="AA165" s="10">
        <v>167</v>
      </c>
      <c r="AB165" s="10">
        <v>59</v>
      </c>
      <c r="AC165" s="10">
        <v>57</v>
      </c>
      <c r="AD165" s="10">
        <v>28</v>
      </c>
      <c r="AE165" s="10">
        <v>21</v>
      </c>
      <c r="AF165" s="10">
        <v>10</v>
      </c>
      <c r="AG165" s="10">
        <v>1</v>
      </c>
      <c r="AH165" s="102">
        <f>SUM(Tableau2[[#This Row],[Td 2]:[Td 5]])</f>
        <v>60</v>
      </c>
      <c r="AI165" s="10">
        <v>33.299999999999997</v>
      </c>
      <c r="AJ165" s="10">
        <v>100</v>
      </c>
      <c r="AK165" s="17">
        <f t="shared" si="18"/>
        <v>32.169166666666683</v>
      </c>
      <c r="AL165" s="17">
        <f t="shared" si="19"/>
        <v>37</v>
      </c>
      <c r="AM165" s="17">
        <f t="shared" si="20"/>
        <v>119</v>
      </c>
    </row>
    <row r="166" spans="1:39" s="3" customFormat="1" x14ac:dyDescent="0.25">
      <c r="A166" s="2" t="s">
        <v>16</v>
      </c>
      <c r="B166" s="29" t="s">
        <v>739</v>
      </c>
      <c r="C166" s="2" t="s">
        <v>26</v>
      </c>
      <c r="D166" s="2" t="s">
        <v>208</v>
      </c>
      <c r="E166" s="14">
        <v>16416</v>
      </c>
      <c r="F166" s="15">
        <f t="shared" si="14"/>
        <v>572.91840000000002</v>
      </c>
      <c r="G166" s="15">
        <f t="shared" si="15"/>
        <v>656.64</v>
      </c>
      <c r="H166" s="15">
        <f t="shared" si="16"/>
        <v>477.43200000000002</v>
      </c>
      <c r="I166" s="15">
        <f t="shared" si="17"/>
        <v>547.20000000000005</v>
      </c>
      <c r="J166" s="10">
        <v>582</v>
      </c>
      <c r="K166" s="10">
        <v>373</v>
      </c>
      <c r="L166" s="10">
        <v>479</v>
      </c>
      <c r="M166" s="10">
        <v>380</v>
      </c>
      <c r="N166" s="10">
        <v>471</v>
      </c>
      <c r="O166" s="10">
        <v>368</v>
      </c>
      <c r="P166" s="10">
        <v>262</v>
      </c>
      <c r="Q166" s="10">
        <v>332</v>
      </c>
      <c r="R166" s="10">
        <v>404</v>
      </c>
      <c r="S166" s="10">
        <v>305</v>
      </c>
      <c r="T166" s="10">
        <v>377</v>
      </c>
      <c r="U166" s="10">
        <v>445</v>
      </c>
      <c r="V166" s="10">
        <v>339</v>
      </c>
      <c r="W166" s="10">
        <v>433</v>
      </c>
      <c r="X166" s="10">
        <v>436</v>
      </c>
      <c r="Y166" s="10">
        <v>454</v>
      </c>
      <c r="Z166" s="10">
        <v>390</v>
      </c>
      <c r="AA166" s="10">
        <v>471</v>
      </c>
      <c r="AB166" s="10">
        <v>391</v>
      </c>
      <c r="AC166" s="10">
        <v>314</v>
      </c>
      <c r="AD166" s="10">
        <v>90</v>
      </c>
      <c r="AE166" s="10">
        <v>71</v>
      </c>
      <c r="AF166" s="10">
        <v>76</v>
      </c>
      <c r="AG166" s="10">
        <v>51</v>
      </c>
      <c r="AH166" s="102">
        <f>SUM(Tableau2[[#This Row],[Td 2]:[Td 5]])</f>
        <v>288</v>
      </c>
      <c r="AI166" s="10">
        <v>58.3</v>
      </c>
      <c r="AJ166" s="10">
        <v>100</v>
      </c>
      <c r="AK166" s="17">
        <f t="shared" si="18"/>
        <v>109.43200000000002</v>
      </c>
      <c r="AL166" s="17">
        <f t="shared" si="19"/>
        <v>0</v>
      </c>
      <c r="AM166" s="17">
        <f t="shared" si="20"/>
        <v>390</v>
      </c>
    </row>
    <row r="167" spans="1:39" s="3" customFormat="1" x14ac:dyDescent="0.25">
      <c r="A167" s="2" t="s">
        <v>16</v>
      </c>
      <c r="B167" s="29" t="s">
        <v>739</v>
      </c>
      <c r="C167" s="2" t="s">
        <v>26</v>
      </c>
      <c r="D167" s="2" t="s">
        <v>209</v>
      </c>
      <c r="E167" s="14">
        <v>14311</v>
      </c>
      <c r="F167" s="15">
        <f t="shared" si="14"/>
        <v>499.45390000000003</v>
      </c>
      <c r="G167" s="15">
        <f t="shared" si="15"/>
        <v>572.44000000000005</v>
      </c>
      <c r="H167" s="15">
        <f t="shared" si="16"/>
        <v>416.21158333333335</v>
      </c>
      <c r="I167" s="15">
        <f t="shared" si="17"/>
        <v>477.03333333333342</v>
      </c>
      <c r="J167" s="10">
        <v>438</v>
      </c>
      <c r="K167" s="10">
        <v>352</v>
      </c>
      <c r="L167" s="10">
        <v>377</v>
      </c>
      <c r="M167" s="10">
        <v>371</v>
      </c>
      <c r="N167" s="10">
        <v>392</v>
      </c>
      <c r="O167" s="10">
        <v>359</v>
      </c>
      <c r="P167" s="10">
        <v>332</v>
      </c>
      <c r="Q167" s="10">
        <v>548</v>
      </c>
      <c r="R167" s="10">
        <v>348</v>
      </c>
      <c r="S167" s="10">
        <v>335</v>
      </c>
      <c r="T167" s="10">
        <v>346</v>
      </c>
      <c r="U167" s="10">
        <v>348</v>
      </c>
      <c r="V167" s="10">
        <v>327</v>
      </c>
      <c r="W167" s="10">
        <v>346</v>
      </c>
      <c r="X167" s="10">
        <v>435</v>
      </c>
      <c r="Y167" s="10">
        <v>193</v>
      </c>
      <c r="Z167" s="10">
        <v>426</v>
      </c>
      <c r="AA167" s="10">
        <v>386</v>
      </c>
      <c r="AB167" s="10">
        <v>311</v>
      </c>
      <c r="AC167" s="10">
        <v>134</v>
      </c>
      <c r="AD167" s="10">
        <v>98</v>
      </c>
      <c r="AE167" s="10">
        <v>42</v>
      </c>
      <c r="AF167" s="10">
        <v>5</v>
      </c>
      <c r="AG167" s="10">
        <v>41</v>
      </c>
      <c r="AH167" s="102">
        <f>SUM(Tableau2[[#This Row],[Td 2]:[Td 5]])</f>
        <v>186</v>
      </c>
      <c r="AI167" s="10">
        <v>58.3</v>
      </c>
      <c r="AJ167" s="10">
        <v>100</v>
      </c>
      <c r="AK167" s="17">
        <f t="shared" si="18"/>
        <v>57.211583333333351</v>
      </c>
      <c r="AL167" s="17">
        <f t="shared" si="19"/>
        <v>0</v>
      </c>
      <c r="AM167" s="17">
        <f t="shared" si="20"/>
        <v>426</v>
      </c>
    </row>
    <row r="168" spans="1:39" s="3" customFormat="1" x14ac:dyDescent="0.25">
      <c r="A168" s="2" t="s">
        <v>16</v>
      </c>
      <c r="B168" s="29" t="s">
        <v>739</v>
      </c>
      <c r="C168" s="2" t="s">
        <v>26</v>
      </c>
      <c r="D168" s="2" t="s">
        <v>210</v>
      </c>
      <c r="E168" s="14">
        <v>11700</v>
      </c>
      <c r="F168" s="15">
        <f t="shared" si="14"/>
        <v>408.33</v>
      </c>
      <c r="G168" s="15">
        <f t="shared" si="15"/>
        <v>468</v>
      </c>
      <c r="H168" s="15">
        <f t="shared" si="16"/>
        <v>340.27499999999998</v>
      </c>
      <c r="I168" s="15">
        <f t="shared" si="17"/>
        <v>390</v>
      </c>
      <c r="J168" s="10">
        <v>504</v>
      </c>
      <c r="K168" s="10">
        <v>421</v>
      </c>
      <c r="L168" s="10">
        <v>481</v>
      </c>
      <c r="M168" s="10">
        <v>476</v>
      </c>
      <c r="N168" s="10">
        <v>462</v>
      </c>
      <c r="O168" s="10">
        <v>448</v>
      </c>
      <c r="P168" s="10">
        <v>415</v>
      </c>
      <c r="Q168" s="10">
        <v>487</v>
      </c>
      <c r="R168" s="10">
        <v>434</v>
      </c>
      <c r="S168" s="10">
        <v>405</v>
      </c>
      <c r="T168" s="10">
        <v>407</v>
      </c>
      <c r="U168" s="10">
        <v>443</v>
      </c>
      <c r="V168" s="10">
        <v>503</v>
      </c>
      <c r="W168" s="10">
        <v>411</v>
      </c>
      <c r="X168" s="10">
        <v>441</v>
      </c>
      <c r="Y168" s="10">
        <v>294</v>
      </c>
      <c r="Z168" s="10">
        <v>441</v>
      </c>
      <c r="AA168" s="10">
        <v>440</v>
      </c>
      <c r="AB168" s="10">
        <v>386</v>
      </c>
      <c r="AC168" s="10">
        <v>285</v>
      </c>
      <c r="AD168" s="10">
        <v>208</v>
      </c>
      <c r="AE168" s="10">
        <v>102</v>
      </c>
      <c r="AF168" s="10">
        <v>63</v>
      </c>
      <c r="AG168" s="10">
        <v>53</v>
      </c>
      <c r="AH168" s="102">
        <f>SUM(Tableau2[[#This Row],[Td 2]:[Td 5]])</f>
        <v>426</v>
      </c>
      <c r="AI168" s="10">
        <v>58.3</v>
      </c>
      <c r="AJ168" s="10">
        <v>100</v>
      </c>
      <c r="AK168" s="17">
        <f t="shared" si="18"/>
        <v>0</v>
      </c>
      <c r="AL168" s="17">
        <f t="shared" si="19"/>
        <v>7</v>
      </c>
      <c r="AM168" s="17">
        <f t="shared" si="20"/>
        <v>441</v>
      </c>
    </row>
    <row r="169" spans="1:39" s="3" customFormat="1" x14ac:dyDescent="0.25">
      <c r="A169" s="2" t="s">
        <v>16</v>
      </c>
      <c r="B169" s="29" t="s">
        <v>739</v>
      </c>
      <c r="C169" s="2" t="s">
        <v>26</v>
      </c>
      <c r="D169" s="2" t="s">
        <v>211</v>
      </c>
      <c r="E169" s="14">
        <v>8514</v>
      </c>
      <c r="F169" s="15">
        <f t="shared" si="14"/>
        <v>297.1386</v>
      </c>
      <c r="G169" s="15">
        <f t="shared" si="15"/>
        <v>340.56</v>
      </c>
      <c r="H169" s="15">
        <f t="shared" si="16"/>
        <v>247.6155</v>
      </c>
      <c r="I169" s="15">
        <f t="shared" si="17"/>
        <v>283.8</v>
      </c>
      <c r="J169" s="10">
        <v>320</v>
      </c>
      <c r="K169" s="10">
        <v>251</v>
      </c>
      <c r="L169" s="10">
        <v>256</v>
      </c>
      <c r="M169" s="10">
        <v>259</v>
      </c>
      <c r="N169" s="10">
        <v>281</v>
      </c>
      <c r="O169" s="10">
        <v>232</v>
      </c>
      <c r="P169" s="10">
        <v>239</v>
      </c>
      <c r="Q169" s="10">
        <v>266</v>
      </c>
      <c r="R169" s="10">
        <v>206</v>
      </c>
      <c r="S169" s="10">
        <v>202</v>
      </c>
      <c r="T169" s="10">
        <v>228</v>
      </c>
      <c r="U169" s="10">
        <v>215</v>
      </c>
      <c r="V169" s="10">
        <v>195</v>
      </c>
      <c r="W169" s="10">
        <v>240</v>
      </c>
      <c r="X169" s="10">
        <v>252</v>
      </c>
      <c r="Y169" s="10">
        <v>164</v>
      </c>
      <c r="Z169" s="10">
        <v>211</v>
      </c>
      <c r="AA169" s="10">
        <v>231</v>
      </c>
      <c r="AB169" s="10">
        <v>173</v>
      </c>
      <c r="AC169" s="10">
        <v>75</v>
      </c>
      <c r="AD169" s="10">
        <v>82</v>
      </c>
      <c r="AE169" s="10">
        <v>49</v>
      </c>
      <c r="AF169" s="10">
        <v>46</v>
      </c>
      <c r="AG169" s="10">
        <v>39</v>
      </c>
      <c r="AH169" s="102">
        <f>SUM(Tableau2[[#This Row],[Td 2]:[Td 5]])</f>
        <v>216</v>
      </c>
      <c r="AI169" s="10">
        <v>58.3</v>
      </c>
      <c r="AJ169" s="10">
        <v>100</v>
      </c>
      <c r="AK169" s="17">
        <f t="shared" si="18"/>
        <v>15.615499999999997</v>
      </c>
      <c r="AL169" s="17">
        <f t="shared" si="19"/>
        <v>0</v>
      </c>
      <c r="AM169" s="17">
        <f t="shared" si="20"/>
        <v>211</v>
      </c>
    </row>
    <row r="170" spans="1:39" s="3" customFormat="1" x14ac:dyDescent="0.25">
      <c r="A170" s="2" t="s">
        <v>16</v>
      </c>
      <c r="B170" s="29" t="s">
        <v>739</v>
      </c>
      <c r="C170" s="2" t="s">
        <v>26</v>
      </c>
      <c r="D170" s="2" t="s">
        <v>26</v>
      </c>
      <c r="E170" s="14">
        <v>15999</v>
      </c>
      <c r="F170" s="15">
        <f t="shared" si="14"/>
        <v>558.36509999999998</v>
      </c>
      <c r="G170" s="15">
        <f t="shared" si="15"/>
        <v>639.96</v>
      </c>
      <c r="H170" s="15">
        <f t="shared" si="16"/>
        <v>465.30425000000002</v>
      </c>
      <c r="I170" s="15">
        <f t="shared" si="17"/>
        <v>533.30000000000007</v>
      </c>
      <c r="J170" s="10">
        <v>566</v>
      </c>
      <c r="K170" s="10">
        <v>321</v>
      </c>
      <c r="L170" s="10">
        <v>498</v>
      </c>
      <c r="M170" s="10">
        <v>469</v>
      </c>
      <c r="N170" s="10">
        <v>489</v>
      </c>
      <c r="O170" s="10">
        <v>376</v>
      </c>
      <c r="P170" s="10">
        <v>359</v>
      </c>
      <c r="Q170" s="10">
        <v>368</v>
      </c>
      <c r="R170" s="10">
        <v>399</v>
      </c>
      <c r="S170" s="10">
        <v>394</v>
      </c>
      <c r="T170" s="10">
        <v>395</v>
      </c>
      <c r="U170" s="10">
        <v>343</v>
      </c>
      <c r="V170" s="10">
        <v>316</v>
      </c>
      <c r="W170" s="10">
        <v>332</v>
      </c>
      <c r="X170" s="10">
        <v>503</v>
      </c>
      <c r="Y170" s="10">
        <v>166</v>
      </c>
      <c r="Z170" s="10">
        <v>393</v>
      </c>
      <c r="AA170" s="10">
        <v>459</v>
      </c>
      <c r="AB170" s="10">
        <v>310</v>
      </c>
      <c r="AC170" s="10">
        <v>434</v>
      </c>
      <c r="AD170" s="10">
        <v>291</v>
      </c>
      <c r="AE170" s="10">
        <v>149</v>
      </c>
      <c r="AF170" s="10">
        <v>43</v>
      </c>
      <c r="AG170" s="10">
        <v>31</v>
      </c>
      <c r="AH170" s="102">
        <f>SUM(Tableau2[[#This Row],[Td 2]:[Td 5]])</f>
        <v>514</v>
      </c>
      <c r="AI170" s="10">
        <v>58.3</v>
      </c>
      <c r="AJ170" s="10">
        <v>100</v>
      </c>
      <c r="AK170" s="17">
        <f t="shared" si="18"/>
        <v>89.304250000000025</v>
      </c>
      <c r="AL170" s="17">
        <f t="shared" si="19"/>
        <v>0</v>
      </c>
      <c r="AM170" s="17">
        <f t="shared" si="20"/>
        <v>393</v>
      </c>
    </row>
    <row r="171" spans="1:39" s="3" customFormat="1" x14ac:dyDescent="0.25">
      <c r="A171" s="2" t="s">
        <v>16</v>
      </c>
      <c r="B171" s="29" t="s">
        <v>739</v>
      </c>
      <c r="C171" s="2" t="s">
        <v>26</v>
      </c>
      <c r="D171" s="2" t="s">
        <v>212</v>
      </c>
      <c r="E171" s="14">
        <v>14977</v>
      </c>
      <c r="F171" s="15">
        <f t="shared" si="14"/>
        <v>522.69730000000004</v>
      </c>
      <c r="G171" s="15">
        <f t="shared" si="15"/>
        <v>599.08000000000004</v>
      </c>
      <c r="H171" s="15">
        <f t="shared" si="16"/>
        <v>435.58108333333337</v>
      </c>
      <c r="I171" s="15">
        <f t="shared" si="17"/>
        <v>499.23333333333341</v>
      </c>
      <c r="J171" s="10">
        <v>404</v>
      </c>
      <c r="K171" s="10">
        <v>392</v>
      </c>
      <c r="L171" s="10">
        <v>511</v>
      </c>
      <c r="M171" s="10">
        <v>459</v>
      </c>
      <c r="N171" s="10">
        <v>492</v>
      </c>
      <c r="O171" s="10">
        <v>435</v>
      </c>
      <c r="P171" s="10">
        <v>399</v>
      </c>
      <c r="Q171" s="10">
        <v>399</v>
      </c>
      <c r="R171" s="10">
        <v>439</v>
      </c>
      <c r="S171" s="10">
        <v>448</v>
      </c>
      <c r="T171" s="10">
        <v>426</v>
      </c>
      <c r="U171" s="10">
        <v>372</v>
      </c>
      <c r="V171" s="10">
        <v>391</v>
      </c>
      <c r="W171" s="10">
        <v>370</v>
      </c>
      <c r="X171" s="10">
        <v>474</v>
      </c>
      <c r="Y171" s="10">
        <v>376</v>
      </c>
      <c r="Z171" s="10">
        <v>474</v>
      </c>
      <c r="AA171" s="10">
        <v>488</v>
      </c>
      <c r="AB171" s="10">
        <v>445</v>
      </c>
      <c r="AC171" s="10">
        <v>60</v>
      </c>
      <c r="AD171" s="10">
        <v>61</v>
      </c>
      <c r="AE171" s="10">
        <v>27</v>
      </c>
      <c r="AF171" s="10">
        <v>17</v>
      </c>
      <c r="AG171" s="10">
        <v>6</v>
      </c>
      <c r="AH171" s="102">
        <f>SUM(Tableau2[[#This Row],[Td 2]:[Td 5]])</f>
        <v>111</v>
      </c>
      <c r="AI171" s="10">
        <v>50</v>
      </c>
      <c r="AJ171" s="10">
        <v>100</v>
      </c>
      <c r="AK171" s="17">
        <f t="shared" si="18"/>
        <v>0.58108333333336759</v>
      </c>
      <c r="AL171" s="17">
        <f t="shared" si="19"/>
        <v>0</v>
      </c>
      <c r="AM171" s="17">
        <f t="shared" si="20"/>
        <v>474</v>
      </c>
    </row>
    <row r="172" spans="1:39" s="3" customFormat="1" x14ac:dyDescent="0.25">
      <c r="A172" s="2" t="s">
        <v>16</v>
      </c>
      <c r="B172" s="29" t="s">
        <v>739</v>
      </c>
      <c r="C172" s="2" t="s">
        <v>26</v>
      </c>
      <c r="D172" s="2" t="s">
        <v>213</v>
      </c>
      <c r="E172" s="14">
        <v>15153</v>
      </c>
      <c r="F172" s="15">
        <f t="shared" si="14"/>
        <v>528.83969999999999</v>
      </c>
      <c r="G172" s="15">
        <f t="shared" si="15"/>
        <v>606.12</v>
      </c>
      <c r="H172" s="15">
        <f t="shared" si="16"/>
        <v>440.69974999999999</v>
      </c>
      <c r="I172" s="15">
        <f t="shared" si="17"/>
        <v>505.09999999999997</v>
      </c>
      <c r="J172" s="10">
        <v>272</v>
      </c>
      <c r="K172" s="10">
        <v>149</v>
      </c>
      <c r="L172" s="10">
        <v>430</v>
      </c>
      <c r="M172" s="10">
        <v>427</v>
      </c>
      <c r="N172" s="10">
        <v>421</v>
      </c>
      <c r="O172" s="10">
        <v>777</v>
      </c>
      <c r="P172" s="10">
        <v>364</v>
      </c>
      <c r="Q172" s="10">
        <v>356</v>
      </c>
      <c r="R172" s="10">
        <v>372</v>
      </c>
      <c r="S172" s="10">
        <v>364</v>
      </c>
      <c r="T172" s="10">
        <v>358</v>
      </c>
      <c r="U172" s="10">
        <v>372</v>
      </c>
      <c r="V172" s="10">
        <v>358</v>
      </c>
      <c r="W172" s="10">
        <v>358</v>
      </c>
      <c r="X172" s="10">
        <v>387</v>
      </c>
      <c r="Y172" s="10">
        <v>101</v>
      </c>
      <c r="Z172" s="10">
        <v>368</v>
      </c>
      <c r="AA172" s="10">
        <v>319</v>
      </c>
      <c r="AB172" s="10">
        <v>125</v>
      </c>
      <c r="AC172" s="10">
        <v>254</v>
      </c>
      <c r="AD172" s="10">
        <v>136</v>
      </c>
      <c r="AE172" s="10">
        <v>91</v>
      </c>
      <c r="AF172" s="10">
        <v>63</v>
      </c>
      <c r="AG172" s="10">
        <v>65</v>
      </c>
      <c r="AH172" s="102">
        <f>SUM(Tableau2[[#This Row],[Td 2]:[Td 5]])</f>
        <v>355</v>
      </c>
      <c r="AI172" s="10">
        <v>58.3</v>
      </c>
      <c r="AJ172" s="10">
        <v>100</v>
      </c>
      <c r="AK172" s="17">
        <f t="shared" si="18"/>
        <v>0</v>
      </c>
      <c r="AL172" s="17">
        <f t="shared" si="19"/>
        <v>390</v>
      </c>
      <c r="AM172" s="17">
        <f t="shared" si="20"/>
        <v>368</v>
      </c>
    </row>
    <row r="173" spans="1:39" s="3" customFormat="1" x14ac:dyDescent="0.25">
      <c r="A173" s="2" t="s">
        <v>16</v>
      </c>
      <c r="B173" s="29" t="s">
        <v>739</v>
      </c>
      <c r="C173" s="2" t="s">
        <v>26</v>
      </c>
      <c r="D173" s="2" t="s">
        <v>214</v>
      </c>
      <c r="E173" s="14">
        <v>7459</v>
      </c>
      <c r="F173" s="15">
        <f t="shared" si="14"/>
        <v>260.31909999999999</v>
      </c>
      <c r="G173" s="15">
        <f t="shared" si="15"/>
        <v>298.36</v>
      </c>
      <c r="H173" s="15">
        <f t="shared" si="16"/>
        <v>216.93258333333333</v>
      </c>
      <c r="I173" s="15">
        <f t="shared" si="17"/>
        <v>248.63333333333333</v>
      </c>
      <c r="J173" s="10">
        <v>282</v>
      </c>
      <c r="K173" s="10">
        <v>115</v>
      </c>
      <c r="L173" s="10">
        <v>230</v>
      </c>
      <c r="M173" s="10">
        <v>230</v>
      </c>
      <c r="N173" s="10">
        <v>219</v>
      </c>
      <c r="O173" s="10">
        <v>252</v>
      </c>
      <c r="P173" s="10">
        <v>232</v>
      </c>
      <c r="Q173" s="10">
        <v>233</v>
      </c>
      <c r="R173" s="10">
        <v>271</v>
      </c>
      <c r="S173" s="10">
        <v>227</v>
      </c>
      <c r="T173" s="10">
        <v>236</v>
      </c>
      <c r="U173" s="10">
        <v>266</v>
      </c>
      <c r="V173" s="10">
        <v>234</v>
      </c>
      <c r="W173" s="10">
        <v>236</v>
      </c>
      <c r="X173" s="10">
        <v>250</v>
      </c>
      <c r="Y173" s="10">
        <v>81</v>
      </c>
      <c r="Z173" s="10">
        <v>250</v>
      </c>
      <c r="AA173" s="10">
        <v>230</v>
      </c>
      <c r="AB173" s="10">
        <v>230</v>
      </c>
      <c r="AC173" s="10">
        <v>159</v>
      </c>
      <c r="AD173" s="10">
        <v>77</v>
      </c>
      <c r="AE173" s="10">
        <v>47</v>
      </c>
      <c r="AF173" s="10">
        <v>27</v>
      </c>
      <c r="AG173" s="10">
        <v>10</v>
      </c>
      <c r="AH173" s="102">
        <f>SUM(Tableau2[[#This Row],[Td 2]:[Td 5]])</f>
        <v>161</v>
      </c>
      <c r="AI173" s="10">
        <v>41.7</v>
      </c>
      <c r="AJ173" s="10">
        <v>100</v>
      </c>
      <c r="AK173" s="17">
        <f t="shared" si="18"/>
        <v>0</v>
      </c>
      <c r="AL173" s="17">
        <f t="shared" si="19"/>
        <v>2</v>
      </c>
      <c r="AM173" s="17">
        <f t="shared" si="20"/>
        <v>250</v>
      </c>
    </row>
    <row r="174" spans="1:39" s="3" customFormat="1" x14ac:dyDescent="0.25">
      <c r="A174" s="2" t="s">
        <v>16</v>
      </c>
      <c r="B174" s="29" t="s">
        <v>739</v>
      </c>
      <c r="C174" s="2" t="s">
        <v>26</v>
      </c>
      <c r="D174" s="2" t="s">
        <v>215</v>
      </c>
      <c r="E174" s="14">
        <v>7117</v>
      </c>
      <c r="F174" s="15">
        <f t="shared" si="14"/>
        <v>248.38329999999999</v>
      </c>
      <c r="G174" s="15">
        <f t="shared" si="15"/>
        <v>284.68</v>
      </c>
      <c r="H174" s="15">
        <f t="shared" si="16"/>
        <v>206.98608333333334</v>
      </c>
      <c r="I174" s="15">
        <f t="shared" si="17"/>
        <v>237.23333333333332</v>
      </c>
      <c r="J174" s="10">
        <v>134</v>
      </c>
      <c r="K174" s="10">
        <v>114</v>
      </c>
      <c r="L174" s="10">
        <v>126</v>
      </c>
      <c r="M174" s="10">
        <v>120</v>
      </c>
      <c r="N174" s="10">
        <v>129</v>
      </c>
      <c r="O174" s="10">
        <v>104</v>
      </c>
      <c r="P174" s="10">
        <v>99</v>
      </c>
      <c r="Q174" s="10">
        <v>105</v>
      </c>
      <c r="R174" s="10">
        <v>126</v>
      </c>
      <c r="S174" s="10">
        <v>120</v>
      </c>
      <c r="T174" s="10">
        <v>129</v>
      </c>
      <c r="U174" s="10">
        <v>124</v>
      </c>
      <c r="V174" s="10">
        <v>120</v>
      </c>
      <c r="W174" s="10">
        <v>129</v>
      </c>
      <c r="X174" s="10">
        <v>120</v>
      </c>
      <c r="Y174" s="10">
        <v>75</v>
      </c>
      <c r="Z174" s="10">
        <v>120</v>
      </c>
      <c r="AA174" s="10">
        <v>129</v>
      </c>
      <c r="AB174" s="10">
        <v>120</v>
      </c>
      <c r="AC174" s="10">
        <v>58</v>
      </c>
      <c r="AD174" s="10">
        <v>21</v>
      </c>
      <c r="AE174" s="10">
        <v>16</v>
      </c>
      <c r="AF174" s="10">
        <v>11</v>
      </c>
      <c r="AG174" s="10">
        <v>12</v>
      </c>
      <c r="AH174" s="102">
        <f>SUM(Tableau2[[#This Row],[Td 2]:[Td 5]])</f>
        <v>60</v>
      </c>
      <c r="AI174" s="10">
        <v>41.7</v>
      </c>
      <c r="AJ174" s="10">
        <v>100</v>
      </c>
      <c r="AK174" s="17">
        <f t="shared" si="18"/>
        <v>102.98608333333334</v>
      </c>
      <c r="AL174" s="17">
        <f t="shared" si="19"/>
        <v>0</v>
      </c>
      <c r="AM174" s="17">
        <f t="shared" si="20"/>
        <v>120</v>
      </c>
    </row>
    <row r="175" spans="1:39" s="3" customFormat="1" x14ac:dyDescent="0.25">
      <c r="A175" s="2" t="s">
        <v>16</v>
      </c>
      <c r="B175" s="29" t="s">
        <v>739</v>
      </c>
      <c r="C175" s="2" t="s">
        <v>26</v>
      </c>
      <c r="D175" s="2" t="s">
        <v>216</v>
      </c>
      <c r="E175" s="14">
        <v>11521</v>
      </c>
      <c r="F175" s="15">
        <f t="shared" si="14"/>
        <v>402.0829</v>
      </c>
      <c r="G175" s="15">
        <f t="shared" si="15"/>
        <v>460.84000000000003</v>
      </c>
      <c r="H175" s="15">
        <f t="shared" si="16"/>
        <v>335.06908333333337</v>
      </c>
      <c r="I175" s="15">
        <f t="shared" si="17"/>
        <v>384.03333333333336</v>
      </c>
      <c r="J175" s="10">
        <v>385</v>
      </c>
      <c r="K175" s="10">
        <v>527</v>
      </c>
      <c r="L175" s="10">
        <v>364</v>
      </c>
      <c r="M175" s="10">
        <v>360</v>
      </c>
      <c r="N175" s="10">
        <v>355</v>
      </c>
      <c r="O175" s="10">
        <v>373</v>
      </c>
      <c r="P175" s="10">
        <v>379</v>
      </c>
      <c r="Q175" s="10">
        <v>347</v>
      </c>
      <c r="R175" s="10">
        <v>385</v>
      </c>
      <c r="S175" s="10">
        <v>386</v>
      </c>
      <c r="T175" s="10">
        <v>384</v>
      </c>
      <c r="U175" s="10">
        <v>384</v>
      </c>
      <c r="V175" s="10">
        <v>385</v>
      </c>
      <c r="W175" s="10">
        <v>363</v>
      </c>
      <c r="X175" s="10">
        <v>366</v>
      </c>
      <c r="Y175" s="10">
        <v>290</v>
      </c>
      <c r="Z175" s="10">
        <v>341</v>
      </c>
      <c r="AA175" s="10">
        <v>359</v>
      </c>
      <c r="AB175" s="10">
        <v>340</v>
      </c>
      <c r="AC175" s="10">
        <v>152</v>
      </c>
      <c r="AD175" s="10">
        <v>147</v>
      </c>
      <c r="AE175" s="10">
        <v>91</v>
      </c>
      <c r="AF175" s="10">
        <v>60</v>
      </c>
      <c r="AG175" s="10">
        <v>74</v>
      </c>
      <c r="AH175" s="102">
        <f>SUM(Tableau2[[#This Row],[Td 2]:[Td 5]])</f>
        <v>372</v>
      </c>
      <c r="AI175" s="10">
        <v>54.2</v>
      </c>
      <c r="AJ175" s="10">
        <v>100</v>
      </c>
      <c r="AK175" s="17">
        <f t="shared" si="18"/>
        <v>0</v>
      </c>
      <c r="AL175" s="17">
        <f t="shared" si="19"/>
        <v>7</v>
      </c>
      <c r="AM175" s="17">
        <f t="shared" si="20"/>
        <v>341</v>
      </c>
    </row>
    <row r="176" spans="1:39" s="3" customFormat="1" x14ac:dyDescent="0.25">
      <c r="A176" s="2" t="s">
        <v>16</v>
      </c>
      <c r="B176" s="29" t="s">
        <v>739</v>
      </c>
      <c r="C176" s="2" t="s">
        <v>26</v>
      </c>
      <c r="D176" s="2" t="s">
        <v>217</v>
      </c>
      <c r="E176" s="14">
        <v>5500</v>
      </c>
      <c r="F176" s="15">
        <f t="shared" si="14"/>
        <v>191.95</v>
      </c>
      <c r="G176" s="15">
        <f t="shared" si="15"/>
        <v>220</v>
      </c>
      <c r="H176" s="15">
        <f t="shared" si="16"/>
        <v>159.95833333333331</v>
      </c>
      <c r="I176" s="15">
        <f t="shared" si="17"/>
        <v>183.33333333333331</v>
      </c>
      <c r="J176" s="10">
        <v>186</v>
      </c>
      <c r="K176" s="10">
        <v>140</v>
      </c>
      <c r="L176" s="10">
        <v>168</v>
      </c>
      <c r="M176" s="10">
        <v>159</v>
      </c>
      <c r="N176" s="10">
        <v>169</v>
      </c>
      <c r="O176" s="10">
        <v>170</v>
      </c>
      <c r="P176" s="10">
        <v>159</v>
      </c>
      <c r="Q176" s="10">
        <v>169</v>
      </c>
      <c r="R176" s="10">
        <v>169</v>
      </c>
      <c r="S176" s="10">
        <v>152</v>
      </c>
      <c r="T176" s="10">
        <v>205</v>
      </c>
      <c r="U176" s="10">
        <v>168</v>
      </c>
      <c r="V176" s="10">
        <v>161</v>
      </c>
      <c r="W176" s="10">
        <v>169</v>
      </c>
      <c r="X176" s="10">
        <v>170</v>
      </c>
      <c r="Y176" s="10">
        <v>180</v>
      </c>
      <c r="Z176" s="10">
        <v>170</v>
      </c>
      <c r="AA176" s="10">
        <v>170</v>
      </c>
      <c r="AB176" s="10">
        <v>136</v>
      </c>
      <c r="AC176" s="10">
        <v>60</v>
      </c>
      <c r="AD176" s="10">
        <v>57</v>
      </c>
      <c r="AE176" s="10">
        <v>23</v>
      </c>
      <c r="AF176" s="10">
        <v>18</v>
      </c>
      <c r="AG176" s="10">
        <v>20</v>
      </c>
      <c r="AH176" s="102">
        <f>SUM(Tableau2[[#This Row],[Td 2]:[Td 5]])</f>
        <v>118</v>
      </c>
      <c r="AI176" s="10">
        <v>58.3</v>
      </c>
      <c r="AJ176" s="10">
        <v>100</v>
      </c>
      <c r="AK176" s="17">
        <f t="shared" si="18"/>
        <v>0</v>
      </c>
      <c r="AL176" s="17">
        <f t="shared" si="19"/>
        <v>0</v>
      </c>
      <c r="AM176" s="17">
        <f t="shared" si="20"/>
        <v>170</v>
      </c>
    </row>
    <row r="177" spans="1:39" s="3" customFormat="1" x14ac:dyDescent="0.25">
      <c r="A177" s="2" t="s">
        <v>16</v>
      </c>
      <c r="B177" s="29" t="s">
        <v>739</v>
      </c>
      <c r="C177" s="2" t="s">
        <v>26</v>
      </c>
      <c r="D177" s="2" t="s">
        <v>218</v>
      </c>
      <c r="E177" s="14">
        <v>14286</v>
      </c>
      <c r="F177" s="15">
        <f t="shared" si="14"/>
        <v>498.58140000000003</v>
      </c>
      <c r="G177" s="15">
        <f t="shared" si="15"/>
        <v>571.44000000000005</v>
      </c>
      <c r="H177" s="15">
        <f t="shared" si="16"/>
        <v>415.48450000000003</v>
      </c>
      <c r="I177" s="15">
        <f t="shared" si="17"/>
        <v>476.20000000000005</v>
      </c>
      <c r="J177" s="10">
        <v>215</v>
      </c>
      <c r="K177" s="10">
        <v>15</v>
      </c>
      <c r="L177" s="10">
        <v>281</v>
      </c>
      <c r="M177" s="10">
        <v>244</v>
      </c>
      <c r="N177" s="10">
        <v>232</v>
      </c>
      <c r="O177" s="10">
        <v>244</v>
      </c>
      <c r="P177" s="10">
        <v>203</v>
      </c>
      <c r="Q177" s="10">
        <v>228</v>
      </c>
      <c r="R177" s="10">
        <v>258</v>
      </c>
      <c r="S177" s="10">
        <v>210</v>
      </c>
      <c r="T177" s="10">
        <v>221</v>
      </c>
      <c r="U177" s="10">
        <v>252</v>
      </c>
      <c r="V177" s="10">
        <v>180</v>
      </c>
      <c r="W177" s="10">
        <v>186</v>
      </c>
      <c r="X177" s="10">
        <v>291</v>
      </c>
      <c r="Y177" s="10">
        <v>91</v>
      </c>
      <c r="Z177" s="10">
        <v>245</v>
      </c>
      <c r="AA177" s="10">
        <v>233</v>
      </c>
      <c r="AB177" s="10">
        <v>184</v>
      </c>
      <c r="AC177" s="10">
        <v>84</v>
      </c>
      <c r="AD177" s="10">
        <v>39</v>
      </c>
      <c r="AE177" s="10">
        <v>11</v>
      </c>
      <c r="AF177" s="10">
        <v>5</v>
      </c>
      <c r="AG177" s="10">
        <v>5</v>
      </c>
      <c r="AH177" s="102">
        <f>SUM(Tableau2[[#This Row],[Td 2]:[Td 5]])</f>
        <v>60</v>
      </c>
      <c r="AI177" s="10">
        <v>58.3</v>
      </c>
      <c r="AJ177" s="10">
        <v>100</v>
      </c>
      <c r="AK177" s="17">
        <f t="shared" si="18"/>
        <v>171.48450000000003</v>
      </c>
      <c r="AL177" s="17">
        <f t="shared" si="19"/>
        <v>0</v>
      </c>
      <c r="AM177" s="17">
        <f t="shared" si="20"/>
        <v>245</v>
      </c>
    </row>
    <row r="178" spans="1:39" s="3" customFormat="1" x14ac:dyDescent="0.25">
      <c r="A178" s="2" t="s">
        <v>16</v>
      </c>
      <c r="B178" s="29" t="s">
        <v>739</v>
      </c>
      <c r="C178" s="2" t="s">
        <v>26</v>
      </c>
      <c r="D178" s="2" t="s">
        <v>219</v>
      </c>
      <c r="E178" s="14">
        <v>22017</v>
      </c>
      <c r="F178" s="15">
        <f t="shared" si="14"/>
        <v>768.39329999999995</v>
      </c>
      <c r="G178" s="15">
        <f t="shared" si="15"/>
        <v>880.68000000000006</v>
      </c>
      <c r="H178" s="15">
        <f t="shared" si="16"/>
        <v>640.32775000000004</v>
      </c>
      <c r="I178" s="15">
        <f t="shared" si="17"/>
        <v>733.9</v>
      </c>
      <c r="J178" s="10">
        <v>779</v>
      </c>
      <c r="K178" s="10">
        <v>660</v>
      </c>
      <c r="L178" s="10">
        <v>666</v>
      </c>
      <c r="M178" s="10">
        <v>668</v>
      </c>
      <c r="N178" s="10">
        <v>673</v>
      </c>
      <c r="O178" s="10">
        <v>552</v>
      </c>
      <c r="P178" s="10">
        <v>557</v>
      </c>
      <c r="Q178" s="10">
        <v>510</v>
      </c>
      <c r="R178" s="10">
        <v>607</v>
      </c>
      <c r="S178" s="10">
        <v>603</v>
      </c>
      <c r="T178" s="10">
        <v>583</v>
      </c>
      <c r="U178" s="10">
        <v>635</v>
      </c>
      <c r="V178" s="10">
        <v>623</v>
      </c>
      <c r="W178" s="10">
        <v>561</v>
      </c>
      <c r="X178" s="10">
        <v>488</v>
      </c>
      <c r="Y178" s="10">
        <v>146</v>
      </c>
      <c r="Z178" s="10">
        <v>488</v>
      </c>
      <c r="AA178" s="10">
        <v>648</v>
      </c>
      <c r="AB178" s="10">
        <v>358</v>
      </c>
      <c r="AC178" s="10">
        <v>715</v>
      </c>
      <c r="AD178" s="10">
        <v>486</v>
      </c>
      <c r="AE178" s="10">
        <v>45</v>
      </c>
      <c r="AF178" s="10">
        <v>25</v>
      </c>
      <c r="AG178" s="10">
        <v>21</v>
      </c>
      <c r="AH178" s="102">
        <f>SUM(Tableau2[[#This Row],[Td 2]:[Td 5]])</f>
        <v>577</v>
      </c>
      <c r="AI178" s="10">
        <v>58.3</v>
      </c>
      <c r="AJ178" s="10">
        <v>100</v>
      </c>
      <c r="AK178" s="17">
        <f t="shared" si="18"/>
        <v>88.327750000000037</v>
      </c>
      <c r="AL178" s="17">
        <f t="shared" si="19"/>
        <v>64</v>
      </c>
      <c r="AM178" s="17">
        <f t="shared" si="20"/>
        <v>488</v>
      </c>
    </row>
    <row r="179" spans="1:39" s="3" customFormat="1" x14ac:dyDescent="0.25">
      <c r="A179" s="2" t="s">
        <v>16</v>
      </c>
      <c r="B179" s="29" t="s">
        <v>739</v>
      </c>
      <c r="C179" s="2" t="s">
        <v>26</v>
      </c>
      <c r="D179" s="2" t="s">
        <v>220</v>
      </c>
      <c r="E179" s="14">
        <v>29008</v>
      </c>
      <c r="F179" s="15">
        <f t="shared" si="14"/>
        <v>1012.3792</v>
      </c>
      <c r="G179" s="15">
        <f t="shared" si="15"/>
        <v>1160.32</v>
      </c>
      <c r="H179" s="15">
        <f t="shared" si="16"/>
        <v>843.64933333333329</v>
      </c>
      <c r="I179" s="15">
        <f t="shared" si="17"/>
        <v>966.93333333333328</v>
      </c>
      <c r="J179" s="10">
        <v>697</v>
      </c>
      <c r="K179" s="10">
        <v>391</v>
      </c>
      <c r="L179" s="10">
        <v>704</v>
      </c>
      <c r="M179" s="10">
        <v>555</v>
      </c>
      <c r="N179" s="10">
        <v>562</v>
      </c>
      <c r="O179" s="10">
        <v>611</v>
      </c>
      <c r="P179" s="10">
        <v>565</v>
      </c>
      <c r="Q179" s="10">
        <v>929</v>
      </c>
      <c r="R179" s="10">
        <v>636</v>
      </c>
      <c r="S179" s="10">
        <v>592</v>
      </c>
      <c r="T179" s="10">
        <v>608</v>
      </c>
      <c r="U179" s="10">
        <v>669</v>
      </c>
      <c r="V179" s="10">
        <v>617</v>
      </c>
      <c r="W179" s="10">
        <v>986</v>
      </c>
      <c r="X179" s="10">
        <v>779</v>
      </c>
      <c r="Y179" s="10">
        <v>196</v>
      </c>
      <c r="Z179" s="10">
        <v>716</v>
      </c>
      <c r="AA179" s="10">
        <v>649</v>
      </c>
      <c r="AB179" s="10">
        <v>683</v>
      </c>
      <c r="AC179" s="10">
        <v>448</v>
      </c>
      <c r="AD179" s="10">
        <v>333</v>
      </c>
      <c r="AE179" s="10">
        <v>135</v>
      </c>
      <c r="AF179" s="10">
        <v>80</v>
      </c>
      <c r="AG179" s="10">
        <v>81</v>
      </c>
      <c r="AH179" s="102">
        <f>SUM(Tableau2[[#This Row],[Td 2]:[Td 5]])</f>
        <v>629</v>
      </c>
      <c r="AI179" s="10">
        <v>58.3</v>
      </c>
      <c r="AJ179" s="10">
        <v>100</v>
      </c>
      <c r="AK179" s="17">
        <f t="shared" si="18"/>
        <v>232.64933333333329</v>
      </c>
      <c r="AL179" s="17">
        <f t="shared" si="19"/>
        <v>0</v>
      </c>
      <c r="AM179" s="17">
        <f t="shared" si="20"/>
        <v>716</v>
      </c>
    </row>
    <row r="180" spans="1:39" s="3" customFormat="1" x14ac:dyDescent="0.25">
      <c r="A180" s="2" t="s">
        <v>16</v>
      </c>
      <c r="B180" s="29" t="s">
        <v>739</v>
      </c>
      <c r="C180" s="2" t="s">
        <v>26</v>
      </c>
      <c r="D180" s="2" t="s">
        <v>221</v>
      </c>
      <c r="E180" s="14">
        <v>4221</v>
      </c>
      <c r="F180" s="15">
        <f t="shared" si="14"/>
        <v>147.31290000000001</v>
      </c>
      <c r="G180" s="15">
        <f t="shared" si="15"/>
        <v>168.84</v>
      </c>
      <c r="H180" s="15">
        <f t="shared" si="16"/>
        <v>122.76075</v>
      </c>
      <c r="I180" s="15">
        <f t="shared" si="17"/>
        <v>140.69999999999999</v>
      </c>
      <c r="J180" s="10">
        <v>124</v>
      </c>
      <c r="K180" s="10">
        <v>52</v>
      </c>
      <c r="L180" s="10">
        <v>140</v>
      </c>
      <c r="M180" s="10">
        <v>127</v>
      </c>
      <c r="N180" s="10">
        <v>138</v>
      </c>
      <c r="O180" s="10">
        <v>126</v>
      </c>
      <c r="P180" s="10">
        <v>114</v>
      </c>
      <c r="Q180" s="10">
        <v>124</v>
      </c>
      <c r="R180" s="10">
        <v>112</v>
      </c>
      <c r="S180" s="10">
        <v>101</v>
      </c>
      <c r="T180" s="10">
        <v>110</v>
      </c>
      <c r="U180" s="10">
        <v>136</v>
      </c>
      <c r="V180" s="10">
        <v>114</v>
      </c>
      <c r="W180" s="10">
        <v>124</v>
      </c>
      <c r="X180" s="10">
        <v>137</v>
      </c>
      <c r="Y180" s="10">
        <v>157</v>
      </c>
      <c r="Z180" s="10">
        <v>137</v>
      </c>
      <c r="AA180" s="10">
        <v>123</v>
      </c>
      <c r="AB180" s="10">
        <v>122</v>
      </c>
      <c r="AC180" s="10">
        <v>21</v>
      </c>
      <c r="AD180" s="10">
        <v>16</v>
      </c>
      <c r="AE180" s="10">
        <v>27</v>
      </c>
      <c r="AF180" s="10">
        <v>16</v>
      </c>
      <c r="AG180" s="10">
        <v>19</v>
      </c>
      <c r="AH180" s="102">
        <f>SUM(Tableau2[[#This Row],[Td 2]:[Td 5]])</f>
        <v>78</v>
      </c>
      <c r="AI180" s="10">
        <v>58.3</v>
      </c>
      <c r="AJ180" s="10">
        <v>100</v>
      </c>
      <c r="AK180" s="17">
        <f t="shared" si="18"/>
        <v>0</v>
      </c>
      <c r="AL180" s="17">
        <f t="shared" si="19"/>
        <v>0</v>
      </c>
      <c r="AM180" s="17">
        <f t="shared" si="20"/>
        <v>137</v>
      </c>
    </row>
    <row r="181" spans="1:39" s="3" customFormat="1" x14ac:dyDescent="0.25">
      <c r="A181" s="2" t="s">
        <v>16</v>
      </c>
      <c r="B181" s="29" t="s">
        <v>739</v>
      </c>
      <c r="C181" s="2" t="s">
        <v>26</v>
      </c>
      <c r="D181" s="2" t="s">
        <v>222</v>
      </c>
      <c r="E181" s="14">
        <v>6238</v>
      </c>
      <c r="F181" s="15">
        <f t="shared" si="14"/>
        <v>217.7062</v>
      </c>
      <c r="G181" s="15">
        <f t="shared" si="15"/>
        <v>249.52</v>
      </c>
      <c r="H181" s="15">
        <f t="shared" si="16"/>
        <v>181.42183333333332</v>
      </c>
      <c r="I181" s="15">
        <f t="shared" si="17"/>
        <v>207.93333333333334</v>
      </c>
      <c r="J181" s="10">
        <v>158</v>
      </c>
      <c r="K181" s="10">
        <v>115</v>
      </c>
      <c r="L181" s="10">
        <v>136</v>
      </c>
      <c r="M181" s="10">
        <v>115</v>
      </c>
      <c r="N181" s="10">
        <v>118</v>
      </c>
      <c r="O181" s="10">
        <v>135</v>
      </c>
      <c r="P181" s="10">
        <v>116</v>
      </c>
      <c r="Q181" s="10">
        <v>111</v>
      </c>
      <c r="R181" s="10">
        <v>123</v>
      </c>
      <c r="S181" s="10">
        <v>102</v>
      </c>
      <c r="T181" s="10">
        <v>102</v>
      </c>
      <c r="U181" s="10">
        <v>149</v>
      </c>
      <c r="V181" s="10">
        <v>128</v>
      </c>
      <c r="W181" s="10">
        <v>125</v>
      </c>
      <c r="X181" s="10">
        <v>126</v>
      </c>
      <c r="Y181" s="10">
        <v>46</v>
      </c>
      <c r="Z181" s="10">
        <v>140</v>
      </c>
      <c r="AA181" s="10">
        <v>131</v>
      </c>
      <c r="AB181" s="10">
        <v>129</v>
      </c>
      <c r="AC181" s="10">
        <v>81</v>
      </c>
      <c r="AD181" s="10">
        <v>55</v>
      </c>
      <c r="AE181" s="10">
        <v>35</v>
      </c>
      <c r="AF181" s="10">
        <v>15</v>
      </c>
      <c r="AG181" s="10">
        <v>11</v>
      </c>
      <c r="AH181" s="102">
        <f>SUM(Tableau2[[#This Row],[Td 2]:[Td 5]])</f>
        <v>116</v>
      </c>
      <c r="AI181" s="10">
        <v>58.3</v>
      </c>
      <c r="AJ181" s="10">
        <v>100</v>
      </c>
      <c r="AK181" s="17">
        <f t="shared" si="18"/>
        <v>46.421833333333325</v>
      </c>
      <c r="AL181" s="17">
        <f t="shared" si="19"/>
        <v>9</v>
      </c>
      <c r="AM181" s="17">
        <f t="shared" si="20"/>
        <v>126</v>
      </c>
    </row>
    <row r="182" spans="1:39" s="3" customFormat="1" x14ac:dyDescent="0.25">
      <c r="A182" s="2" t="s">
        <v>16</v>
      </c>
      <c r="B182" s="29" t="s">
        <v>739</v>
      </c>
      <c r="C182" s="2" t="s">
        <v>26</v>
      </c>
      <c r="D182" s="2" t="s">
        <v>223</v>
      </c>
      <c r="E182" s="14">
        <v>9513</v>
      </c>
      <c r="F182" s="15">
        <f t="shared" si="14"/>
        <v>332.00369999999998</v>
      </c>
      <c r="G182" s="15">
        <f t="shared" si="15"/>
        <v>380.52</v>
      </c>
      <c r="H182" s="15">
        <f t="shared" si="16"/>
        <v>276.66974999999996</v>
      </c>
      <c r="I182" s="15">
        <f t="shared" si="17"/>
        <v>317.09999999999997</v>
      </c>
      <c r="J182" s="10">
        <v>207</v>
      </c>
      <c r="K182" s="10">
        <v>77</v>
      </c>
      <c r="L182" s="10">
        <v>258</v>
      </c>
      <c r="M182" s="10">
        <v>217</v>
      </c>
      <c r="N182" s="10">
        <v>240</v>
      </c>
      <c r="O182" s="10">
        <v>263</v>
      </c>
      <c r="P182" s="10">
        <v>213</v>
      </c>
      <c r="Q182" s="10">
        <v>260</v>
      </c>
      <c r="R182" s="10">
        <v>259</v>
      </c>
      <c r="S182" s="10">
        <v>212</v>
      </c>
      <c r="T182" s="10">
        <v>235</v>
      </c>
      <c r="U182" s="10">
        <v>261</v>
      </c>
      <c r="V182" s="10">
        <v>223</v>
      </c>
      <c r="W182" s="10">
        <v>225</v>
      </c>
      <c r="X182" s="10">
        <v>245</v>
      </c>
      <c r="Y182" s="10">
        <v>43</v>
      </c>
      <c r="Z182" s="10">
        <v>245</v>
      </c>
      <c r="AA182" s="10">
        <v>239</v>
      </c>
      <c r="AB182" s="10">
        <v>241</v>
      </c>
      <c r="AC182" s="10">
        <v>172</v>
      </c>
      <c r="AD182" s="10">
        <v>113</v>
      </c>
      <c r="AE182" s="10">
        <v>15</v>
      </c>
      <c r="AF182" s="10">
        <v>16</v>
      </c>
      <c r="AG182" s="10">
        <v>12</v>
      </c>
      <c r="AH182" s="102">
        <f>SUM(Tableau2[[#This Row],[Td 2]:[Td 5]])</f>
        <v>156</v>
      </c>
      <c r="AI182" s="10">
        <v>58.3</v>
      </c>
      <c r="AJ182" s="10">
        <v>100</v>
      </c>
      <c r="AK182" s="17">
        <f t="shared" si="18"/>
        <v>13.669749999999965</v>
      </c>
      <c r="AL182" s="17">
        <f t="shared" si="19"/>
        <v>18</v>
      </c>
      <c r="AM182" s="17">
        <f t="shared" si="20"/>
        <v>245</v>
      </c>
    </row>
    <row r="183" spans="1:39" s="3" customFormat="1" x14ac:dyDescent="0.25">
      <c r="A183" s="2" t="s">
        <v>16</v>
      </c>
      <c r="B183" s="29" t="s">
        <v>739</v>
      </c>
      <c r="C183" s="2" t="s">
        <v>26</v>
      </c>
      <c r="D183" s="2" t="s">
        <v>224</v>
      </c>
      <c r="E183" s="14">
        <v>7393</v>
      </c>
      <c r="F183" s="15">
        <f t="shared" si="14"/>
        <v>258.01569999999998</v>
      </c>
      <c r="G183" s="15">
        <f t="shared" si="15"/>
        <v>295.72000000000003</v>
      </c>
      <c r="H183" s="15">
        <f t="shared" si="16"/>
        <v>215.0130833333333</v>
      </c>
      <c r="I183" s="15">
        <f t="shared" si="17"/>
        <v>246.43333333333334</v>
      </c>
      <c r="J183" s="10">
        <v>230</v>
      </c>
      <c r="K183" s="10">
        <v>233</v>
      </c>
      <c r="L183" s="10">
        <v>226</v>
      </c>
      <c r="M183" s="10">
        <v>196</v>
      </c>
      <c r="N183" s="10">
        <v>217</v>
      </c>
      <c r="O183" s="10">
        <v>226</v>
      </c>
      <c r="P183" s="10">
        <v>196</v>
      </c>
      <c r="Q183" s="10">
        <v>217</v>
      </c>
      <c r="R183" s="10">
        <v>226</v>
      </c>
      <c r="S183" s="10">
        <v>196</v>
      </c>
      <c r="T183" s="10">
        <v>217</v>
      </c>
      <c r="U183" s="10">
        <v>216</v>
      </c>
      <c r="V183" s="10">
        <v>191</v>
      </c>
      <c r="W183" s="10">
        <v>209</v>
      </c>
      <c r="X183" s="10">
        <v>216</v>
      </c>
      <c r="Y183" s="10">
        <v>158</v>
      </c>
      <c r="Z183" s="10">
        <v>216</v>
      </c>
      <c r="AA183" s="10">
        <v>208</v>
      </c>
      <c r="AB183" s="10">
        <v>211</v>
      </c>
      <c r="AC183" s="10">
        <v>67</v>
      </c>
      <c r="AD183" s="10">
        <v>43</v>
      </c>
      <c r="AE183" s="10">
        <v>47</v>
      </c>
      <c r="AF183" s="10">
        <v>32</v>
      </c>
      <c r="AG183" s="10">
        <v>35</v>
      </c>
      <c r="AH183" s="102">
        <f>SUM(Tableau2[[#This Row],[Td 2]:[Td 5]])</f>
        <v>157</v>
      </c>
      <c r="AI183" s="10">
        <v>58.3</v>
      </c>
      <c r="AJ183" s="10">
        <v>100</v>
      </c>
      <c r="AK183" s="17">
        <f t="shared" si="18"/>
        <v>0</v>
      </c>
      <c r="AL183" s="17">
        <f t="shared" si="19"/>
        <v>10</v>
      </c>
      <c r="AM183" s="17">
        <f t="shared" si="20"/>
        <v>216</v>
      </c>
    </row>
    <row r="184" spans="1:39" s="3" customFormat="1" x14ac:dyDescent="0.25">
      <c r="A184" s="2" t="s">
        <v>16</v>
      </c>
      <c r="B184" s="29" t="s">
        <v>739</v>
      </c>
      <c r="C184" s="2" t="s">
        <v>26</v>
      </c>
      <c r="D184" s="2" t="s">
        <v>225</v>
      </c>
      <c r="E184" s="14">
        <v>10046</v>
      </c>
      <c r="F184" s="15">
        <f t="shared" si="14"/>
        <v>350.60540000000003</v>
      </c>
      <c r="G184" s="15">
        <f t="shared" si="15"/>
        <v>401.84000000000003</v>
      </c>
      <c r="H184" s="15">
        <f t="shared" si="16"/>
        <v>292.17116666666669</v>
      </c>
      <c r="I184" s="15">
        <f t="shared" si="17"/>
        <v>334.86666666666673</v>
      </c>
      <c r="J184" s="10">
        <v>383</v>
      </c>
      <c r="K184" s="10">
        <v>281</v>
      </c>
      <c r="L184" s="10">
        <v>384</v>
      </c>
      <c r="M184" s="10">
        <v>374</v>
      </c>
      <c r="N184" s="10">
        <v>386</v>
      </c>
      <c r="O184" s="10">
        <v>312</v>
      </c>
      <c r="P184" s="10">
        <v>300</v>
      </c>
      <c r="Q184" s="10">
        <v>298</v>
      </c>
      <c r="R184" s="10">
        <v>332</v>
      </c>
      <c r="S184" s="10">
        <v>314</v>
      </c>
      <c r="T184" s="10">
        <v>290</v>
      </c>
      <c r="U184" s="10">
        <v>332</v>
      </c>
      <c r="V184" s="10">
        <v>314</v>
      </c>
      <c r="W184" s="10">
        <v>314</v>
      </c>
      <c r="X184" s="10">
        <v>383</v>
      </c>
      <c r="Y184" s="10">
        <v>347</v>
      </c>
      <c r="Z184" s="10">
        <v>383</v>
      </c>
      <c r="AA184" s="10">
        <v>366</v>
      </c>
      <c r="AB184" s="10">
        <v>325</v>
      </c>
      <c r="AC184" s="10">
        <v>169</v>
      </c>
      <c r="AD184" s="10">
        <v>92</v>
      </c>
      <c r="AE184" s="10">
        <v>68</v>
      </c>
      <c r="AF184" s="10">
        <v>62</v>
      </c>
      <c r="AG184" s="10">
        <v>74</v>
      </c>
      <c r="AH184" s="102">
        <f>SUM(Tableau2[[#This Row],[Td 2]:[Td 5]])</f>
        <v>296</v>
      </c>
      <c r="AI184" s="10">
        <v>58.3</v>
      </c>
      <c r="AJ184" s="10">
        <v>100</v>
      </c>
      <c r="AK184" s="17">
        <f t="shared" si="18"/>
        <v>0</v>
      </c>
      <c r="AL184" s="17">
        <f t="shared" si="19"/>
        <v>0</v>
      </c>
      <c r="AM184" s="17">
        <f t="shared" si="20"/>
        <v>383</v>
      </c>
    </row>
    <row r="185" spans="1:39" s="3" customFormat="1" x14ac:dyDescent="0.25">
      <c r="A185" s="2" t="s">
        <v>16</v>
      </c>
      <c r="B185" s="29" t="s">
        <v>739</v>
      </c>
      <c r="C185" s="2" t="s">
        <v>26</v>
      </c>
      <c r="D185" s="2" t="s">
        <v>226</v>
      </c>
      <c r="E185" s="14">
        <v>7287</v>
      </c>
      <c r="F185" s="15">
        <f t="shared" si="14"/>
        <v>254.31630000000001</v>
      </c>
      <c r="G185" s="15">
        <f t="shared" si="15"/>
        <v>291.48</v>
      </c>
      <c r="H185" s="15">
        <f t="shared" si="16"/>
        <v>211.93025000000003</v>
      </c>
      <c r="I185" s="15">
        <f t="shared" si="17"/>
        <v>242.90000000000003</v>
      </c>
      <c r="J185" s="10">
        <v>224</v>
      </c>
      <c r="K185" s="10">
        <v>109</v>
      </c>
      <c r="L185" s="10">
        <v>224</v>
      </c>
      <c r="M185" s="10">
        <v>214</v>
      </c>
      <c r="N185" s="10">
        <v>191</v>
      </c>
      <c r="O185" s="10">
        <v>191</v>
      </c>
      <c r="P185" s="10">
        <v>150</v>
      </c>
      <c r="Q185" s="10">
        <v>157</v>
      </c>
      <c r="R185" s="10">
        <v>193</v>
      </c>
      <c r="S185" s="10">
        <v>171</v>
      </c>
      <c r="T185" s="10">
        <v>179</v>
      </c>
      <c r="U185" s="10">
        <v>193</v>
      </c>
      <c r="V185" s="10">
        <v>171</v>
      </c>
      <c r="W185" s="10">
        <v>179</v>
      </c>
      <c r="X185" s="10">
        <v>199</v>
      </c>
      <c r="Y185" s="10">
        <v>121</v>
      </c>
      <c r="Z185" s="10">
        <v>199</v>
      </c>
      <c r="AA185" s="10">
        <v>202</v>
      </c>
      <c r="AB185" s="10">
        <v>184</v>
      </c>
      <c r="AC185" s="10">
        <v>45</v>
      </c>
      <c r="AD185" s="10">
        <v>43</v>
      </c>
      <c r="AE185" s="10">
        <v>43</v>
      </c>
      <c r="AF185" s="10">
        <v>30</v>
      </c>
      <c r="AG185" s="10">
        <v>14</v>
      </c>
      <c r="AH185" s="102">
        <f>SUM(Tableau2[[#This Row],[Td 2]:[Td 5]])</f>
        <v>130</v>
      </c>
      <c r="AI185" s="10">
        <v>58.3</v>
      </c>
      <c r="AJ185" s="10">
        <v>100</v>
      </c>
      <c r="AK185" s="17">
        <f t="shared" si="18"/>
        <v>20.930250000000029</v>
      </c>
      <c r="AL185" s="17">
        <f t="shared" si="19"/>
        <v>0</v>
      </c>
      <c r="AM185" s="17">
        <f t="shared" si="20"/>
        <v>199</v>
      </c>
    </row>
    <row r="186" spans="1:39" s="3" customFormat="1" x14ac:dyDescent="0.25">
      <c r="A186" s="2" t="s">
        <v>16</v>
      </c>
      <c r="B186" s="29" t="s">
        <v>739</v>
      </c>
      <c r="C186" s="2" t="s">
        <v>27</v>
      </c>
      <c r="D186" s="2" t="s">
        <v>227</v>
      </c>
      <c r="E186" s="14">
        <v>9376</v>
      </c>
      <c r="F186" s="15">
        <f t="shared" si="14"/>
        <v>327.22239999999999</v>
      </c>
      <c r="G186" s="15">
        <f t="shared" si="15"/>
        <v>375.04</v>
      </c>
      <c r="H186" s="15">
        <f t="shared" si="16"/>
        <v>272.68533333333335</v>
      </c>
      <c r="I186" s="15">
        <f t="shared" si="17"/>
        <v>312.53333333333336</v>
      </c>
      <c r="J186" s="10">
        <v>302</v>
      </c>
      <c r="K186" s="10">
        <v>306</v>
      </c>
      <c r="L186" s="10">
        <v>255</v>
      </c>
      <c r="M186" s="10">
        <v>215</v>
      </c>
      <c r="N186" s="10">
        <v>219</v>
      </c>
      <c r="O186" s="10">
        <v>301</v>
      </c>
      <c r="P186" s="10">
        <v>269</v>
      </c>
      <c r="Q186" s="10">
        <v>270</v>
      </c>
      <c r="R186" s="10">
        <v>301</v>
      </c>
      <c r="S186" s="10">
        <v>269</v>
      </c>
      <c r="T186" s="10">
        <v>270</v>
      </c>
      <c r="U186" s="10">
        <v>301</v>
      </c>
      <c r="V186" s="10">
        <v>269</v>
      </c>
      <c r="W186" s="10">
        <v>236</v>
      </c>
      <c r="X186" s="10">
        <v>404</v>
      </c>
      <c r="Y186" s="10">
        <v>84</v>
      </c>
      <c r="Z186" s="10">
        <v>404</v>
      </c>
      <c r="AA186" s="10">
        <v>277</v>
      </c>
      <c r="AB186" s="10">
        <v>134</v>
      </c>
      <c r="AC186" s="10">
        <v>215</v>
      </c>
      <c r="AD186" s="10">
        <v>105</v>
      </c>
      <c r="AE186" s="10">
        <v>64</v>
      </c>
      <c r="AF186" s="10">
        <v>33</v>
      </c>
      <c r="AG186" s="10">
        <v>46</v>
      </c>
      <c r="AH186" s="102">
        <f>SUM(Tableau2[[#This Row],[Td 2]:[Td 5]])</f>
        <v>248</v>
      </c>
      <c r="AI186" s="10">
        <v>50</v>
      </c>
      <c r="AJ186" s="10">
        <v>100</v>
      </c>
      <c r="AK186" s="17">
        <f t="shared" si="18"/>
        <v>0</v>
      </c>
      <c r="AL186" s="17">
        <f t="shared" si="19"/>
        <v>0</v>
      </c>
      <c r="AM186" s="17">
        <f t="shared" si="20"/>
        <v>404</v>
      </c>
    </row>
    <row r="187" spans="1:39" s="3" customFormat="1" x14ac:dyDescent="0.25">
      <c r="A187" s="2" t="s">
        <v>16</v>
      </c>
      <c r="B187" s="29" t="s">
        <v>739</v>
      </c>
      <c r="C187" s="2" t="s">
        <v>27</v>
      </c>
      <c r="D187" s="2" t="s">
        <v>228</v>
      </c>
      <c r="E187" s="14">
        <v>6103</v>
      </c>
      <c r="F187" s="15">
        <f t="shared" si="14"/>
        <v>212.99469999999999</v>
      </c>
      <c r="G187" s="15">
        <f t="shared" si="15"/>
        <v>244.12</v>
      </c>
      <c r="H187" s="15">
        <f t="shared" si="16"/>
        <v>177.49558333333334</v>
      </c>
      <c r="I187" s="15">
        <f t="shared" si="17"/>
        <v>203.43333333333334</v>
      </c>
      <c r="J187" s="10">
        <v>164</v>
      </c>
      <c r="K187" s="10">
        <v>164</v>
      </c>
      <c r="L187" s="10">
        <v>174</v>
      </c>
      <c r="M187" s="10">
        <v>144</v>
      </c>
      <c r="N187" s="10">
        <v>154</v>
      </c>
      <c r="O187" s="10">
        <v>174</v>
      </c>
      <c r="P187" s="10">
        <v>144</v>
      </c>
      <c r="Q187" s="10">
        <v>154</v>
      </c>
      <c r="R187" s="10">
        <v>174</v>
      </c>
      <c r="S187" s="10">
        <v>144</v>
      </c>
      <c r="T187" s="10">
        <v>154</v>
      </c>
      <c r="U187" s="10">
        <v>174</v>
      </c>
      <c r="V187" s="10">
        <v>144</v>
      </c>
      <c r="W187" s="10">
        <v>154</v>
      </c>
      <c r="X187" s="10">
        <v>168</v>
      </c>
      <c r="Y187" s="10">
        <v>139</v>
      </c>
      <c r="Z187" s="10">
        <v>192</v>
      </c>
      <c r="AA187" s="10">
        <v>154</v>
      </c>
      <c r="AB187" s="10">
        <v>85</v>
      </c>
      <c r="AC187" s="10">
        <v>55</v>
      </c>
      <c r="AD187" s="10">
        <v>25</v>
      </c>
      <c r="AE187" s="10">
        <v>16</v>
      </c>
      <c r="AF187" s="10" t="s">
        <v>2</v>
      </c>
      <c r="AG187" s="10" t="s">
        <v>2</v>
      </c>
      <c r="AH187" s="102">
        <f>SUM(Tableau2[[#This Row],[Td 2]:[Td 5]])</f>
        <v>41</v>
      </c>
      <c r="AI187" s="10">
        <v>50</v>
      </c>
      <c r="AJ187" s="10">
        <v>100</v>
      </c>
      <c r="AK187" s="17">
        <f t="shared" si="18"/>
        <v>3.495583333333343</v>
      </c>
      <c r="AL187" s="17">
        <f t="shared" si="19"/>
        <v>6</v>
      </c>
      <c r="AM187" s="17">
        <f t="shared" si="20"/>
        <v>168</v>
      </c>
    </row>
    <row r="188" spans="1:39" s="3" customFormat="1" x14ac:dyDescent="0.25">
      <c r="A188" s="2" t="s">
        <v>16</v>
      </c>
      <c r="B188" s="29" t="s">
        <v>739</v>
      </c>
      <c r="C188" s="2" t="s">
        <v>27</v>
      </c>
      <c r="D188" s="2" t="s">
        <v>229</v>
      </c>
      <c r="E188" s="14">
        <v>8427</v>
      </c>
      <c r="F188" s="15">
        <f t="shared" si="14"/>
        <v>294.10230000000001</v>
      </c>
      <c r="G188" s="15">
        <f t="shared" si="15"/>
        <v>337.08</v>
      </c>
      <c r="H188" s="15">
        <f t="shared" si="16"/>
        <v>245.08525000000003</v>
      </c>
      <c r="I188" s="15">
        <f t="shared" si="17"/>
        <v>280.89999999999998</v>
      </c>
      <c r="J188" s="10">
        <v>333</v>
      </c>
      <c r="K188" s="10">
        <v>256</v>
      </c>
      <c r="L188" s="10">
        <v>347</v>
      </c>
      <c r="M188" s="10">
        <v>303</v>
      </c>
      <c r="N188" s="10">
        <v>276</v>
      </c>
      <c r="O188" s="10">
        <v>347</v>
      </c>
      <c r="P188" s="10">
        <v>303</v>
      </c>
      <c r="Q188" s="10">
        <v>276</v>
      </c>
      <c r="R188" s="10">
        <v>312</v>
      </c>
      <c r="S188" s="10">
        <v>276</v>
      </c>
      <c r="T188" s="10">
        <v>248</v>
      </c>
      <c r="U188" s="10">
        <v>347</v>
      </c>
      <c r="V188" s="10">
        <v>303</v>
      </c>
      <c r="W188" s="10">
        <v>276</v>
      </c>
      <c r="X188" s="10">
        <v>362</v>
      </c>
      <c r="Y188" s="10">
        <v>11</v>
      </c>
      <c r="Z188" s="10">
        <v>362</v>
      </c>
      <c r="AA188" s="10">
        <v>236</v>
      </c>
      <c r="AB188" s="10">
        <v>84</v>
      </c>
      <c r="AC188" s="10">
        <v>127</v>
      </c>
      <c r="AD188" s="10">
        <v>105</v>
      </c>
      <c r="AE188" s="10">
        <v>90</v>
      </c>
      <c r="AF188" s="10">
        <v>54</v>
      </c>
      <c r="AG188" s="10">
        <v>56</v>
      </c>
      <c r="AH188" s="102">
        <f>SUM(Tableau2[[#This Row],[Td 2]:[Td 5]])</f>
        <v>305</v>
      </c>
      <c r="AI188" s="10">
        <v>58.3</v>
      </c>
      <c r="AJ188" s="10">
        <v>100</v>
      </c>
      <c r="AK188" s="17">
        <f t="shared" si="18"/>
        <v>0</v>
      </c>
      <c r="AL188" s="17">
        <f t="shared" si="19"/>
        <v>0</v>
      </c>
      <c r="AM188" s="17">
        <f t="shared" si="20"/>
        <v>362</v>
      </c>
    </row>
    <row r="189" spans="1:39" s="3" customFormat="1" x14ac:dyDescent="0.25">
      <c r="A189" s="2" t="s">
        <v>16</v>
      </c>
      <c r="B189" s="29" t="s">
        <v>739</v>
      </c>
      <c r="C189" s="2" t="s">
        <v>27</v>
      </c>
      <c r="D189" s="2" t="s">
        <v>27</v>
      </c>
      <c r="E189" s="14">
        <v>16656</v>
      </c>
      <c r="F189" s="15">
        <f t="shared" si="14"/>
        <v>581.2944</v>
      </c>
      <c r="G189" s="15">
        <f t="shared" si="15"/>
        <v>666.24</v>
      </c>
      <c r="H189" s="15">
        <f t="shared" si="16"/>
        <v>484.41200000000003</v>
      </c>
      <c r="I189" s="15">
        <f t="shared" si="17"/>
        <v>555.20000000000005</v>
      </c>
      <c r="J189" s="10">
        <v>370</v>
      </c>
      <c r="K189" s="10">
        <v>471</v>
      </c>
      <c r="L189" s="10">
        <v>621</v>
      </c>
      <c r="M189" s="10">
        <v>550</v>
      </c>
      <c r="N189" s="10">
        <v>615</v>
      </c>
      <c r="O189" s="10">
        <v>621</v>
      </c>
      <c r="P189" s="10">
        <v>550</v>
      </c>
      <c r="Q189" s="10">
        <v>615</v>
      </c>
      <c r="R189" s="10">
        <v>620</v>
      </c>
      <c r="S189" s="10">
        <v>555</v>
      </c>
      <c r="T189" s="10">
        <v>615</v>
      </c>
      <c r="U189" s="10">
        <v>621</v>
      </c>
      <c r="V189" s="10">
        <v>555</v>
      </c>
      <c r="W189" s="10">
        <v>615</v>
      </c>
      <c r="X189" s="10">
        <v>584</v>
      </c>
      <c r="Y189" s="10">
        <v>139</v>
      </c>
      <c r="Z189" s="10">
        <v>462</v>
      </c>
      <c r="AA189" s="10">
        <v>615</v>
      </c>
      <c r="AB189" s="10">
        <v>482</v>
      </c>
      <c r="AC189" s="10">
        <v>216</v>
      </c>
      <c r="AD189" s="10">
        <v>124</v>
      </c>
      <c r="AE189" s="10">
        <v>130</v>
      </c>
      <c r="AF189" s="10">
        <v>80</v>
      </c>
      <c r="AG189" s="10">
        <v>101</v>
      </c>
      <c r="AH189" s="102">
        <f>SUM(Tableau2[[#This Row],[Td 2]:[Td 5]])</f>
        <v>435</v>
      </c>
      <c r="AI189" s="10">
        <v>47.2</v>
      </c>
      <c r="AJ189" s="10">
        <v>100</v>
      </c>
      <c r="AK189" s="17">
        <f t="shared" si="18"/>
        <v>0</v>
      </c>
      <c r="AL189" s="17">
        <f t="shared" si="19"/>
        <v>37</v>
      </c>
      <c r="AM189" s="17">
        <f t="shared" si="20"/>
        <v>462</v>
      </c>
    </row>
    <row r="190" spans="1:39" s="3" customFormat="1" x14ac:dyDescent="0.25">
      <c r="A190" s="2" t="s">
        <v>16</v>
      </c>
      <c r="B190" s="29" t="s">
        <v>739</v>
      </c>
      <c r="C190" s="2" t="s">
        <v>27</v>
      </c>
      <c r="D190" s="2" t="s">
        <v>230</v>
      </c>
      <c r="E190" s="14">
        <v>6641</v>
      </c>
      <c r="F190" s="15">
        <f t="shared" si="14"/>
        <v>231.77090000000001</v>
      </c>
      <c r="G190" s="15">
        <f t="shared" si="15"/>
        <v>265.64</v>
      </c>
      <c r="H190" s="15">
        <f t="shared" si="16"/>
        <v>193.14241666666669</v>
      </c>
      <c r="I190" s="15">
        <f t="shared" si="17"/>
        <v>221.36666666666667</v>
      </c>
      <c r="J190" s="10">
        <v>206</v>
      </c>
      <c r="K190" s="10">
        <v>244</v>
      </c>
      <c r="L190" s="10">
        <v>245</v>
      </c>
      <c r="M190" s="10">
        <v>218</v>
      </c>
      <c r="N190" s="10">
        <v>236</v>
      </c>
      <c r="O190" s="10">
        <v>245</v>
      </c>
      <c r="P190" s="10">
        <v>225</v>
      </c>
      <c r="Q190" s="10">
        <v>249</v>
      </c>
      <c r="R190" s="10">
        <v>181</v>
      </c>
      <c r="S190" s="10">
        <v>163</v>
      </c>
      <c r="T190" s="10">
        <v>177</v>
      </c>
      <c r="U190" s="10">
        <v>228</v>
      </c>
      <c r="V190" s="10">
        <v>191</v>
      </c>
      <c r="W190" s="10">
        <v>208</v>
      </c>
      <c r="X190" s="10">
        <v>232</v>
      </c>
      <c r="Y190" s="10">
        <v>157</v>
      </c>
      <c r="Z190" s="10">
        <v>232</v>
      </c>
      <c r="AA190" s="10">
        <v>211</v>
      </c>
      <c r="AB190" s="10">
        <v>99</v>
      </c>
      <c r="AC190" s="10">
        <v>131</v>
      </c>
      <c r="AD190" s="10">
        <v>99</v>
      </c>
      <c r="AE190" s="10">
        <v>76</v>
      </c>
      <c r="AF190" s="10">
        <v>53</v>
      </c>
      <c r="AG190" s="10">
        <v>23</v>
      </c>
      <c r="AH190" s="102">
        <f>SUM(Tableau2[[#This Row],[Td 2]:[Td 5]])</f>
        <v>251</v>
      </c>
      <c r="AI190" s="10">
        <v>50</v>
      </c>
      <c r="AJ190" s="10">
        <v>100</v>
      </c>
      <c r="AK190" s="17">
        <f t="shared" si="18"/>
        <v>0</v>
      </c>
      <c r="AL190" s="17">
        <f t="shared" si="19"/>
        <v>13</v>
      </c>
      <c r="AM190" s="17">
        <f t="shared" si="20"/>
        <v>232</v>
      </c>
    </row>
    <row r="191" spans="1:39" s="3" customFormat="1" x14ac:dyDescent="0.25">
      <c r="A191" s="2" t="s">
        <v>16</v>
      </c>
      <c r="B191" s="29" t="s">
        <v>739</v>
      </c>
      <c r="C191" s="2" t="s">
        <v>27</v>
      </c>
      <c r="D191" s="2" t="s">
        <v>231</v>
      </c>
      <c r="E191" s="14">
        <v>7148</v>
      </c>
      <c r="F191" s="15">
        <f t="shared" si="14"/>
        <v>249.46520000000001</v>
      </c>
      <c r="G191" s="15">
        <f t="shared" si="15"/>
        <v>285.92</v>
      </c>
      <c r="H191" s="15">
        <f t="shared" si="16"/>
        <v>207.88766666666669</v>
      </c>
      <c r="I191" s="15">
        <f t="shared" si="17"/>
        <v>238.26666666666668</v>
      </c>
      <c r="J191" s="10">
        <v>304</v>
      </c>
      <c r="K191" s="10">
        <v>180</v>
      </c>
      <c r="L191" s="10">
        <v>334</v>
      </c>
      <c r="M191" s="10">
        <v>323</v>
      </c>
      <c r="N191" s="10">
        <v>305</v>
      </c>
      <c r="O191" s="10">
        <v>334</v>
      </c>
      <c r="P191" s="10">
        <v>323</v>
      </c>
      <c r="Q191" s="10">
        <v>314</v>
      </c>
      <c r="R191" s="10">
        <v>284</v>
      </c>
      <c r="S191" s="10">
        <v>260</v>
      </c>
      <c r="T191" s="10">
        <v>253</v>
      </c>
      <c r="U191" s="10">
        <v>281</v>
      </c>
      <c r="V191" s="10">
        <v>265</v>
      </c>
      <c r="W191" s="10">
        <v>238</v>
      </c>
      <c r="X191" s="10">
        <v>181</v>
      </c>
      <c r="Y191" s="10">
        <v>15</v>
      </c>
      <c r="Z191" s="10">
        <v>176</v>
      </c>
      <c r="AA191" s="10">
        <v>324</v>
      </c>
      <c r="AB191" s="10">
        <v>124</v>
      </c>
      <c r="AC191" s="10">
        <v>106</v>
      </c>
      <c r="AD191" s="10">
        <v>51</v>
      </c>
      <c r="AE191" s="10">
        <v>45</v>
      </c>
      <c r="AF191" s="10">
        <v>48</v>
      </c>
      <c r="AG191" s="10">
        <v>32</v>
      </c>
      <c r="AH191" s="102">
        <f>SUM(Tableau2[[#This Row],[Td 2]:[Td 5]])</f>
        <v>176</v>
      </c>
      <c r="AI191" s="10">
        <v>58.3</v>
      </c>
      <c r="AJ191" s="10">
        <v>100</v>
      </c>
      <c r="AK191" s="17">
        <f t="shared" si="18"/>
        <v>0</v>
      </c>
      <c r="AL191" s="17">
        <f t="shared" si="19"/>
        <v>153</v>
      </c>
      <c r="AM191" s="17">
        <f t="shared" si="20"/>
        <v>176</v>
      </c>
    </row>
    <row r="192" spans="1:39" s="3" customFormat="1" x14ac:dyDescent="0.25">
      <c r="A192" s="2" t="s">
        <v>16</v>
      </c>
      <c r="B192" s="29" t="s">
        <v>739</v>
      </c>
      <c r="C192" s="2" t="s">
        <v>27</v>
      </c>
      <c r="D192" s="2" t="s">
        <v>232</v>
      </c>
      <c r="E192" s="14">
        <v>7147</v>
      </c>
      <c r="F192" s="15">
        <f t="shared" si="14"/>
        <v>249.43030000000002</v>
      </c>
      <c r="G192" s="15">
        <f t="shared" si="15"/>
        <v>285.88</v>
      </c>
      <c r="H192" s="15">
        <f t="shared" si="16"/>
        <v>207.85858333333334</v>
      </c>
      <c r="I192" s="15">
        <f t="shared" si="17"/>
        <v>238.23333333333335</v>
      </c>
      <c r="J192" s="10">
        <v>246</v>
      </c>
      <c r="K192" s="10">
        <v>152</v>
      </c>
      <c r="L192" s="10">
        <v>269</v>
      </c>
      <c r="M192" s="10">
        <v>207</v>
      </c>
      <c r="N192" s="10">
        <v>227</v>
      </c>
      <c r="O192" s="10">
        <v>293</v>
      </c>
      <c r="P192" s="10">
        <v>224</v>
      </c>
      <c r="Q192" s="10">
        <v>249</v>
      </c>
      <c r="R192" s="10">
        <v>314</v>
      </c>
      <c r="S192" s="10">
        <v>244</v>
      </c>
      <c r="T192" s="10">
        <v>279</v>
      </c>
      <c r="U192" s="10">
        <v>293</v>
      </c>
      <c r="V192" s="10">
        <v>222</v>
      </c>
      <c r="W192" s="10">
        <v>259</v>
      </c>
      <c r="X192" s="10">
        <v>287</v>
      </c>
      <c r="Y192" s="10">
        <v>52</v>
      </c>
      <c r="Z192" s="10">
        <v>276</v>
      </c>
      <c r="AA192" s="10">
        <v>218</v>
      </c>
      <c r="AB192" s="10">
        <v>105</v>
      </c>
      <c r="AC192" s="10">
        <v>79</v>
      </c>
      <c r="AD192" s="10">
        <v>66</v>
      </c>
      <c r="AE192" s="10">
        <v>48</v>
      </c>
      <c r="AF192" s="10">
        <v>34</v>
      </c>
      <c r="AG192" s="10">
        <v>29</v>
      </c>
      <c r="AH192" s="102">
        <f>SUM(Tableau2[[#This Row],[Td 2]:[Td 5]])</f>
        <v>177</v>
      </c>
      <c r="AI192" s="10">
        <v>58.3</v>
      </c>
      <c r="AJ192" s="10">
        <v>100</v>
      </c>
      <c r="AK192" s="17">
        <f t="shared" si="18"/>
        <v>0</v>
      </c>
      <c r="AL192" s="17">
        <f t="shared" si="19"/>
        <v>6</v>
      </c>
      <c r="AM192" s="17">
        <f t="shared" si="20"/>
        <v>276</v>
      </c>
    </row>
    <row r="193" spans="1:39" s="3" customFormat="1" x14ac:dyDescent="0.25">
      <c r="A193" s="2" t="s">
        <v>16</v>
      </c>
      <c r="B193" s="29" t="s">
        <v>739</v>
      </c>
      <c r="C193" s="2" t="s">
        <v>27</v>
      </c>
      <c r="D193" s="2" t="s">
        <v>233</v>
      </c>
      <c r="E193" s="14">
        <v>11843</v>
      </c>
      <c r="F193" s="15">
        <f t="shared" si="14"/>
        <v>413.32069999999999</v>
      </c>
      <c r="G193" s="15">
        <f t="shared" si="15"/>
        <v>473.72</v>
      </c>
      <c r="H193" s="15">
        <f t="shared" si="16"/>
        <v>344.43391666666662</v>
      </c>
      <c r="I193" s="15">
        <f t="shared" si="17"/>
        <v>394.76666666666665</v>
      </c>
      <c r="J193" s="10">
        <v>286</v>
      </c>
      <c r="K193" s="10">
        <v>336</v>
      </c>
      <c r="L193" s="10">
        <v>218</v>
      </c>
      <c r="M193" s="10">
        <v>210</v>
      </c>
      <c r="N193" s="10">
        <v>205</v>
      </c>
      <c r="O193" s="10">
        <v>218</v>
      </c>
      <c r="P193" s="10">
        <v>210</v>
      </c>
      <c r="Q193" s="10">
        <v>205</v>
      </c>
      <c r="R193" s="10">
        <v>218</v>
      </c>
      <c r="S193" s="10">
        <v>210</v>
      </c>
      <c r="T193" s="10">
        <v>203</v>
      </c>
      <c r="U193" s="10">
        <v>218</v>
      </c>
      <c r="V193" s="10">
        <v>210</v>
      </c>
      <c r="W193" s="10">
        <v>60</v>
      </c>
      <c r="X193" s="10">
        <v>399</v>
      </c>
      <c r="Y193" s="10">
        <v>39</v>
      </c>
      <c r="Z193" s="10">
        <v>285</v>
      </c>
      <c r="AA193" s="10">
        <v>192</v>
      </c>
      <c r="AB193" s="10">
        <v>30</v>
      </c>
      <c r="AC193" s="10">
        <v>169</v>
      </c>
      <c r="AD193" s="10">
        <v>53</v>
      </c>
      <c r="AE193" s="10">
        <v>42</v>
      </c>
      <c r="AF193" s="10">
        <v>31</v>
      </c>
      <c r="AG193" s="10">
        <v>24</v>
      </c>
      <c r="AH193" s="102">
        <f>SUM(Tableau2[[#This Row],[Td 2]:[Td 5]])</f>
        <v>150</v>
      </c>
      <c r="AI193" s="10">
        <v>50</v>
      </c>
      <c r="AJ193" s="10">
        <v>100</v>
      </c>
      <c r="AK193" s="17">
        <f t="shared" si="18"/>
        <v>126.43391666666662</v>
      </c>
      <c r="AL193" s="17">
        <f t="shared" si="19"/>
        <v>0</v>
      </c>
      <c r="AM193" s="17">
        <f t="shared" si="20"/>
        <v>285</v>
      </c>
    </row>
    <row r="194" spans="1:39" s="3" customFormat="1" x14ac:dyDescent="0.25">
      <c r="A194" s="2" t="s">
        <v>16</v>
      </c>
      <c r="B194" s="29" t="s">
        <v>739</v>
      </c>
      <c r="C194" s="2" t="s">
        <v>27</v>
      </c>
      <c r="D194" s="2" t="s">
        <v>234</v>
      </c>
      <c r="E194" s="14">
        <v>14756</v>
      </c>
      <c r="F194" s="15">
        <f t="shared" si="14"/>
        <v>514.98440000000005</v>
      </c>
      <c r="G194" s="15">
        <f t="shared" si="15"/>
        <v>590.24</v>
      </c>
      <c r="H194" s="15">
        <f t="shared" si="16"/>
        <v>429.15366666666671</v>
      </c>
      <c r="I194" s="15">
        <f t="shared" si="17"/>
        <v>491.86666666666667</v>
      </c>
      <c r="J194" s="10">
        <v>317</v>
      </c>
      <c r="K194" s="10">
        <v>357</v>
      </c>
      <c r="L194" s="10">
        <v>359</v>
      </c>
      <c r="M194" s="10">
        <v>357</v>
      </c>
      <c r="N194" s="10">
        <v>350</v>
      </c>
      <c r="O194" s="10">
        <v>359</v>
      </c>
      <c r="P194" s="10">
        <v>360</v>
      </c>
      <c r="Q194" s="10">
        <v>350</v>
      </c>
      <c r="R194" s="10">
        <v>402</v>
      </c>
      <c r="S194" s="10">
        <v>402</v>
      </c>
      <c r="T194" s="10">
        <v>390</v>
      </c>
      <c r="U194" s="10">
        <v>363</v>
      </c>
      <c r="V194" s="10">
        <v>362</v>
      </c>
      <c r="W194" s="10">
        <v>350</v>
      </c>
      <c r="X194" s="10">
        <v>397</v>
      </c>
      <c r="Y194" s="10" t="s">
        <v>2</v>
      </c>
      <c r="Z194" s="10">
        <v>397</v>
      </c>
      <c r="AA194" s="10">
        <v>390</v>
      </c>
      <c r="AB194" s="10" t="s">
        <v>2</v>
      </c>
      <c r="AC194" s="10">
        <v>220</v>
      </c>
      <c r="AD194" s="10">
        <v>164</v>
      </c>
      <c r="AE194" s="10">
        <v>127</v>
      </c>
      <c r="AF194" s="10">
        <v>88</v>
      </c>
      <c r="AG194" s="10">
        <v>57</v>
      </c>
      <c r="AH194" s="102">
        <f>SUM(Tableau2[[#This Row],[Td 2]:[Td 5]])</f>
        <v>436</v>
      </c>
      <c r="AI194" s="10">
        <v>58.3</v>
      </c>
      <c r="AJ194" s="10">
        <v>100</v>
      </c>
      <c r="AK194" s="17">
        <f t="shared" si="18"/>
        <v>70.153666666666709</v>
      </c>
      <c r="AL194" s="17">
        <f t="shared" si="19"/>
        <v>0</v>
      </c>
      <c r="AM194" s="17">
        <f t="shared" si="20"/>
        <v>397</v>
      </c>
    </row>
    <row r="195" spans="1:39" s="3" customFormat="1" x14ac:dyDescent="0.25">
      <c r="A195" s="2" t="s">
        <v>16</v>
      </c>
      <c r="B195" s="29" t="s">
        <v>739</v>
      </c>
      <c r="C195" s="2" t="s">
        <v>27</v>
      </c>
      <c r="D195" s="2" t="s">
        <v>235</v>
      </c>
      <c r="E195" s="14">
        <v>8329</v>
      </c>
      <c r="F195" s="15">
        <f t="shared" si="14"/>
        <v>290.68209999999999</v>
      </c>
      <c r="G195" s="15">
        <f t="shared" si="15"/>
        <v>333.16</v>
      </c>
      <c r="H195" s="15">
        <f t="shared" si="16"/>
        <v>242.23508333333331</v>
      </c>
      <c r="I195" s="15">
        <f t="shared" si="17"/>
        <v>277.63333333333333</v>
      </c>
      <c r="J195" s="10">
        <v>130</v>
      </c>
      <c r="K195" s="10">
        <v>161</v>
      </c>
      <c r="L195" s="10">
        <v>219</v>
      </c>
      <c r="M195" s="10">
        <v>199</v>
      </c>
      <c r="N195" s="10">
        <v>211</v>
      </c>
      <c r="O195" s="10">
        <v>222</v>
      </c>
      <c r="P195" s="10">
        <v>205</v>
      </c>
      <c r="Q195" s="10">
        <v>210</v>
      </c>
      <c r="R195" s="10">
        <v>195</v>
      </c>
      <c r="S195" s="10">
        <v>185</v>
      </c>
      <c r="T195" s="10">
        <v>191</v>
      </c>
      <c r="U195" s="10">
        <v>195</v>
      </c>
      <c r="V195" s="10">
        <v>185</v>
      </c>
      <c r="W195" s="10">
        <v>191</v>
      </c>
      <c r="X195" s="10">
        <v>250</v>
      </c>
      <c r="Y195" s="10">
        <v>209</v>
      </c>
      <c r="Z195" s="10">
        <v>246</v>
      </c>
      <c r="AA195" s="10">
        <v>212</v>
      </c>
      <c r="AB195" s="10">
        <v>189</v>
      </c>
      <c r="AC195" s="10">
        <v>73</v>
      </c>
      <c r="AD195" s="10">
        <v>54</v>
      </c>
      <c r="AE195" s="10">
        <v>52</v>
      </c>
      <c r="AF195" s="10">
        <v>38</v>
      </c>
      <c r="AG195" s="10">
        <v>38</v>
      </c>
      <c r="AH195" s="102">
        <f>SUM(Tableau2[[#This Row],[Td 2]:[Td 5]])</f>
        <v>182</v>
      </c>
      <c r="AI195" s="10">
        <v>50</v>
      </c>
      <c r="AJ195" s="10">
        <v>100</v>
      </c>
      <c r="AK195" s="17">
        <f t="shared" si="18"/>
        <v>20.235083333333307</v>
      </c>
      <c r="AL195" s="17">
        <f t="shared" si="19"/>
        <v>0</v>
      </c>
      <c r="AM195" s="17">
        <f t="shared" si="20"/>
        <v>246</v>
      </c>
    </row>
    <row r="196" spans="1:39" s="3" customFormat="1" x14ac:dyDescent="0.25">
      <c r="A196" s="2" t="s">
        <v>16</v>
      </c>
      <c r="B196" s="29" t="s">
        <v>739</v>
      </c>
      <c r="C196" s="2" t="s">
        <v>27</v>
      </c>
      <c r="D196" s="2" t="s">
        <v>236</v>
      </c>
      <c r="E196" s="14">
        <v>9711</v>
      </c>
      <c r="F196" s="15">
        <f t="shared" si="14"/>
        <v>338.91390000000001</v>
      </c>
      <c r="G196" s="15">
        <f t="shared" si="15"/>
        <v>388.44</v>
      </c>
      <c r="H196" s="15">
        <f t="shared" si="16"/>
        <v>282.42824999999999</v>
      </c>
      <c r="I196" s="15">
        <f t="shared" si="17"/>
        <v>323.7</v>
      </c>
      <c r="J196" s="10">
        <v>120</v>
      </c>
      <c r="K196" s="10">
        <v>75</v>
      </c>
      <c r="L196" s="10">
        <v>253</v>
      </c>
      <c r="M196" s="10">
        <v>193</v>
      </c>
      <c r="N196" s="10">
        <v>226</v>
      </c>
      <c r="O196" s="10">
        <v>245</v>
      </c>
      <c r="P196" s="10">
        <v>192</v>
      </c>
      <c r="Q196" s="10">
        <v>235</v>
      </c>
      <c r="R196" s="10">
        <v>190</v>
      </c>
      <c r="S196" s="10">
        <v>161</v>
      </c>
      <c r="T196" s="10">
        <v>181</v>
      </c>
      <c r="U196" s="10">
        <v>245</v>
      </c>
      <c r="V196" s="10">
        <v>192</v>
      </c>
      <c r="W196" s="10">
        <v>235</v>
      </c>
      <c r="X196" s="10">
        <v>253</v>
      </c>
      <c r="Y196" s="10">
        <v>26</v>
      </c>
      <c r="Z196" s="10">
        <v>122</v>
      </c>
      <c r="AA196" s="10">
        <v>170</v>
      </c>
      <c r="AB196" s="10">
        <v>91</v>
      </c>
      <c r="AC196" s="10">
        <v>31</v>
      </c>
      <c r="AD196" s="10">
        <v>48</v>
      </c>
      <c r="AE196" s="10">
        <v>21</v>
      </c>
      <c r="AF196" s="10">
        <v>14</v>
      </c>
      <c r="AG196" s="10">
        <v>12</v>
      </c>
      <c r="AH196" s="102">
        <f>SUM(Tableau2[[#This Row],[Td 2]:[Td 5]])</f>
        <v>95</v>
      </c>
      <c r="AI196" s="10">
        <v>50</v>
      </c>
      <c r="AJ196" s="10">
        <v>100</v>
      </c>
      <c r="AK196" s="17">
        <f t="shared" si="18"/>
        <v>37.428249999999991</v>
      </c>
      <c r="AL196" s="17">
        <f t="shared" si="19"/>
        <v>0</v>
      </c>
      <c r="AM196" s="17">
        <f t="shared" si="20"/>
        <v>122</v>
      </c>
    </row>
    <row r="197" spans="1:39" s="3" customFormat="1" x14ac:dyDescent="0.25">
      <c r="A197" s="2" t="s">
        <v>16</v>
      </c>
      <c r="B197" s="29" t="s">
        <v>739</v>
      </c>
      <c r="C197" s="2" t="s">
        <v>27</v>
      </c>
      <c r="D197" s="2" t="s">
        <v>237</v>
      </c>
      <c r="E197" s="14">
        <v>7833</v>
      </c>
      <c r="F197" s="15">
        <f t="shared" si="14"/>
        <v>273.37169999999998</v>
      </c>
      <c r="G197" s="15">
        <f t="shared" si="15"/>
        <v>313.32</v>
      </c>
      <c r="H197" s="15">
        <f t="shared" si="16"/>
        <v>227.80974999999998</v>
      </c>
      <c r="I197" s="15">
        <f t="shared" si="17"/>
        <v>261.10000000000002</v>
      </c>
      <c r="J197" s="10">
        <v>177</v>
      </c>
      <c r="K197" s="10">
        <v>129</v>
      </c>
      <c r="L197" s="10">
        <v>220</v>
      </c>
      <c r="M197" s="10">
        <v>197</v>
      </c>
      <c r="N197" s="10">
        <v>201</v>
      </c>
      <c r="O197" s="10">
        <v>220</v>
      </c>
      <c r="P197" s="10">
        <v>197</v>
      </c>
      <c r="Q197" s="10">
        <v>201</v>
      </c>
      <c r="R197" s="10">
        <v>195</v>
      </c>
      <c r="S197" s="10">
        <v>177</v>
      </c>
      <c r="T197" s="10">
        <v>183</v>
      </c>
      <c r="U197" s="10">
        <v>220</v>
      </c>
      <c r="V197" s="10">
        <v>197</v>
      </c>
      <c r="W197" s="10">
        <v>201</v>
      </c>
      <c r="X197" s="10">
        <v>180</v>
      </c>
      <c r="Y197" s="10">
        <v>12</v>
      </c>
      <c r="Z197" s="10">
        <v>183</v>
      </c>
      <c r="AA197" s="10">
        <v>201</v>
      </c>
      <c r="AB197" s="10">
        <v>47</v>
      </c>
      <c r="AC197" s="10">
        <v>39</v>
      </c>
      <c r="AD197" s="10">
        <v>19</v>
      </c>
      <c r="AE197" s="10">
        <v>11</v>
      </c>
      <c r="AF197" s="10" t="s">
        <v>2</v>
      </c>
      <c r="AG197" s="10" t="s">
        <v>2</v>
      </c>
      <c r="AH197" s="102">
        <f>SUM(Tableau2[[#This Row],[Td 2]:[Td 5]])</f>
        <v>30</v>
      </c>
      <c r="AI197" s="10">
        <v>50</v>
      </c>
      <c r="AJ197" s="10">
        <v>100</v>
      </c>
      <c r="AK197" s="17">
        <f t="shared" si="18"/>
        <v>7.8097499999999798</v>
      </c>
      <c r="AL197" s="17">
        <f t="shared" si="19"/>
        <v>40</v>
      </c>
      <c r="AM197" s="17">
        <f t="shared" si="20"/>
        <v>180</v>
      </c>
    </row>
    <row r="198" spans="1:39" s="3" customFormat="1" x14ac:dyDescent="0.25">
      <c r="A198" s="2" t="s">
        <v>16</v>
      </c>
      <c r="B198" s="29" t="s">
        <v>739</v>
      </c>
      <c r="C198" s="2" t="s">
        <v>27</v>
      </c>
      <c r="D198" s="2" t="s">
        <v>238</v>
      </c>
      <c r="E198" s="14">
        <v>6833</v>
      </c>
      <c r="F198" s="15">
        <f t="shared" ref="F198:F261" si="21">IFERROR(E198*3.49%,"")</f>
        <v>238.4717</v>
      </c>
      <c r="G198" s="15">
        <f t="shared" ref="G198:G261" si="22">IFERROR(E198*4%,"")</f>
        <v>273.32</v>
      </c>
      <c r="H198" s="15">
        <f t="shared" ref="H198:H261" si="23">IFERROR((F198/12)*$C$1,"")</f>
        <v>198.72641666666667</v>
      </c>
      <c r="I198" s="15">
        <f t="shared" ref="I198:I261" si="24">IFERROR((G198/12)*$C$1,"")</f>
        <v>227.76666666666668</v>
      </c>
      <c r="J198" s="10">
        <v>223</v>
      </c>
      <c r="K198" s="10">
        <v>241</v>
      </c>
      <c r="L198" s="10">
        <v>267</v>
      </c>
      <c r="M198" s="10">
        <v>246</v>
      </c>
      <c r="N198" s="10">
        <v>271</v>
      </c>
      <c r="O198" s="10">
        <v>268</v>
      </c>
      <c r="P198" s="10">
        <v>246</v>
      </c>
      <c r="Q198" s="10">
        <v>271</v>
      </c>
      <c r="R198" s="10">
        <v>221</v>
      </c>
      <c r="S198" s="10">
        <v>205</v>
      </c>
      <c r="T198" s="10">
        <v>228</v>
      </c>
      <c r="U198" s="10">
        <v>268</v>
      </c>
      <c r="V198" s="10">
        <v>246</v>
      </c>
      <c r="W198" s="10">
        <v>271</v>
      </c>
      <c r="X198" s="10">
        <v>225</v>
      </c>
      <c r="Y198" s="10">
        <v>63</v>
      </c>
      <c r="Z198" s="10">
        <v>221</v>
      </c>
      <c r="AA198" s="10">
        <v>252</v>
      </c>
      <c r="AB198" s="10">
        <v>139</v>
      </c>
      <c r="AC198" s="10">
        <v>181</v>
      </c>
      <c r="AD198" s="10">
        <v>74</v>
      </c>
      <c r="AE198" s="10">
        <v>46</v>
      </c>
      <c r="AF198" s="10">
        <v>26</v>
      </c>
      <c r="AG198" s="10">
        <v>17</v>
      </c>
      <c r="AH198" s="102">
        <f>SUM(Tableau2[[#This Row],[Td 2]:[Td 5]])</f>
        <v>163</v>
      </c>
      <c r="AI198" s="10">
        <v>50</v>
      </c>
      <c r="AJ198" s="10">
        <v>100</v>
      </c>
      <c r="AK198" s="17">
        <f t="shared" ref="AK198:AK261" si="25">IFERROR(IF(H198-O198&lt;0,0,H198-O198),0)</f>
        <v>0</v>
      </c>
      <c r="AL198" s="17">
        <f t="shared" ref="AL198:AL261" si="26">IFERROR(IF(O198-X198&lt;0,0,O198-X198),0)</f>
        <v>43</v>
      </c>
      <c r="AM198" s="17">
        <f t="shared" ref="AM198:AM261" si="27">MIN(X198,Z198)</f>
        <v>221</v>
      </c>
    </row>
    <row r="199" spans="1:39" s="3" customFormat="1" x14ac:dyDescent="0.25">
      <c r="A199" s="2" t="s">
        <v>16</v>
      </c>
      <c r="B199" s="29" t="s">
        <v>739</v>
      </c>
      <c r="C199" s="2" t="s">
        <v>27</v>
      </c>
      <c r="D199" s="2" t="s">
        <v>239</v>
      </c>
      <c r="E199" s="14">
        <v>17090</v>
      </c>
      <c r="F199" s="15">
        <f t="shared" si="21"/>
        <v>596.44100000000003</v>
      </c>
      <c r="G199" s="15">
        <f t="shared" si="22"/>
        <v>683.6</v>
      </c>
      <c r="H199" s="15">
        <f t="shared" si="23"/>
        <v>497.03416666666669</v>
      </c>
      <c r="I199" s="15">
        <f t="shared" si="24"/>
        <v>569.66666666666674</v>
      </c>
      <c r="J199" s="10">
        <v>844</v>
      </c>
      <c r="K199" s="10">
        <v>712</v>
      </c>
      <c r="L199" s="10">
        <v>946</v>
      </c>
      <c r="M199" s="10">
        <v>801</v>
      </c>
      <c r="N199" s="10">
        <v>815</v>
      </c>
      <c r="O199" s="10">
        <v>940</v>
      </c>
      <c r="P199" s="10">
        <v>801</v>
      </c>
      <c r="Q199" s="10">
        <v>815</v>
      </c>
      <c r="R199" s="10">
        <v>830</v>
      </c>
      <c r="S199" s="10">
        <v>737</v>
      </c>
      <c r="T199" s="10">
        <v>744</v>
      </c>
      <c r="U199" s="10">
        <v>820</v>
      </c>
      <c r="V199" s="10">
        <v>737</v>
      </c>
      <c r="W199" s="10">
        <v>744</v>
      </c>
      <c r="X199" s="10">
        <v>574</v>
      </c>
      <c r="Y199" s="10">
        <v>35</v>
      </c>
      <c r="Z199" s="10">
        <v>430</v>
      </c>
      <c r="AA199" s="10">
        <v>815</v>
      </c>
      <c r="AB199" s="10">
        <v>519</v>
      </c>
      <c r="AC199" s="10">
        <v>283</v>
      </c>
      <c r="AD199" s="10">
        <v>216</v>
      </c>
      <c r="AE199" s="10">
        <v>151</v>
      </c>
      <c r="AF199" s="10">
        <v>137</v>
      </c>
      <c r="AG199" s="10">
        <v>104</v>
      </c>
      <c r="AH199" s="102">
        <f>SUM(Tableau2[[#This Row],[Td 2]:[Td 5]])</f>
        <v>608</v>
      </c>
      <c r="AI199" s="10">
        <v>50</v>
      </c>
      <c r="AJ199" s="10">
        <v>100</v>
      </c>
      <c r="AK199" s="17">
        <f t="shared" si="25"/>
        <v>0</v>
      </c>
      <c r="AL199" s="17">
        <f t="shared" si="26"/>
        <v>366</v>
      </c>
      <c r="AM199" s="17">
        <f t="shared" si="27"/>
        <v>430</v>
      </c>
    </row>
    <row r="200" spans="1:39" s="3" customFormat="1" x14ac:dyDescent="0.25">
      <c r="A200" s="2" t="s">
        <v>16</v>
      </c>
      <c r="B200" s="29" t="s">
        <v>739</v>
      </c>
      <c r="C200" s="2" t="s">
        <v>27</v>
      </c>
      <c r="D200" s="2" t="s">
        <v>240</v>
      </c>
      <c r="E200" s="14">
        <v>9188</v>
      </c>
      <c r="F200" s="15">
        <f t="shared" si="21"/>
        <v>320.66120000000001</v>
      </c>
      <c r="G200" s="15">
        <f t="shared" si="22"/>
        <v>367.52</v>
      </c>
      <c r="H200" s="15">
        <f t="shared" si="23"/>
        <v>267.21766666666667</v>
      </c>
      <c r="I200" s="15">
        <f t="shared" si="24"/>
        <v>306.26666666666665</v>
      </c>
      <c r="J200" s="10">
        <v>215</v>
      </c>
      <c r="K200" s="10">
        <v>305</v>
      </c>
      <c r="L200" s="10">
        <v>218</v>
      </c>
      <c r="M200" s="10">
        <v>193</v>
      </c>
      <c r="N200" s="10">
        <v>191</v>
      </c>
      <c r="O200" s="10">
        <v>267</v>
      </c>
      <c r="P200" s="10">
        <v>198</v>
      </c>
      <c r="Q200" s="10">
        <v>187</v>
      </c>
      <c r="R200" s="10">
        <v>151</v>
      </c>
      <c r="S200" s="10">
        <v>139</v>
      </c>
      <c r="T200" s="10">
        <v>137</v>
      </c>
      <c r="U200" s="10">
        <v>200</v>
      </c>
      <c r="V200" s="10">
        <v>185</v>
      </c>
      <c r="W200" s="10">
        <v>177</v>
      </c>
      <c r="X200" s="10">
        <v>191</v>
      </c>
      <c r="Y200" s="10">
        <v>92</v>
      </c>
      <c r="Z200" s="10">
        <v>168</v>
      </c>
      <c r="AA200" s="10">
        <v>191</v>
      </c>
      <c r="AB200" s="10">
        <v>79</v>
      </c>
      <c r="AC200" s="10">
        <v>38</v>
      </c>
      <c r="AD200" s="10">
        <v>31</v>
      </c>
      <c r="AE200" s="10">
        <v>31</v>
      </c>
      <c r="AF200" s="10">
        <v>19</v>
      </c>
      <c r="AG200" s="10">
        <v>8</v>
      </c>
      <c r="AH200" s="102">
        <f>SUM(Tableau2[[#This Row],[Td 2]:[Td 5]])</f>
        <v>89</v>
      </c>
      <c r="AI200" s="10">
        <v>33.299999999999997</v>
      </c>
      <c r="AJ200" s="10">
        <v>100</v>
      </c>
      <c r="AK200" s="17">
        <f t="shared" si="25"/>
        <v>0.21766666666667334</v>
      </c>
      <c r="AL200" s="17">
        <f t="shared" si="26"/>
        <v>76</v>
      </c>
      <c r="AM200" s="17">
        <f t="shared" si="27"/>
        <v>168</v>
      </c>
    </row>
    <row r="201" spans="1:39" s="3" customFormat="1" x14ac:dyDescent="0.25">
      <c r="A201" s="2" t="s">
        <v>16</v>
      </c>
      <c r="B201" s="29" t="s">
        <v>740</v>
      </c>
      <c r="C201" s="2" t="s">
        <v>28</v>
      </c>
      <c r="D201" s="2" t="s">
        <v>241</v>
      </c>
      <c r="E201" s="14">
        <v>38967</v>
      </c>
      <c r="F201" s="15">
        <f t="shared" si="21"/>
        <v>1359.9483</v>
      </c>
      <c r="G201" s="15">
        <f t="shared" si="22"/>
        <v>1558.68</v>
      </c>
      <c r="H201" s="15">
        <f t="shared" si="23"/>
        <v>1133.29025</v>
      </c>
      <c r="I201" s="15">
        <f t="shared" si="24"/>
        <v>1298.9000000000001</v>
      </c>
      <c r="J201" s="10">
        <v>941</v>
      </c>
      <c r="K201" s="10">
        <v>365</v>
      </c>
      <c r="L201" s="10">
        <v>806</v>
      </c>
      <c r="M201" s="10">
        <v>761</v>
      </c>
      <c r="N201" s="10">
        <v>746</v>
      </c>
      <c r="O201" s="10">
        <v>815</v>
      </c>
      <c r="P201" s="10">
        <v>766</v>
      </c>
      <c r="Q201" s="10">
        <v>753</v>
      </c>
      <c r="R201" s="10">
        <v>808</v>
      </c>
      <c r="S201" s="10">
        <v>766</v>
      </c>
      <c r="T201" s="10">
        <v>754</v>
      </c>
      <c r="U201" s="10">
        <v>739</v>
      </c>
      <c r="V201" s="10">
        <v>733</v>
      </c>
      <c r="W201" s="10">
        <v>703</v>
      </c>
      <c r="X201" s="10">
        <v>650</v>
      </c>
      <c r="Y201" s="10">
        <v>168</v>
      </c>
      <c r="Z201" s="10">
        <v>637</v>
      </c>
      <c r="AA201" s="10">
        <v>755</v>
      </c>
      <c r="AB201" s="10">
        <v>366</v>
      </c>
      <c r="AC201" s="10">
        <v>148</v>
      </c>
      <c r="AD201" s="10">
        <v>110</v>
      </c>
      <c r="AE201" s="10">
        <v>89</v>
      </c>
      <c r="AF201" s="10">
        <v>72</v>
      </c>
      <c r="AG201" s="10">
        <v>69</v>
      </c>
      <c r="AH201" s="102">
        <f>SUM(Tableau2[[#This Row],[Td 2]:[Td 5]])</f>
        <v>340</v>
      </c>
      <c r="AI201" s="10">
        <v>54.2</v>
      </c>
      <c r="AJ201" s="10">
        <v>100</v>
      </c>
      <c r="AK201" s="17">
        <f t="shared" si="25"/>
        <v>318.29025000000001</v>
      </c>
      <c r="AL201" s="17">
        <f t="shared" si="26"/>
        <v>165</v>
      </c>
      <c r="AM201" s="17">
        <f t="shared" si="27"/>
        <v>637</v>
      </c>
    </row>
    <row r="202" spans="1:39" s="3" customFormat="1" x14ac:dyDescent="0.25">
      <c r="A202" s="2" t="s">
        <v>16</v>
      </c>
      <c r="B202" s="29" t="s">
        <v>740</v>
      </c>
      <c r="C202" s="2" t="s">
        <v>28</v>
      </c>
      <c r="D202" s="2" t="s">
        <v>242</v>
      </c>
      <c r="E202" s="14">
        <v>23497</v>
      </c>
      <c r="F202" s="15">
        <f t="shared" si="21"/>
        <v>820.0453</v>
      </c>
      <c r="G202" s="15">
        <f t="shared" si="22"/>
        <v>939.88</v>
      </c>
      <c r="H202" s="15">
        <f t="shared" si="23"/>
        <v>683.37108333333333</v>
      </c>
      <c r="I202" s="15">
        <f t="shared" si="24"/>
        <v>783.23333333333335</v>
      </c>
      <c r="J202" s="10">
        <v>533</v>
      </c>
      <c r="K202" s="10">
        <v>34</v>
      </c>
      <c r="L202" s="10">
        <v>650</v>
      </c>
      <c r="M202" s="10">
        <v>599</v>
      </c>
      <c r="N202" s="10">
        <v>617</v>
      </c>
      <c r="O202" s="10">
        <v>650</v>
      </c>
      <c r="P202" s="10">
        <v>599</v>
      </c>
      <c r="Q202" s="10">
        <v>617</v>
      </c>
      <c r="R202" s="10">
        <v>650</v>
      </c>
      <c r="S202" s="10">
        <v>599</v>
      </c>
      <c r="T202" s="10">
        <v>617</v>
      </c>
      <c r="U202" s="10">
        <v>586</v>
      </c>
      <c r="V202" s="10">
        <v>540</v>
      </c>
      <c r="W202" s="10">
        <v>553</v>
      </c>
      <c r="X202" s="10">
        <v>736</v>
      </c>
      <c r="Y202" s="10">
        <v>116</v>
      </c>
      <c r="Z202" s="10">
        <v>676</v>
      </c>
      <c r="AA202" s="10">
        <v>617</v>
      </c>
      <c r="AB202" s="10">
        <v>631</v>
      </c>
      <c r="AC202" s="10">
        <v>100</v>
      </c>
      <c r="AD202" s="10">
        <v>67</v>
      </c>
      <c r="AE202" s="10">
        <v>61</v>
      </c>
      <c r="AF202" s="10">
        <v>66</v>
      </c>
      <c r="AG202" s="10">
        <v>59</v>
      </c>
      <c r="AH202" s="102">
        <f>SUM(Tableau2[[#This Row],[Td 2]:[Td 5]])</f>
        <v>253</v>
      </c>
      <c r="AI202" s="10">
        <v>54.2</v>
      </c>
      <c r="AJ202" s="10">
        <v>100</v>
      </c>
      <c r="AK202" s="17">
        <f t="shared" si="25"/>
        <v>33.371083333333331</v>
      </c>
      <c r="AL202" s="17">
        <f t="shared" si="26"/>
        <v>0</v>
      </c>
      <c r="AM202" s="17">
        <f t="shared" si="27"/>
        <v>676</v>
      </c>
    </row>
    <row r="203" spans="1:39" s="3" customFormat="1" x14ac:dyDescent="0.25">
      <c r="A203" s="2" t="s">
        <v>16</v>
      </c>
      <c r="B203" s="29" t="s">
        <v>740</v>
      </c>
      <c r="C203" s="2" t="s">
        <v>28</v>
      </c>
      <c r="D203" s="2" t="s">
        <v>243</v>
      </c>
      <c r="E203" s="14">
        <v>27257</v>
      </c>
      <c r="F203" s="15">
        <f t="shared" si="21"/>
        <v>951.26930000000004</v>
      </c>
      <c r="G203" s="15">
        <f t="shared" si="22"/>
        <v>1090.28</v>
      </c>
      <c r="H203" s="15">
        <f t="shared" si="23"/>
        <v>792.72441666666668</v>
      </c>
      <c r="I203" s="15">
        <f t="shared" si="24"/>
        <v>908.56666666666672</v>
      </c>
      <c r="J203" s="10">
        <v>997</v>
      </c>
      <c r="K203" s="10">
        <v>970</v>
      </c>
      <c r="L203" s="10">
        <v>917</v>
      </c>
      <c r="M203" s="10">
        <v>1060</v>
      </c>
      <c r="N203" s="10">
        <v>881</v>
      </c>
      <c r="O203" s="10">
        <v>960</v>
      </c>
      <c r="P203" s="10">
        <v>813</v>
      </c>
      <c r="Q203" s="10">
        <v>917</v>
      </c>
      <c r="R203" s="10">
        <v>960</v>
      </c>
      <c r="S203" s="10">
        <v>813</v>
      </c>
      <c r="T203" s="10">
        <v>820</v>
      </c>
      <c r="U203" s="10">
        <v>695</v>
      </c>
      <c r="V203" s="10">
        <v>578</v>
      </c>
      <c r="W203" s="10">
        <v>685</v>
      </c>
      <c r="X203" s="10">
        <v>822</v>
      </c>
      <c r="Y203" s="10">
        <v>121</v>
      </c>
      <c r="Z203" s="10">
        <v>738</v>
      </c>
      <c r="AA203" s="10">
        <v>1001</v>
      </c>
      <c r="AB203" s="10">
        <v>744</v>
      </c>
      <c r="AC203" s="10">
        <v>471</v>
      </c>
      <c r="AD203" s="10">
        <v>310</v>
      </c>
      <c r="AE203" s="10">
        <v>239</v>
      </c>
      <c r="AF203" s="10">
        <v>219</v>
      </c>
      <c r="AG203" s="10">
        <v>361</v>
      </c>
      <c r="AH203" s="102">
        <f>SUM(Tableau2[[#This Row],[Td 2]:[Td 5]])</f>
        <v>1129</v>
      </c>
      <c r="AI203" s="10">
        <v>55.6</v>
      </c>
      <c r="AJ203" s="10">
        <v>100</v>
      </c>
      <c r="AK203" s="17">
        <f t="shared" si="25"/>
        <v>0</v>
      </c>
      <c r="AL203" s="17">
        <f t="shared" si="26"/>
        <v>138</v>
      </c>
      <c r="AM203" s="17">
        <f t="shared" si="27"/>
        <v>738</v>
      </c>
    </row>
    <row r="204" spans="1:39" s="3" customFormat="1" x14ac:dyDescent="0.25">
      <c r="A204" s="2" t="s">
        <v>16</v>
      </c>
      <c r="B204" s="29" t="s">
        <v>740</v>
      </c>
      <c r="C204" s="2" t="s">
        <v>28</v>
      </c>
      <c r="D204" s="2" t="s">
        <v>244</v>
      </c>
      <c r="E204" s="14">
        <v>42154</v>
      </c>
      <c r="F204" s="15">
        <f t="shared" si="21"/>
        <v>1471.1746000000001</v>
      </c>
      <c r="G204" s="15">
        <f t="shared" si="22"/>
        <v>1686.16</v>
      </c>
      <c r="H204" s="15">
        <f t="shared" si="23"/>
        <v>1225.9788333333333</v>
      </c>
      <c r="I204" s="15">
        <f t="shared" si="24"/>
        <v>1405.1333333333334</v>
      </c>
      <c r="J204" s="10">
        <v>1805</v>
      </c>
      <c r="K204" s="10">
        <v>446</v>
      </c>
      <c r="L204" s="10">
        <v>1650</v>
      </c>
      <c r="M204" s="10">
        <v>1541</v>
      </c>
      <c r="N204" s="10">
        <v>1434</v>
      </c>
      <c r="O204" s="10">
        <v>1800</v>
      </c>
      <c r="P204" s="10">
        <v>1654</v>
      </c>
      <c r="Q204" s="10">
        <v>1560</v>
      </c>
      <c r="R204" s="10">
        <v>1791</v>
      </c>
      <c r="S204" s="10">
        <v>1663</v>
      </c>
      <c r="T204" s="10">
        <v>1560</v>
      </c>
      <c r="U204" s="10">
        <v>1719</v>
      </c>
      <c r="V204" s="10">
        <v>1574</v>
      </c>
      <c r="W204" s="10">
        <v>1466</v>
      </c>
      <c r="X204" s="10">
        <v>1443</v>
      </c>
      <c r="Y204" s="10">
        <v>45</v>
      </c>
      <c r="Z204" s="10">
        <v>1435</v>
      </c>
      <c r="AA204" s="10">
        <v>1884</v>
      </c>
      <c r="AB204" s="10">
        <v>953</v>
      </c>
      <c r="AC204" s="10">
        <v>459</v>
      </c>
      <c r="AD204" s="10">
        <v>314</v>
      </c>
      <c r="AE204" s="10">
        <v>365</v>
      </c>
      <c r="AF204" s="10">
        <v>268</v>
      </c>
      <c r="AG204" s="10">
        <v>258</v>
      </c>
      <c r="AH204" s="102">
        <f>SUM(Tableau2[[#This Row],[Td 2]:[Td 5]])</f>
        <v>1205</v>
      </c>
      <c r="AI204" s="10">
        <v>47.2</v>
      </c>
      <c r="AJ204" s="10">
        <v>100</v>
      </c>
      <c r="AK204" s="17">
        <f t="shared" si="25"/>
        <v>0</v>
      </c>
      <c r="AL204" s="17">
        <f t="shared" si="26"/>
        <v>357</v>
      </c>
      <c r="AM204" s="17">
        <f t="shared" si="27"/>
        <v>1435</v>
      </c>
    </row>
    <row r="205" spans="1:39" s="3" customFormat="1" x14ac:dyDescent="0.25">
      <c r="A205" s="2" t="s">
        <v>16</v>
      </c>
      <c r="B205" s="29" t="s">
        <v>740</v>
      </c>
      <c r="C205" s="2" t="s">
        <v>28</v>
      </c>
      <c r="D205" s="2" t="s">
        <v>245</v>
      </c>
      <c r="E205" s="14">
        <v>62965</v>
      </c>
      <c r="F205" s="15">
        <f t="shared" si="21"/>
        <v>2197.4785000000002</v>
      </c>
      <c r="G205" s="15">
        <f t="shared" si="22"/>
        <v>2518.6</v>
      </c>
      <c r="H205" s="15">
        <f t="shared" si="23"/>
        <v>1831.2320833333333</v>
      </c>
      <c r="I205" s="15">
        <f t="shared" si="24"/>
        <v>2098.833333333333</v>
      </c>
      <c r="J205" s="10">
        <v>1841</v>
      </c>
      <c r="K205" s="10">
        <v>345</v>
      </c>
      <c r="L205" s="10">
        <v>1152</v>
      </c>
      <c r="M205" s="10">
        <v>1123</v>
      </c>
      <c r="N205" s="10">
        <v>1174</v>
      </c>
      <c r="O205" s="10">
        <v>1093</v>
      </c>
      <c r="P205" s="10">
        <v>1063</v>
      </c>
      <c r="Q205" s="10">
        <v>1181</v>
      </c>
      <c r="R205" s="10">
        <v>1155</v>
      </c>
      <c r="S205" s="10">
        <v>1124</v>
      </c>
      <c r="T205" s="10">
        <v>1216</v>
      </c>
      <c r="U205" s="10">
        <v>1131</v>
      </c>
      <c r="V205" s="10">
        <v>1068</v>
      </c>
      <c r="W205" s="10">
        <v>1189</v>
      </c>
      <c r="X205" s="10">
        <v>1083</v>
      </c>
      <c r="Y205" s="10">
        <v>266</v>
      </c>
      <c r="Z205" s="10">
        <v>1094</v>
      </c>
      <c r="AA205" s="10">
        <v>1157</v>
      </c>
      <c r="AB205" s="10">
        <v>529</v>
      </c>
      <c r="AC205" s="10">
        <v>351</v>
      </c>
      <c r="AD205" s="10">
        <v>158</v>
      </c>
      <c r="AE205" s="10">
        <v>195</v>
      </c>
      <c r="AF205" s="10">
        <v>136</v>
      </c>
      <c r="AG205" s="10">
        <v>104</v>
      </c>
      <c r="AH205" s="102">
        <f>SUM(Tableau2[[#This Row],[Td 2]:[Td 5]])</f>
        <v>593</v>
      </c>
      <c r="AI205" s="10">
        <v>58.3</v>
      </c>
      <c r="AJ205" s="10">
        <v>100</v>
      </c>
      <c r="AK205" s="17">
        <f t="shared" si="25"/>
        <v>738.23208333333332</v>
      </c>
      <c r="AL205" s="17">
        <f t="shared" si="26"/>
        <v>10</v>
      </c>
      <c r="AM205" s="17">
        <f t="shared" si="27"/>
        <v>1083</v>
      </c>
    </row>
    <row r="206" spans="1:39" s="3" customFormat="1" x14ac:dyDescent="0.25">
      <c r="A206" s="2" t="s">
        <v>16</v>
      </c>
      <c r="B206" s="29" t="s">
        <v>740</v>
      </c>
      <c r="C206" s="2" t="s">
        <v>28</v>
      </c>
      <c r="D206" s="2" t="s">
        <v>246</v>
      </c>
      <c r="E206" s="14">
        <v>10422</v>
      </c>
      <c r="F206" s="15">
        <f t="shared" si="21"/>
        <v>363.7278</v>
      </c>
      <c r="G206" s="15">
        <f t="shared" si="22"/>
        <v>416.88</v>
      </c>
      <c r="H206" s="15">
        <f t="shared" si="23"/>
        <v>303.10649999999998</v>
      </c>
      <c r="I206" s="15">
        <f t="shared" si="24"/>
        <v>347.40000000000003</v>
      </c>
      <c r="J206" s="10">
        <v>291</v>
      </c>
      <c r="K206" s="10">
        <v>212</v>
      </c>
      <c r="L206" s="10">
        <v>318</v>
      </c>
      <c r="M206" s="10">
        <v>328</v>
      </c>
      <c r="N206" s="10">
        <v>313</v>
      </c>
      <c r="O206" s="10">
        <v>316</v>
      </c>
      <c r="P206" s="10">
        <v>329</v>
      </c>
      <c r="Q206" s="10">
        <v>314</v>
      </c>
      <c r="R206" s="10">
        <v>316</v>
      </c>
      <c r="S206" s="10">
        <v>329</v>
      </c>
      <c r="T206" s="10">
        <v>314</v>
      </c>
      <c r="U206" s="10">
        <v>622</v>
      </c>
      <c r="V206" s="10">
        <v>329</v>
      </c>
      <c r="W206" s="10">
        <v>305</v>
      </c>
      <c r="X206" s="10">
        <v>344</v>
      </c>
      <c r="Y206" s="10">
        <v>81</v>
      </c>
      <c r="Z206" s="10">
        <v>348</v>
      </c>
      <c r="AA206" s="10">
        <v>610</v>
      </c>
      <c r="AB206" s="10">
        <v>339</v>
      </c>
      <c r="AC206" s="10">
        <v>125</v>
      </c>
      <c r="AD206" s="10">
        <v>94</v>
      </c>
      <c r="AE206" s="10">
        <v>79</v>
      </c>
      <c r="AF206" s="10">
        <v>54</v>
      </c>
      <c r="AG206" s="10">
        <v>31</v>
      </c>
      <c r="AH206" s="102">
        <f>SUM(Tableau2[[#This Row],[Td 2]:[Td 5]])</f>
        <v>258</v>
      </c>
      <c r="AI206" s="10">
        <v>50</v>
      </c>
      <c r="AJ206" s="10">
        <v>100</v>
      </c>
      <c r="AK206" s="17">
        <f t="shared" si="25"/>
        <v>0</v>
      </c>
      <c r="AL206" s="17">
        <f t="shared" si="26"/>
        <v>0</v>
      </c>
      <c r="AM206" s="17">
        <f t="shared" si="27"/>
        <v>344</v>
      </c>
    </row>
    <row r="207" spans="1:39" s="3" customFormat="1" x14ac:dyDescent="0.25">
      <c r="A207" s="2" t="s">
        <v>16</v>
      </c>
      <c r="B207" s="29" t="s">
        <v>740</v>
      </c>
      <c r="C207" s="2" t="s">
        <v>28</v>
      </c>
      <c r="D207" s="2" t="s">
        <v>247</v>
      </c>
      <c r="E207" s="14">
        <v>24733</v>
      </c>
      <c r="F207" s="15">
        <f t="shared" si="21"/>
        <v>863.18169999999998</v>
      </c>
      <c r="G207" s="15">
        <f t="shared" si="22"/>
        <v>989.32</v>
      </c>
      <c r="H207" s="15">
        <f t="shared" si="23"/>
        <v>719.31808333333333</v>
      </c>
      <c r="I207" s="15">
        <f t="shared" si="24"/>
        <v>824.43333333333339</v>
      </c>
      <c r="J207" s="10">
        <v>623</v>
      </c>
      <c r="K207" s="10">
        <v>326</v>
      </c>
      <c r="L207" s="10">
        <v>701</v>
      </c>
      <c r="M207" s="10">
        <v>678</v>
      </c>
      <c r="N207" s="10">
        <v>775</v>
      </c>
      <c r="O207" s="10">
        <v>701</v>
      </c>
      <c r="P207" s="10">
        <v>678</v>
      </c>
      <c r="Q207" s="10">
        <v>775</v>
      </c>
      <c r="R207" s="10">
        <v>701</v>
      </c>
      <c r="S207" s="10">
        <v>678</v>
      </c>
      <c r="T207" s="10">
        <v>775</v>
      </c>
      <c r="U207" s="10">
        <v>600</v>
      </c>
      <c r="V207" s="10">
        <v>591</v>
      </c>
      <c r="W207" s="10">
        <v>679</v>
      </c>
      <c r="X207" s="10">
        <v>709</v>
      </c>
      <c r="Y207" s="10">
        <v>84</v>
      </c>
      <c r="Z207" s="10">
        <v>709</v>
      </c>
      <c r="AA207" s="10">
        <v>775</v>
      </c>
      <c r="AB207" s="10">
        <v>415</v>
      </c>
      <c r="AC207" s="10">
        <v>227</v>
      </c>
      <c r="AD207" s="10">
        <v>179</v>
      </c>
      <c r="AE207" s="10">
        <v>151</v>
      </c>
      <c r="AF207" s="10">
        <v>125</v>
      </c>
      <c r="AG207" s="10">
        <v>51</v>
      </c>
      <c r="AH207" s="102">
        <f>SUM(Tableau2[[#This Row],[Td 2]:[Td 5]])</f>
        <v>506</v>
      </c>
      <c r="AI207" s="10">
        <v>54.2</v>
      </c>
      <c r="AJ207" s="10">
        <v>100</v>
      </c>
      <c r="AK207" s="17">
        <f t="shared" si="25"/>
        <v>18.318083333333334</v>
      </c>
      <c r="AL207" s="17">
        <f t="shared" si="26"/>
        <v>0</v>
      </c>
      <c r="AM207" s="17">
        <f t="shared" si="27"/>
        <v>709</v>
      </c>
    </row>
    <row r="208" spans="1:39" s="3" customFormat="1" x14ac:dyDescent="0.25">
      <c r="A208" s="2" t="s">
        <v>16</v>
      </c>
      <c r="B208" s="29" t="s">
        <v>740</v>
      </c>
      <c r="C208" s="2" t="s">
        <v>28</v>
      </c>
      <c r="D208" s="2" t="s">
        <v>29</v>
      </c>
      <c r="E208" s="14">
        <v>74569</v>
      </c>
      <c r="F208" s="15">
        <f t="shared" si="21"/>
        <v>2602.4580999999998</v>
      </c>
      <c r="G208" s="15">
        <f t="shared" si="22"/>
        <v>2982.76</v>
      </c>
      <c r="H208" s="15">
        <f t="shared" si="23"/>
        <v>2168.715083333333</v>
      </c>
      <c r="I208" s="15">
        <f t="shared" si="24"/>
        <v>2485.6333333333337</v>
      </c>
      <c r="J208" s="10">
        <v>1444</v>
      </c>
      <c r="K208" s="10">
        <v>630</v>
      </c>
      <c r="L208" s="10">
        <v>922</v>
      </c>
      <c r="M208" s="10">
        <v>847</v>
      </c>
      <c r="N208" s="10">
        <v>826</v>
      </c>
      <c r="O208" s="10">
        <v>945</v>
      </c>
      <c r="P208" s="10">
        <v>844</v>
      </c>
      <c r="Q208" s="10">
        <v>828</v>
      </c>
      <c r="R208" s="10">
        <v>922</v>
      </c>
      <c r="S208" s="10">
        <v>847</v>
      </c>
      <c r="T208" s="10">
        <v>798</v>
      </c>
      <c r="U208" s="10">
        <v>941</v>
      </c>
      <c r="V208" s="10">
        <v>878</v>
      </c>
      <c r="W208" s="10">
        <v>865</v>
      </c>
      <c r="X208" s="10">
        <v>1026</v>
      </c>
      <c r="Y208" s="10">
        <v>183</v>
      </c>
      <c r="Z208" s="10">
        <v>894</v>
      </c>
      <c r="AA208" s="10">
        <v>761</v>
      </c>
      <c r="AB208" s="10">
        <v>650</v>
      </c>
      <c r="AC208" s="10">
        <v>747</v>
      </c>
      <c r="AD208" s="10">
        <v>434</v>
      </c>
      <c r="AE208" s="10">
        <v>483</v>
      </c>
      <c r="AF208" s="10">
        <v>367</v>
      </c>
      <c r="AG208" s="10">
        <v>239</v>
      </c>
      <c r="AH208" s="102">
        <f>SUM(Tableau2[[#This Row],[Td 2]:[Td 5]])</f>
        <v>1523</v>
      </c>
      <c r="AI208" s="10">
        <v>50</v>
      </c>
      <c r="AJ208" s="10">
        <v>100</v>
      </c>
      <c r="AK208" s="17">
        <f t="shared" si="25"/>
        <v>1223.715083333333</v>
      </c>
      <c r="AL208" s="17">
        <f t="shared" si="26"/>
        <v>0</v>
      </c>
      <c r="AM208" s="17">
        <f t="shared" si="27"/>
        <v>894</v>
      </c>
    </row>
    <row r="209" spans="1:39" s="3" customFormat="1" x14ac:dyDescent="0.25">
      <c r="A209" s="2" t="s">
        <v>16</v>
      </c>
      <c r="B209" s="29" t="s">
        <v>740</v>
      </c>
      <c r="C209" s="2" t="s">
        <v>28</v>
      </c>
      <c r="D209" s="2" t="s">
        <v>65</v>
      </c>
      <c r="E209" s="14">
        <v>40597</v>
      </c>
      <c r="F209" s="15">
        <f t="shared" si="21"/>
        <v>1416.8353</v>
      </c>
      <c r="G209" s="15">
        <f t="shared" si="22"/>
        <v>1623.88</v>
      </c>
      <c r="H209" s="15">
        <f t="shared" si="23"/>
        <v>1180.6960833333333</v>
      </c>
      <c r="I209" s="15">
        <f t="shared" si="24"/>
        <v>1353.2333333333336</v>
      </c>
      <c r="J209" s="10">
        <v>1018</v>
      </c>
      <c r="K209" s="10">
        <v>480</v>
      </c>
      <c r="L209" s="10">
        <v>1077</v>
      </c>
      <c r="M209" s="10">
        <v>1051</v>
      </c>
      <c r="N209" s="10">
        <v>1060</v>
      </c>
      <c r="O209" s="10">
        <v>1112</v>
      </c>
      <c r="P209" s="10">
        <v>1085</v>
      </c>
      <c r="Q209" s="10">
        <v>1088</v>
      </c>
      <c r="R209" s="10">
        <v>1112</v>
      </c>
      <c r="S209" s="10">
        <v>1085</v>
      </c>
      <c r="T209" s="10">
        <v>1088</v>
      </c>
      <c r="U209" s="10">
        <v>983</v>
      </c>
      <c r="V209" s="10">
        <v>958</v>
      </c>
      <c r="W209" s="10">
        <v>954</v>
      </c>
      <c r="X209" s="10">
        <v>1038</v>
      </c>
      <c r="Y209" s="10">
        <v>191</v>
      </c>
      <c r="Z209" s="10">
        <v>1023</v>
      </c>
      <c r="AA209" s="10">
        <v>1080</v>
      </c>
      <c r="AB209" s="10">
        <v>916</v>
      </c>
      <c r="AC209" s="10">
        <v>184</v>
      </c>
      <c r="AD209" s="10">
        <v>124</v>
      </c>
      <c r="AE209" s="10">
        <v>135</v>
      </c>
      <c r="AF209" s="10">
        <v>125</v>
      </c>
      <c r="AG209" s="10">
        <v>50</v>
      </c>
      <c r="AH209" s="102">
        <f>SUM(Tableau2[[#This Row],[Td 2]:[Td 5]])</f>
        <v>434</v>
      </c>
      <c r="AI209" s="10">
        <v>54.2</v>
      </c>
      <c r="AJ209" s="10">
        <v>100</v>
      </c>
      <c r="AK209" s="17">
        <f t="shared" si="25"/>
        <v>68.696083333333263</v>
      </c>
      <c r="AL209" s="17">
        <f t="shared" si="26"/>
        <v>74</v>
      </c>
      <c r="AM209" s="17">
        <f t="shared" si="27"/>
        <v>1023</v>
      </c>
    </row>
    <row r="210" spans="1:39" s="3" customFormat="1" x14ac:dyDescent="0.25">
      <c r="A210" s="2" t="s">
        <v>16</v>
      </c>
      <c r="B210" s="29" t="s">
        <v>740</v>
      </c>
      <c r="C210" s="2" t="s">
        <v>28</v>
      </c>
      <c r="D210" s="2" t="s">
        <v>248</v>
      </c>
      <c r="E210" s="14">
        <v>30135</v>
      </c>
      <c r="F210" s="15">
        <f t="shared" si="21"/>
        <v>1051.7115000000001</v>
      </c>
      <c r="G210" s="15">
        <f t="shared" si="22"/>
        <v>1205.4000000000001</v>
      </c>
      <c r="H210" s="15">
        <f t="shared" si="23"/>
        <v>876.4262500000001</v>
      </c>
      <c r="I210" s="15">
        <f t="shared" si="24"/>
        <v>1004.5</v>
      </c>
      <c r="J210" s="10">
        <v>742</v>
      </c>
      <c r="K210" s="10">
        <v>323</v>
      </c>
      <c r="L210" s="10">
        <v>412</v>
      </c>
      <c r="M210" s="10">
        <v>421</v>
      </c>
      <c r="N210" s="10">
        <v>391</v>
      </c>
      <c r="O210" s="10">
        <v>409</v>
      </c>
      <c r="P210" s="10">
        <v>406</v>
      </c>
      <c r="Q210" s="10">
        <v>393</v>
      </c>
      <c r="R210" s="10">
        <v>408</v>
      </c>
      <c r="S210" s="10">
        <v>405</v>
      </c>
      <c r="T210" s="10">
        <v>390</v>
      </c>
      <c r="U210" s="10">
        <v>381</v>
      </c>
      <c r="V210" s="10">
        <v>372</v>
      </c>
      <c r="W210" s="10">
        <v>376</v>
      </c>
      <c r="X210" s="10">
        <v>495</v>
      </c>
      <c r="Y210" s="10">
        <v>43</v>
      </c>
      <c r="Z210" s="10">
        <v>472</v>
      </c>
      <c r="AA210" s="10">
        <v>402</v>
      </c>
      <c r="AB210" s="10">
        <v>55</v>
      </c>
      <c r="AC210" s="10">
        <v>158</v>
      </c>
      <c r="AD210" s="10">
        <v>133</v>
      </c>
      <c r="AE210" s="10">
        <v>92</v>
      </c>
      <c r="AF210" s="10">
        <v>82</v>
      </c>
      <c r="AG210" s="10">
        <v>41</v>
      </c>
      <c r="AH210" s="102">
        <f>SUM(Tableau2[[#This Row],[Td 2]:[Td 5]])</f>
        <v>348</v>
      </c>
      <c r="AI210" s="10">
        <v>50</v>
      </c>
      <c r="AJ210" s="10">
        <v>100</v>
      </c>
      <c r="AK210" s="17">
        <f t="shared" si="25"/>
        <v>467.4262500000001</v>
      </c>
      <c r="AL210" s="17">
        <f t="shared" si="26"/>
        <v>0</v>
      </c>
      <c r="AM210" s="17">
        <f t="shared" si="27"/>
        <v>472</v>
      </c>
    </row>
    <row r="211" spans="1:39" s="3" customFormat="1" x14ac:dyDescent="0.25">
      <c r="A211" s="2" t="s">
        <v>16</v>
      </c>
      <c r="B211" s="29" t="s">
        <v>740</v>
      </c>
      <c r="C211" s="2" t="s">
        <v>28</v>
      </c>
      <c r="D211" s="2" t="s">
        <v>249</v>
      </c>
      <c r="E211" s="14">
        <v>45015</v>
      </c>
      <c r="F211" s="15">
        <f t="shared" si="21"/>
        <v>1571.0235</v>
      </c>
      <c r="G211" s="15">
        <f t="shared" si="22"/>
        <v>1800.6000000000001</v>
      </c>
      <c r="H211" s="15">
        <f t="shared" si="23"/>
        <v>1309.18625</v>
      </c>
      <c r="I211" s="15">
        <f t="shared" si="24"/>
        <v>1500.5</v>
      </c>
      <c r="J211" s="10">
        <v>1405</v>
      </c>
      <c r="K211" s="10">
        <v>736</v>
      </c>
      <c r="L211" s="10">
        <v>1258</v>
      </c>
      <c r="M211" s="10">
        <v>1152</v>
      </c>
      <c r="N211" s="10">
        <v>1167</v>
      </c>
      <c r="O211" s="10">
        <v>1259</v>
      </c>
      <c r="P211" s="10">
        <v>1157</v>
      </c>
      <c r="Q211" s="10">
        <v>1173</v>
      </c>
      <c r="R211" s="10">
        <v>1258</v>
      </c>
      <c r="S211" s="10">
        <v>1157</v>
      </c>
      <c r="T211" s="10">
        <v>1166</v>
      </c>
      <c r="U211" s="10">
        <v>1102</v>
      </c>
      <c r="V211" s="10">
        <v>1026</v>
      </c>
      <c r="W211" s="10">
        <v>994</v>
      </c>
      <c r="X211" s="10">
        <v>1303</v>
      </c>
      <c r="Y211" s="10">
        <v>43</v>
      </c>
      <c r="Z211" s="10">
        <v>1197</v>
      </c>
      <c r="AA211" s="10">
        <v>1173</v>
      </c>
      <c r="AB211" s="10">
        <v>1252</v>
      </c>
      <c r="AC211" s="10">
        <v>377</v>
      </c>
      <c r="AD211" s="10">
        <v>331</v>
      </c>
      <c r="AE211" s="10">
        <v>215</v>
      </c>
      <c r="AF211" s="10">
        <v>172</v>
      </c>
      <c r="AG211" s="10">
        <v>113</v>
      </c>
      <c r="AH211" s="102">
        <f>SUM(Tableau2[[#This Row],[Td 2]:[Td 5]])</f>
        <v>831</v>
      </c>
      <c r="AI211" s="10">
        <v>56.3</v>
      </c>
      <c r="AJ211" s="10">
        <v>100</v>
      </c>
      <c r="AK211" s="17">
        <f t="shared" si="25"/>
        <v>50.186249999999973</v>
      </c>
      <c r="AL211" s="17">
        <f t="shared" si="26"/>
        <v>0</v>
      </c>
      <c r="AM211" s="17">
        <f t="shared" si="27"/>
        <v>1197</v>
      </c>
    </row>
    <row r="212" spans="1:39" s="3" customFormat="1" x14ac:dyDescent="0.25">
      <c r="A212" s="2" t="s">
        <v>16</v>
      </c>
      <c r="B212" s="29" t="s">
        <v>740</v>
      </c>
      <c r="C212" s="2" t="s">
        <v>28</v>
      </c>
      <c r="D212" s="2" t="s">
        <v>250</v>
      </c>
      <c r="E212" s="14">
        <v>23585</v>
      </c>
      <c r="F212" s="15">
        <f t="shared" si="21"/>
        <v>823.11649999999997</v>
      </c>
      <c r="G212" s="15">
        <f t="shared" si="22"/>
        <v>943.4</v>
      </c>
      <c r="H212" s="15">
        <f t="shared" si="23"/>
        <v>685.93041666666659</v>
      </c>
      <c r="I212" s="15">
        <f t="shared" si="24"/>
        <v>786.16666666666663</v>
      </c>
      <c r="J212" s="10">
        <v>555</v>
      </c>
      <c r="K212" s="10">
        <v>109</v>
      </c>
      <c r="L212" s="10">
        <v>395</v>
      </c>
      <c r="M212" s="10">
        <v>324</v>
      </c>
      <c r="N212" s="10">
        <v>384</v>
      </c>
      <c r="O212" s="10">
        <v>386</v>
      </c>
      <c r="P212" s="10">
        <v>330</v>
      </c>
      <c r="Q212" s="10">
        <v>384</v>
      </c>
      <c r="R212" s="10">
        <v>397</v>
      </c>
      <c r="S212" s="10">
        <v>322</v>
      </c>
      <c r="T212" s="10">
        <v>384</v>
      </c>
      <c r="U212" s="10">
        <v>395</v>
      </c>
      <c r="V212" s="10">
        <v>324</v>
      </c>
      <c r="W212" s="10">
        <v>384</v>
      </c>
      <c r="X212" s="10">
        <v>542</v>
      </c>
      <c r="Y212" s="10">
        <v>71</v>
      </c>
      <c r="Z212" s="10">
        <v>542</v>
      </c>
      <c r="AA212" s="10">
        <v>381</v>
      </c>
      <c r="AB212" s="10">
        <v>200</v>
      </c>
      <c r="AC212" s="10">
        <v>158</v>
      </c>
      <c r="AD212" s="10">
        <v>116</v>
      </c>
      <c r="AE212" s="10">
        <v>109</v>
      </c>
      <c r="AF212" s="10">
        <v>77</v>
      </c>
      <c r="AG212" s="10">
        <v>72</v>
      </c>
      <c r="AH212" s="102">
        <f>SUM(Tableau2[[#This Row],[Td 2]:[Td 5]])</f>
        <v>374</v>
      </c>
      <c r="AI212" s="10">
        <v>50</v>
      </c>
      <c r="AJ212" s="10">
        <v>100</v>
      </c>
      <c r="AK212" s="17">
        <f t="shared" si="25"/>
        <v>299.93041666666659</v>
      </c>
      <c r="AL212" s="17">
        <f t="shared" si="26"/>
        <v>0</v>
      </c>
      <c r="AM212" s="17">
        <f t="shared" si="27"/>
        <v>542</v>
      </c>
    </row>
    <row r="213" spans="1:39" s="3" customFormat="1" x14ac:dyDescent="0.25">
      <c r="A213" s="2" t="s">
        <v>16</v>
      </c>
      <c r="B213" s="29" t="s">
        <v>740</v>
      </c>
      <c r="C213" s="2" t="s">
        <v>28</v>
      </c>
      <c r="D213" s="2" t="s">
        <v>251</v>
      </c>
      <c r="E213" s="14">
        <v>28206</v>
      </c>
      <c r="F213" s="15">
        <f t="shared" si="21"/>
        <v>984.38940000000002</v>
      </c>
      <c r="G213" s="15">
        <f t="shared" si="22"/>
        <v>1128.24</v>
      </c>
      <c r="H213" s="15">
        <f t="shared" si="23"/>
        <v>820.32449999999994</v>
      </c>
      <c r="I213" s="15">
        <f t="shared" si="24"/>
        <v>940.19999999999993</v>
      </c>
      <c r="J213" s="10">
        <v>5700</v>
      </c>
      <c r="K213" s="10">
        <v>1284</v>
      </c>
      <c r="L213" s="10">
        <v>5932</v>
      </c>
      <c r="M213" s="10">
        <v>4162</v>
      </c>
      <c r="N213" s="10">
        <v>4334</v>
      </c>
      <c r="O213" s="10">
        <v>5906</v>
      </c>
      <c r="P213" s="10">
        <v>3929</v>
      </c>
      <c r="Q213" s="10">
        <v>4167</v>
      </c>
      <c r="R213" s="10">
        <v>5915</v>
      </c>
      <c r="S213" s="10">
        <v>4020</v>
      </c>
      <c r="T213" s="10">
        <v>4315</v>
      </c>
      <c r="U213" s="10">
        <v>5287</v>
      </c>
      <c r="V213" s="10">
        <v>3784</v>
      </c>
      <c r="W213" s="10">
        <v>4023</v>
      </c>
      <c r="X213" s="10">
        <v>4870</v>
      </c>
      <c r="Y213" s="10">
        <v>4887</v>
      </c>
      <c r="Z213" s="10">
        <v>1327</v>
      </c>
      <c r="AA213" s="10">
        <v>4693</v>
      </c>
      <c r="AB213" s="10">
        <v>2810</v>
      </c>
      <c r="AC213" s="10">
        <v>1437</v>
      </c>
      <c r="AD213" s="10">
        <v>877</v>
      </c>
      <c r="AE213" s="10">
        <v>761</v>
      </c>
      <c r="AF213" s="10">
        <v>566</v>
      </c>
      <c r="AG213" s="10">
        <v>443</v>
      </c>
      <c r="AH213" s="102">
        <f>SUM(Tableau2[[#This Row],[Td 2]:[Td 5]])</f>
        <v>2647</v>
      </c>
      <c r="AI213" s="10">
        <v>58.3</v>
      </c>
      <c r="AJ213" s="10">
        <v>100</v>
      </c>
      <c r="AK213" s="17">
        <f t="shared" si="25"/>
        <v>0</v>
      </c>
      <c r="AL213" s="17">
        <f t="shared" si="26"/>
        <v>1036</v>
      </c>
      <c r="AM213" s="17">
        <f t="shared" si="27"/>
        <v>1327</v>
      </c>
    </row>
    <row r="214" spans="1:39" s="3" customFormat="1" x14ac:dyDescent="0.25">
      <c r="A214" s="2" t="s">
        <v>16</v>
      </c>
      <c r="B214" s="29" t="s">
        <v>740</v>
      </c>
      <c r="C214" s="2" t="s">
        <v>28</v>
      </c>
      <c r="D214" s="2" t="s">
        <v>252</v>
      </c>
      <c r="E214" s="14">
        <v>15043</v>
      </c>
      <c r="F214" s="15">
        <f t="shared" si="21"/>
        <v>525.00070000000005</v>
      </c>
      <c r="G214" s="15">
        <f t="shared" si="22"/>
        <v>601.72</v>
      </c>
      <c r="H214" s="15">
        <f t="shared" si="23"/>
        <v>437.50058333333334</v>
      </c>
      <c r="I214" s="15">
        <f t="shared" si="24"/>
        <v>501.43333333333339</v>
      </c>
      <c r="J214" s="10">
        <v>461</v>
      </c>
      <c r="K214" s="10">
        <v>274</v>
      </c>
      <c r="L214" s="10">
        <v>463</v>
      </c>
      <c r="M214" s="10">
        <v>442</v>
      </c>
      <c r="N214" s="10">
        <v>421</v>
      </c>
      <c r="O214" s="10">
        <v>457</v>
      </c>
      <c r="P214" s="10">
        <v>442</v>
      </c>
      <c r="Q214" s="10">
        <v>418</v>
      </c>
      <c r="R214" s="10">
        <v>460</v>
      </c>
      <c r="S214" s="10">
        <v>441</v>
      </c>
      <c r="T214" s="10">
        <v>418</v>
      </c>
      <c r="U214" s="10">
        <v>479</v>
      </c>
      <c r="V214" s="10">
        <v>448</v>
      </c>
      <c r="W214" s="10">
        <v>429</v>
      </c>
      <c r="X214" s="10">
        <v>402</v>
      </c>
      <c r="Y214" s="10">
        <v>123</v>
      </c>
      <c r="Z214" s="10">
        <v>397</v>
      </c>
      <c r="AA214" s="10">
        <v>421</v>
      </c>
      <c r="AB214" s="10">
        <v>272</v>
      </c>
      <c r="AC214" s="10">
        <v>186</v>
      </c>
      <c r="AD214" s="10">
        <v>112</v>
      </c>
      <c r="AE214" s="10">
        <v>141</v>
      </c>
      <c r="AF214" s="10">
        <v>95</v>
      </c>
      <c r="AG214" s="10">
        <v>73</v>
      </c>
      <c r="AH214" s="102">
        <f>SUM(Tableau2[[#This Row],[Td 2]:[Td 5]])</f>
        <v>421</v>
      </c>
      <c r="AI214" s="10">
        <v>58.3</v>
      </c>
      <c r="AJ214" s="10">
        <v>100</v>
      </c>
      <c r="AK214" s="17">
        <f t="shared" si="25"/>
        <v>0</v>
      </c>
      <c r="AL214" s="17">
        <f t="shared" si="26"/>
        <v>55</v>
      </c>
      <c r="AM214" s="17">
        <f t="shared" si="27"/>
        <v>397</v>
      </c>
    </row>
    <row r="215" spans="1:39" s="3" customFormat="1" x14ac:dyDescent="0.25">
      <c r="A215" s="2" t="s">
        <v>16</v>
      </c>
      <c r="B215" s="29" t="s">
        <v>740</v>
      </c>
      <c r="C215" s="2" t="s">
        <v>28</v>
      </c>
      <c r="D215" s="2" t="s">
        <v>253</v>
      </c>
      <c r="E215" s="14">
        <v>49423</v>
      </c>
      <c r="F215" s="15">
        <f t="shared" si="21"/>
        <v>1724.8627000000001</v>
      </c>
      <c r="G215" s="15">
        <f t="shared" si="22"/>
        <v>1976.92</v>
      </c>
      <c r="H215" s="15">
        <f t="shared" si="23"/>
        <v>1437.3855833333334</v>
      </c>
      <c r="I215" s="15">
        <f t="shared" si="24"/>
        <v>1647.4333333333334</v>
      </c>
      <c r="J215" s="10">
        <v>2275</v>
      </c>
      <c r="K215" s="10">
        <v>1172</v>
      </c>
      <c r="L215" s="10">
        <v>1774</v>
      </c>
      <c r="M215" s="10">
        <v>1694</v>
      </c>
      <c r="N215" s="10">
        <v>1768</v>
      </c>
      <c r="O215" s="10">
        <v>1627</v>
      </c>
      <c r="P215" s="10">
        <v>1515</v>
      </c>
      <c r="Q215" s="10">
        <v>1687</v>
      </c>
      <c r="R215" s="10">
        <v>1639</v>
      </c>
      <c r="S215" s="10">
        <v>1528</v>
      </c>
      <c r="T215" s="10">
        <v>1653</v>
      </c>
      <c r="U215" s="10">
        <v>1527</v>
      </c>
      <c r="V215" s="10">
        <v>1413</v>
      </c>
      <c r="W215" s="10">
        <v>1629</v>
      </c>
      <c r="X215" s="10">
        <v>2030</v>
      </c>
      <c r="Y215" s="10">
        <v>922</v>
      </c>
      <c r="Z215" s="10">
        <v>2476</v>
      </c>
      <c r="AA215" s="10">
        <v>2259</v>
      </c>
      <c r="AB215" s="10">
        <v>1055</v>
      </c>
      <c r="AC215" s="10">
        <v>795</v>
      </c>
      <c r="AD215" s="10">
        <v>510</v>
      </c>
      <c r="AE215" s="10">
        <v>476</v>
      </c>
      <c r="AF215" s="10">
        <v>272</v>
      </c>
      <c r="AG215" s="10">
        <v>253</v>
      </c>
      <c r="AH215" s="102">
        <f>SUM(Tableau2[[#This Row],[Td 2]:[Td 5]])</f>
        <v>1511</v>
      </c>
      <c r="AI215" s="10">
        <v>52.1</v>
      </c>
      <c r="AJ215" s="10">
        <v>100</v>
      </c>
      <c r="AK215" s="17">
        <f t="shared" si="25"/>
        <v>0</v>
      </c>
      <c r="AL215" s="17">
        <f t="shared" si="26"/>
        <v>0</v>
      </c>
      <c r="AM215" s="17">
        <f t="shared" si="27"/>
        <v>2030</v>
      </c>
    </row>
    <row r="216" spans="1:39" s="3" customFormat="1" x14ac:dyDescent="0.25">
      <c r="A216" s="2" t="s">
        <v>16</v>
      </c>
      <c r="B216" s="29" t="s">
        <v>740</v>
      </c>
      <c r="C216" s="2" t="s">
        <v>28</v>
      </c>
      <c r="D216" s="2" t="s">
        <v>254</v>
      </c>
      <c r="E216" s="14">
        <v>14601</v>
      </c>
      <c r="F216" s="15">
        <f t="shared" si="21"/>
        <v>509.57490000000001</v>
      </c>
      <c r="G216" s="15">
        <f t="shared" si="22"/>
        <v>584.04</v>
      </c>
      <c r="H216" s="15">
        <f t="shared" si="23"/>
        <v>424.64575000000002</v>
      </c>
      <c r="I216" s="15">
        <f t="shared" si="24"/>
        <v>486.69999999999993</v>
      </c>
      <c r="J216" s="10">
        <v>738</v>
      </c>
      <c r="K216" s="10">
        <v>637</v>
      </c>
      <c r="L216" s="10">
        <v>437</v>
      </c>
      <c r="M216" s="10">
        <v>386</v>
      </c>
      <c r="N216" s="10">
        <v>397</v>
      </c>
      <c r="O216" s="10">
        <v>420</v>
      </c>
      <c r="P216" s="10">
        <v>398</v>
      </c>
      <c r="Q216" s="10">
        <v>416</v>
      </c>
      <c r="R216" s="10">
        <v>385</v>
      </c>
      <c r="S216" s="10">
        <v>392</v>
      </c>
      <c r="T216" s="10">
        <v>398</v>
      </c>
      <c r="U216" s="10">
        <v>445</v>
      </c>
      <c r="V216" s="10">
        <v>398</v>
      </c>
      <c r="W216" s="10">
        <v>425</v>
      </c>
      <c r="X216" s="10">
        <v>441</v>
      </c>
      <c r="Y216" s="10">
        <v>70</v>
      </c>
      <c r="Z216" s="10">
        <v>433</v>
      </c>
      <c r="AA216" s="10">
        <v>396</v>
      </c>
      <c r="AB216" s="10">
        <v>166</v>
      </c>
      <c r="AC216" s="10">
        <v>188</v>
      </c>
      <c r="AD216" s="10">
        <v>138</v>
      </c>
      <c r="AE216" s="10">
        <v>128</v>
      </c>
      <c r="AF216" s="10">
        <v>102</v>
      </c>
      <c r="AG216" s="10">
        <v>113</v>
      </c>
      <c r="AH216" s="102">
        <f>SUM(Tableau2[[#This Row],[Td 2]:[Td 5]])</f>
        <v>481</v>
      </c>
      <c r="AI216" s="10">
        <v>58.3</v>
      </c>
      <c r="AJ216" s="10">
        <v>100</v>
      </c>
      <c r="AK216" s="17">
        <f t="shared" si="25"/>
        <v>4.6457500000000209</v>
      </c>
      <c r="AL216" s="17">
        <f t="shared" si="26"/>
        <v>0</v>
      </c>
      <c r="AM216" s="17">
        <f t="shared" si="27"/>
        <v>433</v>
      </c>
    </row>
    <row r="217" spans="1:39" s="3" customFormat="1" x14ac:dyDescent="0.25">
      <c r="A217" s="2" t="s">
        <v>16</v>
      </c>
      <c r="B217" s="29" t="s">
        <v>740</v>
      </c>
      <c r="C217" s="2" t="s">
        <v>28</v>
      </c>
      <c r="D217" s="2" t="s">
        <v>255</v>
      </c>
      <c r="E217" s="14">
        <v>27464</v>
      </c>
      <c r="F217" s="15">
        <f t="shared" si="21"/>
        <v>958.49360000000001</v>
      </c>
      <c r="G217" s="15">
        <f t="shared" si="22"/>
        <v>1098.56</v>
      </c>
      <c r="H217" s="15">
        <f t="shared" si="23"/>
        <v>798.7446666666666</v>
      </c>
      <c r="I217" s="15">
        <f t="shared" si="24"/>
        <v>915.4666666666667</v>
      </c>
      <c r="J217" s="10">
        <v>1955</v>
      </c>
      <c r="K217" s="10">
        <v>725</v>
      </c>
      <c r="L217" s="10">
        <v>1604</v>
      </c>
      <c r="M217" s="10">
        <v>1506</v>
      </c>
      <c r="N217" s="10">
        <v>1181</v>
      </c>
      <c r="O217" s="10">
        <v>1535</v>
      </c>
      <c r="P217" s="10">
        <v>1507</v>
      </c>
      <c r="Q217" s="10">
        <v>1186</v>
      </c>
      <c r="R217" s="10">
        <v>1604</v>
      </c>
      <c r="S217" s="10">
        <v>1686</v>
      </c>
      <c r="T217" s="10">
        <v>1781</v>
      </c>
      <c r="U217" s="10">
        <v>1604</v>
      </c>
      <c r="V217" s="10">
        <v>1424</v>
      </c>
      <c r="W217" s="10">
        <v>883</v>
      </c>
      <c r="X217" s="10">
        <v>2329</v>
      </c>
      <c r="Y217" s="10" t="s">
        <v>2</v>
      </c>
      <c r="Z217" s="10">
        <v>2317</v>
      </c>
      <c r="AA217" s="10">
        <v>1249</v>
      </c>
      <c r="AB217" s="10">
        <v>635</v>
      </c>
      <c r="AC217" s="10">
        <v>1907</v>
      </c>
      <c r="AD217" s="10">
        <v>1609</v>
      </c>
      <c r="AE217" s="10">
        <v>1416</v>
      </c>
      <c r="AF217" s="10">
        <v>1249</v>
      </c>
      <c r="AG217" s="10">
        <v>161</v>
      </c>
      <c r="AH217" s="102">
        <f>SUM(Tableau2[[#This Row],[Td 2]:[Td 5]])</f>
        <v>4435</v>
      </c>
      <c r="AI217" s="10">
        <v>50</v>
      </c>
      <c r="AJ217" s="10">
        <v>100</v>
      </c>
      <c r="AK217" s="17">
        <f t="shared" si="25"/>
        <v>0</v>
      </c>
      <c r="AL217" s="17">
        <f t="shared" si="26"/>
        <v>0</v>
      </c>
      <c r="AM217" s="17">
        <f t="shared" si="27"/>
        <v>2317</v>
      </c>
    </row>
    <row r="218" spans="1:39" s="3" customFormat="1" x14ac:dyDescent="0.25">
      <c r="A218" s="2" t="s">
        <v>16</v>
      </c>
      <c r="B218" s="29" t="s">
        <v>740</v>
      </c>
      <c r="C218" s="2" t="s">
        <v>28</v>
      </c>
      <c r="D218" s="2" t="s">
        <v>256</v>
      </c>
      <c r="E218" s="14">
        <v>26378</v>
      </c>
      <c r="F218" s="15">
        <f t="shared" si="21"/>
        <v>920.59220000000005</v>
      </c>
      <c r="G218" s="15">
        <f t="shared" si="22"/>
        <v>1055.1200000000001</v>
      </c>
      <c r="H218" s="15">
        <f t="shared" si="23"/>
        <v>767.16016666666678</v>
      </c>
      <c r="I218" s="15">
        <f t="shared" si="24"/>
        <v>879.26666666666677</v>
      </c>
      <c r="J218" s="10">
        <v>962</v>
      </c>
      <c r="K218" s="10">
        <v>697</v>
      </c>
      <c r="L218" s="10">
        <v>1127</v>
      </c>
      <c r="M218" s="10">
        <v>1052</v>
      </c>
      <c r="N218" s="10">
        <v>1015</v>
      </c>
      <c r="O218" s="10">
        <v>1121</v>
      </c>
      <c r="P218" s="10">
        <v>1052</v>
      </c>
      <c r="Q218" s="10">
        <v>1015</v>
      </c>
      <c r="R218" s="10">
        <v>1127</v>
      </c>
      <c r="S218" s="10">
        <v>1050</v>
      </c>
      <c r="T218" s="10">
        <v>1015</v>
      </c>
      <c r="U218" s="10">
        <v>1127</v>
      </c>
      <c r="V218" s="10">
        <v>1052</v>
      </c>
      <c r="W218" s="10">
        <v>1018</v>
      </c>
      <c r="X218" s="10">
        <v>977</v>
      </c>
      <c r="Y218" s="10">
        <v>186</v>
      </c>
      <c r="Z218" s="10">
        <v>998</v>
      </c>
      <c r="AA218" s="10">
        <v>1007</v>
      </c>
      <c r="AB218" s="10">
        <v>493</v>
      </c>
      <c r="AC218" s="10">
        <v>515</v>
      </c>
      <c r="AD218" s="10">
        <v>349</v>
      </c>
      <c r="AE218" s="10">
        <v>257</v>
      </c>
      <c r="AF218" s="10">
        <v>212</v>
      </c>
      <c r="AG218" s="10">
        <v>134</v>
      </c>
      <c r="AH218" s="102">
        <f>SUM(Tableau2[[#This Row],[Td 2]:[Td 5]])</f>
        <v>952</v>
      </c>
      <c r="AI218" s="10">
        <v>50</v>
      </c>
      <c r="AJ218" s="10">
        <v>100</v>
      </c>
      <c r="AK218" s="17">
        <f t="shared" si="25"/>
        <v>0</v>
      </c>
      <c r="AL218" s="17">
        <f t="shared" si="26"/>
        <v>144</v>
      </c>
      <c r="AM218" s="17">
        <f t="shared" si="27"/>
        <v>977</v>
      </c>
    </row>
    <row r="219" spans="1:39" s="3" customFormat="1" x14ac:dyDescent="0.25">
      <c r="A219" s="2" t="s">
        <v>16</v>
      </c>
      <c r="B219" s="29" t="s">
        <v>740</v>
      </c>
      <c r="C219" s="2" t="s">
        <v>28</v>
      </c>
      <c r="D219" s="2" t="s">
        <v>257</v>
      </c>
      <c r="E219" s="14">
        <v>33524</v>
      </c>
      <c r="F219" s="15">
        <f t="shared" si="21"/>
        <v>1169.9875999999999</v>
      </c>
      <c r="G219" s="15">
        <f t="shared" si="22"/>
        <v>1340.96</v>
      </c>
      <c r="H219" s="15">
        <f t="shared" si="23"/>
        <v>974.98966666666661</v>
      </c>
      <c r="I219" s="15">
        <f t="shared" si="24"/>
        <v>1117.4666666666667</v>
      </c>
      <c r="J219" s="10">
        <v>772</v>
      </c>
      <c r="K219" s="10">
        <v>426</v>
      </c>
      <c r="L219" s="10">
        <v>472</v>
      </c>
      <c r="M219" s="10">
        <v>486</v>
      </c>
      <c r="N219" s="10">
        <v>517</v>
      </c>
      <c r="O219" s="10">
        <v>504</v>
      </c>
      <c r="P219" s="10">
        <v>493</v>
      </c>
      <c r="Q219" s="10">
        <v>483</v>
      </c>
      <c r="R219" s="10">
        <v>451</v>
      </c>
      <c r="S219" s="10">
        <v>461</v>
      </c>
      <c r="T219" s="10">
        <v>467</v>
      </c>
      <c r="U219" s="10">
        <v>455</v>
      </c>
      <c r="V219" s="10">
        <v>455</v>
      </c>
      <c r="W219" s="10">
        <v>456</v>
      </c>
      <c r="X219" s="10">
        <v>666</v>
      </c>
      <c r="Y219" s="10">
        <v>68</v>
      </c>
      <c r="Z219" s="10">
        <v>581</v>
      </c>
      <c r="AA219" s="10">
        <v>632</v>
      </c>
      <c r="AB219" s="10">
        <v>150</v>
      </c>
      <c r="AC219" s="10">
        <v>257</v>
      </c>
      <c r="AD219" s="10">
        <v>165</v>
      </c>
      <c r="AE219" s="10">
        <v>176</v>
      </c>
      <c r="AF219" s="10">
        <v>101</v>
      </c>
      <c r="AG219" s="10">
        <v>87</v>
      </c>
      <c r="AH219" s="102">
        <f>SUM(Tableau2[[#This Row],[Td 2]:[Td 5]])</f>
        <v>529</v>
      </c>
      <c r="AI219" s="10">
        <v>52.8</v>
      </c>
      <c r="AJ219" s="10">
        <v>100</v>
      </c>
      <c r="AK219" s="17">
        <f t="shared" si="25"/>
        <v>470.98966666666661</v>
      </c>
      <c r="AL219" s="17">
        <f t="shared" si="26"/>
        <v>0</v>
      </c>
      <c r="AM219" s="17">
        <f t="shared" si="27"/>
        <v>581</v>
      </c>
    </row>
    <row r="220" spans="1:39" s="3" customFormat="1" x14ac:dyDescent="0.25">
      <c r="A220" s="2" t="s">
        <v>16</v>
      </c>
      <c r="B220" s="29" t="s">
        <v>740</v>
      </c>
      <c r="C220" s="2" t="s">
        <v>28</v>
      </c>
      <c r="D220" s="2" t="s">
        <v>258</v>
      </c>
      <c r="E220" s="14">
        <v>26719</v>
      </c>
      <c r="F220" s="15">
        <f t="shared" si="21"/>
        <v>932.49310000000003</v>
      </c>
      <c r="G220" s="15">
        <f t="shared" si="22"/>
        <v>1068.76</v>
      </c>
      <c r="H220" s="15">
        <f t="shared" si="23"/>
        <v>777.07758333333334</v>
      </c>
      <c r="I220" s="15">
        <f t="shared" si="24"/>
        <v>890.63333333333333</v>
      </c>
      <c r="J220" s="10">
        <v>1168</v>
      </c>
      <c r="K220" s="10">
        <v>917</v>
      </c>
      <c r="L220" s="10">
        <v>627</v>
      </c>
      <c r="M220" s="10">
        <v>515</v>
      </c>
      <c r="N220" s="10">
        <v>652</v>
      </c>
      <c r="O220" s="10">
        <v>667</v>
      </c>
      <c r="P220" s="10">
        <v>515</v>
      </c>
      <c r="Q220" s="10">
        <v>652</v>
      </c>
      <c r="R220" s="10">
        <v>1294</v>
      </c>
      <c r="S220" s="10">
        <v>505</v>
      </c>
      <c r="T220" s="10">
        <v>648</v>
      </c>
      <c r="U220" s="10">
        <v>585</v>
      </c>
      <c r="V220" s="10">
        <v>428</v>
      </c>
      <c r="W220" s="10">
        <v>558</v>
      </c>
      <c r="X220" s="10">
        <v>712</v>
      </c>
      <c r="Y220" s="10">
        <v>79</v>
      </c>
      <c r="Z220" s="10">
        <v>710</v>
      </c>
      <c r="AA220" s="10">
        <v>697</v>
      </c>
      <c r="AB220" s="10">
        <v>391</v>
      </c>
      <c r="AC220" s="10">
        <v>363</v>
      </c>
      <c r="AD220" s="10">
        <v>212</v>
      </c>
      <c r="AE220" s="10">
        <v>213</v>
      </c>
      <c r="AF220" s="10">
        <v>151</v>
      </c>
      <c r="AG220" s="10">
        <v>140</v>
      </c>
      <c r="AH220" s="102">
        <f>SUM(Tableau2[[#This Row],[Td 2]:[Td 5]])</f>
        <v>716</v>
      </c>
      <c r="AI220" s="10">
        <v>50</v>
      </c>
      <c r="AJ220" s="10">
        <v>100</v>
      </c>
      <c r="AK220" s="17">
        <f t="shared" si="25"/>
        <v>110.07758333333334</v>
      </c>
      <c r="AL220" s="17">
        <f t="shared" si="26"/>
        <v>0</v>
      </c>
      <c r="AM220" s="17">
        <f t="shared" si="27"/>
        <v>710</v>
      </c>
    </row>
    <row r="221" spans="1:39" s="3" customFormat="1" x14ac:dyDescent="0.25">
      <c r="A221" s="2" t="s">
        <v>16</v>
      </c>
      <c r="B221" s="29" t="s">
        <v>740</v>
      </c>
      <c r="C221" s="2" t="s">
        <v>29</v>
      </c>
      <c r="D221" s="2" t="s">
        <v>259</v>
      </c>
      <c r="E221" s="14">
        <v>26266</v>
      </c>
      <c r="F221" s="15">
        <f t="shared" si="21"/>
        <v>916.68340000000001</v>
      </c>
      <c r="G221" s="15">
        <f t="shared" si="22"/>
        <v>1050.6400000000001</v>
      </c>
      <c r="H221" s="15">
        <f t="shared" si="23"/>
        <v>763.90283333333332</v>
      </c>
      <c r="I221" s="15">
        <f t="shared" si="24"/>
        <v>875.53333333333342</v>
      </c>
      <c r="J221" s="10">
        <v>779</v>
      </c>
      <c r="K221" s="10">
        <v>239</v>
      </c>
      <c r="L221" s="10">
        <v>859</v>
      </c>
      <c r="M221" s="10">
        <v>731</v>
      </c>
      <c r="N221" s="10">
        <v>815</v>
      </c>
      <c r="O221" s="10">
        <v>1037</v>
      </c>
      <c r="P221" s="10">
        <v>940</v>
      </c>
      <c r="Q221" s="10">
        <v>966</v>
      </c>
      <c r="R221" s="10">
        <v>1037</v>
      </c>
      <c r="S221" s="10">
        <v>916</v>
      </c>
      <c r="T221" s="10">
        <v>966</v>
      </c>
      <c r="U221" s="10">
        <v>980</v>
      </c>
      <c r="V221" s="10">
        <v>913</v>
      </c>
      <c r="W221" s="10">
        <v>982</v>
      </c>
      <c r="X221" s="10">
        <v>909</v>
      </c>
      <c r="Y221" s="10">
        <v>724</v>
      </c>
      <c r="Z221" s="10">
        <v>755</v>
      </c>
      <c r="AA221" s="10">
        <v>683</v>
      </c>
      <c r="AB221" s="10">
        <v>757</v>
      </c>
      <c r="AC221" s="10">
        <v>190</v>
      </c>
      <c r="AD221" s="10">
        <v>119</v>
      </c>
      <c r="AE221" s="10">
        <v>87</v>
      </c>
      <c r="AF221" s="10">
        <v>87</v>
      </c>
      <c r="AG221" s="10">
        <v>80</v>
      </c>
      <c r="AH221" s="102">
        <f>SUM(Tableau2[[#This Row],[Td 2]:[Td 5]])</f>
        <v>373</v>
      </c>
      <c r="AI221" s="10">
        <v>58.3</v>
      </c>
      <c r="AJ221" s="10">
        <v>100</v>
      </c>
      <c r="AK221" s="17">
        <f t="shared" si="25"/>
        <v>0</v>
      </c>
      <c r="AL221" s="17">
        <f t="shared" si="26"/>
        <v>128</v>
      </c>
      <c r="AM221" s="17">
        <f t="shared" si="27"/>
        <v>755</v>
      </c>
    </row>
    <row r="222" spans="1:39" s="3" customFormat="1" x14ac:dyDescent="0.25">
      <c r="A222" s="2" t="s">
        <v>16</v>
      </c>
      <c r="B222" s="29" t="s">
        <v>740</v>
      </c>
      <c r="C222" s="2" t="s">
        <v>29</v>
      </c>
      <c r="D222" s="2" t="s">
        <v>260</v>
      </c>
      <c r="E222" s="14">
        <v>10509</v>
      </c>
      <c r="F222" s="15">
        <f t="shared" si="21"/>
        <v>366.76409999999998</v>
      </c>
      <c r="G222" s="15">
        <f t="shared" si="22"/>
        <v>420.36</v>
      </c>
      <c r="H222" s="15">
        <f t="shared" si="23"/>
        <v>305.63675000000001</v>
      </c>
      <c r="I222" s="15">
        <f t="shared" si="24"/>
        <v>350.3</v>
      </c>
      <c r="J222" s="10">
        <v>360</v>
      </c>
      <c r="K222" s="10">
        <v>266</v>
      </c>
      <c r="L222" s="10">
        <v>336</v>
      </c>
      <c r="M222" s="10">
        <v>323</v>
      </c>
      <c r="N222" s="10">
        <v>327</v>
      </c>
      <c r="O222" s="10">
        <v>374</v>
      </c>
      <c r="P222" s="10">
        <v>359</v>
      </c>
      <c r="Q222" s="10">
        <v>365</v>
      </c>
      <c r="R222" s="10">
        <v>375</v>
      </c>
      <c r="S222" s="10">
        <v>359</v>
      </c>
      <c r="T222" s="10">
        <v>365</v>
      </c>
      <c r="U222" s="10">
        <v>362</v>
      </c>
      <c r="V222" s="10">
        <v>352</v>
      </c>
      <c r="W222" s="10">
        <v>354</v>
      </c>
      <c r="X222" s="10">
        <v>317</v>
      </c>
      <c r="Y222" s="10">
        <v>609</v>
      </c>
      <c r="Z222" s="10">
        <v>325</v>
      </c>
      <c r="AA222" s="10">
        <v>319</v>
      </c>
      <c r="AB222" s="10">
        <v>489</v>
      </c>
      <c r="AC222" s="10">
        <v>242</v>
      </c>
      <c r="AD222" s="10">
        <v>206</v>
      </c>
      <c r="AE222" s="10">
        <v>177</v>
      </c>
      <c r="AF222" s="10">
        <v>149</v>
      </c>
      <c r="AG222" s="10">
        <v>129</v>
      </c>
      <c r="AH222" s="102">
        <f>SUM(Tableau2[[#This Row],[Td 2]:[Td 5]])</f>
        <v>661</v>
      </c>
      <c r="AI222" s="10">
        <v>58.3</v>
      </c>
      <c r="AJ222" s="10">
        <v>100</v>
      </c>
      <c r="AK222" s="17">
        <f t="shared" si="25"/>
        <v>0</v>
      </c>
      <c r="AL222" s="17">
        <f t="shared" si="26"/>
        <v>57</v>
      </c>
      <c r="AM222" s="17">
        <f t="shared" si="27"/>
        <v>317</v>
      </c>
    </row>
    <row r="223" spans="1:39" s="3" customFormat="1" x14ac:dyDescent="0.25">
      <c r="A223" s="2" t="s">
        <v>16</v>
      </c>
      <c r="B223" s="29" t="s">
        <v>740</v>
      </c>
      <c r="C223" s="2" t="s">
        <v>29</v>
      </c>
      <c r="D223" s="2" t="s">
        <v>261</v>
      </c>
      <c r="E223" s="14">
        <v>8661</v>
      </c>
      <c r="F223" s="15">
        <f t="shared" si="21"/>
        <v>302.26890000000003</v>
      </c>
      <c r="G223" s="15">
        <f t="shared" si="22"/>
        <v>346.44</v>
      </c>
      <c r="H223" s="15">
        <f t="shared" si="23"/>
        <v>251.89075000000003</v>
      </c>
      <c r="I223" s="15">
        <f t="shared" si="24"/>
        <v>288.7</v>
      </c>
      <c r="J223" s="10">
        <v>326</v>
      </c>
      <c r="K223" s="10">
        <v>170</v>
      </c>
      <c r="L223" s="10">
        <v>256</v>
      </c>
      <c r="M223" s="10">
        <v>210</v>
      </c>
      <c r="N223" s="10">
        <v>233</v>
      </c>
      <c r="O223" s="10">
        <v>276</v>
      </c>
      <c r="P223" s="10">
        <v>231</v>
      </c>
      <c r="Q223" s="10">
        <v>253</v>
      </c>
      <c r="R223" s="10">
        <v>255</v>
      </c>
      <c r="S223" s="10">
        <v>215</v>
      </c>
      <c r="T223" s="10">
        <v>232</v>
      </c>
      <c r="U223" s="10">
        <v>263</v>
      </c>
      <c r="V223" s="10">
        <v>240</v>
      </c>
      <c r="W223" s="10">
        <v>263</v>
      </c>
      <c r="X223" s="10">
        <v>266</v>
      </c>
      <c r="Y223" s="10">
        <v>146</v>
      </c>
      <c r="Z223" s="10">
        <v>317</v>
      </c>
      <c r="AA223" s="10">
        <v>243</v>
      </c>
      <c r="AB223" s="10">
        <v>181</v>
      </c>
      <c r="AC223" s="10">
        <v>231</v>
      </c>
      <c r="AD223" s="10">
        <v>171</v>
      </c>
      <c r="AE223" s="10">
        <v>141</v>
      </c>
      <c r="AF223" s="10">
        <v>113</v>
      </c>
      <c r="AG223" s="10">
        <v>80</v>
      </c>
      <c r="AH223" s="102">
        <f>SUM(Tableau2[[#This Row],[Td 2]:[Td 5]])</f>
        <v>505</v>
      </c>
      <c r="AI223" s="10">
        <v>58.3</v>
      </c>
      <c r="AJ223" s="10">
        <v>100</v>
      </c>
      <c r="AK223" s="17">
        <f t="shared" si="25"/>
        <v>0</v>
      </c>
      <c r="AL223" s="17">
        <f t="shared" si="26"/>
        <v>10</v>
      </c>
      <c r="AM223" s="17">
        <f t="shared" si="27"/>
        <v>266</v>
      </c>
    </row>
    <row r="224" spans="1:39" s="3" customFormat="1" x14ac:dyDescent="0.25">
      <c r="A224" s="2" t="s">
        <v>16</v>
      </c>
      <c r="B224" s="29" t="s">
        <v>740</v>
      </c>
      <c r="C224" s="2" t="s">
        <v>29</v>
      </c>
      <c r="D224" s="2" t="s">
        <v>262</v>
      </c>
      <c r="E224" s="14">
        <v>26056</v>
      </c>
      <c r="F224" s="15">
        <f t="shared" si="21"/>
        <v>909.35440000000006</v>
      </c>
      <c r="G224" s="15">
        <f t="shared" si="22"/>
        <v>1042.24</v>
      </c>
      <c r="H224" s="15">
        <f t="shared" si="23"/>
        <v>757.79533333333336</v>
      </c>
      <c r="I224" s="15">
        <f t="shared" si="24"/>
        <v>868.53333333333342</v>
      </c>
      <c r="J224" s="10">
        <v>806</v>
      </c>
      <c r="K224" s="10">
        <v>590</v>
      </c>
      <c r="L224" s="10">
        <v>773</v>
      </c>
      <c r="M224" s="10">
        <v>750</v>
      </c>
      <c r="N224" s="10">
        <v>709</v>
      </c>
      <c r="O224" s="10">
        <v>763</v>
      </c>
      <c r="P224" s="10">
        <v>781</v>
      </c>
      <c r="Q224" s="10">
        <v>767</v>
      </c>
      <c r="R224" s="10">
        <v>802</v>
      </c>
      <c r="S224" s="10">
        <v>775</v>
      </c>
      <c r="T224" s="10">
        <v>824</v>
      </c>
      <c r="U224" s="10">
        <v>847</v>
      </c>
      <c r="V224" s="10">
        <v>767</v>
      </c>
      <c r="W224" s="10">
        <v>741</v>
      </c>
      <c r="X224" s="10">
        <v>887</v>
      </c>
      <c r="Y224" s="10">
        <v>877</v>
      </c>
      <c r="Z224" s="10">
        <v>842</v>
      </c>
      <c r="AA224" s="10">
        <v>812</v>
      </c>
      <c r="AB224" s="10">
        <v>805</v>
      </c>
      <c r="AC224" s="10">
        <v>114</v>
      </c>
      <c r="AD224" s="10">
        <v>151</v>
      </c>
      <c r="AE224" s="10">
        <v>141</v>
      </c>
      <c r="AF224" s="10">
        <v>113</v>
      </c>
      <c r="AG224" s="10">
        <v>119</v>
      </c>
      <c r="AH224" s="102">
        <f>SUM(Tableau2[[#This Row],[Td 2]:[Td 5]])</f>
        <v>524</v>
      </c>
      <c r="AI224" s="10">
        <v>50</v>
      </c>
      <c r="AJ224" s="10">
        <v>100</v>
      </c>
      <c r="AK224" s="17">
        <f t="shared" si="25"/>
        <v>0</v>
      </c>
      <c r="AL224" s="17">
        <f t="shared" si="26"/>
        <v>0</v>
      </c>
      <c r="AM224" s="17">
        <f t="shared" si="27"/>
        <v>842</v>
      </c>
    </row>
    <row r="225" spans="1:39" s="3" customFormat="1" x14ac:dyDescent="0.25">
      <c r="A225" s="2" t="s">
        <v>16</v>
      </c>
      <c r="B225" s="29" t="s">
        <v>740</v>
      </c>
      <c r="C225" s="2" t="s">
        <v>29</v>
      </c>
      <c r="D225" s="2" t="s">
        <v>263</v>
      </c>
      <c r="E225" s="14">
        <v>37700</v>
      </c>
      <c r="F225" s="15">
        <f t="shared" si="21"/>
        <v>1315.73</v>
      </c>
      <c r="G225" s="15">
        <f t="shared" si="22"/>
        <v>1508</v>
      </c>
      <c r="H225" s="15">
        <f t="shared" si="23"/>
        <v>1096.4416666666666</v>
      </c>
      <c r="I225" s="15">
        <f t="shared" si="24"/>
        <v>1256.6666666666667</v>
      </c>
      <c r="J225" s="10">
        <v>1343</v>
      </c>
      <c r="K225" s="10">
        <v>522</v>
      </c>
      <c r="L225" s="10">
        <v>1134</v>
      </c>
      <c r="M225" s="10">
        <v>1133</v>
      </c>
      <c r="N225" s="10">
        <v>1154</v>
      </c>
      <c r="O225" s="10">
        <v>1134</v>
      </c>
      <c r="P225" s="10">
        <v>1133</v>
      </c>
      <c r="Q225" s="10">
        <v>1154</v>
      </c>
      <c r="R225" s="10">
        <v>1134</v>
      </c>
      <c r="S225" s="10">
        <v>1133</v>
      </c>
      <c r="T225" s="10">
        <v>1154</v>
      </c>
      <c r="U225" s="10">
        <v>1134</v>
      </c>
      <c r="V225" s="10">
        <v>1113</v>
      </c>
      <c r="W225" s="10">
        <v>1121</v>
      </c>
      <c r="X225" s="10">
        <v>1091</v>
      </c>
      <c r="Y225" s="10">
        <v>772</v>
      </c>
      <c r="Z225" s="10">
        <v>1091</v>
      </c>
      <c r="AA225" s="10">
        <v>737</v>
      </c>
      <c r="AB225" s="10">
        <v>1054</v>
      </c>
      <c r="AC225" s="10">
        <v>749</v>
      </c>
      <c r="AD225" s="10">
        <v>577</v>
      </c>
      <c r="AE225" s="10">
        <v>300</v>
      </c>
      <c r="AF225" s="10">
        <v>229</v>
      </c>
      <c r="AG225" s="10">
        <v>186</v>
      </c>
      <c r="AH225" s="102">
        <f>SUM(Tableau2[[#This Row],[Td 2]:[Td 5]])</f>
        <v>1292</v>
      </c>
      <c r="AI225" s="10">
        <v>58.3</v>
      </c>
      <c r="AJ225" s="10">
        <v>100</v>
      </c>
      <c r="AK225" s="17">
        <f t="shared" si="25"/>
        <v>0</v>
      </c>
      <c r="AL225" s="17">
        <f t="shared" si="26"/>
        <v>43</v>
      </c>
      <c r="AM225" s="17">
        <f t="shared" si="27"/>
        <v>1091</v>
      </c>
    </row>
    <row r="226" spans="1:39" s="3" customFormat="1" x14ac:dyDescent="0.25">
      <c r="A226" s="2" t="s">
        <v>16</v>
      </c>
      <c r="B226" s="29" t="s">
        <v>740</v>
      </c>
      <c r="C226" s="2" t="s">
        <v>29</v>
      </c>
      <c r="D226" s="2" t="s">
        <v>264</v>
      </c>
      <c r="E226" s="14">
        <v>21024</v>
      </c>
      <c r="F226" s="15">
        <f t="shared" si="21"/>
        <v>733.73760000000004</v>
      </c>
      <c r="G226" s="15">
        <f t="shared" si="22"/>
        <v>840.96</v>
      </c>
      <c r="H226" s="15">
        <f t="shared" si="23"/>
        <v>611.44800000000009</v>
      </c>
      <c r="I226" s="15">
        <f t="shared" si="24"/>
        <v>700.8</v>
      </c>
      <c r="J226" s="10">
        <v>691</v>
      </c>
      <c r="K226" s="10">
        <v>362</v>
      </c>
      <c r="L226" s="10">
        <v>886</v>
      </c>
      <c r="M226" s="10">
        <v>931</v>
      </c>
      <c r="N226" s="10">
        <v>805</v>
      </c>
      <c r="O226" s="10">
        <v>812</v>
      </c>
      <c r="P226" s="10">
        <v>939</v>
      </c>
      <c r="Q226" s="10">
        <v>775</v>
      </c>
      <c r="R226" s="10">
        <v>954</v>
      </c>
      <c r="S226" s="10">
        <v>959</v>
      </c>
      <c r="T226" s="10">
        <v>959</v>
      </c>
      <c r="U226" s="10">
        <v>1259</v>
      </c>
      <c r="V226" s="10">
        <v>1274</v>
      </c>
      <c r="W226" s="10">
        <v>1199</v>
      </c>
      <c r="X226" s="10">
        <v>882</v>
      </c>
      <c r="Y226" s="10">
        <v>853</v>
      </c>
      <c r="Z226" s="10">
        <v>926</v>
      </c>
      <c r="AA226" s="10">
        <v>948</v>
      </c>
      <c r="AB226" s="10">
        <v>1011</v>
      </c>
      <c r="AC226" s="10">
        <v>139</v>
      </c>
      <c r="AD226" s="10">
        <v>91</v>
      </c>
      <c r="AE226" s="10">
        <v>97</v>
      </c>
      <c r="AF226" s="10">
        <v>94</v>
      </c>
      <c r="AG226" s="10">
        <v>79</v>
      </c>
      <c r="AH226" s="102">
        <f>SUM(Tableau2[[#This Row],[Td 2]:[Td 5]])</f>
        <v>361</v>
      </c>
      <c r="AI226" s="10">
        <v>100</v>
      </c>
      <c r="AJ226" s="10">
        <v>100</v>
      </c>
      <c r="AK226" s="17">
        <f t="shared" si="25"/>
        <v>0</v>
      </c>
      <c r="AL226" s="17">
        <f t="shared" si="26"/>
        <v>0</v>
      </c>
      <c r="AM226" s="17">
        <f t="shared" si="27"/>
        <v>882</v>
      </c>
    </row>
    <row r="227" spans="1:39" s="3" customFormat="1" x14ac:dyDescent="0.25">
      <c r="A227" s="2" t="s">
        <v>16</v>
      </c>
      <c r="B227" s="29" t="s">
        <v>740</v>
      </c>
      <c r="C227" s="2" t="s">
        <v>29</v>
      </c>
      <c r="D227" s="2" t="s">
        <v>265</v>
      </c>
      <c r="E227" s="14">
        <v>19125</v>
      </c>
      <c r="F227" s="15">
        <f t="shared" si="21"/>
        <v>667.46249999999998</v>
      </c>
      <c r="G227" s="15">
        <f t="shared" si="22"/>
        <v>765</v>
      </c>
      <c r="H227" s="15">
        <f t="shared" si="23"/>
        <v>556.21875</v>
      </c>
      <c r="I227" s="15">
        <f t="shared" si="24"/>
        <v>637.5</v>
      </c>
      <c r="J227" s="10">
        <v>623</v>
      </c>
      <c r="K227" s="10">
        <v>203</v>
      </c>
      <c r="L227" s="10">
        <v>521</v>
      </c>
      <c r="M227" s="10">
        <v>389</v>
      </c>
      <c r="N227" s="10">
        <v>421</v>
      </c>
      <c r="O227" s="10">
        <v>708</v>
      </c>
      <c r="P227" s="10">
        <v>595</v>
      </c>
      <c r="Q227" s="10">
        <v>661</v>
      </c>
      <c r="R227" s="10">
        <v>708</v>
      </c>
      <c r="S227" s="10">
        <v>595</v>
      </c>
      <c r="T227" s="10">
        <v>661</v>
      </c>
      <c r="U227" s="10">
        <v>660</v>
      </c>
      <c r="V227" s="10">
        <v>565</v>
      </c>
      <c r="W227" s="10">
        <v>561</v>
      </c>
      <c r="X227" s="10">
        <v>590</v>
      </c>
      <c r="Y227" s="10">
        <v>467</v>
      </c>
      <c r="Z227" s="10">
        <v>574</v>
      </c>
      <c r="AA227" s="10">
        <v>661</v>
      </c>
      <c r="AB227" s="10">
        <v>595</v>
      </c>
      <c r="AC227" s="10">
        <v>191</v>
      </c>
      <c r="AD227" s="10">
        <v>122</v>
      </c>
      <c r="AE227" s="10">
        <v>192</v>
      </c>
      <c r="AF227" s="10">
        <v>111</v>
      </c>
      <c r="AG227" s="10">
        <v>99</v>
      </c>
      <c r="AH227" s="102">
        <f>SUM(Tableau2[[#This Row],[Td 2]:[Td 5]])</f>
        <v>524</v>
      </c>
      <c r="AI227" s="10">
        <v>58.3</v>
      </c>
      <c r="AJ227" s="10">
        <v>100</v>
      </c>
      <c r="AK227" s="17">
        <f t="shared" si="25"/>
        <v>0</v>
      </c>
      <c r="AL227" s="17">
        <f t="shared" si="26"/>
        <v>118</v>
      </c>
      <c r="AM227" s="17">
        <f t="shared" si="27"/>
        <v>574</v>
      </c>
    </row>
    <row r="228" spans="1:39" s="3" customFormat="1" x14ac:dyDescent="0.25">
      <c r="A228" s="2" t="s">
        <v>16</v>
      </c>
      <c r="B228" s="29" t="s">
        <v>740</v>
      </c>
      <c r="C228" s="2" t="s">
        <v>29</v>
      </c>
      <c r="D228" s="2" t="s">
        <v>266</v>
      </c>
      <c r="E228" s="14">
        <v>9720</v>
      </c>
      <c r="F228" s="15">
        <f t="shared" si="21"/>
        <v>339.22800000000001</v>
      </c>
      <c r="G228" s="15">
        <f t="shared" si="22"/>
        <v>388.8</v>
      </c>
      <c r="H228" s="15">
        <f t="shared" si="23"/>
        <v>282.69</v>
      </c>
      <c r="I228" s="15">
        <f t="shared" si="24"/>
        <v>324</v>
      </c>
      <c r="J228" s="10">
        <v>379</v>
      </c>
      <c r="K228" s="10">
        <v>94</v>
      </c>
      <c r="L228" s="10">
        <v>282</v>
      </c>
      <c r="M228" s="10">
        <v>257</v>
      </c>
      <c r="N228" s="10">
        <v>294</v>
      </c>
      <c r="O228" s="10">
        <v>364</v>
      </c>
      <c r="P228" s="10">
        <v>319</v>
      </c>
      <c r="Q228" s="10">
        <v>327</v>
      </c>
      <c r="R228" s="10">
        <v>364</v>
      </c>
      <c r="S228" s="10">
        <v>301</v>
      </c>
      <c r="T228" s="10">
        <v>339</v>
      </c>
      <c r="U228" s="10">
        <v>283</v>
      </c>
      <c r="V228" s="10">
        <v>321</v>
      </c>
      <c r="W228" s="10">
        <v>381</v>
      </c>
      <c r="X228" s="10">
        <v>283</v>
      </c>
      <c r="Y228" s="10">
        <v>140</v>
      </c>
      <c r="Z228" s="10">
        <v>244</v>
      </c>
      <c r="AA228" s="10">
        <v>309</v>
      </c>
      <c r="AB228" s="10">
        <v>408</v>
      </c>
      <c r="AC228" s="10">
        <v>132</v>
      </c>
      <c r="AD228" s="10">
        <v>88</v>
      </c>
      <c r="AE228" s="10">
        <v>56</v>
      </c>
      <c r="AF228" s="10">
        <v>40</v>
      </c>
      <c r="AG228" s="10">
        <v>21</v>
      </c>
      <c r="AH228" s="102">
        <f>SUM(Tableau2[[#This Row],[Td 2]:[Td 5]])</f>
        <v>205</v>
      </c>
      <c r="AI228" s="10">
        <v>41.7</v>
      </c>
      <c r="AJ228" s="10">
        <v>100</v>
      </c>
      <c r="AK228" s="17">
        <f t="shared" si="25"/>
        <v>0</v>
      </c>
      <c r="AL228" s="17">
        <f t="shared" si="26"/>
        <v>81</v>
      </c>
      <c r="AM228" s="17">
        <f t="shared" si="27"/>
        <v>244</v>
      </c>
    </row>
    <row r="229" spans="1:39" s="3" customFormat="1" x14ac:dyDescent="0.25">
      <c r="A229" s="2" t="s">
        <v>16</v>
      </c>
      <c r="B229" s="29" t="s">
        <v>740</v>
      </c>
      <c r="C229" s="2" t="s">
        <v>29</v>
      </c>
      <c r="D229" s="2" t="s">
        <v>267</v>
      </c>
      <c r="E229" s="14">
        <v>9281</v>
      </c>
      <c r="F229" s="15">
        <f t="shared" si="21"/>
        <v>323.90690000000001</v>
      </c>
      <c r="G229" s="15">
        <f t="shared" si="22"/>
        <v>371.24</v>
      </c>
      <c r="H229" s="15">
        <f t="shared" si="23"/>
        <v>269.92241666666666</v>
      </c>
      <c r="I229" s="15">
        <f t="shared" si="24"/>
        <v>309.36666666666667</v>
      </c>
      <c r="J229" s="10">
        <v>401</v>
      </c>
      <c r="K229" s="10">
        <v>221</v>
      </c>
      <c r="L229" s="10">
        <v>322</v>
      </c>
      <c r="M229" s="10">
        <v>301</v>
      </c>
      <c r="N229" s="10">
        <v>292</v>
      </c>
      <c r="O229" s="10">
        <v>384</v>
      </c>
      <c r="P229" s="10">
        <v>361</v>
      </c>
      <c r="Q229" s="10">
        <v>351</v>
      </c>
      <c r="R229" s="10">
        <v>384</v>
      </c>
      <c r="S229" s="10">
        <v>361</v>
      </c>
      <c r="T229" s="10">
        <v>351</v>
      </c>
      <c r="U229" s="10">
        <v>331</v>
      </c>
      <c r="V229" s="10">
        <v>311</v>
      </c>
      <c r="W229" s="10">
        <v>303</v>
      </c>
      <c r="X229" s="10">
        <v>293</v>
      </c>
      <c r="Y229" s="10">
        <v>222</v>
      </c>
      <c r="Z229" s="10">
        <v>314</v>
      </c>
      <c r="AA229" s="10">
        <v>185</v>
      </c>
      <c r="AB229" s="10">
        <v>327</v>
      </c>
      <c r="AC229" s="10">
        <v>159</v>
      </c>
      <c r="AD229" s="10">
        <v>156</v>
      </c>
      <c r="AE229" s="10">
        <v>92</v>
      </c>
      <c r="AF229" s="10">
        <v>46</v>
      </c>
      <c r="AG229" s="10">
        <v>42</v>
      </c>
      <c r="AH229" s="102">
        <f>SUM(Tableau2[[#This Row],[Td 2]:[Td 5]])</f>
        <v>336</v>
      </c>
      <c r="AI229" s="10">
        <v>58.3</v>
      </c>
      <c r="AJ229" s="10">
        <v>100</v>
      </c>
      <c r="AK229" s="17">
        <f t="shared" si="25"/>
        <v>0</v>
      </c>
      <c r="AL229" s="17">
        <f t="shared" si="26"/>
        <v>91</v>
      </c>
      <c r="AM229" s="17">
        <f t="shared" si="27"/>
        <v>293</v>
      </c>
    </row>
    <row r="230" spans="1:39" s="3" customFormat="1" x14ac:dyDescent="0.25">
      <c r="A230" s="2" t="s">
        <v>16</v>
      </c>
      <c r="B230" s="29" t="s">
        <v>740</v>
      </c>
      <c r="C230" s="2" t="s">
        <v>29</v>
      </c>
      <c r="D230" s="2" t="s">
        <v>268</v>
      </c>
      <c r="E230" s="14">
        <v>18232</v>
      </c>
      <c r="F230" s="15">
        <f t="shared" si="21"/>
        <v>636.29679999999996</v>
      </c>
      <c r="G230" s="15">
        <f t="shared" si="22"/>
        <v>729.28</v>
      </c>
      <c r="H230" s="15">
        <f t="shared" si="23"/>
        <v>530.24733333333324</v>
      </c>
      <c r="I230" s="15">
        <f t="shared" si="24"/>
        <v>607.73333333333335</v>
      </c>
      <c r="J230" s="10">
        <v>627</v>
      </c>
      <c r="K230" s="10">
        <v>324</v>
      </c>
      <c r="L230" s="10">
        <v>380</v>
      </c>
      <c r="M230" s="10">
        <v>369</v>
      </c>
      <c r="N230" s="10">
        <v>365</v>
      </c>
      <c r="O230" s="10">
        <v>569</v>
      </c>
      <c r="P230" s="10">
        <v>552</v>
      </c>
      <c r="Q230" s="10">
        <v>541</v>
      </c>
      <c r="R230" s="10">
        <v>553</v>
      </c>
      <c r="S230" s="10">
        <v>531</v>
      </c>
      <c r="T230" s="10">
        <v>521</v>
      </c>
      <c r="U230" s="10">
        <v>558</v>
      </c>
      <c r="V230" s="10">
        <v>646</v>
      </c>
      <c r="W230" s="10">
        <v>757</v>
      </c>
      <c r="X230" s="10">
        <v>564</v>
      </c>
      <c r="Y230" s="10">
        <v>426</v>
      </c>
      <c r="Z230" s="10">
        <v>583</v>
      </c>
      <c r="AA230" s="10">
        <v>495</v>
      </c>
      <c r="AB230" s="10">
        <v>761</v>
      </c>
      <c r="AC230" s="10">
        <v>218</v>
      </c>
      <c r="AD230" s="10">
        <v>153</v>
      </c>
      <c r="AE230" s="10">
        <v>112</v>
      </c>
      <c r="AF230" s="10">
        <v>103</v>
      </c>
      <c r="AG230" s="10">
        <v>125</v>
      </c>
      <c r="AH230" s="102">
        <f>SUM(Tableau2[[#This Row],[Td 2]:[Td 5]])</f>
        <v>493</v>
      </c>
      <c r="AI230" s="10">
        <v>58.3</v>
      </c>
      <c r="AJ230" s="10">
        <v>100</v>
      </c>
      <c r="AK230" s="17">
        <f t="shared" si="25"/>
        <v>0</v>
      </c>
      <c r="AL230" s="17">
        <f t="shared" si="26"/>
        <v>5</v>
      </c>
      <c r="AM230" s="17">
        <f t="shared" si="27"/>
        <v>564</v>
      </c>
    </row>
    <row r="231" spans="1:39" s="3" customFormat="1" x14ac:dyDescent="0.25">
      <c r="A231" s="2" t="s">
        <v>16</v>
      </c>
      <c r="B231" s="29" t="s">
        <v>740</v>
      </c>
      <c r="C231" s="2" t="s">
        <v>29</v>
      </c>
      <c r="D231" s="2" t="s">
        <v>29</v>
      </c>
      <c r="E231" s="14">
        <v>19170</v>
      </c>
      <c r="F231" s="15">
        <f t="shared" si="21"/>
        <v>669.03300000000002</v>
      </c>
      <c r="G231" s="15">
        <f t="shared" si="22"/>
        <v>766.80000000000007</v>
      </c>
      <c r="H231" s="15">
        <f t="shared" si="23"/>
        <v>557.52750000000003</v>
      </c>
      <c r="I231" s="15">
        <f t="shared" si="24"/>
        <v>639</v>
      </c>
      <c r="J231" s="10">
        <v>747</v>
      </c>
      <c r="K231" s="10">
        <v>439</v>
      </c>
      <c r="L231" s="10">
        <v>632</v>
      </c>
      <c r="M231" s="10">
        <v>625</v>
      </c>
      <c r="N231" s="10">
        <v>619</v>
      </c>
      <c r="O231" s="10">
        <v>642</v>
      </c>
      <c r="P231" s="10">
        <v>627</v>
      </c>
      <c r="Q231" s="10">
        <v>620</v>
      </c>
      <c r="R231" s="10">
        <v>642</v>
      </c>
      <c r="S231" s="10">
        <v>629</v>
      </c>
      <c r="T231" s="10">
        <v>621</v>
      </c>
      <c r="U231" s="10">
        <v>753</v>
      </c>
      <c r="V231" s="10">
        <v>717</v>
      </c>
      <c r="W231" s="10">
        <v>677</v>
      </c>
      <c r="X231" s="10">
        <v>699</v>
      </c>
      <c r="Y231" s="10">
        <v>933</v>
      </c>
      <c r="Z231" s="10">
        <v>574</v>
      </c>
      <c r="AA231" s="10">
        <v>621</v>
      </c>
      <c r="AB231" s="10">
        <v>742</v>
      </c>
      <c r="AC231" s="10">
        <v>391</v>
      </c>
      <c r="AD231" s="10">
        <v>241</v>
      </c>
      <c r="AE231" s="10">
        <v>145</v>
      </c>
      <c r="AF231" s="10">
        <v>93</v>
      </c>
      <c r="AG231" s="10">
        <v>83</v>
      </c>
      <c r="AH231" s="102">
        <f>SUM(Tableau2[[#This Row],[Td 2]:[Td 5]])</f>
        <v>562</v>
      </c>
      <c r="AI231" s="10">
        <v>58.3</v>
      </c>
      <c r="AJ231" s="10">
        <v>100</v>
      </c>
      <c r="AK231" s="17">
        <f t="shared" si="25"/>
        <v>0</v>
      </c>
      <c r="AL231" s="17">
        <f t="shared" si="26"/>
        <v>0</v>
      </c>
      <c r="AM231" s="17">
        <f t="shared" si="27"/>
        <v>574</v>
      </c>
    </row>
    <row r="232" spans="1:39" s="3" customFormat="1" x14ac:dyDescent="0.25">
      <c r="A232" s="2" t="s">
        <v>16</v>
      </c>
      <c r="B232" s="29" t="s">
        <v>740</v>
      </c>
      <c r="C232" s="2" t="s">
        <v>29</v>
      </c>
      <c r="D232" s="2" t="s">
        <v>269</v>
      </c>
      <c r="E232" s="14">
        <v>15273</v>
      </c>
      <c r="F232" s="15">
        <f t="shared" si="21"/>
        <v>533.02769999999998</v>
      </c>
      <c r="G232" s="15">
        <f t="shared" si="22"/>
        <v>610.91999999999996</v>
      </c>
      <c r="H232" s="15">
        <f t="shared" si="23"/>
        <v>444.18974999999995</v>
      </c>
      <c r="I232" s="15">
        <f t="shared" si="24"/>
        <v>509.09999999999997</v>
      </c>
      <c r="J232" s="10">
        <v>445</v>
      </c>
      <c r="K232" s="10">
        <v>197</v>
      </c>
      <c r="L232" s="10">
        <v>614</v>
      </c>
      <c r="M232" s="10">
        <v>507</v>
      </c>
      <c r="N232" s="10">
        <v>585</v>
      </c>
      <c r="O232" s="10">
        <v>753</v>
      </c>
      <c r="P232" s="10">
        <v>580</v>
      </c>
      <c r="Q232" s="10">
        <v>658</v>
      </c>
      <c r="R232" s="10">
        <v>753</v>
      </c>
      <c r="S232" s="10">
        <v>581</v>
      </c>
      <c r="T232" s="10">
        <v>657</v>
      </c>
      <c r="U232" s="10">
        <v>697</v>
      </c>
      <c r="V232" s="10">
        <v>525</v>
      </c>
      <c r="W232" s="10">
        <v>602</v>
      </c>
      <c r="X232" s="10">
        <v>450</v>
      </c>
      <c r="Y232" s="10">
        <v>304</v>
      </c>
      <c r="Z232" s="10">
        <v>495</v>
      </c>
      <c r="AA232" s="10">
        <v>474</v>
      </c>
      <c r="AB232" s="10">
        <v>313</v>
      </c>
      <c r="AC232" s="10">
        <v>603</v>
      </c>
      <c r="AD232" s="10">
        <v>235</v>
      </c>
      <c r="AE232" s="10">
        <v>156</v>
      </c>
      <c r="AF232" s="10">
        <v>76</v>
      </c>
      <c r="AG232" s="10">
        <v>26</v>
      </c>
      <c r="AH232" s="102">
        <f>SUM(Tableau2[[#This Row],[Td 2]:[Td 5]])</f>
        <v>493</v>
      </c>
      <c r="AI232" s="10">
        <v>100</v>
      </c>
      <c r="AJ232" s="10">
        <v>100</v>
      </c>
      <c r="AK232" s="17">
        <f t="shared" si="25"/>
        <v>0</v>
      </c>
      <c r="AL232" s="17">
        <f t="shared" si="26"/>
        <v>303</v>
      </c>
      <c r="AM232" s="17">
        <f t="shared" si="27"/>
        <v>450</v>
      </c>
    </row>
    <row r="233" spans="1:39" s="3" customFormat="1" x14ac:dyDescent="0.25">
      <c r="A233" s="2" t="s">
        <v>16</v>
      </c>
      <c r="B233" s="29" t="s">
        <v>740</v>
      </c>
      <c r="C233" s="2" t="s">
        <v>29</v>
      </c>
      <c r="D233" s="2" t="s">
        <v>270</v>
      </c>
      <c r="E233" s="14">
        <v>30603</v>
      </c>
      <c r="F233" s="15">
        <f t="shared" si="21"/>
        <v>1068.0446999999999</v>
      </c>
      <c r="G233" s="15">
        <f t="shared" si="22"/>
        <v>1224.1200000000001</v>
      </c>
      <c r="H233" s="15">
        <f t="shared" si="23"/>
        <v>890.03724999999986</v>
      </c>
      <c r="I233" s="15">
        <f t="shared" si="24"/>
        <v>1020.1</v>
      </c>
      <c r="J233" s="10">
        <v>949</v>
      </c>
      <c r="K233" s="10">
        <v>659</v>
      </c>
      <c r="L233" s="10">
        <v>805</v>
      </c>
      <c r="M233" s="10">
        <v>794</v>
      </c>
      <c r="N233" s="10">
        <v>789</v>
      </c>
      <c r="O233" s="10">
        <v>866</v>
      </c>
      <c r="P233" s="10">
        <v>853</v>
      </c>
      <c r="Q233" s="10">
        <v>857</v>
      </c>
      <c r="R233" s="10">
        <v>859</v>
      </c>
      <c r="S233" s="10">
        <v>850</v>
      </c>
      <c r="T233" s="10">
        <v>854</v>
      </c>
      <c r="U233" s="10">
        <v>967</v>
      </c>
      <c r="V233" s="10">
        <v>832</v>
      </c>
      <c r="W233" s="10">
        <v>849</v>
      </c>
      <c r="X233" s="10">
        <v>977</v>
      </c>
      <c r="Y233" s="10">
        <v>1001</v>
      </c>
      <c r="Z233" s="10">
        <v>902</v>
      </c>
      <c r="AA233" s="10">
        <v>1076</v>
      </c>
      <c r="AB233" s="10">
        <v>1320</v>
      </c>
      <c r="AC233" s="10">
        <v>337</v>
      </c>
      <c r="AD233" s="10">
        <v>302</v>
      </c>
      <c r="AE233" s="10">
        <v>313</v>
      </c>
      <c r="AF233" s="10">
        <v>139</v>
      </c>
      <c r="AG233" s="10">
        <v>331</v>
      </c>
      <c r="AH233" s="102">
        <f>SUM(Tableau2[[#This Row],[Td 2]:[Td 5]])</f>
        <v>1085</v>
      </c>
      <c r="AI233" s="10">
        <v>100</v>
      </c>
      <c r="AJ233" s="10">
        <v>100</v>
      </c>
      <c r="AK233" s="17">
        <f t="shared" si="25"/>
        <v>24.037249999999858</v>
      </c>
      <c r="AL233" s="17">
        <f t="shared" si="26"/>
        <v>0</v>
      </c>
      <c r="AM233" s="17">
        <f t="shared" si="27"/>
        <v>902</v>
      </c>
    </row>
    <row r="234" spans="1:39" s="3" customFormat="1" x14ac:dyDescent="0.25">
      <c r="A234" s="2" t="s">
        <v>16</v>
      </c>
      <c r="B234" s="29" t="s">
        <v>740</v>
      </c>
      <c r="C234" s="2" t="s">
        <v>29</v>
      </c>
      <c r="D234" s="2" t="s">
        <v>271</v>
      </c>
      <c r="E234" s="14">
        <v>16069</v>
      </c>
      <c r="F234" s="15">
        <f t="shared" si="21"/>
        <v>560.80809999999997</v>
      </c>
      <c r="G234" s="15">
        <f t="shared" si="22"/>
        <v>642.76</v>
      </c>
      <c r="H234" s="15">
        <f t="shared" si="23"/>
        <v>467.34008333333327</v>
      </c>
      <c r="I234" s="15">
        <f t="shared" si="24"/>
        <v>535.63333333333333</v>
      </c>
      <c r="J234" s="10">
        <v>316</v>
      </c>
      <c r="K234" s="10">
        <v>239</v>
      </c>
      <c r="L234" s="10">
        <v>441</v>
      </c>
      <c r="M234" s="10">
        <v>438</v>
      </c>
      <c r="N234" s="10">
        <v>437</v>
      </c>
      <c r="O234" s="10">
        <v>472</v>
      </c>
      <c r="P234" s="10">
        <v>465</v>
      </c>
      <c r="Q234" s="10">
        <v>467</v>
      </c>
      <c r="R234" s="10">
        <v>474</v>
      </c>
      <c r="S234" s="10">
        <v>466</v>
      </c>
      <c r="T234" s="10">
        <v>472</v>
      </c>
      <c r="U234" s="10">
        <v>420</v>
      </c>
      <c r="V234" s="10">
        <v>423</v>
      </c>
      <c r="W234" s="10">
        <v>421</v>
      </c>
      <c r="X234" s="10">
        <v>522</v>
      </c>
      <c r="Y234" s="10">
        <v>406</v>
      </c>
      <c r="Z234" s="10">
        <v>491</v>
      </c>
      <c r="AA234" s="10">
        <v>414</v>
      </c>
      <c r="AB234" s="10">
        <v>490</v>
      </c>
      <c r="AC234" s="10">
        <v>182</v>
      </c>
      <c r="AD234" s="10">
        <v>194</v>
      </c>
      <c r="AE234" s="10">
        <v>138</v>
      </c>
      <c r="AF234" s="10">
        <v>125</v>
      </c>
      <c r="AG234" s="10">
        <v>120</v>
      </c>
      <c r="AH234" s="102">
        <f>SUM(Tableau2[[#This Row],[Td 2]:[Td 5]])</f>
        <v>577</v>
      </c>
      <c r="AI234" s="10">
        <v>58.3</v>
      </c>
      <c r="AJ234" s="10">
        <v>100</v>
      </c>
      <c r="AK234" s="17">
        <f t="shared" si="25"/>
        <v>0</v>
      </c>
      <c r="AL234" s="17">
        <f t="shared" si="26"/>
        <v>0</v>
      </c>
      <c r="AM234" s="17">
        <f t="shared" si="27"/>
        <v>491</v>
      </c>
    </row>
    <row r="235" spans="1:39" s="3" customFormat="1" x14ac:dyDescent="0.25">
      <c r="A235" s="2" t="s">
        <v>16</v>
      </c>
      <c r="B235" s="29" t="s">
        <v>740</v>
      </c>
      <c r="C235" s="2" t="s">
        <v>29</v>
      </c>
      <c r="D235" s="2" t="s">
        <v>272</v>
      </c>
      <c r="E235" s="14">
        <v>24835</v>
      </c>
      <c r="F235" s="15">
        <f t="shared" si="21"/>
        <v>866.74149999999997</v>
      </c>
      <c r="G235" s="15">
        <f t="shared" si="22"/>
        <v>993.4</v>
      </c>
      <c r="H235" s="15">
        <f t="shared" si="23"/>
        <v>722.28458333333333</v>
      </c>
      <c r="I235" s="15">
        <f t="shared" si="24"/>
        <v>827.83333333333326</v>
      </c>
      <c r="J235" s="10">
        <v>1042</v>
      </c>
      <c r="K235" s="10">
        <v>601</v>
      </c>
      <c r="L235" s="10">
        <v>807</v>
      </c>
      <c r="M235" s="10">
        <v>787</v>
      </c>
      <c r="N235" s="10">
        <v>769</v>
      </c>
      <c r="O235" s="10">
        <v>810</v>
      </c>
      <c r="P235" s="10">
        <v>779</v>
      </c>
      <c r="Q235" s="10">
        <v>767</v>
      </c>
      <c r="R235" s="10">
        <v>817</v>
      </c>
      <c r="S235" s="10">
        <v>784</v>
      </c>
      <c r="T235" s="10">
        <v>769</v>
      </c>
      <c r="U235" s="10">
        <v>797</v>
      </c>
      <c r="V235" s="10">
        <v>774</v>
      </c>
      <c r="W235" s="10">
        <v>759</v>
      </c>
      <c r="X235" s="10">
        <v>825</v>
      </c>
      <c r="Y235" s="10">
        <v>686</v>
      </c>
      <c r="Z235" s="10">
        <v>747</v>
      </c>
      <c r="AA235" s="10">
        <v>721</v>
      </c>
      <c r="AB235" s="10">
        <v>681</v>
      </c>
      <c r="AC235" s="10">
        <v>271</v>
      </c>
      <c r="AD235" s="10">
        <v>226</v>
      </c>
      <c r="AE235" s="10">
        <v>200</v>
      </c>
      <c r="AF235" s="10">
        <v>174</v>
      </c>
      <c r="AG235" s="10">
        <v>162</v>
      </c>
      <c r="AH235" s="102">
        <f>SUM(Tableau2[[#This Row],[Td 2]:[Td 5]])</f>
        <v>762</v>
      </c>
      <c r="AI235" s="10">
        <v>58.3</v>
      </c>
      <c r="AJ235" s="10">
        <v>100</v>
      </c>
      <c r="AK235" s="17">
        <f t="shared" si="25"/>
        <v>0</v>
      </c>
      <c r="AL235" s="17">
        <f t="shared" si="26"/>
        <v>0</v>
      </c>
      <c r="AM235" s="17">
        <f t="shared" si="27"/>
        <v>747</v>
      </c>
    </row>
    <row r="236" spans="1:39" s="3" customFormat="1" x14ac:dyDescent="0.25">
      <c r="A236" s="2" t="s">
        <v>16</v>
      </c>
      <c r="B236" s="29" t="s">
        <v>740</v>
      </c>
      <c r="C236" s="2" t="s">
        <v>29</v>
      </c>
      <c r="D236" s="2" t="s">
        <v>273</v>
      </c>
      <c r="E236" s="14">
        <v>11766</v>
      </c>
      <c r="F236" s="15">
        <f t="shared" si="21"/>
        <v>410.63339999999999</v>
      </c>
      <c r="G236" s="15">
        <f t="shared" si="22"/>
        <v>470.64</v>
      </c>
      <c r="H236" s="15">
        <f t="shared" si="23"/>
        <v>342.19450000000001</v>
      </c>
      <c r="I236" s="15">
        <f t="shared" si="24"/>
        <v>392.2</v>
      </c>
      <c r="J236" s="10">
        <v>336</v>
      </c>
      <c r="K236" s="10">
        <v>164</v>
      </c>
      <c r="L236" s="10">
        <v>306</v>
      </c>
      <c r="M236" s="10">
        <v>329</v>
      </c>
      <c r="N236" s="10">
        <v>300</v>
      </c>
      <c r="O236" s="10">
        <v>376</v>
      </c>
      <c r="P236" s="10">
        <v>355</v>
      </c>
      <c r="Q236" s="10">
        <v>368</v>
      </c>
      <c r="R236" s="10">
        <v>360</v>
      </c>
      <c r="S236" s="10">
        <v>349</v>
      </c>
      <c r="T236" s="10">
        <v>351</v>
      </c>
      <c r="U236" s="10">
        <v>559</v>
      </c>
      <c r="V236" s="10">
        <v>451</v>
      </c>
      <c r="W236" s="10">
        <v>475</v>
      </c>
      <c r="X236" s="10">
        <v>337</v>
      </c>
      <c r="Y236" s="10">
        <v>389</v>
      </c>
      <c r="Z236" s="10">
        <v>386</v>
      </c>
      <c r="AA236" s="10">
        <v>356</v>
      </c>
      <c r="AB236" s="10">
        <v>364</v>
      </c>
      <c r="AC236" s="10">
        <v>72</v>
      </c>
      <c r="AD236" s="10">
        <v>74</v>
      </c>
      <c r="AE236" s="10">
        <v>69</v>
      </c>
      <c r="AF236" s="10">
        <v>73</v>
      </c>
      <c r="AG236" s="10">
        <v>56</v>
      </c>
      <c r="AH236" s="102">
        <f>SUM(Tableau2[[#This Row],[Td 2]:[Td 5]])</f>
        <v>272</v>
      </c>
      <c r="AI236" s="10">
        <v>58.3</v>
      </c>
      <c r="AJ236" s="10">
        <v>100</v>
      </c>
      <c r="AK236" s="17">
        <f t="shared" si="25"/>
        <v>0</v>
      </c>
      <c r="AL236" s="17">
        <f t="shared" si="26"/>
        <v>39</v>
      </c>
      <c r="AM236" s="17">
        <f t="shared" si="27"/>
        <v>337</v>
      </c>
    </row>
    <row r="237" spans="1:39" s="3" customFormat="1" x14ac:dyDescent="0.25">
      <c r="A237" s="2" t="s">
        <v>16</v>
      </c>
      <c r="B237" s="29" t="s">
        <v>740</v>
      </c>
      <c r="C237" s="2" t="s">
        <v>29</v>
      </c>
      <c r="D237" s="2" t="s">
        <v>274</v>
      </c>
      <c r="E237" s="14">
        <v>10519</v>
      </c>
      <c r="F237" s="15">
        <f t="shared" si="21"/>
        <v>367.11310000000003</v>
      </c>
      <c r="G237" s="15">
        <f t="shared" si="22"/>
        <v>420.76</v>
      </c>
      <c r="H237" s="15">
        <f t="shared" si="23"/>
        <v>305.92758333333336</v>
      </c>
      <c r="I237" s="15">
        <f t="shared" si="24"/>
        <v>350.63333333333333</v>
      </c>
      <c r="J237" s="10">
        <v>329</v>
      </c>
      <c r="K237" s="10">
        <v>202</v>
      </c>
      <c r="L237" s="10">
        <v>280</v>
      </c>
      <c r="M237" s="10">
        <v>274</v>
      </c>
      <c r="N237" s="10">
        <v>272</v>
      </c>
      <c r="O237" s="10">
        <v>300</v>
      </c>
      <c r="P237" s="10">
        <v>289</v>
      </c>
      <c r="Q237" s="10">
        <v>289</v>
      </c>
      <c r="R237" s="10">
        <v>300</v>
      </c>
      <c r="S237" s="10">
        <v>289</v>
      </c>
      <c r="T237" s="10">
        <v>289</v>
      </c>
      <c r="U237" s="10">
        <v>330</v>
      </c>
      <c r="V237" s="10">
        <v>313</v>
      </c>
      <c r="W237" s="10">
        <v>296</v>
      </c>
      <c r="X237" s="10">
        <v>292</v>
      </c>
      <c r="Y237" s="10">
        <v>354</v>
      </c>
      <c r="Z237" s="10">
        <v>292</v>
      </c>
      <c r="AA237" s="10">
        <v>272</v>
      </c>
      <c r="AB237" s="10">
        <v>338</v>
      </c>
      <c r="AC237" s="10">
        <v>108</v>
      </c>
      <c r="AD237" s="10">
        <v>106</v>
      </c>
      <c r="AE237" s="10">
        <v>126</v>
      </c>
      <c r="AF237" s="10">
        <v>116</v>
      </c>
      <c r="AG237" s="10">
        <v>184</v>
      </c>
      <c r="AH237" s="102">
        <f>SUM(Tableau2[[#This Row],[Td 2]:[Td 5]])</f>
        <v>532</v>
      </c>
      <c r="AI237" s="10">
        <v>58.3</v>
      </c>
      <c r="AJ237" s="10">
        <v>100</v>
      </c>
      <c r="AK237" s="17">
        <f t="shared" si="25"/>
        <v>5.9275833333333594</v>
      </c>
      <c r="AL237" s="17">
        <f t="shared" si="26"/>
        <v>8</v>
      </c>
      <c r="AM237" s="17">
        <f t="shared" si="27"/>
        <v>292</v>
      </c>
    </row>
    <row r="238" spans="1:39" s="3" customFormat="1" x14ac:dyDescent="0.25">
      <c r="A238" s="2" t="s">
        <v>16</v>
      </c>
      <c r="B238" s="29" t="s">
        <v>740</v>
      </c>
      <c r="C238" s="2" t="s">
        <v>29</v>
      </c>
      <c r="D238" s="2" t="s">
        <v>275</v>
      </c>
      <c r="E238" s="14">
        <v>7734</v>
      </c>
      <c r="F238" s="15">
        <f t="shared" si="21"/>
        <v>269.91660000000002</v>
      </c>
      <c r="G238" s="15">
        <f t="shared" si="22"/>
        <v>309.36</v>
      </c>
      <c r="H238" s="15">
        <f t="shared" si="23"/>
        <v>224.93049999999999</v>
      </c>
      <c r="I238" s="15">
        <f t="shared" si="24"/>
        <v>257.8</v>
      </c>
      <c r="J238" s="10">
        <v>265</v>
      </c>
      <c r="K238" s="10">
        <v>148</v>
      </c>
      <c r="L238" s="10">
        <v>185</v>
      </c>
      <c r="M238" s="10">
        <v>154</v>
      </c>
      <c r="N238" s="10">
        <v>167</v>
      </c>
      <c r="O238" s="10">
        <v>335</v>
      </c>
      <c r="P238" s="10">
        <v>250</v>
      </c>
      <c r="Q238" s="10">
        <v>333</v>
      </c>
      <c r="R238" s="10">
        <v>319</v>
      </c>
      <c r="S238" s="10">
        <v>223</v>
      </c>
      <c r="T238" s="10">
        <v>331</v>
      </c>
      <c r="U238" s="10">
        <v>231</v>
      </c>
      <c r="V238" s="10">
        <v>160</v>
      </c>
      <c r="W238" s="10">
        <v>234</v>
      </c>
      <c r="X238" s="10">
        <v>286</v>
      </c>
      <c r="Y238" s="10">
        <v>205</v>
      </c>
      <c r="Z238" s="10">
        <v>331</v>
      </c>
      <c r="AA238" s="10">
        <v>273</v>
      </c>
      <c r="AB238" s="10">
        <v>210</v>
      </c>
      <c r="AC238" s="10">
        <v>79</v>
      </c>
      <c r="AD238" s="10">
        <v>62</v>
      </c>
      <c r="AE238" s="10">
        <v>55</v>
      </c>
      <c r="AF238" s="10">
        <v>37</v>
      </c>
      <c r="AG238" s="10">
        <v>20</v>
      </c>
      <c r="AH238" s="102">
        <f>SUM(Tableau2[[#This Row],[Td 2]:[Td 5]])</f>
        <v>174</v>
      </c>
      <c r="AI238" s="10">
        <v>58.3</v>
      </c>
      <c r="AJ238" s="10">
        <v>100</v>
      </c>
      <c r="AK238" s="17">
        <f t="shared" si="25"/>
        <v>0</v>
      </c>
      <c r="AL238" s="17">
        <f t="shared" si="26"/>
        <v>49</v>
      </c>
      <c r="AM238" s="17">
        <f t="shared" si="27"/>
        <v>286</v>
      </c>
    </row>
    <row r="239" spans="1:39" s="3" customFormat="1" x14ac:dyDescent="0.25">
      <c r="A239" s="2" t="s">
        <v>16</v>
      </c>
      <c r="B239" s="29" t="s">
        <v>740</v>
      </c>
      <c r="C239" s="2" t="s">
        <v>29</v>
      </c>
      <c r="D239" s="2" t="s">
        <v>276</v>
      </c>
      <c r="E239" s="14">
        <v>9888</v>
      </c>
      <c r="F239" s="15">
        <f t="shared" si="21"/>
        <v>345.09120000000001</v>
      </c>
      <c r="G239" s="15">
        <f t="shared" si="22"/>
        <v>395.52</v>
      </c>
      <c r="H239" s="15">
        <f t="shared" si="23"/>
        <v>287.57600000000002</v>
      </c>
      <c r="I239" s="15">
        <f t="shared" si="24"/>
        <v>329.6</v>
      </c>
      <c r="J239" s="10">
        <v>224</v>
      </c>
      <c r="K239" s="10">
        <v>230</v>
      </c>
      <c r="L239" s="10">
        <v>291</v>
      </c>
      <c r="M239" s="10">
        <v>299</v>
      </c>
      <c r="N239" s="10">
        <v>289</v>
      </c>
      <c r="O239" s="10">
        <v>305</v>
      </c>
      <c r="P239" s="10">
        <v>294</v>
      </c>
      <c r="Q239" s="10">
        <v>292</v>
      </c>
      <c r="R239" s="10">
        <v>299</v>
      </c>
      <c r="S239" s="10">
        <v>308</v>
      </c>
      <c r="T239" s="10">
        <v>304</v>
      </c>
      <c r="U239" s="10">
        <v>297</v>
      </c>
      <c r="V239" s="10">
        <v>288</v>
      </c>
      <c r="W239" s="10">
        <v>341</v>
      </c>
      <c r="X239" s="10">
        <v>294</v>
      </c>
      <c r="Y239" s="10">
        <v>480</v>
      </c>
      <c r="Z239" s="10">
        <v>324</v>
      </c>
      <c r="AA239" s="10">
        <v>239</v>
      </c>
      <c r="AB239" s="10">
        <v>489</v>
      </c>
      <c r="AC239" s="10">
        <v>118</v>
      </c>
      <c r="AD239" s="10">
        <v>106</v>
      </c>
      <c r="AE239" s="10">
        <v>93</v>
      </c>
      <c r="AF239" s="10">
        <v>75</v>
      </c>
      <c r="AG239" s="10">
        <v>61</v>
      </c>
      <c r="AH239" s="102">
        <f>SUM(Tableau2[[#This Row],[Td 2]:[Td 5]])</f>
        <v>335</v>
      </c>
      <c r="AI239" s="10">
        <v>58.3</v>
      </c>
      <c r="AJ239" s="10">
        <v>100</v>
      </c>
      <c r="AK239" s="17">
        <f t="shared" si="25"/>
        <v>0</v>
      </c>
      <c r="AL239" s="17">
        <f t="shared" si="26"/>
        <v>11</v>
      </c>
      <c r="AM239" s="17">
        <f t="shared" si="27"/>
        <v>294</v>
      </c>
    </row>
    <row r="240" spans="1:39" s="3" customFormat="1" x14ac:dyDescent="0.25">
      <c r="A240" s="2" t="s">
        <v>16</v>
      </c>
      <c r="B240" s="29" t="s">
        <v>740</v>
      </c>
      <c r="C240" s="2" t="s">
        <v>29</v>
      </c>
      <c r="D240" s="2" t="s">
        <v>277</v>
      </c>
      <c r="E240" s="14">
        <v>14524</v>
      </c>
      <c r="F240" s="15">
        <f t="shared" si="21"/>
        <v>506.88760000000002</v>
      </c>
      <c r="G240" s="15">
        <f t="shared" si="22"/>
        <v>580.96</v>
      </c>
      <c r="H240" s="15">
        <f t="shared" si="23"/>
        <v>422.40633333333335</v>
      </c>
      <c r="I240" s="15">
        <f t="shared" si="24"/>
        <v>484.13333333333333</v>
      </c>
      <c r="J240" s="10">
        <v>487</v>
      </c>
      <c r="K240" s="10">
        <v>417</v>
      </c>
      <c r="L240" s="10">
        <v>494</v>
      </c>
      <c r="M240" s="10">
        <v>476</v>
      </c>
      <c r="N240" s="10">
        <v>451</v>
      </c>
      <c r="O240" s="10">
        <v>498</v>
      </c>
      <c r="P240" s="10">
        <v>482</v>
      </c>
      <c r="Q240" s="10">
        <v>455</v>
      </c>
      <c r="R240" s="10">
        <v>498</v>
      </c>
      <c r="S240" s="10">
        <v>482</v>
      </c>
      <c r="T240" s="10">
        <v>455</v>
      </c>
      <c r="U240" s="10">
        <v>493</v>
      </c>
      <c r="V240" s="10">
        <v>429</v>
      </c>
      <c r="W240" s="10">
        <v>425</v>
      </c>
      <c r="X240" s="10">
        <v>418</v>
      </c>
      <c r="Y240" s="10">
        <v>493</v>
      </c>
      <c r="Z240" s="10">
        <v>454</v>
      </c>
      <c r="AA240" s="10">
        <v>424</v>
      </c>
      <c r="AB240" s="10">
        <v>455</v>
      </c>
      <c r="AC240" s="10">
        <v>185</v>
      </c>
      <c r="AD240" s="10">
        <v>147</v>
      </c>
      <c r="AE240" s="10">
        <v>87</v>
      </c>
      <c r="AF240" s="10">
        <v>50</v>
      </c>
      <c r="AG240" s="10">
        <v>10</v>
      </c>
      <c r="AH240" s="102">
        <f>SUM(Tableau2[[#This Row],[Td 2]:[Td 5]])</f>
        <v>294</v>
      </c>
      <c r="AI240" s="10">
        <v>58.3</v>
      </c>
      <c r="AJ240" s="10">
        <v>100</v>
      </c>
      <c r="AK240" s="17">
        <f t="shared" si="25"/>
        <v>0</v>
      </c>
      <c r="AL240" s="17">
        <f t="shared" si="26"/>
        <v>80</v>
      </c>
      <c r="AM240" s="17">
        <f t="shared" si="27"/>
        <v>418</v>
      </c>
    </row>
    <row r="241" spans="1:39" s="3" customFormat="1" x14ac:dyDescent="0.25">
      <c r="A241" s="2" t="s">
        <v>16</v>
      </c>
      <c r="B241" s="29" t="s">
        <v>740</v>
      </c>
      <c r="C241" s="2" t="s">
        <v>29</v>
      </c>
      <c r="D241" s="2" t="s">
        <v>278</v>
      </c>
      <c r="E241" s="14">
        <v>9476</v>
      </c>
      <c r="F241" s="15">
        <f t="shared" si="21"/>
        <v>330.7124</v>
      </c>
      <c r="G241" s="15">
        <f t="shared" si="22"/>
        <v>379.04</v>
      </c>
      <c r="H241" s="15">
        <f t="shared" si="23"/>
        <v>275.59366666666665</v>
      </c>
      <c r="I241" s="15">
        <f t="shared" si="24"/>
        <v>315.86666666666667</v>
      </c>
      <c r="J241" s="10">
        <v>389</v>
      </c>
      <c r="K241" s="10">
        <v>230</v>
      </c>
      <c r="L241" s="10">
        <v>305</v>
      </c>
      <c r="M241" s="10">
        <v>283</v>
      </c>
      <c r="N241" s="10">
        <v>296</v>
      </c>
      <c r="O241" s="10">
        <v>313</v>
      </c>
      <c r="P241" s="10">
        <v>359</v>
      </c>
      <c r="Q241" s="10">
        <v>349</v>
      </c>
      <c r="R241" s="10">
        <v>275</v>
      </c>
      <c r="S241" s="10">
        <v>304</v>
      </c>
      <c r="T241" s="10">
        <v>304</v>
      </c>
      <c r="U241" s="10">
        <v>347</v>
      </c>
      <c r="V241" s="10">
        <v>359</v>
      </c>
      <c r="W241" s="10">
        <v>329</v>
      </c>
      <c r="X241" s="10">
        <v>297</v>
      </c>
      <c r="Y241" s="10">
        <v>513</v>
      </c>
      <c r="Z241" s="10">
        <v>263</v>
      </c>
      <c r="AA241" s="10">
        <v>290</v>
      </c>
      <c r="AB241" s="10">
        <v>383</v>
      </c>
      <c r="AC241" s="10">
        <v>152</v>
      </c>
      <c r="AD241" s="10">
        <v>128</v>
      </c>
      <c r="AE241" s="10">
        <v>83</v>
      </c>
      <c r="AF241" s="10">
        <v>58</v>
      </c>
      <c r="AG241" s="10">
        <v>53</v>
      </c>
      <c r="AH241" s="102">
        <f>SUM(Tableau2[[#This Row],[Td 2]:[Td 5]])</f>
        <v>322</v>
      </c>
      <c r="AI241" s="10">
        <v>58.3</v>
      </c>
      <c r="AJ241" s="10">
        <v>100</v>
      </c>
      <c r="AK241" s="17">
        <f t="shared" si="25"/>
        <v>0</v>
      </c>
      <c r="AL241" s="17">
        <f t="shared" si="26"/>
        <v>16</v>
      </c>
      <c r="AM241" s="17">
        <f t="shared" si="27"/>
        <v>263</v>
      </c>
    </row>
    <row r="242" spans="1:39" s="3" customFormat="1" x14ac:dyDescent="0.25">
      <c r="A242" s="2" t="s">
        <v>16</v>
      </c>
      <c r="B242" s="29" t="s">
        <v>740</v>
      </c>
      <c r="C242" s="2" t="s">
        <v>29</v>
      </c>
      <c r="D242" s="2" t="s">
        <v>279</v>
      </c>
      <c r="E242" s="14">
        <v>26714</v>
      </c>
      <c r="F242" s="15">
        <f t="shared" si="21"/>
        <v>932.31860000000006</v>
      </c>
      <c r="G242" s="15">
        <f t="shared" si="22"/>
        <v>1068.56</v>
      </c>
      <c r="H242" s="15">
        <f t="shared" si="23"/>
        <v>776.93216666666672</v>
      </c>
      <c r="I242" s="15">
        <f t="shared" si="24"/>
        <v>890.4666666666667</v>
      </c>
      <c r="J242" s="10">
        <v>881</v>
      </c>
      <c r="K242" s="10">
        <v>607</v>
      </c>
      <c r="L242" s="10">
        <v>768</v>
      </c>
      <c r="M242" s="10">
        <v>747</v>
      </c>
      <c r="N242" s="10">
        <v>734</v>
      </c>
      <c r="O242" s="10">
        <v>830</v>
      </c>
      <c r="P242" s="10">
        <v>828</v>
      </c>
      <c r="Q242" s="10">
        <v>814</v>
      </c>
      <c r="R242" s="10">
        <v>792</v>
      </c>
      <c r="S242" s="10">
        <v>861</v>
      </c>
      <c r="T242" s="10">
        <v>798</v>
      </c>
      <c r="U242" s="10">
        <v>1245</v>
      </c>
      <c r="V242" s="10">
        <v>1193</v>
      </c>
      <c r="W242" s="10">
        <v>1120</v>
      </c>
      <c r="X242" s="10">
        <v>787</v>
      </c>
      <c r="Y242" s="10">
        <v>853</v>
      </c>
      <c r="Z242" s="10">
        <v>771</v>
      </c>
      <c r="AA242" s="10">
        <v>822</v>
      </c>
      <c r="AB242" s="10">
        <v>1177</v>
      </c>
      <c r="AC242" s="10">
        <v>259</v>
      </c>
      <c r="AD242" s="10">
        <v>221</v>
      </c>
      <c r="AE242" s="10">
        <v>213</v>
      </c>
      <c r="AF242" s="10">
        <v>187</v>
      </c>
      <c r="AG242" s="10">
        <v>227</v>
      </c>
      <c r="AH242" s="102">
        <f>SUM(Tableau2[[#This Row],[Td 2]:[Td 5]])</f>
        <v>848</v>
      </c>
      <c r="AI242" s="10">
        <v>58.3</v>
      </c>
      <c r="AJ242" s="10">
        <v>100</v>
      </c>
      <c r="AK242" s="17">
        <f t="shared" si="25"/>
        <v>0</v>
      </c>
      <c r="AL242" s="17">
        <f t="shared" si="26"/>
        <v>43</v>
      </c>
      <c r="AM242" s="17">
        <f t="shared" si="27"/>
        <v>771</v>
      </c>
    </row>
    <row r="243" spans="1:39" s="3" customFormat="1" x14ac:dyDescent="0.25">
      <c r="A243" s="2" t="s">
        <v>16</v>
      </c>
      <c r="B243" s="29" t="s">
        <v>739</v>
      </c>
      <c r="C243" s="2" t="s">
        <v>30</v>
      </c>
      <c r="D243" s="2" t="s">
        <v>280</v>
      </c>
      <c r="E243" s="14">
        <v>24318</v>
      </c>
      <c r="F243" s="15">
        <f t="shared" si="21"/>
        <v>848.69820000000004</v>
      </c>
      <c r="G243" s="15">
        <f t="shared" si="22"/>
        <v>972.72</v>
      </c>
      <c r="H243" s="15">
        <f t="shared" si="23"/>
        <v>707.24850000000004</v>
      </c>
      <c r="I243" s="15">
        <f t="shared" si="24"/>
        <v>810.6</v>
      </c>
      <c r="J243" s="10">
        <v>749</v>
      </c>
      <c r="K243" s="10">
        <v>361</v>
      </c>
      <c r="L243" s="10">
        <v>903</v>
      </c>
      <c r="M243" s="10">
        <v>787</v>
      </c>
      <c r="N243" s="10">
        <v>854</v>
      </c>
      <c r="O243" s="10">
        <v>833</v>
      </c>
      <c r="P243" s="10">
        <v>729</v>
      </c>
      <c r="Q243" s="10">
        <v>791</v>
      </c>
      <c r="R243" s="10">
        <v>833</v>
      </c>
      <c r="S243" s="10">
        <v>729</v>
      </c>
      <c r="T243" s="10">
        <v>791</v>
      </c>
      <c r="U243" s="10">
        <v>791</v>
      </c>
      <c r="V243" s="10">
        <v>691</v>
      </c>
      <c r="W243" s="10">
        <v>741</v>
      </c>
      <c r="X243" s="10">
        <v>857</v>
      </c>
      <c r="Y243" s="10">
        <v>414</v>
      </c>
      <c r="Z243" s="10">
        <v>857</v>
      </c>
      <c r="AA243" s="10">
        <v>854</v>
      </c>
      <c r="AB243" s="10">
        <v>804</v>
      </c>
      <c r="AC243" s="10">
        <v>705</v>
      </c>
      <c r="AD243" s="10">
        <v>560</v>
      </c>
      <c r="AE243" s="10">
        <v>244</v>
      </c>
      <c r="AF243" s="10">
        <v>115</v>
      </c>
      <c r="AG243" s="10">
        <v>56</v>
      </c>
      <c r="AH243" s="102">
        <f>SUM(Tableau2[[#This Row],[Td 2]:[Td 5]])</f>
        <v>975</v>
      </c>
      <c r="AI243" s="10">
        <v>58.3</v>
      </c>
      <c r="AJ243" s="10">
        <v>100</v>
      </c>
      <c r="AK243" s="17">
        <f t="shared" si="25"/>
        <v>0</v>
      </c>
      <c r="AL243" s="17">
        <f t="shared" si="26"/>
        <v>0</v>
      </c>
      <c r="AM243" s="17">
        <f t="shared" si="27"/>
        <v>857</v>
      </c>
    </row>
    <row r="244" spans="1:39" s="3" customFormat="1" x14ac:dyDescent="0.25">
      <c r="A244" s="2" t="s">
        <v>16</v>
      </c>
      <c r="B244" s="29" t="s">
        <v>739</v>
      </c>
      <c r="C244" s="2" t="s">
        <v>30</v>
      </c>
      <c r="D244" s="2" t="s">
        <v>281</v>
      </c>
      <c r="E244" s="14">
        <v>13508</v>
      </c>
      <c r="F244" s="15">
        <f t="shared" si="21"/>
        <v>471.42919999999998</v>
      </c>
      <c r="G244" s="15">
        <f t="shared" si="22"/>
        <v>540.32000000000005</v>
      </c>
      <c r="H244" s="15">
        <f t="shared" si="23"/>
        <v>392.85766666666666</v>
      </c>
      <c r="I244" s="15">
        <f t="shared" si="24"/>
        <v>450.26666666666671</v>
      </c>
      <c r="J244" s="10">
        <v>347</v>
      </c>
      <c r="K244" s="10">
        <v>126</v>
      </c>
      <c r="L244" s="10">
        <v>528</v>
      </c>
      <c r="M244" s="10">
        <v>445</v>
      </c>
      <c r="N244" s="10">
        <v>501</v>
      </c>
      <c r="O244" s="10">
        <v>508</v>
      </c>
      <c r="P244" s="10">
        <v>437</v>
      </c>
      <c r="Q244" s="10">
        <v>451</v>
      </c>
      <c r="R244" s="10">
        <v>503</v>
      </c>
      <c r="S244" s="10">
        <v>410</v>
      </c>
      <c r="T244" s="10">
        <v>425</v>
      </c>
      <c r="U244" s="10">
        <v>544</v>
      </c>
      <c r="V244" s="10">
        <v>438</v>
      </c>
      <c r="W244" s="10">
        <v>478</v>
      </c>
      <c r="X244" s="10">
        <v>442</v>
      </c>
      <c r="Y244" s="10">
        <v>93</v>
      </c>
      <c r="Z244" s="10">
        <v>446</v>
      </c>
      <c r="AA244" s="10">
        <v>563</v>
      </c>
      <c r="AB244" s="10">
        <v>436</v>
      </c>
      <c r="AC244" s="10">
        <v>231</v>
      </c>
      <c r="AD244" s="10">
        <v>163</v>
      </c>
      <c r="AE244" s="10">
        <v>56</v>
      </c>
      <c r="AF244" s="10">
        <v>21</v>
      </c>
      <c r="AG244" s="10">
        <v>10</v>
      </c>
      <c r="AH244" s="102">
        <f>SUM(Tableau2[[#This Row],[Td 2]:[Td 5]])</f>
        <v>250</v>
      </c>
      <c r="AI244" s="10">
        <v>58.3</v>
      </c>
      <c r="AJ244" s="10">
        <v>100</v>
      </c>
      <c r="AK244" s="17">
        <f t="shared" si="25"/>
        <v>0</v>
      </c>
      <c r="AL244" s="17">
        <f t="shared" si="26"/>
        <v>66</v>
      </c>
      <c r="AM244" s="17">
        <f t="shared" si="27"/>
        <v>442</v>
      </c>
    </row>
    <row r="245" spans="1:39" s="3" customFormat="1" x14ac:dyDescent="0.25">
      <c r="A245" s="2" t="s">
        <v>16</v>
      </c>
      <c r="B245" s="29" t="s">
        <v>739</v>
      </c>
      <c r="C245" s="2" t="s">
        <v>30</v>
      </c>
      <c r="D245" s="2" t="s">
        <v>282</v>
      </c>
      <c r="E245" s="14">
        <v>14710</v>
      </c>
      <c r="F245" s="15">
        <f t="shared" si="21"/>
        <v>513.37900000000002</v>
      </c>
      <c r="G245" s="15">
        <f t="shared" si="22"/>
        <v>588.4</v>
      </c>
      <c r="H245" s="15">
        <f t="shared" si="23"/>
        <v>427.81583333333339</v>
      </c>
      <c r="I245" s="15">
        <f t="shared" si="24"/>
        <v>490.33333333333331</v>
      </c>
      <c r="J245" s="10">
        <v>355</v>
      </c>
      <c r="K245" s="10">
        <v>104</v>
      </c>
      <c r="L245" s="10">
        <v>484</v>
      </c>
      <c r="M245" s="10">
        <v>393</v>
      </c>
      <c r="N245" s="10">
        <v>423</v>
      </c>
      <c r="O245" s="10">
        <v>396</v>
      </c>
      <c r="P245" s="10">
        <v>343</v>
      </c>
      <c r="Q245" s="10">
        <v>375</v>
      </c>
      <c r="R245" s="10">
        <v>444</v>
      </c>
      <c r="S245" s="10">
        <v>393</v>
      </c>
      <c r="T245" s="10">
        <v>423</v>
      </c>
      <c r="U245" s="10">
        <v>439</v>
      </c>
      <c r="V245" s="10">
        <v>367</v>
      </c>
      <c r="W245" s="10">
        <v>416</v>
      </c>
      <c r="X245" s="10">
        <v>452</v>
      </c>
      <c r="Y245" s="10">
        <v>159</v>
      </c>
      <c r="Z245" s="10">
        <v>427</v>
      </c>
      <c r="AA245" s="10">
        <v>426</v>
      </c>
      <c r="AB245" s="10">
        <v>432</v>
      </c>
      <c r="AC245" s="10">
        <v>255</v>
      </c>
      <c r="AD245" s="10">
        <v>123</v>
      </c>
      <c r="AE245" s="10">
        <v>86</v>
      </c>
      <c r="AF245" s="10">
        <v>39</v>
      </c>
      <c r="AG245" s="10">
        <v>8</v>
      </c>
      <c r="AH245" s="102">
        <f>SUM(Tableau2[[#This Row],[Td 2]:[Td 5]])</f>
        <v>256</v>
      </c>
      <c r="AI245" s="10">
        <v>58.3</v>
      </c>
      <c r="AJ245" s="10">
        <v>100</v>
      </c>
      <c r="AK245" s="17">
        <f t="shared" si="25"/>
        <v>31.815833333333387</v>
      </c>
      <c r="AL245" s="17">
        <f t="shared" si="26"/>
        <v>0</v>
      </c>
      <c r="AM245" s="17">
        <f t="shared" si="27"/>
        <v>427</v>
      </c>
    </row>
    <row r="246" spans="1:39" s="3" customFormat="1" x14ac:dyDescent="0.25">
      <c r="A246" s="2" t="s">
        <v>16</v>
      </c>
      <c r="B246" s="29" t="s">
        <v>739</v>
      </c>
      <c r="C246" s="2" t="s">
        <v>30</v>
      </c>
      <c r="D246" s="2" t="s">
        <v>283</v>
      </c>
      <c r="E246" s="14">
        <v>22166</v>
      </c>
      <c r="F246" s="15">
        <f t="shared" si="21"/>
        <v>773.59339999999997</v>
      </c>
      <c r="G246" s="15">
        <f t="shared" si="22"/>
        <v>886.64</v>
      </c>
      <c r="H246" s="15">
        <f t="shared" si="23"/>
        <v>644.66116666666665</v>
      </c>
      <c r="I246" s="15">
        <f t="shared" si="24"/>
        <v>738.86666666666667</v>
      </c>
      <c r="J246" s="10">
        <v>606</v>
      </c>
      <c r="K246" s="10">
        <v>210</v>
      </c>
      <c r="L246" s="10">
        <v>615</v>
      </c>
      <c r="M246" s="10">
        <v>532</v>
      </c>
      <c r="N246" s="10">
        <v>598</v>
      </c>
      <c r="O246" s="10">
        <v>614</v>
      </c>
      <c r="P246" s="10">
        <v>628</v>
      </c>
      <c r="Q246" s="10">
        <v>596</v>
      </c>
      <c r="R246" s="10">
        <v>600</v>
      </c>
      <c r="S246" s="10">
        <v>594</v>
      </c>
      <c r="T246" s="10">
        <v>575</v>
      </c>
      <c r="U246" s="10">
        <v>563</v>
      </c>
      <c r="V246" s="10">
        <v>548</v>
      </c>
      <c r="W246" s="10">
        <v>524</v>
      </c>
      <c r="X246" s="10">
        <v>644</v>
      </c>
      <c r="Y246" s="10">
        <v>180</v>
      </c>
      <c r="Z246" s="10">
        <v>506</v>
      </c>
      <c r="AA246" s="10">
        <v>545</v>
      </c>
      <c r="AB246" s="10">
        <v>587</v>
      </c>
      <c r="AC246" s="10">
        <v>236</v>
      </c>
      <c r="AD246" s="10">
        <v>196</v>
      </c>
      <c r="AE246" s="10">
        <v>34</v>
      </c>
      <c r="AF246" s="10">
        <v>31</v>
      </c>
      <c r="AG246" s="10">
        <v>21</v>
      </c>
      <c r="AH246" s="102">
        <f>SUM(Tableau2[[#This Row],[Td 2]:[Td 5]])</f>
        <v>282</v>
      </c>
      <c r="AI246" s="10">
        <v>58.3</v>
      </c>
      <c r="AJ246" s="10">
        <v>100</v>
      </c>
      <c r="AK246" s="17">
        <f t="shared" si="25"/>
        <v>30.661166666666645</v>
      </c>
      <c r="AL246" s="17">
        <f t="shared" si="26"/>
        <v>0</v>
      </c>
      <c r="AM246" s="17">
        <f t="shared" si="27"/>
        <v>506</v>
      </c>
    </row>
    <row r="247" spans="1:39" s="3" customFormat="1" x14ac:dyDescent="0.25">
      <c r="A247" s="2" t="s">
        <v>16</v>
      </c>
      <c r="B247" s="29" t="s">
        <v>739</v>
      </c>
      <c r="C247" s="2" t="s">
        <v>30</v>
      </c>
      <c r="D247" s="2" t="s">
        <v>284</v>
      </c>
      <c r="E247" s="14">
        <v>24251</v>
      </c>
      <c r="F247" s="15">
        <f t="shared" si="21"/>
        <v>846.35990000000004</v>
      </c>
      <c r="G247" s="15">
        <f t="shared" si="22"/>
        <v>970.04</v>
      </c>
      <c r="H247" s="15">
        <f t="shared" si="23"/>
        <v>705.29991666666672</v>
      </c>
      <c r="I247" s="15">
        <f t="shared" si="24"/>
        <v>808.36666666666656</v>
      </c>
      <c r="J247" s="10">
        <v>866</v>
      </c>
      <c r="K247" s="10">
        <v>481</v>
      </c>
      <c r="L247" s="10">
        <v>797</v>
      </c>
      <c r="M247" s="10">
        <v>715</v>
      </c>
      <c r="N247" s="10">
        <v>740</v>
      </c>
      <c r="O247" s="10">
        <v>1179</v>
      </c>
      <c r="P247" s="10">
        <v>1007</v>
      </c>
      <c r="Q247" s="10">
        <v>1918</v>
      </c>
      <c r="R247" s="10">
        <v>1211</v>
      </c>
      <c r="S247" s="10">
        <v>1061</v>
      </c>
      <c r="T247" s="10">
        <v>1154</v>
      </c>
      <c r="U247" s="10">
        <v>1201</v>
      </c>
      <c r="V247" s="10">
        <v>1035</v>
      </c>
      <c r="W247" s="10">
        <v>1135</v>
      </c>
      <c r="X247" s="10">
        <v>1013</v>
      </c>
      <c r="Y247" s="10">
        <v>214</v>
      </c>
      <c r="Z247" s="10">
        <v>1614</v>
      </c>
      <c r="AA247" s="10">
        <v>1376</v>
      </c>
      <c r="AB247" s="10">
        <v>1048</v>
      </c>
      <c r="AC247" s="10">
        <v>202</v>
      </c>
      <c r="AD247" s="10">
        <v>37</v>
      </c>
      <c r="AE247" s="10">
        <v>37</v>
      </c>
      <c r="AF247" s="10">
        <v>19</v>
      </c>
      <c r="AG247" s="10">
        <v>11</v>
      </c>
      <c r="AH247" s="102">
        <f>SUM(Tableau2[[#This Row],[Td 2]:[Td 5]])</f>
        <v>104</v>
      </c>
      <c r="AI247" s="10">
        <v>58.3</v>
      </c>
      <c r="AJ247" s="10">
        <v>100</v>
      </c>
      <c r="AK247" s="17">
        <f t="shared" si="25"/>
        <v>0</v>
      </c>
      <c r="AL247" s="17">
        <f t="shared" si="26"/>
        <v>166</v>
      </c>
      <c r="AM247" s="17">
        <f t="shared" si="27"/>
        <v>1013</v>
      </c>
    </row>
    <row r="248" spans="1:39" s="3" customFormat="1" x14ac:dyDescent="0.25">
      <c r="A248" s="2" t="s">
        <v>16</v>
      </c>
      <c r="B248" s="29" t="s">
        <v>739</v>
      </c>
      <c r="C248" s="2" t="s">
        <v>30</v>
      </c>
      <c r="D248" s="2" t="s">
        <v>285</v>
      </c>
      <c r="E248" s="14">
        <v>23498</v>
      </c>
      <c r="F248" s="15">
        <f t="shared" si="21"/>
        <v>820.08019999999999</v>
      </c>
      <c r="G248" s="15">
        <f t="shared" si="22"/>
        <v>939.92000000000007</v>
      </c>
      <c r="H248" s="15">
        <f t="shared" si="23"/>
        <v>683.40016666666668</v>
      </c>
      <c r="I248" s="15">
        <f t="shared" si="24"/>
        <v>783.26666666666665</v>
      </c>
      <c r="J248" s="10">
        <v>675</v>
      </c>
      <c r="K248" s="10">
        <v>621</v>
      </c>
      <c r="L248" s="10">
        <v>656</v>
      </c>
      <c r="M248" s="10">
        <v>642</v>
      </c>
      <c r="N248" s="10">
        <v>625</v>
      </c>
      <c r="O248" s="10">
        <v>595</v>
      </c>
      <c r="P248" s="10">
        <v>624</v>
      </c>
      <c r="Q248" s="10">
        <v>608</v>
      </c>
      <c r="R248" s="10">
        <v>655</v>
      </c>
      <c r="S248" s="10">
        <v>641</v>
      </c>
      <c r="T248" s="10">
        <v>624</v>
      </c>
      <c r="U248" s="10">
        <v>621</v>
      </c>
      <c r="V248" s="10">
        <v>2479</v>
      </c>
      <c r="W248" s="10">
        <v>583</v>
      </c>
      <c r="X248" s="10">
        <v>663</v>
      </c>
      <c r="Y248" s="10">
        <v>91</v>
      </c>
      <c r="Z248" s="10">
        <v>619</v>
      </c>
      <c r="AA248" s="10">
        <v>625</v>
      </c>
      <c r="AB248" s="10">
        <v>661</v>
      </c>
      <c r="AC248" s="10">
        <v>256</v>
      </c>
      <c r="AD248" s="10">
        <v>139</v>
      </c>
      <c r="AE248" s="10">
        <v>52</v>
      </c>
      <c r="AF248" s="10">
        <v>61</v>
      </c>
      <c r="AG248" s="10">
        <v>56</v>
      </c>
      <c r="AH248" s="102">
        <f>SUM(Tableau2[[#This Row],[Td 2]:[Td 5]])</f>
        <v>308</v>
      </c>
      <c r="AI248" s="10">
        <v>50</v>
      </c>
      <c r="AJ248" s="10">
        <v>100</v>
      </c>
      <c r="AK248" s="17">
        <f t="shared" si="25"/>
        <v>88.400166666666678</v>
      </c>
      <c r="AL248" s="17">
        <f t="shared" si="26"/>
        <v>0</v>
      </c>
      <c r="AM248" s="17">
        <f t="shared" si="27"/>
        <v>619</v>
      </c>
    </row>
    <row r="249" spans="1:39" s="3" customFormat="1" x14ac:dyDescent="0.25">
      <c r="A249" s="2" t="s">
        <v>16</v>
      </c>
      <c r="B249" s="29" t="s">
        <v>739</v>
      </c>
      <c r="C249" s="2" t="s">
        <v>30</v>
      </c>
      <c r="D249" s="2" t="s">
        <v>286</v>
      </c>
      <c r="E249" s="14">
        <v>20800</v>
      </c>
      <c r="F249" s="15">
        <f t="shared" si="21"/>
        <v>725.92</v>
      </c>
      <c r="G249" s="15">
        <f t="shared" si="22"/>
        <v>832</v>
      </c>
      <c r="H249" s="15">
        <f t="shared" si="23"/>
        <v>604.93333333333328</v>
      </c>
      <c r="I249" s="15">
        <f t="shared" si="24"/>
        <v>693.33333333333326</v>
      </c>
      <c r="J249" s="10">
        <v>458</v>
      </c>
      <c r="K249" s="10">
        <v>319</v>
      </c>
      <c r="L249" s="10">
        <v>636</v>
      </c>
      <c r="M249" s="10">
        <v>624</v>
      </c>
      <c r="N249" s="10">
        <v>632</v>
      </c>
      <c r="O249" s="10">
        <v>698</v>
      </c>
      <c r="P249" s="10">
        <v>669</v>
      </c>
      <c r="Q249" s="10">
        <v>672</v>
      </c>
      <c r="R249" s="10">
        <v>693</v>
      </c>
      <c r="S249" s="10">
        <v>661</v>
      </c>
      <c r="T249" s="10">
        <v>660</v>
      </c>
      <c r="U249" s="10">
        <v>564</v>
      </c>
      <c r="V249" s="10">
        <v>549</v>
      </c>
      <c r="W249" s="10">
        <v>537</v>
      </c>
      <c r="X249" s="10">
        <v>602</v>
      </c>
      <c r="Y249" s="10">
        <v>78</v>
      </c>
      <c r="Z249" s="10">
        <v>611</v>
      </c>
      <c r="AA249" s="10">
        <v>689</v>
      </c>
      <c r="AB249" s="10">
        <v>478</v>
      </c>
      <c r="AC249" s="10">
        <v>173</v>
      </c>
      <c r="AD249" s="10">
        <v>109</v>
      </c>
      <c r="AE249" s="10">
        <v>72</v>
      </c>
      <c r="AF249" s="10">
        <v>48</v>
      </c>
      <c r="AG249" s="10">
        <v>29</v>
      </c>
      <c r="AH249" s="102">
        <f>SUM(Tableau2[[#This Row],[Td 2]:[Td 5]])</f>
        <v>258</v>
      </c>
      <c r="AI249" s="10">
        <v>58.3</v>
      </c>
      <c r="AJ249" s="10">
        <v>100</v>
      </c>
      <c r="AK249" s="17">
        <f t="shared" si="25"/>
        <v>0</v>
      </c>
      <c r="AL249" s="17">
        <f t="shared" si="26"/>
        <v>96</v>
      </c>
      <c r="AM249" s="17">
        <f t="shared" si="27"/>
        <v>602</v>
      </c>
    </row>
    <row r="250" spans="1:39" s="3" customFormat="1" x14ac:dyDescent="0.25">
      <c r="A250" s="2" t="s">
        <v>16</v>
      </c>
      <c r="B250" s="29" t="s">
        <v>739</v>
      </c>
      <c r="C250" s="2" t="s">
        <v>30</v>
      </c>
      <c r="D250" s="2" t="s">
        <v>287</v>
      </c>
      <c r="E250" s="14">
        <v>21993</v>
      </c>
      <c r="F250" s="15">
        <f t="shared" si="21"/>
        <v>767.5557</v>
      </c>
      <c r="G250" s="15">
        <f t="shared" si="22"/>
        <v>879.72</v>
      </c>
      <c r="H250" s="15">
        <f t="shared" si="23"/>
        <v>639.62975000000006</v>
      </c>
      <c r="I250" s="15">
        <f t="shared" si="24"/>
        <v>733.1</v>
      </c>
      <c r="J250" s="10">
        <v>766</v>
      </c>
      <c r="K250" s="10">
        <v>246</v>
      </c>
      <c r="L250" s="10">
        <v>632</v>
      </c>
      <c r="M250" s="10">
        <v>619</v>
      </c>
      <c r="N250" s="10">
        <v>607</v>
      </c>
      <c r="O250" s="10">
        <v>632</v>
      </c>
      <c r="P250" s="10">
        <v>618</v>
      </c>
      <c r="Q250" s="10">
        <v>612</v>
      </c>
      <c r="R250" s="10">
        <v>630</v>
      </c>
      <c r="S250" s="10">
        <v>617</v>
      </c>
      <c r="T250" s="10">
        <v>609</v>
      </c>
      <c r="U250" s="10">
        <v>630</v>
      </c>
      <c r="V250" s="10">
        <v>619</v>
      </c>
      <c r="W250" s="10">
        <v>609</v>
      </c>
      <c r="X250" s="10">
        <v>737</v>
      </c>
      <c r="Y250" s="10">
        <v>123</v>
      </c>
      <c r="Z250" s="10">
        <v>773</v>
      </c>
      <c r="AA250" s="10">
        <v>607</v>
      </c>
      <c r="AB250" s="10">
        <v>275</v>
      </c>
      <c r="AC250" s="10">
        <v>156</v>
      </c>
      <c r="AD250" s="10">
        <v>61</v>
      </c>
      <c r="AE250" s="10">
        <v>58</v>
      </c>
      <c r="AF250" s="10">
        <v>36</v>
      </c>
      <c r="AG250" s="10">
        <v>27</v>
      </c>
      <c r="AH250" s="102">
        <f>SUM(Tableau2[[#This Row],[Td 2]:[Td 5]])</f>
        <v>182</v>
      </c>
      <c r="AI250" s="10">
        <v>58.3</v>
      </c>
      <c r="AJ250" s="10">
        <v>100</v>
      </c>
      <c r="AK250" s="17">
        <f t="shared" si="25"/>
        <v>7.6297500000000582</v>
      </c>
      <c r="AL250" s="17">
        <f t="shared" si="26"/>
        <v>0</v>
      </c>
      <c r="AM250" s="17">
        <f t="shared" si="27"/>
        <v>737</v>
      </c>
    </row>
    <row r="251" spans="1:39" s="3" customFormat="1" x14ac:dyDescent="0.25">
      <c r="A251" s="2" t="s">
        <v>16</v>
      </c>
      <c r="B251" s="29" t="s">
        <v>739</v>
      </c>
      <c r="C251" s="2" t="s">
        <v>30</v>
      </c>
      <c r="D251" s="2" t="s">
        <v>288</v>
      </c>
      <c r="E251" s="14">
        <v>31007</v>
      </c>
      <c r="F251" s="15">
        <f t="shared" si="21"/>
        <v>1082.1442999999999</v>
      </c>
      <c r="G251" s="15">
        <f t="shared" si="22"/>
        <v>1240.28</v>
      </c>
      <c r="H251" s="15">
        <f t="shared" si="23"/>
        <v>901.78691666666668</v>
      </c>
      <c r="I251" s="15">
        <f t="shared" si="24"/>
        <v>1033.5666666666666</v>
      </c>
      <c r="J251" s="10">
        <v>1133</v>
      </c>
      <c r="K251" s="10">
        <v>1423</v>
      </c>
      <c r="L251" s="10">
        <v>923</v>
      </c>
      <c r="M251" s="10">
        <v>877</v>
      </c>
      <c r="N251" s="10">
        <v>885</v>
      </c>
      <c r="O251" s="10">
        <v>918</v>
      </c>
      <c r="P251" s="10">
        <v>872</v>
      </c>
      <c r="Q251" s="10">
        <v>889</v>
      </c>
      <c r="R251" s="10">
        <v>918</v>
      </c>
      <c r="S251" s="10">
        <v>872</v>
      </c>
      <c r="T251" s="10">
        <v>889</v>
      </c>
      <c r="U251" s="10">
        <v>796</v>
      </c>
      <c r="V251" s="10">
        <v>779</v>
      </c>
      <c r="W251" s="10">
        <v>771</v>
      </c>
      <c r="X251" s="10">
        <v>893</v>
      </c>
      <c r="Y251" s="10">
        <v>361</v>
      </c>
      <c r="Z251" s="10">
        <v>893</v>
      </c>
      <c r="AA251" s="10">
        <v>884</v>
      </c>
      <c r="AB251" s="10">
        <v>893</v>
      </c>
      <c r="AC251" s="10">
        <v>781</v>
      </c>
      <c r="AD251" s="10">
        <v>514</v>
      </c>
      <c r="AE251" s="10">
        <v>316</v>
      </c>
      <c r="AF251" s="10">
        <v>112</v>
      </c>
      <c r="AG251" s="10">
        <v>128</v>
      </c>
      <c r="AH251" s="102">
        <f>SUM(Tableau2[[#This Row],[Td 2]:[Td 5]])</f>
        <v>1070</v>
      </c>
      <c r="AI251" s="10">
        <v>58.3</v>
      </c>
      <c r="AJ251" s="10">
        <v>100</v>
      </c>
      <c r="AK251" s="17">
        <f t="shared" si="25"/>
        <v>0</v>
      </c>
      <c r="AL251" s="17">
        <f t="shared" si="26"/>
        <v>25</v>
      </c>
      <c r="AM251" s="17">
        <f t="shared" si="27"/>
        <v>893</v>
      </c>
    </row>
    <row r="252" spans="1:39" s="3" customFormat="1" x14ac:dyDescent="0.25">
      <c r="A252" s="2" t="s">
        <v>16</v>
      </c>
      <c r="B252" s="29" t="s">
        <v>739</v>
      </c>
      <c r="C252" s="2" t="s">
        <v>30</v>
      </c>
      <c r="D252" s="2" t="s">
        <v>289</v>
      </c>
      <c r="E252" s="14">
        <v>27321</v>
      </c>
      <c r="F252" s="15">
        <f t="shared" si="21"/>
        <v>953.50290000000007</v>
      </c>
      <c r="G252" s="15">
        <f t="shared" si="22"/>
        <v>1092.8399999999999</v>
      </c>
      <c r="H252" s="15">
        <f t="shared" si="23"/>
        <v>794.58575000000008</v>
      </c>
      <c r="I252" s="15">
        <f t="shared" si="24"/>
        <v>910.69999999999993</v>
      </c>
      <c r="J252" s="10">
        <v>538</v>
      </c>
      <c r="K252" s="10">
        <v>131</v>
      </c>
      <c r="L252" s="10">
        <v>698</v>
      </c>
      <c r="M252" s="10">
        <v>720</v>
      </c>
      <c r="N252" s="10">
        <v>592</v>
      </c>
      <c r="O252" s="10">
        <v>868</v>
      </c>
      <c r="P252" s="10">
        <v>880</v>
      </c>
      <c r="Q252" s="10">
        <v>815</v>
      </c>
      <c r="R252" s="10">
        <v>876</v>
      </c>
      <c r="S252" s="10">
        <v>851</v>
      </c>
      <c r="T252" s="10">
        <v>802</v>
      </c>
      <c r="U252" s="10">
        <v>901</v>
      </c>
      <c r="V252" s="10">
        <v>853</v>
      </c>
      <c r="W252" s="10">
        <v>691</v>
      </c>
      <c r="X252" s="10">
        <v>855</v>
      </c>
      <c r="Y252" s="10">
        <v>223</v>
      </c>
      <c r="Z252" s="10">
        <v>685</v>
      </c>
      <c r="AA252" s="10">
        <v>1002</v>
      </c>
      <c r="AB252" s="10">
        <v>783</v>
      </c>
      <c r="AC252" s="10">
        <v>175</v>
      </c>
      <c r="AD252" s="10">
        <v>81</v>
      </c>
      <c r="AE252" s="10">
        <v>80</v>
      </c>
      <c r="AF252" s="10">
        <v>49</v>
      </c>
      <c r="AG252" s="10">
        <v>2</v>
      </c>
      <c r="AH252" s="102">
        <f>SUM(Tableau2[[#This Row],[Td 2]:[Td 5]])</f>
        <v>212</v>
      </c>
      <c r="AI252" s="10">
        <v>58.3</v>
      </c>
      <c r="AJ252" s="10">
        <v>100</v>
      </c>
      <c r="AK252" s="17">
        <f t="shared" si="25"/>
        <v>0</v>
      </c>
      <c r="AL252" s="17">
        <f t="shared" si="26"/>
        <v>13</v>
      </c>
      <c r="AM252" s="17">
        <f t="shared" si="27"/>
        <v>685</v>
      </c>
    </row>
    <row r="253" spans="1:39" s="3" customFormat="1" x14ac:dyDescent="0.25">
      <c r="A253" s="2" t="s">
        <v>16</v>
      </c>
      <c r="B253" s="29" t="s">
        <v>739</v>
      </c>
      <c r="C253" s="2" t="s">
        <v>30</v>
      </c>
      <c r="D253" s="2" t="s">
        <v>290</v>
      </c>
      <c r="E253" s="14">
        <v>20127</v>
      </c>
      <c r="F253" s="15">
        <f t="shared" si="21"/>
        <v>702.43230000000005</v>
      </c>
      <c r="G253" s="15">
        <f t="shared" si="22"/>
        <v>805.08</v>
      </c>
      <c r="H253" s="15">
        <f t="shared" si="23"/>
        <v>585.36025000000006</v>
      </c>
      <c r="I253" s="15">
        <f t="shared" si="24"/>
        <v>670.90000000000009</v>
      </c>
      <c r="J253" s="10">
        <v>630</v>
      </c>
      <c r="K253" s="10">
        <v>377</v>
      </c>
      <c r="L253" s="10">
        <v>551</v>
      </c>
      <c r="M253" s="10">
        <v>463</v>
      </c>
      <c r="N253" s="10">
        <v>508</v>
      </c>
      <c r="O253" s="10">
        <v>531</v>
      </c>
      <c r="P253" s="10">
        <v>449</v>
      </c>
      <c r="Q253" s="10">
        <v>494</v>
      </c>
      <c r="R253" s="10">
        <v>537</v>
      </c>
      <c r="S253" s="10">
        <v>447</v>
      </c>
      <c r="T253" s="10">
        <v>493</v>
      </c>
      <c r="U253" s="10">
        <v>537</v>
      </c>
      <c r="V253" s="10">
        <v>447</v>
      </c>
      <c r="W253" s="10">
        <v>486</v>
      </c>
      <c r="X253" s="10">
        <v>565</v>
      </c>
      <c r="Y253" s="10">
        <v>157</v>
      </c>
      <c r="Z253" s="10">
        <v>514</v>
      </c>
      <c r="AA253" s="10">
        <v>512</v>
      </c>
      <c r="AB253" s="10">
        <v>546</v>
      </c>
      <c r="AC253" s="10">
        <v>328</v>
      </c>
      <c r="AD253" s="10">
        <v>226</v>
      </c>
      <c r="AE253" s="10">
        <v>142</v>
      </c>
      <c r="AF253" s="10">
        <v>92</v>
      </c>
      <c r="AG253" s="10">
        <v>84</v>
      </c>
      <c r="AH253" s="102">
        <f>SUM(Tableau2[[#This Row],[Td 2]:[Td 5]])</f>
        <v>544</v>
      </c>
      <c r="AI253" s="10">
        <v>58.3</v>
      </c>
      <c r="AJ253" s="10">
        <v>100</v>
      </c>
      <c r="AK253" s="17">
        <f t="shared" si="25"/>
        <v>54.360250000000065</v>
      </c>
      <c r="AL253" s="17">
        <f t="shared" si="26"/>
        <v>0</v>
      </c>
      <c r="AM253" s="17">
        <f t="shared" si="27"/>
        <v>514</v>
      </c>
    </row>
    <row r="254" spans="1:39" s="3" customFormat="1" x14ac:dyDescent="0.25">
      <c r="A254" s="2" t="s">
        <v>16</v>
      </c>
      <c r="B254" s="29" t="s">
        <v>739</v>
      </c>
      <c r="C254" s="2" t="s">
        <v>30</v>
      </c>
      <c r="D254" s="2" t="s">
        <v>291</v>
      </c>
      <c r="E254" s="14">
        <v>56001</v>
      </c>
      <c r="F254" s="15">
        <f t="shared" si="21"/>
        <v>1954.4349</v>
      </c>
      <c r="G254" s="15">
        <f t="shared" si="22"/>
        <v>2240.04</v>
      </c>
      <c r="H254" s="15">
        <f t="shared" si="23"/>
        <v>1628.6957499999999</v>
      </c>
      <c r="I254" s="15">
        <f t="shared" si="24"/>
        <v>1866.6999999999998</v>
      </c>
      <c r="J254" s="10">
        <v>1400</v>
      </c>
      <c r="K254" s="10">
        <v>159</v>
      </c>
      <c r="L254" s="10">
        <v>1608</v>
      </c>
      <c r="M254" s="10">
        <v>1586</v>
      </c>
      <c r="N254" s="10">
        <v>1570</v>
      </c>
      <c r="O254" s="10">
        <v>1448</v>
      </c>
      <c r="P254" s="10">
        <v>1365</v>
      </c>
      <c r="Q254" s="10">
        <v>1375</v>
      </c>
      <c r="R254" s="10">
        <v>1513</v>
      </c>
      <c r="S254" s="10">
        <v>1453</v>
      </c>
      <c r="T254" s="10">
        <v>1746</v>
      </c>
      <c r="U254" s="10">
        <v>1351</v>
      </c>
      <c r="V254" s="10">
        <v>1282</v>
      </c>
      <c r="W254" s="10">
        <v>1280</v>
      </c>
      <c r="X254" s="10">
        <v>1566</v>
      </c>
      <c r="Y254" s="10">
        <v>290</v>
      </c>
      <c r="Z254" s="10">
        <v>1346</v>
      </c>
      <c r="AA254" s="10">
        <v>1568</v>
      </c>
      <c r="AB254" s="10">
        <v>1560</v>
      </c>
      <c r="AC254" s="10">
        <v>333</v>
      </c>
      <c r="AD254" s="10">
        <v>492</v>
      </c>
      <c r="AE254" s="10">
        <v>275</v>
      </c>
      <c r="AF254" s="10">
        <v>183</v>
      </c>
      <c r="AG254" s="10">
        <v>138</v>
      </c>
      <c r="AH254" s="102">
        <f>SUM(Tableau2[[#This Row],[Td 2]:[Td 5]])</f>
        <v>1088</v>
      </c>
      <c r="AI254" s="10">
        <v>58.3</v>
      </c>
      <c r="AJ254" s="10">
        <v>100</v>
      </c>
      <c r="AK254" s="17">
        <f t="shared" si="25"/>
        <v>180.69574999999986</v>
      </c>
      <c r="AL254" s="17">
        <f t="shared" si="26"/>
        <v>0</v>
      </c>
      <c r="AM254" s="17">
        <f t="shared" si="27"/>
        <v>1346</v>
      </c>
    </row>
    <row r="255" spans="1:39" s="3" customFormat="1" x14ac:dyDescent="0.25">
      <c r="A255" s="2" t="s">
        <v>16</v>
      </c>
      <c r="B255" s="29" t="s">
        <v>739</v>
      </c>
      <c r="C255" s="2" t="s">
        <v>30</v>
      </c>
      <c r="D255" s="2" t="s">
        <v>292</v>
      </c>
      <c r="E255" s="14">
        <v>27732</v>
      </c>
      <c r="F255" s="15">
        <f t="shared" si="21"/>
        <v>967.84680000000003</v>
      </c>
      <c r="G255" s="15">
        <f t="shared" si="22"/>
        <v>1109.28</v>
      </c>
      <c r="H255" s="15">
        <f t="shared" si="23"/>
        <v>806.5390000000001</v>
      </c>
      <c r="I255" s="15">
        <f t="shared" si="24"/>
        <v>924.4</v>
      </c>
      <c r="J255" s="10">
        <v>1010</v>
      </c>
      <c r="K255" s="10">
        <v>584</v>
      </c>
      <c r="L255" s="10">
        <v>736</v>
      </c>
      <c r="M255" s="10">
        <v>699</v>
      </c>
      <c r="N255" s="10">
        <v>747</v>
      </c>
      <c r="O255" s="10">
        <v>730</v>
      </c>
      <c r="P255" s="10">
        <v>693</v>
      </c>
      <c r="Q255" s="10">
        <v>711</v>
      </c>
      <c r="R255" s="10">
        <v>721</v>
      </c>
      <c r="S255" s="10">
        <v>690</v>
      </c>
      <c r="T255" s="10">
        <v>710</v>
      </c>
      <c r="U255" s="10">
        <v>728</v>
      </c>
      <c r="V255" s="10">
        <v>689</v>
      </c>
      <c r="W255" s="10">
        <v>710</v>
      </c>
      <c r="X255" s="10">
        <v>794</v>
      </c>
      <c r="Y255" s="10">
        <v>218</v>
      </c>
      <c r="Z255" s="10">
        <v>702</v>
      </c>
      <c r="AA255" s="10">
        <v>737</v>
      </c>
      <c r="AB255" s="10">
        <v>791</v>
      </c>
      <c r="AC255" s="10">
        <v>727</v>
      </c>
      <c r="AD255" s="10">
        <v>255</v>
      </c>
      <c r="AE255" s="10">
        <v>483</v>
      </c>
      <c r="AF255" s="10">
        <v>201</v>
      </c>
      <c r="AG255" s="10">
        <v>178</v>
      </c>
      <c r="AH255" s="102">
        <f>SUM(Tableau2[[#This Row],[Td 2]:[Td 5]])</f>
        <v>1117</v>
      </c>
      <c r="AI255" s="10">
        <v>58.3</v>
      </c>
      <c r="AJ255" s="10">
        <v>100</v>
      </c>
      <c r="AK255" s="17">
        <f t="shared" si="25"/>
        <v>76.539000000000101</v>
      </c>
      <c r="AL255" s="17">
        <f t="shared" si="26"/>
        <v>0</v>
      </c>
      <c r="AM255" s="17">
        <f t="shared" si="27"/>
        <v>702</v>
      </c>
    </row>
    <row r="256" spans="1:39" s="3" customFormat="1" x14ac:dyDescent="0.25">
      <c r="A256" s="2" t="s">
        <v>16</v>
      </c>
      <c r="B256" s="29" t="s">
        <v>739</v>
      </c>
      <c r="C256" s="2" t="s">
        <v>30</v>
      </c>
      <c r="D256" s="2" t="s">
        <v>293</v>
      </c>
      <c r="E256" s="14">
        <v>22282</v>
      </c>
      <c r="F256" s="15">
        <f t="shared" si="21"/>
        <v>777.64179999999999</v>
      </c>
      <c r="G256" s="15">
        <f t="shared" si="22"/>
        <v>891.28</v>
      </c>
      <c r="H256" s="15">
        <f t="shared" si="23"/>
        <v>648.03483333333338</v>
      </c>
      <c r="I256" s="15">
        <f t="shared" si="24"/>
        <v>742.73333333333323</v>
      </c>
      <c r="J256" s="10">
        <v>481</v>
      </c>
      <c r="K256" s="10">
        <v>33</v>
      </c>
      <c r="L256" s="10">
        <v>596</v>
      </c>
      <c r="M256" s="10">
        <v>574</v>
      </c>
      <c r="N256" s="10">
        <v>579</v>
      </c>
      <c r="O256" s="10">
        <v>481</v>
      </c>
      <c r="P256" s="10">
        <v>457</v>
      </c>
      <c r="Q256" s="10">
        <v>517</v>
      </c>
      <c r="R256" s="10">
        <v>554</v>
      </c>
      <c r="S256" s="10">
        <v>528</v>
      </c>
      <c r="T256" s="10">
        <v>526</v>
      </c>
      <c r="U256" s="10">
        <v>596</v>
      </c>
      <c r="V256" s="10">
        <v>514</v>
      </c>
      <c r="W256" s="10">
        <v>579</v>
      </c>
      <c r="X256" s="10">
        <v>615</v>
      </c>
      <c r="Y256" s="10">
        <v>64</v>
      </c>
      <c r="Z256" s="10">
        <v>520</v>
      </c>
      <c r="AA256" s="10">
        <v>579</v>
      </c>
      <c r="AB256" s="10">
        <v>547</v>
      </c>
      <c r="AC256" s="10">
        <v>32</v>
      </c>
      <c r="AD256" s="10">
        <v>15</v>
      </c>
      <c r="AE256" s="10">
        <v>15</v>
      </c>
      <c r="AF256" s="10">
        <v>8</v>
      </c>
      <c r="AG256" s="10">
        <v>3</v>
      </c>
      <c r="AH256" s="102">
        <f>SUM(Tableau2[[#This Row],[Td 2]:[Td 5]])</f>
        <v>41</v>
      </c>
      <c r="AI256" s="10">
        <v>58.3</v>
      </c>
      <c r="AJ256" s="10">
        <v>100</v>
      </c>
      <c r="AK256" s="17">
        <f t="shared" si="25"/>
        <v>167.03483333333338</v>
      </c>
      <c r="AL256" s="17">
        <f t="shared" si="26"/>
        <v>0</v>
      </c>
      <c r="AM256" s="17">
        <f t="shared" si="27"/>
        <v>520</v>
      </c>
    </row>
    <row r="257" spans="1:39" s="3" customFormat="1" x14ac:dyDescent="0.25">
      <c r="A257" s="2" t="s">
        <v>16</v>
      </c>
      <c r="B257" s="29" t="s">
        <v>739</v>
      </c>
      <c r="C257" s="2" t="s">
        <v>30</v>
      </c>
      <c r="D257" s="2" t="s">
        <v>294</v>
      </c>
      <c r="E257" s="14">
        <v>41863</v>
      </c>
      <c r="F257" s="15">
        <f t="shared" si="21"/>
        <v>1461.0187000000001</v>
      </c>
      <c r="G257" s="15">
        <f t="shared" si="22"/>
        <v>1674.52</v>
      </c>
      <c r="H257" s="15">
        <f t="shared" si="23"/>
        <v>1217.5155833333333</v>
      </c>
      <c r="I257" s="15">
        <f t="shared" si="24"/>
        <v>1395.4333333333332</v>
      </c>
      <c r="J257" s="10">
        <v>821</v>
      </c>
      <c r="K257" s="10">
        <v>50</v>
      </c>
      <c r="L257" s="10">
        <v>971</v>
      </c>
      <c r="M257" s="10">
        <v>887</v>
      </c>
      <c r="N257" s="10">
        <v>838</v>
      </c>
      <c r="O257" s="10">
        <v>1124</v>
      </c>
      <c r="P257" s="10">
        <v>1035</v>
      </c>
      <c r="Q257" s="10">
        <v>949</v>
      </c>
      <c r="R257" s="10">
        <v>1089</v>
      </c>
      <c r="S257" s="10">
        <v>953</v>
      </c>
      <c r="T257" s="10">
        <v>1034</v>
      </c>
      <c r="U257" s="10">
        <v>1072</v>
      </c>
      <c r="V257" s="10">
        <v>950</v>
      </c>
      <c r="W257" s="10">
        <v>981</v>
      </c>
      <c r="X257" s="10">
        <v>1229</v>
      </c>
      <c r="Y257" s="10">
        <v>314</v>
      </c>
      <c r="Z257" s="10">
        <v>1060</v>
      </c>
      <c r="AA257" s="10">
        <v>1305</v>
      </c>
      <c r="AB257" s="10">
        <v>1250</v>
      </c>
      <c r="AC257" s="10">
        <v>250</v>
      </c>
      <c r="AD257" s="10">
        <v>166</v>
      </c>
      <c r="AE257" s="10">
        <v>114</v>
      </c>
      <c r="AF257" s="10">
        <v>51</v>
      </c>
      <c r="AG257" s="10">
        <v>38</v>
      </c>
      <c r="AH257" s="102">
        <f>SUM(Tableau2[[#This Row],[Td 2]:[Td 5]])</f>
        <v>369</v>
      </c>
      <c r="AI257" s="10">
        <v>58.3</v>
      </c>
      <c r="AJ257" s="10">
        <v>100</v>
      </c>
      <c r="AK257" s="17">
        <f t="shared" si="25"/>
        <v>93.515583333333325</v>
      </c>
      <c r="AL257" s="17">
        <f t="shared" si="26"/>
        <v>0</v>
      </c>
      <c r="AM257" s="17">
        <f t="shared" si="27"/>
        <v>1060</v>
      </c>
    </row>
    <row r="258" spans="1:39" s="3" customFormat="1" x14ac:dyDescent="0.25">
      <c r="A258" s="2" t="s">
        <v>16</v>
      </c>
      <c r="B258" s="29" t="s">
        <v>739</v>
      </c>
      <c r="C258" s="2" t="s">
        <v>30</v>
      </c>
      <c r="D258" s="2" t="s">
        <v>295</v>
      </c>
      <c r="E258" s="14">
        <v>23013</v>
      </c>
      <c r="F258" s="15">
        <f t="shared" si="21"/>
        <v>803.15369999999996</v>
      </c>
      <c r="G258" s="15">
        <f t="shared" si="22"/>
        <v>920.52</v>
      </c>
      <c r="H258" s="15">
        <f t="shared" si="23"/>
        <v>669.29475000000002</v>
      </c>
      <c r="I258" s="15">
        <f t="shared" si="24"/>
        <v>767.09999999999991</v>
      </c>
      <c r="J258" s="10">
        <v>653</v>
      </c>
      <c r="K258" s="10">
        <v>450</v>
      </c>
      <c r="L258" s="10">
        <v>615</v>
      </c>
      <c r="M258" s="10">
        <v>575</v>
      </c>
      <c r="N258" s="10">
        <v>599</v>
      </c>
      <c r="O258" s="10">
        <v>686</v>
      </c>
      <c r="P258" s="10">
        <v>644</v>
      </c>
      <c r="Q258" s="10">
        <v>640</v>
      </c>
      <c r="R258" s="10">
        <v>684</v>
      </c>
      <c r="S258" s="10">
        <v>648</v>
      </c>
      <c r="T258" s="10">
        <v>670</v>
      </c>
      <c r="U258" s="10">
        <v>688</v>
      </c>
      <c r="V258" s="10">
        <v>646</v>
      </c>
      <c r="W258" s="10">
        <v>672</v>
      </c>
      <c r="X258" s="10">
        <v>689</v>
      </c>
      <c r="Y258" s="10">
        <v>327</v>
      </c>
      <c r="Z258" s="10">
        <v>731</v>
      </c>
      <c r="AA258" s="10">
        <v>679</v>
      </c>
      <c r="AB258" s="10">
        <v>689</v>
      </c>
      <c r="AC258" s="10">
        <v>140</v>
      </c>
      <c r="AD258" s="10">
        <v>48</v>
      </c>
      <c r="AE258" s="10">
        <v>24</v>
      </c>
      <c r="AF258" s="10">
        <v>4</v>
      </c>
      <c r="AG258" s="10" t="s">
        <v>2</v>
      </c>
      <c r="AH258" s="102">
        <f>SUM(Tableau2[[#This Row],[Td 2]:[Td 5]])</f>
        <v>76</v>
      </c>
      <c r="AI258" s="10">
        <v>58.3</v>
      </c>
      <c r="AJ258" s="10">
        <v>100</v>
      </c>
      <c r="AK258" s="17">
        <f t="shared" si="25"/>
        <v>0</v>
      </c>
      <c r="AL258" s="17">
        <f t="shared" si="26"/>
        <v>0</v>
      </c>
      <c r="AM258" s="17">
        <f t="shared" si="27"/>
        <v>689</v>
      </c>
    </row>
    <row r="259" spans="1:39" s="3" customFormat="1" x14ac:dyDescent="0.25">
      <c r="A259" s="2" t="s">
        <v>16</v>
      </c>
      <c r="B259" s="29" t="s">
        <v>739</v>
      </c>
      <c r="C259" s="2" t="s">
        <v>30</v>
      </c>
      <c r="D259" s="2" t="s">
        <v>296</v>
      </c>
      <c r="E259" s="14">
        <v>32099</v>
      </c>
      <c r="F259" s="15">
        <f t="shared" si="21"/>
        <v>1120.2551000000001</v>
      </c>
      <c r="G259" s="15">
        <f t="shared" si="22"/>
        <v>1283.96</v>
      </c>
      <c r="H259" s="15">
        <f t="shared" si="23"/>
        <v>933.54591666666681</v>
      </c>
      <c r="I259" s="15">
        <f t="shared" si="24"/>
        <v>1069.9666666666667</v>
      </c>
      <c r="J259" s="10">
        <v>1005</v>
      </c>
      <c r="K259" s="10">
        <v>93</v>
      </c>
      <c r="L259" s="10">
        <v>1086</v>
      </c>
      <c r="M259" s="10">
        <v>1076</v>
      </c>
      <c r="N259" s="10">
        <v>971</v>
      </c>
      <c r="O259" s="10">
        <v>1152</v>
      </c>
      <c r="P259" s="10">
        <v>1095</v>
      </c>
      <c r="Q259" s="10">
        <v>1184</v>
      </c>
      <c r="R259" s="10">
        <v>1188</v>
      </c>
      <c r="S259" s="10">
        <v>1112</v>
      </c>
      <c r="T259" s="10">
        <v>1067</v>
      </c>
      <c r="U259" s="10">
        <v>1197</v>
      </c>
      <c r="V259" s="10">
        <v>1064</v>
      </c>
      <c r="W259" s="10">
        <v>1025</v>
      </c>
      <c r="X259" s="10">
        <v>1060</v>
      </c>
      <c r="Y259" s="10">
        <v>112</v>
      </c>
      <c r="Z259" s="10">
        <v>891</v>
      </c>
      <c r="AA259" s="10">
        <v>1165</v>
      </c>
      <c r="AB259" s="10">
        <v>1060</v>
      </c>
      <c r="AC259" s="10">
        <v>427</v>
      </c>
      <c r="AD259" s="10">
        <v>273</v>
      </c>
      <c r="AE259" s="10">
        <v>79</v>
      </c>
      <c r="AF259" s="10">
        <v>20</v>
      </c>
      <c r="AG259" s="10">
        <v>4</v>
      </c>
      <c r="AH259" s="102">
        <f>SUM(Tableau2[[#This Row],[Td 2]:[Td 5]])</f>
        <v>376</v>
      </c>
      <c r="AI259" s="10">
        <v>58.3</v>
      </c>
      <c r="AJ259" s="10">
        <v>100</v>
      </c>
      <c r="AK259" s="17">
        <f t="shared" si="25"/>
        <v>0</v>
      </c>
      <c r="AL259" s="17">
        <f t="shared" si="26"/>
        <v>92</v>
      </c>
      <c r="AM259" s="17">
        <f t="shared" si="27"/>
        <v>891</v>
      </c>
    </row>
    <row r="260" spans="1:39" s="3" customFormat="1" x14ac:dyDescent="0.25">
      <c r="A260" s="2" t="s">
        <v>16</v>
      </c>
      <c r="B260" s="29" t="s">
        <v>739</v>
      </c>
      <c r="C260" s="2" t="s">
        <v>30</v>
      </c>
      <c r="D260" s="2" t="s">
        <v>297</v>
      </c>
      <c r="E260" s="14">
        <v>28278</v>
      </c>
      <c r="F260" s="15">
        <f t="shared" si="21"/>
        <v>986.90219999999999</v>
      </c>
      <c r="G260" s="15">
        <f t="shared" si="22"/>
        <v>1131.1200000000001</v>
      </c>
      <c r="H260" s="15">
        <f t="shared" si="23"/>
        <v>822.41849999999999</v>
      </c>
      <c r="I260" s="15">
        <f t="shared" si="24"/>
        <v>942.6</v>
      </c>
      <c r="J260" s="10">
        <v>785</v>
      </c>
      <c r="K260" s="10">
        <v>436</v>
      </c>
      <c r="L260" s="10">
        <v>982</v>
      </c>
      <c r="M260" s="10">
        <v>847</v>
      </c>
      <c r="N260" s="10">
        <v>825</v>
      </c>
      <c r="O260" s="10">
        <v>833</v>
      </c>
      <c r="P260" s="10">
        <v>761</v>
      </c>
      <c r="Q260" s="10">
        <v>805</v>
      </c>
      <c r="R260" s="10">
        <v>893</v>
      </c>
      <c r="S260" s="10">
        <v>783</v>
      </c>
      <c r="T260" s="10">
        <v>787</v>
      </c>
      <c r="U260" s="10">
        <v>770</v>
      </c>
      <c r="V260" s="10">
        <v>676</v>
      </c>
      <c r="W260" s="10">
        <v>650</v>
      </c>
      <c r="X260" s="10">
        <v>869</v>
      </c>
      <c r="Y260" s="10">
        <v>286</v>
      </c>
      <c r="Z260" s="10">
        <v>819</v>
      </c>
      <c r="AA260" s="10">
        <v>826</v>
      </c>
      <c r="AB260" s="10">
        <v>803</v>
      </c>
      <c r="AC260" s="10">
        <v>236</v>
      </c>
      <c r="AD260" s="10">
        <v>171</v>
      </c>
      <c r="AE260" s="10">
        <v>220</v>
      </c>
      <c r="AF260" s="10">
        <v>94</v>
      </c>
      <c r="AG260" s="10">
        <v>92</v>
      </c>
      <c r="AH260" s="102">
        <f>SUM(Tableau2[[#This Row],[Td 2]:[Td 5]])</f>
        <v>577</v>
      </c>
      <c r="AI260" s="10">
        <v>58.3</v>
      </c>
      <c r="AJ260" s="10">
        <v>100</v>
      </c>
      <c r="AK260" s="17">
        <f t="shared" si="25"/>
        <v>0</v>
      </c>
      <c r="AL260" s="17">
        <f t="shared" si="26"/>
        <v>0</v>
      </c>
      <c r="AM260" s="17">
        <f t="shared" si="27"/>
        <v>819</v>
      </c>
    </row>
    <row r="261" spans="1:39" s="3" customFormat="1" x14ac:dyDescent="0.25">
      <c r="A261" s="2" t="s">
        <v>16</v>
      </c>
      <c r="B261" s="29" t="s">
        <v>739</v>
      </c>
      <c r="C261" s="2" t="s">
        <v>30</v>
      </c>
      <c r="D261" s="2" t="s">
        <v>298</v>
      </c>
      <c r="E261" s="14">
        <v>18159</v>
      </c>
      <c r="F261" s="15">
        <f t="shared" si="21"/>
        <v>633.7491</v>
      </c>
      <c r="G261" s="15">
        <f t="shared" si="22"/>
        <v>726.36</v>
      </c>
      <c r="H261" s="15">
        <f t="shared" si="23"/>
        <v>528.12424999999996</v>
      </c>
      <c r="I261" s="15">
        <f t="shared" si="24"/>
        <v>605.29999999999995</v>
      </c>
      <c r="J261" s="10">
        <v>1668</v>
      </c>
      <c r="K261" s="10">
        <v>4216</v>
      </c>
      <c r="L261" s="10">
        <v>1099</v>
      </c>
      <c r="M261" s="10">
        <v>1124</v>
      </c>
      <c r="N261" s="10">
        <v>1156</v>
      </c>
      <c r="O261" s="10">
        <v>1250</v>
      </c>
      <c r="P261" s="10">
        <v>1253</v>
      </c>
      <c r="Q261" s="10">
        <v>1293</v>
      </c>
      <c r="R261" s="10">
        <v>1258</v>
      </c>
      <c r="S261" s="10">
        <v>1260</v>
      </c>
      <c r="T261" s="10">
        <v>1298</v>
      </c>
      <c r="U261" s="10">
        <v>1104</v>
      </c>
      <c r="V261" s="10">
        <v>1112</v>
      </c>
      <c r="W261" s="10">
        <v>1146</v>
      </c>
      <c r="X261" s="10">
        <v>780</v>
      </c>
      <c r="Y261" s="10">
        <v>387</v>
      </c>
      <c r="Z261" s="10">
        <v>608</v>
      </c>
      <c r="AA261" s="10">
        <v>1371</v>
      </c>
      <c r="AB261" s="10">
        <v>504</v>
      </c>
      <c r="AC261" s="10">
        <v>1796</v>
      </c>
      <c r="AD261" s="10">
        <v>1665</v>
      </c>
      <c r="AE261" s="10">
        <v>203</v>
      </c>
      <c r="AF261" s="10">
        <v>146</v>
      </c>
      <c r="AG261" s="10">
        <v>96</v>
      </c>
      <c r="AH261" s="102">
        <f>SUM(Tableau2[[#This Row],[Td 2]:[Td 5]])</f>
        <v>2110</v>
      </c>
      <c r="AI261" s="10">
        <v>58.3</v>
      </c>
      <c r="AJ261" s="10">
        <v>100</v>
      </c>
      <c r="AK261" s="17">
        <f t="shared" si="25"/>
        <v>0</v>
      </c>
      <c r="AL261" s="17">
        <f t="shared" si="26"/>
        <v>470</v>
      </c>
      <c r="AM261" s="17">
        <f t="shared" si="27"/>
        <v>608</v>
      </c>
    </row>
    <row r="262" spans="1:39" s="3" customFormat="1" x14ac:dyDescent="0.25">
      <c r="A262" s="2" t="s">
        <v>16</v>
      </c>
      <c r="B262" s="29" t="s">
        <v>739</v>
      </c>
      <c r="C262" s="2" t="s">
        <v>30</v>
      </c>
      <c r="D262" s="2" t="s">
        <v>299</v>
      </c>
      <c r="E262" s="14">
        <v>34313</v>
      </c>
      <c r="F262" s="15">
        <f t="shared" ref="F262:F325" si="28">IFERROR(E262*3.49%,"")</f>
        <v>1197.5237</v>
      </c>
      <c r="G262" s="15">
        <f t="shared" ref="G262:G325" si="29">IFERROR(E262*4%,"")</f>
        <v>1372.52</v>
      </c>
      <c r="H262" s="15">
        <f t="shared" ref="H262:H325" si="30">IFERROR((F262/12)*$C$1,"")</f>
        <v>997.93641666666656</v>
      </c>
      <c r="I262" s="15">
        <f t="shared" ref="I262:I325" si="31">IFERROR((G262/12)*$C$1,"")</f>
        <v>1143.7666666666667</v>
      </c>
      <c r="J262" s="10">
        <v>1263</v>
      </c>
      <c r="K262" s="10">
        <v>698</v>
      </c>
      <c r="L262" s="10">
        <v>966</v>
      </c>
      <c r="M262" s="10">
        <v>956</v>
      </c>
      <c r="N262" s="10">
        <v>946</v>
      </c>
      <c r="O262" s="10">
        <v>901</v>
      </c>
      <c r="P262" s="10">
        <v>887</v>
      </c>
      <c r="Q262" s="10">
        <v>900</v>
      </c>
      <c r="R262" s="10">
        <v>871</v>
      </c>
      <c r="S262" s="10">
        <v>892</v>
      </c>
      <c r="T262" s="10">
        <v>813</v>
      </c>
      <c r="U262" s="10">
        <v>829</v>
      </c>
      <c r="V262" s="10">
        <v>822</v>
      </c>
      <c r="W262" s="10">
        <v>887</v>
      </c>
      <c r="X262" s="10">
        <v>1031</v>
      </c>
      <c r="Y262" s="10">
        <v>442</v>
      </c>
      <c r="Z262" s="10">
        <v>757</v>
      </c>
      <c r="AA262" s="10">
        <v>915</v>
      </c>
      <c r="AB262" s="10">
        <v>685</v>
      </c>
      <c r="AC262" s="10">
        <v>516</v>
      </c>
      <c r="AD262" s="10">
        <v>476</v>
      </c>
      <c r="AE262" s="10">
        <v>417</v>
      </c>
      <c r="AF262" s="10">
        <v>376</v>
      </c>
      <c r="AG262" s="10">
        <v>298</v>
      </c>
      <c r="AH262" s="102">
        <f>SUM(Tableau2[[#This Row],[Td 2]:[Td 5]])</f>
        <v>1567</v>
      </c>
      <c r="AI262" s="10">
        <v>41.7</v>
      </c>
      <c r="AJ262" s="10">
        <v>100</v>
      </c>
      <c r="AK262" s="17">
        <f t="shared" ref="AK262:AK325" si="32">IFERROR(IF(H262-O262&lt;0,0,H262-O262),0)</f>
        <v>96.93641666666656</v>
      </c>
      <c r="AL262" s="17">
        <f t="shared" ref="AL262:AL325" si="33">IFERROR(IF(O262-X262&lt;0,0,O262-X262),0)</f>
        <v>0</v>
      </c>
      <c r="AM262" s="17">
        <f t="shared" ref="AM262:AM325" si="34">MIN(X262,Z262)</f>
        <v>757</v>
      </c>
    </row>
    <row r="263" spans="1:39" s="3" customFormat="1" x14ac:dyDescent="0.25">
      <c r="A263" s="2" t="s">
        <v>16</v>
      </c>
      <c r="B263" s="29" t="s">
        <v>739</v>
      </c>
      <c r="C263" s="2" t="s">
        <v>30</v>
      </c>
      <c r="D263" s="2" t="s">
        <v>300</v>
      </c>
      <c r="E263" s="14">
        <v>25562</v>
      </c>
      <c r="F263" s="15">
        <f t="shared" si="28"/>
        <v>892.11379999999997</v>
      </c>
      <c r="G263" s="15">
        <f t="shared" si="29"/>
        <v>1022.48</v>
      </c>
      <c r="H263" s="15">
        <f t="shared" si="30"/>
        <v>743.42816666666658</v>
      </c>
      <c r="I263" s="15">
        <f t="shared" si="31"/>
        <v>852.06666666666661</v>
      </c>
      <c r="J263" s="10">
        <v>545</v>
      </c>
      <c r="K263" s="10" t="s">
        <v>2</v>
      </c>
      <c r="L263" s="10">
        <v>527</v>
      </c>
      <c r="M263" s="10">
        <v>539</v>
      </c>
      <c r="N263" s="10">
        <v>515</v>
      </c>
      <c r="O263" s="10">
        <v>736</v>
      </c>
      <c r="P263" s="10">
        <v>730</v>
      </c>
      <c r="Q263" s="10">
        <v>731</v>
      </c>
      <c r="R263" s="10">
        <v>760</v>
      </c>
      <c r="S263" s="10">
        <v>758</v>
      </c>
      <c r="T263" s="10">
        <v>750</v>
      </c>
      <c r="U263" s="10">
        <v>624</v>
      </c>
      <c r="V263" s="10">
        <v>582</v>
      </c>
      <c r="W263" s="10">
        <v>584</v>
      </c>
      <c r="X263" s="10">
        <v>764</v>
      </c>
      <c r="Y263" s="10">
        <v>95</v>
      </c>
      <c r="Z263" s="10">
        <v>693</v>
      </c>
      <c r="AA263" s="10">
        <v>720</v>
      </c>
      <c r="AB263" s="10">
        <v>714</v>
      </c>
      <c r="AC263" s="10">
        <v>121</v>
      </c>
      <c r="AD263" s="10">
        <v>85</v>
      </c>
      <c r="AE263" s="10">
        <v>65</v>
      </c>
      <c r="AF263" s="10">
        <v>42</v>
      </c>
      <c r="AG263" s="10">
        <v>25</v>
      </c>
      <c r="AH263" s="102">
        <f>SUM(Tableau2[[#This Row],[Td 2]:[Td 5]])</f>
        <v>217</v>
      </c>
      <c r="AI263" s="10">
        <v>50</v>
      </c>
      <c r="AJ263" s="10">
        <v>100</v>
      </c>
      <c r="AK263" s="17">
        <f t="shared" si="32"/>
        <v>7.4281666666665842</v>
      </c>
      <c r="AL263" s="17">
        <f t="shared" si="33"/>
        <v>0</v>
      </c>
      <c r="AM263" s="17">
        <f t="shared" si="34"/>
        <v>693</v>
      </c>
    </row>
    <row r="264" spans="1:39" s="3" customFormat="1" x14ac:dyDescent="0.25">
      <c r="A264" s="2" t="s">
        <v>16</v>
      </c>
      <c r="B264" s="29" t="s">
        <v>739</v>
      </c>
      <c r="C264" s="2" t="s">
        <v>31</v>
      </c>
      <c r="D264" s="2" t="s">
        <v>301</v>
      </c>
      <c r="E264" s="14">
        <v>18738</v>
      </c>
      <c r="F264" s="15">
        <f t="shared" si="28"/>
        <v>653.95619999999997</v>
      </c>
      <c r="G264" s="15">
        <f t="shared" si="29"/>
        <v>749.52</v>
      </c>
      <c r="H264" s="15">
        <f t="shared" si="30"/>
        <v>544.96349999999995</v>
      </c>
      <c r="I264" s="15">
        <f t="shared" si="31"/>
        <v>624.6</v>
      </c>
      <c r="J264" s="10">
        <v>520</v>
      </c>
      <c r="K264" s="10">
        <v>244</v>
      </c>
      <c r="L264" s="10">
        <v>608</v>
      </c>
      <c r="M264" s="10">
        <v>600</v>
      </c>
      <c r="N264" s="10">
        <v>604</v>
      </c>
      <c r="O264" s="10">
        <v>475</v>
      </c>
      <c r="P264" s="10">
        <v>462</v>
      </c>
      <c r="Q264" s="10">
        <v>428</v>
      </c>
      <c r="R264" s="10">
        <v>583</v>
      </c>
      <c r="S264" s="10">
        <v>585</v>
      </c>
      <c r="T264" s="10">
        <v>581</v>
      </c>
      <c r="U264" s="10">
        <v>600</v>
      </c>
      <c r="V264" s="10">
        <v>592</v>
      </c>
      <c r="W264" s="10">
        <v>596</v>
      </c>
      <c r="X264" s="10">
        <v>575</v>
      </c>
      <c r="Y264" s="10">
        <v>441</v>
      </c>
      <c r="Z264" s="10">
        <v>462</v>
      </c>
      <c r="AA264" s="10">
        <v>604</v>
      </c>
      <c r="AB264" s="10">
        <v>496</v>
      </c>
      <c r="AC264" s="10">
        <v>122</v>
      </c>
      <c r="AD264" s="10">
        <v>113</v>
      </c>
      <c r="AE264" s="10">
        <v>50</v>
      </c>
      <c r="AF264" s="10">
        <v>45</v>
      </c>
      <c r="AG264" s="10">
        <v>46</v>
      </c>
      <c r="AH264" s="102">
        <f>SUM(Tableau2[[#This Row],[Td 2]:[Td 5]])</f>
        <v>254</v>
      </c>
      <c r="AI264" s="10">
        <v>41.7</v>
      </c>
      <c r="AJ264" s="10">
        <v>100</v>
      </c>
      <c r="AK264" s="17">
        <f t="shared" si="32"/>
        <v>69.963499999999954</v>
      </c>
      <c r="AL264" s="17">
        <f t="shared" si="33"/>
        <v>0</v>
      </c>
      <c r="AM264" s="17">
        <f t="shared" si="34"/>
        <v>462</v>
      </c>
    </row>
    <row r="265" spans="1:39" s="3" customFormat="1" x14ac:dyDescent="0.25">
      <c r="A265" s="2" t="s">
        <v>16</v>
      </c>
      <c r="B265" s="29" t="s">
        <v>739</v>
      </c>
      <c r="C265" s="2" t="s">
        <v>31</v>
      </c>
      <c r="D265" s="2" t="s">
        <v>302</v>
      </c>
      <c r="E265" s="14">
        <v>13437</v>
      </c>
      <c r="F265" s="15">
        <f t="shared" si="28"/>
        <v>468.9513</v>
      </c>
      <c r="G265" s="15">
        <f t="shared" si="29"/>
        <v>537.48</v>
      </c>
      <c r="H265" s="15">
        <f t="shared" si="30"/>
        <v>390.79275000000001</v>
      </c>
      <c r="I265" s="15">
        <f t="shared" si="31"/>
        <v>447.9</v>
      </c>
      <c r="J265" s="10">
        <v>232</v>
      </c>
      <c r="K265" s="10">
        <v>226</v>
      </c>
      <c r="L265" s="10">
        <v>462</v>
      </c>
      <c r="M265" s="10">
        <v>416</v>
      </c>
      <c r="N265" s="10">
        <v>385</v>
      </c>
      <c r="O265" s="10">
        <v>299</v>
      </c>
      <c r="P265" s="10">
        <v>269</v>
      </c>
      <c r="Q265" s="10">
        <v>282</v>
      </c>
      <c r="R265" s="10">
        <v>330</v>
      </c>
      <c r="S265" s="10">
        <v>300</v>
      </c>
      <c r="T265" s="10">
        <v>294</v>
      </c>
      <c r="U265" s="10">
        <v>427</v>
      </c>
      <c r="V265" s="10">
        <v>331</v>
      </c>
      <c r="W265" s="10">
        <v>299</v>
      </c>
      <c r="X265" s="10">
        <v>416</v>
      </c>
      <c r="Y265" s="10">
        <v>70</v>
      </c>
      <c r="Z265" s="10">
        <v>366</v>
      </c>
      <c r="AA265" s="10">
        <v>530</v>
      </c>
      <c r="AB265" s="10">
        <v>321</v>
      </c>
      <c r="AC265" s="10">
        <v>141</v>
      </c>
      <c r="AD265" s="10">
        <v>92</v>
      </c>
      <c r="AE265" s="10">
        <v>55</v>
      </c>
      <c r="AF265" s="10">
        <v>29</v>
      </c>
      <c r="AG265" s="10">
        <v>13</v>
      </c>
      <c r="AH265" s="102">
        <f>SUM(Tableau2[[#This Row],[Td 2]:[Td 5]])</f>
        <v>189</v>
      </c>
      <c r="AI265" s="10">
        <v>41.7</v>
      </c>
      <c r="AJ265" s="10">
        <v>100</v>
      </c>
      <c r="AK265" s="17">
        <f t="shared" si="32"/>
        <v>91.792750000000012</v>
      </c>
      <c r="AL265" s="17">
        <f t="shared" si="33"/>
        <v>0</v>
      </c>
      <c r="AM265" s="17">
        <f t="shared" si="34"/>
        <v>366</v>
      </c>
    </row>
    <row r="266" spans="1:39" s="3" customFormat="1" x14ac:dyDescent="0.25">
      <c r="A266" s="2" t="s">
        <v>16</v>
      </c>
      <c r="B266" s="29" t="s">
        <v>739</v>
      </c>
      <c r="C266" s="2" t="s">
        <v>31</v>
      </c>
      <c r="D266" s="2" t="s">
        <v>303</v>
      </c>
      <c r="E266" s="14">
        <v>14475</v>
      </c>
      <c r="F266" s="15">
        <f t="shared" si="28"/>
        <v>505.17750000000001</v>
      </c>
      <c r="G266" s="15">
        <f t="shared" si="29"/>
        <v>579</v>
      </c>
      <c r="H266" s="15">
        <f t="shared" si="30"/>
        <v>420.98125000000005</v>
      </c>
      <c r="I266" s="15">
        <f t="shared" si="31"/>
        <v>482.5</v>
      </c>
      <c r="J266" s="10">
        <v>528</v>
      </c>
      <c r="K266" s="10">
        <v>1073</v>
      </c>
      <c r="L266" s="10">
        <v>815</v>
      </c>
      <c r="M266" s="10">
        <v>724</v>
      </c>
      <c r="N266" s="10">
        <v>663</v>
      </c>
      <c r="O266" s="10">
        <v>656</v>
      </c>
      <c r="P266" s="10">
        <v>565</v>
      </c>
      <c r="Q266" s="10">
        <v>565</v>
      </c>
      <c r="R266" s="10">
        <v>682</v>
      </c>
      <c r="S266" s="10">
        <v>647</v>
      </c>
      <c r="T266" s="10">
        <v>629</v>
      </c>
      <c r="U266" s="10">
        <v>974</v>
      </c>
      <c r="V266" s="10">
        <v>619</v>
      </c>
      <c r="W266" s="10">
        <v>614</v>
      </c>
      <c r="X266" s="10">
        <v>646</v>
      </c>
      <c r="Y266" s="10">
        <v>76</v>
      </c>
      <c r="Z266" s="10">
        <v>639</v>
      </c>
      <c r="AA266" s="10">
        <v>663</v>
      </c>
      <c r="AB266" s="10">
        <v>610</v>
      </c>
      <c r="AC266" s="10">
        <v>823</v>
      </c>
      <c r="AD266" s="10">
        <v>301</v>
      </c>
      <c r="AE266" s="10">
        <v>8</v>
      </c>
      <c r="AF266" s="10">
        <v>3</v>
      </c>
      <c r="AG266" s="10">
        <v>2</v>
      </c>
      <c r="AH266" s="102">
        <f>SUM(Tableau2[[#This Row],[Td 2]:[Td 5]])</f>
        <v>314</v>
      </c>
      <c r="AI266" s="10">
        <v>41.7</v>
      </c>
      <c r="AJ266" s="10">
        <v>100</v>
      </c>
      <c r="AK266" s="17">
        <f t="shared" si="32"/>
        <v>0</v>
      </c>
      <c r="AL266" s="17">
        <f t="shared" si="33"/>
        <v>10</v>
      </c>
      <c r="AM266" s="17">
        <f t="shared" si="34"/>
        <v>639</v>
      </c>
    </row>
    <row r="267" spans="1:39" s="3" customFormat="1" x14ac:dyDescent="0.25">
      <c r="A267" s="2" t="s">
        <v>16</v>
      </c>
      <c r="B267" s="29" t="s">
        <v>739</v>
      </c>
      <c r="C267" s="2" t="s">
        <v>31</v>
      </c>
      <c r="D267" s="2" t="s">
        <v>304</v>
      </c>
      <c r="E267" s="14">
        <v>23014</v>
      </c>
      <c r="F267" s="15">
        <f t="shared" si="28"/>
        <v>803.18860000000006</v>
      </c>
      <c r="G267" s="15">
        <f t="shared" si="29"/>
        <v>920.56000000000006</v>
      </c>
      <c r="H267" s="15">
        <f t="shared" si="30"/>
        <v>669.32383333333337</v>
      </c>
      <c r="I267" s="15">
        <f t="shared" si="31"/>
        <v>767.13333333333344</v>
      </c>
      <c r="J267" s="10">
        <v>404</v>
      </c>
      <c r="K267" s="10">
        <v>656</v>
      </c>
      <c r="L267" s="10">
        <v>561</v>
      </c>
      <c r="M267" s="10">
        <v>486</v>
      </c>
      <c r="N267" s="10">
        <v>456</v>
      </c>
      <c r="O267" s="10">
        <v>488</v>
      </c>
      <c r="P267" s="10">
        <v>397</v>
      </c>
      <c r="Q267" s="10">
        <v>343</v>
      </c>
      <c r="R267" s="10">
        <v>496</v>
      </c>
      <c r="S267" s="10">
        <v>440</v>
      </c>
      <c r="T267" s="10">
        <v>405</v>
      </c>
      <c r="U267" s="10">
        <v>549</v>
      </c>
      <c r="V267" s="10">
        <v>520</v>
      </c>
      <c r="W267" s="10">
        <v>452</v>
      </c>
      <c r="X267" s="10">
        <v>402</v>
      </c>
      <c r="Y267" s="10">
        <v>101</v>
      </c>
      <c r="Z267" s="10">
        <v>377</v>
      </c>
      <c r="AA267" s="10">
        <v>432</v>
      </c>
      <c r="AB267" s="10">
        <v>378</v>
      </c>
      <c r="AC267" s="10">
        <v>430</v>
      </c>
      <c r="AD267" s="10">
        <v>361</v>
      </c>
      <c r="AE267" s="10">
        <v>42</v>
      </c>
      <c r="AF267" s="10">
        <v>27</v>
      </c>
      <c r="AG267" s="10">
        <v>16</v>
      </c>
      <c r="AH267" s="102">
        <f>SUM(Tableau2[[#This Row],[Td 2]:[Td 5]])</f>
        <v>446</v>
      </c>
      <c r="AI267" s="10">
        <v>50</v>
      </c>
      <c r="AJ267" s="10">
        <v>100</v>
      </c>
      <c r="AK267" s="17">
        <f t="shared" si="32"/>
        <v>181.32383333333337</v>
      </c>
      <c r="AL267" s="17">
        <f t="shared" si="33"/>
        <v>86</v>
      </c>
      <c r="AM267" s="17">
        <f t="shared" si="34"/>
        <v>377</v>
      </c>
    </row>
    <row r="268" spans="1:39" s="3" customFormat="1" x14ac:dyDescent="0.25">
      <c r="A268" s="2" t="s">
        <v>16</v>
      </c>
      <c r="B268" s="29" t="s">
        <v>739</v>
      </c>
      <c r="C268" s="2" t="s">
        <v>31</v>
      </c>
      <c r="D268" s="2" t="s">
        <v>305</v>
      </c>
      <c r="E268" s="14">
        <v>24604</v>
      </c>
      <c r="F268" s="15">
        <f t="shared" si="28"/>
        <v>858.67960000000005</v>
      </c>
      <c r="G268" s="15">
        <f t="shared" si="29"/>
        <v>984.16</v>
      </c>
      <c r="H268" s="15">
        <f t="shared" si="30"/>
        <v>715.56633333333343</v>
      </c>
      <c r="I268" s="15">
        <f t="shared" si="31"/>
        <v>820.13333333333333</v>
      </c>
      <c r="J268" s="10">
        <v>496</v>
      </c>
      <c r="K268" s="10">
        <v>475</v>
      </c>
      <c r="L268" s="10">
        <v>555</v>
      </c>
      <c r="M268" s="10">
        <v>544</v>
      </c>
      <c r="N268" s="10">
        <v>540</v>
      </c>
      <c r="O268" s="10">
        <v>367</v>
      </c>
      <c r="P268" s="10">
        <v>358</v>
      </c>
      <c r="Q268" s="10">
        <v>352</v>
      </c>
      <c r="R268" s="10">
        <v>439</v>
      </c>
      <c r="S268" s="10">
        <v>424</v>
      </c>
      <c r="T268" s="10">
        <v>425</v>
      </c>
      <c r="U268" s="10">
        <v>362</v>
      </c>
      <c r="V268" s="10">
        <v>355</v>
      </c>
      <c r="W268" s="10">
        <v>341</v>
      </c>
      <c r="X268" s="10">
        <v>655</v>
      </c>
      <c r="Y268" s="10">
        <v>402</v>
      </c>
      <c r="Z268" s="10">
        <v>558</v>
      </c>
      <c r="AA268" s="10">
        <v>583</v>
      </c>
      <c r="AB268" s="10">
        <v>643</v>
      </c>
      <c r="AC268" s="10">
        <v>171</v>
      </c>
      <c r="AD268" s="10">
        <v>157</v>
      </c>
      <c r="AE268" s="10">
        <v>118</v>
      </c>
      <c r="AF268" s="10">
        <v>55</v>
      </c>
      <c r="AG268" s="10">
        <v>118</v>
      </c>
      <c r="AH268" s="102">
        <f>SUM(Tableau2[[#This Row],[Td 2]:[Td 5]])</f>
        <v>448</v>
      </c>
      <c r="AI268" s="10">
        <v>50</v>
      </c>
      <c r="AJ268" s="10">
        <v>100</v>
      </c>
      <c r="AK268" s="17">
        <f t="shared" si="32"/>
        <v>348.56633333333343</v>
      </c>
      <c r="AL268" s="17">
        <f t="shared" si="33"/>
        <v>0</v>
      </c>
      <c r="AM268" s="17">
        <f t="shared" si="34"/>
        <v>558</v>
      </c>
    </row>
    <row r="269" spans="1:39" s="3" customFormat="1" x14ac:dyDescent="0.25">
      <c r="A269" s="2" t="s">
        <v>16</v>
      </c>
      <c r="B269" s="29" t="s">
        <v>739</v>
      </c>
      <c r="C269" s="2" t="s">
        <v>31</v>
      </c>
      <c r="D269" s="2" t="s">
        <v>306</v>
      </c>
      <c r="E269" s="14">
        <v>21819</v>
      </c>
      <c r="F269" s="15">
        <f t="shared" si="28"/>
        <v>761.48310000000004</v>
      </c>
      <c r="G269" s="15">
        <f t="shared" si="29"/>
        <v>872.76</v>
      </c>
      <c r="H269" s="15">
        <f t="shared" si="30"/>
        <v>634.56925000000001</v>
      </c>
      <c r="I269" s="15">
        <f t="shared" si="31"/>
        <v>727.30000000000007</v>
      </c>
      <c r="J269" s="10">
        <v>479</v>
      </c>
      <c r="K269" s="10">
        <v>211</v>
      </c>
      <c r="L269" s="10">
        <v>815</v>
      </c>
      <c r="M269" s="10">
        <v>695</v>
      </c>
      <c r="N269" s="10">
        <v>704</v>
      </c>
      <c r="O269" s="10">
        <v>702</v>
      </c>
      <c r="P269" s="10">
        <v>604</v>
      </c>
      <c r="Q269" s="10">
        <v>589</v>
      </c>
      <c r="R269" s="10">
        <v>772</v>
      </c>
      <c r="S269" s="10">
        <v>678</v>
      </c>
      <c r="T269" s="10">
        <v>705</v>
      </c>
      <c r="U269" s="10">
        <v>764</v>
      </c>
      <c r="V269" s="10">
        <v>635</v>
      </c>
      <c r="W269" s="10">
        <v>610</v>
      </c>
      <c r="X269" s="10">
        <v>716</v>
      </c>
      <c r="Y269" s="10">
        <v>71</v>
      </c>
      <c r="Z269" s="10">
        <v>632</v>
      </c>
      <c r="AA269" s="10">
        <v>717</v>
      </c>
      <c r="AB269" s="10">
        <v>703</v>
      </c>
      <c r="AC269" s="10">
        <v>89</v>
      </c>
      <c r="AD269" s="10">
        <v>87</v>
      </c>
      <c r="AE269" s="10">
        <v>76</v>
      </c>
      <c r="AF269" s="10">
        <v>64</v>
      </c>
      <c r="AG269" s="10">
        <v>33</v>
      </c>
      <c r="AH269" s="102">
        <f>SUM(Tableau2[[#This Row],[Td 2]:[Td 5]])</f>
        <v>260</v>
      </c>
      <c r="AI269" s="10">
        <v>50</v>
      </c>
      <c r="AJ269" s="10">
        <v>100</v>
      </c>
      <c r="AK269" s="17">
        <f t="shared" si="32"/>
        <v>0</v>
      </c>
      <c r="AL269" s="17">
        <f t="shared" si="33"/>
        <v>0</v>
      </c>
      <c r="AM269" s="17">
        <f t="shared" si="34"/>
        <v>632</v>
      </c>
    </row>
    <row r="270" spans="1:39" s="3" customFormat="1" x14ac:dyDescent="0.25">
      <c r="A270" s="2" t="s">
        <v>16</v>
      </c>
      <c r="B270" s="29" t="s">
        <v>739</v>
      </c>
      <c r="C270" s="2" t="s">
        <v>31</v>
      </c>
      <c r="D270" s="2" t="s">
        <v>307</v>
      </c>
      <c r="E270" s="14">
        <v>21021</v>
      </c>
      <c r="F270" s="15">
        <f t="shared" si="28"/>
        <v>733.63290000000006</v>
      </c>
      <c r="G270" s="15">
        <f t="shared" si="29"/>
        <v>840.84</v>
      </c>
      <c r="H270" s="15">
        <f t="shared" si="30"/>
        <v>611.36075000000005</v>
      </c>
      <c r="I270" s="15">
        <f t="shared" si="31"/>
        <v>700.7</v>
      </c>
      <c r="J270" s="10">
        <v>824</v>
      </c>
      <c r="K270" s="10">
        <v>1229</v>
      </c>
      <c r="L270" s="10">
        <v>878</v>
      </c>
      <c r="M270" s="10">
        <v>858</v>
      </c>
      <c r="N270" s="10">
        <v>821</v>
      </c>
      <c r="O270" s="10">
        <v>659</v>
      </c>
      <c r="P270" s="10">
        <v>652</v>
      </c>
      <c r="Q270" s="10">
        <v>615</v>
      </c>
      <c r="R270" s="10">
        <v>723</v>
      </c>
      <c r="S270" s="10">
        <v>712</v>
      </c>
      <c r="T270" s="10">
        <v>680</v>
      </c>
      <c r="U270" s="10">
        <v>565</v>
      </c>
      <c r="V270" s="10">
        <v>541</v>
      </c>
      <c r="W270" s="10">
        <v>514</v>
      </c>
      <c r="X270" s="10">
        <v>776</v>
      </c>
      <c r="Y270" s="10">
        <v>96</v>
      </c>
      <c r="Z270" s="10">
        <v>545</v>
      </c>
      <c r="AA270" s="10">
        <v>713</v>
      </c>
      <c r="AB270" s="10">
        <v>276</v>
      </c>
      <c r="AC270" s="10">
        <v>676</v>
      </c>
      <c r="AD270" s="10">
        <v>1315</v>
      </c>
      <c r="AE270" s="10">
        <v>333</v>
      </c>
      <c r="AF270" s="10">
        <v>319</v>
      </c>
      <c r="AG270" s="10">
        <v>314</v>
      </c>
      <c r="AH270" s="102">
        <f>SUM(Tableau2[[#This Row],[Td 2]:[Td 5]])</f>
        <v>2281</v>
      </c>
      <c r="AI270" s="10">
        <v>66.7</v>
      </c>
      <c r="AJ270" s="10">
        <v>100</v>
      </c>
      <c r="AK270" s="17">
        <f t="shared" si="32"/>
        <v>0</v>
      </c>
      <c r="AL270" s="17">
        <f t="shared" si="33"/>
        <v>0</v>
      </c>
      <c r="AM270" s="17">
        <f t="shared" si="34"/>
        <v>545</v>
      </c>
    </row>
    <row r="271" spans="1:39" s="3" customFormat="1" x14ac:dyDescent="0.25">
      <c r="A271" s="2" t="s">
        <v>16</v>
      </c>
      <c r="B271" s="29" t="s">
        <v>739</v>
      </c>
      <c r="C271" s="2" t="s">
        <v>31</v>
      </c>
      <c r="D271" s="2" t="s">
        <v>308</v>
      </c>
      <c r="E271" s="14">
        <v>19548</v>
      </c>
      <c r="F271" s="15">
        <f t="shared" si="28"/>
        <v>682.22519999999997</v>
      </c>
      <c r="G271" s="15">
        <f t="shared" si="29"/>
        <v>781.92000000000007</v>
      </c>
      <c r="H271" s="15">
        <f t="shared" si="30"/>
        <v>568.52099999999996</v>
      </c>
      <c r="I271" s="15">
        <f t="shared" si="31"/>
        <v>651.60000000000014</v>
      </c>
      <c r="J271" s="10">
        <v>363</v>
      </c>
      <c r="K271" s="10">
        <v>205</v>
      </c>
      <c r="L271" s="10">
        <v>623</v>
      </c>
      <c r="M271" s="10">
        <v>1050</v>
      </c>
      <c r="N271" s="10">
        <v>587</v>
      </c>
      <c r="O271" s="10">
        <v>601</v>
      </c>
      <c r="P271" s="10">
        <v>1070</v>
      </c>
      <c r="Q271" s="10">
        <v>542</v>
      </c>
      <c r="R271" s="10">
        <v>581</v>
      </c>
      <c r="S271" s="10">
        <v>529</v>
      </c>
      <c r="T271" s="10">
        <v>484</v>
      </c>
      <c r="U271" s="10">
        <v>493</v>
      </c>
      <c r="V271" s="10">
        <v>401</v>
      </c>
      <c r="W271" s="10">
        <v>366</v>
      </c>
      <c r="X271" s="10">
        <v>713</v>
      </c>
      <c r="Y271" s="10">
        <v>219</v>
      </c>
      <c r="Z271" s="10">
        <v>708</v>
      </c>
      <c r="AA271" s="10">
        <v>578</v>
      </c>
      <c r="AB271" s="10">
        <v>511</v>
      </c>
      <c r="AC271" s="10">
        <v>87</v>
      </c>
      <c r="AD271" s="10">
        <v>53</v>
      </c>
      <c r="AE271" s="10">
        <v>46</v>
      </c>
      <c r="AF271" s="10">
        <v>59</v>
      </c>
      <c r="AG271" s="10">
        <v>50</v>
      </c>
      <c r="AH271" s="102">
        <f>SUM(Tableau2[[#This Row],[Td 2]:[Td 5]])</f>
        <v>208</v>
      </c>
      <c r="AI271" s="10">
        <v>58.3</v>
      </c>
      <c r="AJ271" s="10">
        <v>100</v>
      </c>
      <c r="AK271" s="17">
        <f t="shared" si="32"/>
        <v>0</v>
      </c>
      <c r="AL271" s="17">
        <f t="shared" si="33"/>
        <v>0</v>
      </c>
      <c r="AM271" s="17">
        <f t="shared" si="34"/>
        <v>708</v>
      </c>
    </row>
    <row r="272" spans="1:39" s="3" customFormat="1" x14ac:dyDescent="0.25">
      <c r="A272" s="2" t="s">
        <v>16</v>
      </c>
      <c r="B272" s="29" t="s">
        <v>739</v>
      </c>
      <c r="C272" s="2" t="s">
        <v>31</v>
      </c>
      <c r="D272" s="2" t="s">
        <v>309</v>
      </c>
      <c r="E272" s="14">
        <v>22816</v>
      </c>
      <c r="F272" s="15">
        <f t="shared" si="28"/>
        <v>796.27840000000003</v>
      </c>
      <c r="G272" s="15">
        <f t="shared" si="29"/>
        <v>912.64</v>
      </c>
      <c r="H272" s="15">
        <f t="shared" si="30"/>
        <v>663.56533333333334</v>
      </c>
      <c r="I272" s="15">
        <f t="shared" si="31"/>
        <v>760.5333333333333</v>
      </c>
      <c r="J272" s="10">
        <v>408</v>
      </c>
      <c r="K272" s="10">
        <v>619</v>
      </c>
      <c r="L272" s="10">
        <v>526</v>
      </c>
      <c r="M272" s="10">
        <v>442</v>
      </c>
      <c r="N272" s="10">
        <v>430</v>
      </c>
      <c r="O272" s="10">
        <v>333</v>
      </c>
      <c r="P272" s="10">
        <v>386</v>
      </c>
      <c r="Q272" s="10">
        <v>308</v>
      </c>
      <c r="R272" s="10">
        <v>529</v>
      </c>
      <c r="S272" s="10">
        <v>401</v>
      </c>
      <c r="T272" s="10">
        <v>408</v>
      </c>
      <c r="U272" s="10">
        <v>396</v>
      </c>
      <c r="V272" s="10">
        <v>294</v>
      </c>
      <c r="W272" s="10">
        <v>272</v>
      </c>
      <c r="X272" s="10">
        <v>543</v>
      </c>
      <c r="Y272" s="10">
        <v>95</v>
      </c>
      <c r="Z272" s="10">
        <v>402</v>
      </c>
      <c r="AA272" s="10">
        <v>541</v>
      </c>
      <c r="AB272" s="10">
        <v>424</v>
      </c>
      <c r="AC272" s="10">
        <v>684</v>
      </c>
      <c r="AD272" s="10">
        <v>174</v>
      </c>
      <c r="AE272" s="10" t="s">
        <v>2</v>
      </c>
      <c r="AF272" s="10" t="s">
        <v>2</v>
      </c>
      <c r="AG272" s="10" t="s">
        <v>2</v>
      </c>
      <c r="AH272" s="102">
        <f>SUM(Tableau2[[#This Row],[Td 2]:[Td 5]])</f>
        <v>174</v>
      </c>
      <c r="AI272" s="10">
        <v>37.5</v>
      </c>
      <c r="AJ272" s="10">
        <v>100</v>
      </c>
      <c r="AK272" s="17">
        <f t="shared" si="32"/>
        <v>330.56533333333334</v>
      </c>
      <c r="AL272" s="17">
        <f t="shared" si="33"/>
        <v>0</v>
      </c>
      <c r="AM272" s="17">
        <f t="shared" si="34"/>
        <v>402</v>
      </c>
    </row>
    <row r="273" spans="1:39" s="3" customFormat="1" x14ac:dyDescent="0.25">
      <c r="A273" s="2" t="s">
        <v>16</v>
      </c>
      <c r="B273" s="29" t="s">
        <v>739</v>
      </c>
      <c r="C273" s="2" t="s">
        <v>31</v>
      </c>
      <c r="D273" s="2" t="s">
        <v>310</v>
      </c>
      <c r="E273" s="14">
        <v>12533</v>
      </c>
      <c r="F273" s="15">
        <f t="shared" si="28"/>
        <v>437.40170000000001</v>
      </c>
      <c r="G273" s="15">
        <f t="shared" si="29"/>
        <v>501.32</v>
      </c>
      <c r="H273" s="15">
        <f t="shared" si="30"/>
        <v>364.50141666666667</v>
      </c>
      <c r="I273" s="15">
        <f t="shared" si="31"/>
        <v>417.76666666666665</v>
      </c>
      <c r="J273" s="10">
        <v>236</v>
      </c>
      <c r="K273" s="10">
        <v>260</v>
      </c>
      <c r="L273" s="10">
        <v>342</v>
      </c>
      <c r="M273" s="10">
        <v>321</v>
      </c>
      <c r="N273" s="10">
        <v>305</v>
      </c>
      <c r="O273" s="10">
        <v>314</v>
      </c>
      <c r="P273" s="10">
        <v>279</v>
      </c>
      <c r="Q273" s="10">
        <v>285</v>
      </c>
      <c r="R273" s="10">
        <v>357</v>
      </c>
      <c r="S273" s="10">
        <v>315</v>
      </c>
      <c r="T273" s="10">
        <v>306</v>
      </c>
      <c r="U273" s="10">
        <v>358</v>
      </c>
      <c r="V273" s="10">
        <v>314</v>
      </c>
      <c r="W273" s="10">
        <v>276</v>
      </c>
      <c r="X273" s="10">
        <v>323</v>
      </c>
      <c r="Y273" s="10">
        <v>16</v>
      </c>
      <c r="Z273" s="10">
        <v>335</v>
      </c>
      <c r="AA273" s="10">
        <v>310</v>
      </c>
      <c r="AB273" s="10">
        <v>324</v>
      </c>
      <c r="AC273" s="10">
        <v>406</v>
      </c>
      <c r="AD273" s="10">
        <v>170</v>
      </c>
      <c r="AE273" s="10">
        <v>9</v>
      </c>
      <c r="AF273" s="10" t="s">
        <v>2</v>
      </c>
      <c r="AG273" s="10" t="s">
        <v>2</v>
      </c>
      <c r="AH273" s="102">
        <f>SUM(Tableau2[[#This Row],[Td 2]:[Td 5]])</f>
        <v>179</v>
      </c>
      <c r="AI273" s="10">
        <v>50</v>
      </c>
      <c r="AJ273" s="10">
        <v>100</v>
      </c>
      <c r="AK273" s="17">
        <f t="shared" si="32"/>
        <v>50.501416666666671</v>
      </c>
      <c r="AL273" s="17">
        <f t="shared" si="33"/>
        <v>0</v>
      </c>
      <c r="AM273" s="17">
        <f t="shared" si="34"/>
        <v>323</v>
      </c>
    </row>
    <row r="274" spans="1:39" s="3" customFormat="1" x14ac:dyDescent="0.25">
      <c r="A274" s="2" t="s">
        <v>16</v>
      </c>
      <c r="B274" s="29" t="s">
        <v>739</v>
      </c>
      <c r="C274" s="2" t="s">
        <v>31</v>
      </c>
      <c r="D274" s="2" t="s">
        <v>311</v>
      </c>
      <c r="E274" s="14">
        <v>23220</v>
      </c>
      <c r="F274" s="15">
        <f t="shared" si="28"/>
        <v>810.37800000000004</v>
      </c>
      <c r="G274" s="15">
        <f t="shared" si="29"/>
        <v>928.80000000000007</v>
      </c>
      <c r="H274" s="15">
        <f t="shared" si="30"/>
        <v>675.31500000000005</v>
      </c>
      <c r="I274" s="15">
        <f t="shared" si="31"/>
        <v>774</v>
      </c>
      <c r="J274" s="10">
        <v>506</v>
      </c>
      <c r="K274" s="10">
        <v>499</v>
      </c>
      <c r="L274" s="10">
        <v>723</v>
      </c>
      <c r="M274" s="10">
        <v>711</v>
      </c>
      <c r="N274" s="10">
        <v>730</v>
      </c>
      <c r="O274" s="10">
        <v>563</v>
      </c>
      <c r="P274" s="10">
        <v>608</v>
      </c>
      <c r="Q274" s="10">
        <v>630</v>
      </c>
      <c r="R274" s="10">
        <v>601</v>
      </c>
      <c r="S274" s="10">
        <v>579</v>
      </c>
      <c r="T274" s="10">
        <v>586</v>
      </c>
      <c r="U274" s="10">
        <v>869</v>
      </c>
      <c r="V274" s="10">
        <v>682</v>
      </c>
      <c r="W274" s="10">
        <v>556</v>
      </c>
      <c r="X274" s="10">
        <v>602</v>
      </c>
      <c r="Y274" s="10">
        <v>47</v>
      </c>
      <c r="Z274" s="10">
        <v>633</v>
      </c>
      <c r="AA274" s="10">
        <v>732</v>
      </c>
      <c r="AB274" s="10">
        <v>323</v>
      </c>
      <c r="AC274" s="10">
        <v>481</v>
      </c>
      <c r="AD274" s="10">
        <v>184</v>
      </c>
      <c r="AE274" s="10">
        <v>117</v>
      </c>
      <c r="AF274" s="10">
        <v>38</v>
      </c>
      <c r="AG274" s="10">
        <v>17</v>
      </c>
      <c r="AH274" s="102">
        <f>SUM(Tableau2[[#This Row],[Td 2]:[Td 5]])</f>
        <v>356</v>
      </c>
      <c r="AI274" s="10">
        <v>58.3</v>
      </c>
      <c r="AJ274" s="10">
        <v>100</v>
      </c>
      <c r="AK274" s="17">
        <f t="shared" si="32"/>
        <v>112.31500000000005</v>
      </c>
      <c r="AL274" s="17">
        <f t="shared" si="33"/>
        <v>0</v>
      </c>
      <c r="AM274" s="17">
        <f t="shared" si="34"/>
        <v>602</v>
      </c>
    </row>
    <row r="275" spans="1:39" s="3" customFormat="1" x14ac:dyDescent="0.25">
      <c r="A275" s="2" t="s">
        <v>16</v>
      </c>
      <c r="B275" s="29" t="s">
        <v>739</v>
      </c>
      <c r="C275" s="2" t="s">
        <v>31</v>
      </c>
      <c r="D275" s="2" t="s">
        <v>312</v>
      </c>
      <c r="E275" s="14">
        <v>17184</v>
      </c>
      <c r="F275" s="15">
        <f t="shared" si="28"/>
        <v>599.72159999999997</v>
      </c>
      <c r="G275" s="15">
        <f t="shared" si="29"/>
        <v>687.36</v>
      </c>
      <c r="H275" s="15">
        <f t="shared" si="30"/>
        <v>499.76799999999997</v>
      </c>
      <c r="I275" s="15">
        <f t="shared" si="31"/>
        <v>572.79999999999995</v>
      </c>
      <c r="J275" s="10">
        <v>407</v>
      </c>
      <c r="K275" s="10">
        <v>41</v>
      </c>
      <c r="L275" s="10">
        <v>505</v>
      </c>
      <c r="M275" s="10">
        <v>494</v>
      </c>
      <c r="N275" s="10">
        <v>391</v>
      </c>
      <c r="O275" s="10">
        <v>524</v>
      </c>
      <c r="P275" s="10">
        <v>423</v>
      </c>
      <c r="Q275" s="10">
        <v>361</v>
      </c>
      <c r="R275" s="10">
        <v>562</v>
      </c>
      <c r="S275" s="10">
        <v>531</v>
      </c>
      <c r="T275" s="10">
        <v>416</v>
      </c>
      <c r="U275" s="10">
        <v>534</v>
      </c>
      <c r="V275" s="10">
        <v>311</v>
      </c>
      <c r="W275" s="10">
        <v>236</v>
      </c>
      <c r="X275" s="10">
        <v>390</v>
      </c>
      <c r="Y275" s="10">
        <v>31</v>
      </c>
      <c r="Z275" s="10">
        <v>355</v>
      </c>
      <c r="AA275" s="10">
        <v>376</v>
      </c>
      <c r="AB275" s="10">
        <v>352</v>
      </c>
      <c r="AC275" s="10">
        <v>84</v>
      </c>
      <c r="AD275" s="10">
        <v>49</v>
      </c>
      <c r="AE275" s="10">
        <v>24</v>
      </c>
      <c r="AF275" s="10">
        <v>24</v>
      </c>
      <c r="AG275" s="10">
        <v>21</v>
      </c>
      <c r="AH275" s="102">
        <f>SUM(Tableau2[[#This Row],[Td 2]:[Td 5]])</f>
        <v>118</v>
      </c>
      <c r="AI275" s="10">
        <v>58.3</v>
      </c>
      <c r="AJ275" s="10">
        <v>100</v>
      </c>
      <c r="AK275" s="17">
        <f t="shared" si="32"/>
        <v>0</v>
      </c>
      <c r="AL275" s="17">
        <f t="shared" si="33"/>
        <v>134</v>
      </c>
      <c r="AM275" s="17">
        <f t="shared" si="34"/>
        <v>355</v>
      </c>
    </row>
    <row r="276" spans="1:39" s="3" customFormat="1" x14ac:dyDescent="0.25">
      <c r="A276" s="2" t="s">
        <v>16</v>
      </c>
      <c r="B276" s="29" t="s">
        <v>739</v>
      </c>
      <c r="C276" s="2" t="s">
        <v>31</v>
      </c>
      <c r="D276" s="2" t="s">
        <v>31</v>
      </c>
      <c r="E276" s="14">
        <v>23799</v>
      </c>
      <c r="F276" s="15">
        <f t="shared" si="28"/>
        <v>830.58510000000001</v>
      </c>
      <c r="G276" s="15">
        <f t="shared" si="29"/>
        <v>951.96</v>
      </c>
      <c r="H276" s="15">
        <f t="shared" si="30"/>
        <v>692.15424999999993</v>
      </c>
      <c r="I276" s="15">
        <f t="shared" si="31"/>
        <v>793.3</v>
      </c>
      <c r="J276" s="10">
        <v>866</v>
      </c>
      <c r="K276" s="10">
        <v>521</v>
      </c>
      <c r="L276" s="10">
        <v>681</v>
      </c>
      <c r="M276" s="10">
        <v>630</v>
      </c>
      <c r="N276" s="10">
        <v>611</v>
      </c>
      <c r="O276" s="10">
        <v>596</v>
      </c>
      <c r="P276" s="10">
        <v>471</v>
      </c>
      <c r="Q276" s="10">
        <v>485</v>
      </c>
      <c r="R276" s="10">
        <v>1309</v>
      </c>
      <c r="S276" s="10">
        <v>504</v>
      </c>
      <c r="T276" s="10">
        <v>511</v>
      </c>
      <c r="U276" s="10">
        <v>636</v>
      </c>
      <c r="V276" s="10">
        <v>509</v>
      </c>
      <c r="W276" s="10">
        <v>514</v>
      </c>
      <c r="X276" s="10">
        <v>538</v>
      </c>
      <c r="Y276" s="10">
        <v>200</v>
      </c>
      <c r="Z276" s="10">
        <v>484</v>
      </c>
      <c r="AA276" s="10">
        <v>611</v>
      </c>
      <c r="AB276" s="10">
        <v>489</v>
      </c>
      <c r="AC276" s="10">
        <v>116</v>
      </c>
      <c r="AD276" s="10">
        <v>73</v>
      </c>
      <c r="AE276" s="10">
        <v>68</v>
      </c>
      <c r="AF276" s="10">
        <v>30</v>
      </c>
      <c r="AG276" s="10">
        <v>28</v>
      </c>
      <c r="AH276" s="102">
        <f>SUM(Tableau2[[#This Row],[Td 2]:[Td 5]])</f>
        <v>199</v>
      </c>
      <c r="AI276" s="10">
        <v>41.7</v>
      </c>
      <c r="AJ276" s="10">
        <v>100</v>
      </c>
      <c r="AK276" s="17">
        <f t="shared" si="32"/>
        <v>96.154249999999934</v>
      </c>
      <c r="AL276" s="17">
        <f t="shared" si="33"/>
        <v>58</v>
      </c>
      <c r="AM276" s="17">
        <f t="shared" si="34"/>
        <v>484</v>
      </c>
    </row>
    <row r="277" spans="1:39" s="3" customFormat="1" x14ac:dyDescent="0.25">
      <c r="A277" s="2" t="s">
        <v>16</v>
      </c>
      <c r="B277" s="29" t="s">
        <v>739</v>
      </c>
      <c r="C277" s="2" t="s">
        <v>31</v>
      </c>
      <c r="D277" s="2" t="s">
        <v>313</v>
      </c>
      <c r="E277" s="14">
        <v>12293</v>
      </c>
      <c r="F277" s="15">
        <f t="shared" si="28"/>
        <v>429.02570000000003</v>
      </c>
      <c r="G277" s="15">
        <f t="shared" si="29"/>
        <v>491.72</v>
      </c>
      <c r="H277" s="15">
        <f t="shared" si="30"/>
        <v>357.52141666666665</v>
      </c>
      <c r="I277" s="15">
        <f t="shared" si="31"/>
        <v>409.76666666666665</v>
      </c>
      <c r="J277" s="10">
        <v>150</v>
      </c>
      <c r="K277" s="10">
        <v>108</v>
      </c>
      <c r="L277" s="10">
        <v>327</v>
      </c>
      <c r="M277" s="10">
        <v>306</v>
      </c>
      <c r="N277" s="10">
        <v>324</v>
      </c>
      <c r="O277" s="10">
        <v>220</v>
      </c>
      <c r="P277" s="10">
        <v>204</v>
      </c>
      <c r="Q277" s="10">
        <v>222</v>
      </c>
      <c r="R277" s="10">
        <v>216</v>
      </c>
      <c r="S277" s="10">
        <v>203</v>
      </c>
      <c r="T277" s="10">
        <v>221</v>
      </c>
      <c r="U277" s="10">
        <v>255</v>
      </c>
      <c r="V277" s="10">
        <v>236</v>
      </c>
      <c r="W277" s="10">
        <v>221</v>
      </c>
      <c r="X277" s="10">
        <v>357</v>
      </c>
      <c r="Y277" s="10">
        <v>48</v>
      </c>
      <c r="Z277" s="10">
        <v>263</v>
      </c>
      <c r="AA277" s="10">
        <v>297</v>
      </c>
      <c r="AB277" s="10">
        <v>260</v>
      </c>
      <c r="AC277" s="10">
        <v>139</v>
      </c>
      <c r="AD277" s="10">
        <v>140</v>
      </c>
      <c r="AE277" s="10">
        <v>48</v>
      </c>
      <c r="AF277" s="10">
        <v>23</v>
      </c>
      <c r="AG277" s="10">
        <v>20</v>
      </c>
      <c r="AH277" s="102">
        <f>SUM(Tableau2[[#This Row],[Td 2]:[Td 5]])</f>
        <v>231</v>
      </c>
      <c r="AI277" s="10">
        <v>41.7</v>
      </c>
      <c r="AJ277" s="10">
        <v>100</v>
      </c>
      <c r="AK277" s="17">
        <f t="shared" si="32"/>
        <v>137.52141666666665</v>
      </c>
      <c r="AL277" s="17">
        <f t="shared" si="33"/>
        <v>0</v>
      </c>
      <c r="AM277" s="17">
        <f t="shared" si="34"/>
        <v>263</v>
      </c>
    </row>
    <row r="278" spans="1:39" s="3" customFormat="1" x14ac:dyDescent="0.25">
      <c r="A278" s="2" t="s">
        <v>16</v>
      </c>
      <c r="B278" s="29" t="s">
        <v>739</v>
      </c>
      <c r="C278" s="2" t="s">
        <v>31</v>
      </c>
      <c r="D278" s="2" t="s">
        <v>80</v>
      </c>
      <c r="E278" s="14">
        <v>25594</v>
      </c>
      <c r="F278" s="15">
        <f t="shared" si="28"/>
        <v>893.23059999999998</v>
      </c>
      <c r="G278" s="15">
        <f t="shared" si="29"/>
        <v>1023.76</v>
      </c>
      <c r="H278" s="15">
        <f t="shared" si="30"/>
        <v>744.35883333333334</v>
      </c>
      <c r="I278" s="15">
        <f t="shared" si="31"/>
        <v>853.13333333333333</v>
      </c>
      <c r="J278" s="10">
        <v>876</v>
      </c>
      <c r="K278" s="10">
        <v>1058</v>
      </c>
      <c r="L278" s="10">
        <v>687</v>
      </c>
      <c r="M278" s="10">
        <v>659</v>
      </c>
      <c r="N278" s="10">
        <v>654</v>
      </c>
      <c r="O278" s="10">
        <v>514</v>
      </c>
      <c r="P278" s="10">
        <v>493</v>
      </c>
      <c r="Q278" s="10">
        <v>509</v>
      </c>
      <c r="R278" s="10">
        <v>554</v>
      </c>
      <c r="S278" s="10">
        <v>519</v>
      </c>
      <c r="T278" s="10">
        <v>526</v>
      </c>
      <c r="U278" s="10">
        <v>614</v>
      </c>
      <c r="V278" s="10">
        <v>559</v>
      </c>
      <c r="W278" s="10">
        <v>472</v>
      </c>
      <c r="X278" s="10">
        <v>615</v>
      </c>
      <c r="Y278" s="10">
        <v>119</v>
      </c>
      <c r="Z278" s="10">
        <v>605</v>
      </c>
      <c r="AA278" s="10">
        <v>640</v>
      </c>
      <c r="AB278" s="10">
        <v>595</v>
      </c>
      <c r="AC278" s="10">
        <v>405</v>
      </c>
      <c r="AD278" s="10">
        <v>521</v>
      </c>
      <c r="AE278" s="10">
        <v>245</v>
      </c>
      <c r="AF278" s="10">
        <v>173</v>
      </c>
      <c r="AG278" s="10">
        <v>176</v>
      </c>
      <c r="AH278" s="102">
        <f>SUM(Tableau2[[#This Row],[Td 2]:[Td 5]])</f>
        <v>1115</v>
      </c>
      <c r="AI278" s="10">
        <v>58.3</v>
      </c>
      <c r="AJ278" s="10">
        <v>100</v>
      </c>
      <c r="AK278" s="17">
        <f t="shared" si="32"/>
        <v>230.35883333333334</v>
      </c>
      <c r="AL278" s="17">
        <f t="shared" si="33"/>
        <v>0</v>
      </c>
      <c r="AM278" s="17">
        <f t="shared" si="34"/>
        <v>605</v>
      </c>
    </row>
    <row r="279" spans="1:39" s="3" customFormat="1" x14ac:dyDescent="0.25">
      <c r="A279" s="2" t="s">
        <v>16</v>
      </c>
      <c r="B279" s="29" t="s">
        <v>739</v>
      </c>
      <c r="C279" s="2" t="s">
        <v>31</v>
      </c>
      <c r="D279" s="2" t="s">
        <v>314</v>
      </c>
      <c r="E279" s="14">
        <v>34270</v>
      </c>
      <c r="F279" s="15">
        <f t="shared" si="28"/>
        <v>1196.0229999999999</v>
      </c>
      <c r="G279" s="15">
        <f t="shared" si="29"/>
        <v>1370.8</v>
      </c>
      <c r="H279" s="15">
        <f t="shared" si="30"/>
        <v>996.68583333333333</v>
      </c>
      <c r="I279" s="15">
        <f t="shared" si="31"/>
        <v>1142.3333333333333</v>
      </c>
      <c r="J279" s="10">
        <v>397</v>
      </c>
      <c r="K279" s="10">
        <v>149</v>
      </c>
      <c r="L279" s="10">
        <v>1145</v>
      </c>
      <c r="M279" s="10">
        <v>1067</v>
      </c>
      <c r="N279" s="10">
        <v>983</v>
      </c>
      <c r="O279" s="10">
        <v>998</v>
      </c>
      <c r="P279" s="10">
        <v>916</v>
      </c>
      <c r="Q279" s="10">
        <v>882</v>
      </c>
      <c r="R279" s="10">
        <v>990</v>
      </c>
      <c r="S279" s="10">
        <v>940</v>
      </c>
      <c r="T279" s="10">
        <v>907</v>
      </c>
      <c r="U279" s="10">
        <v>1128</v>
      </c>
      <c r="V279" s="10">
        <v>906</v>
      </c>
      <c r="W279" s="10">
        <v>815</v>
      </c>
      <c r="X279" s="10">
        <v>834</v>
      </c>
      <c r="Y279" s="10">
        <v>114</v>
      </c>
      <c r="Z279" s="10">
        <v>759</v>
      </c>
      <c r="AA279" s="10">
        <v>1033</v>
      </c>
      <c r="AB279" s="10">
        <v>817</v>
      </c>
      <c r="AC279" s="10">
        <v>535</v>
      </c>
      <c r="AD279" s="10">
        <v>362</v>
      </c>
      <c r="AE279" s="10">
        <v>223</v>
      </c>
      <c r="AF279" s="10">
        <v>192</v>
      </c>
      <c r="AG279" s="10">
        <v>175</v>
      </c>
      <c r="AH279" s="102">
        <f>SUM(Tableau2[[#This Row],[Td 2]:[Td 5]])</f>
        <v>952</v>
      </c>
      <c r="AI279" s="10">
        <v>58.3</v>
      </c>
      <c r="AJ279" s="10">
        <v>100</v>
      </c>
      <c r="AK279" s="17">
        <f t="shared" si="32"/>
        <v>0</v>
      </c>
      <c r="AL279" s="17">
        <f t="shared" si="33"/>
        <v>164</v>
      </c>
      <c r="AM279" s="17">
        <f t="shared" si="34"/>
        <v>759</v>
      </c>
    </row>
    <row r="280" spans="1:39" s="3" customFormat="1" x14ac:dyDescent="0.25">
      <c r="A280" s="2" t="s">
        <v>16</v>
      </c>
      <c r="B280" s="29" t="s">
        <v>739</v>
      </c>
      <c r="C280" s="2" t="s">
        <v>31</v>
      </c>
      <c r="D280" s="2" t="s">
        <v>315</v>
      </c>
      <c r="E280" s="14">
        <v>16400</v>
      </c>
      <c r="F280" s="15">
        <f t="shared" si="28"/>
        <v>572.36</v>
      </c>
      <c r="G280" s="15">
        <f t="shared" si="29"/>
        <v>656</v>
      </c>
      <c r="H280" s="15">
        <f t="shared" si="30"/>
        <v>476.96666666666664</v>
      </c>
      <c r="I280" s="15">
        <f t="shared" si="31"/>
        <v>546.66666666666663</v>
      </c>
      <c r="J280" s="10">
        <v>580</v>
      </c>
      <c r="K280" s="10">
        <v>335</v>
      </c>
      <c r="L280" s="10">
        <v>536</v>
      </c>
      <c r="M280" s="10">
        <v>503</v>
      </c>
      <c r="N280" s="10">
        <v>505</v>
      </c>
      <c r="O280" s="10">
        <v>387</v>
      </c>
      <c r="P280" s="10">
        <v>369</v>
      </c>
      <c r="Q280" s="10">
        <v>366</v>
      </c>
      <c r="R280" s="10">
        <v>440</v>
      </c>
      <c r="S280" s="10">
        <v>418</v>
      </c>
      <c r="T280" s="10">
        <v>419</v>
      </c>
      <c r="U280" s="10">
        <v>446</v>
      </c>
      <c r="V280" s="10">
        <v>428</v>
      </c>
      <c r="W280" s="10">
        <v>427</v>
      </c>
      <c r="X280" s="10">
        <v>544</v>
      </c>
      <c r="Y280" s="10">
        <v>171</v>
      </c>
      <c r="Z280" s="10">
        <v>448</v>
      </c>
      <c r="AA280" s="10">
        <v>604</v>
      </c>
      <c r="AB280" s="10">
        <v>544</v>
      </c>
      <c r="AC280" s="10">
        <v>159</v>
      </c>
      <c r="AD280" s="10">
        <v>110</v>
      </c>
      <c r="AE280" s="10">
        <v>101</v>
      </c>
      <c r="AF280" s="10">
        <v>63</v>
      </c>
      <c r="AG280" s="10">
        <v>75</v>
      </c>
      <c r="AH280" s="102">
        <f>SUM(Tableau2[[#This Row],[Td 2]:[Td 5]])</f>
        <v>349</v>
      </c>
      <c r="AI280" s="10">
        <v>50</v>
      </c>
      <c r="AJ280" s="10">
        <v>100</v>
      </c>
      <c r="AK280" s="17">
        <f t="shared" si="32"/>
        <v>89.96666666666664</v>
      </c>
      <c r="AL280" s="17">
        <f t="shared" si="33"/>
        <v>0</v>
      </c>
      <c r="AM280" s="17">
        <f t="shared" si="34"/>
        <v>448</v>
      </c>
    </row>
    <row r="281" spans="1:39" s="3" customFormat="1" x14ac:dyDescent="0.25">
      <c r="A281" s="2" t="s">
        <v>16</v>
      </c>
      <c r="B281" s="29" t="s">
        <v>739</v>
      </c>
      <c r="C281" s="2" t="s">
        <v>31</v>
      </c>
      <c r="D281" s="2" t="s">
        <v>316</v>
      </c>
      <c r="E281" s="14">
        <v>16337</v>
      </c>
      <c r="F281" s="15">
        <f t="shared" si="28"/>
        <v>570.16129999999998</v>
      </c>
      <c r="G281" s="15">
        <f t="shared" si="29"/>
        <v>653.48</v>
      </c>
      <c r="H281" s="15">
        <f t="shared" si="30"/>
        <v>475.13441666666665</v>
      </c>
      <c r="I281" s="15">
        <f t="shared" si="31"/>
        <v>544.56666666666672</v>
      </c>
      <c r="J281" s="10">
        <v>205</v>
      </c>
      <c r="K281" s="10">
        <v>210</v>
      </c>
      <c r="L281" s="10">
        <v>489</v>
      </c>
      <c r="M281" s="10">
        <v>409</v>
      </c>
      <c r="N281" s="10">
        <v>414</v>
      </c>
      <c r="O281" s="10">
        <v>500</v>
      </c>
      <c r="P281" s="10">
        <v>370</v>
      </c>
      <c r="Q281" s="10">
        <v>399</v>
      </c>
      <c r="R281" s="10">
        <v>508</v>
      </c>
      <c r="S281" s="10">
        <v>379</v>
      </c>
      <c r="T281" s="10">
        <v>422</v>
      </c>
      <c r="U281" s="10">
        <v>443</v>
      </c>
      <c r="V281" s="10">
        <v>312</v>
      </c>
      <c r="W281" s="10">
        <v>356</v>
      </c>
      <c r="X281" s="10">
        <v>460</v>
      </c>
      <c r="Y281" s="10">
        <v>28</v>
      </c>
      <c r="Z281" s="10">
        <v>428</v>
      </c>
      <c r="AA281" s="10">
        <v>462</v>
      </c>
      <c r="AB281" s="10">
        <v>388</v>
      </c>
      <c r="AC281" s="10">
        <v>352</v>
      </c>
      <c r="AD281" s="10">
        <v>229</v>
      </c>
      <c r="AE281" s="10">
        <v>114</v>
      </c>
      <c r="AF281" s="10">
        <v>54</v>
      </c>
      <c r="AG281" s="10">
        <v>64</v>
      </c>
      <c r="AH281" s="102">
        <f>SUM(Tableau2[[#This Row],[Td 2]:[Td 5]])</f>
        <v>461</v>
      </c>
      <c r="AI281" s="10">
        <v>58.3</v>
      </c>
      <c r="AJ281" s="10">
        <v>100</v>
      </c>
      <c r="AK281" s="17">
        <f t="shared" si="32"/>
        <v>0</v>
      </c>
      <c r="AL281" s="17">
        <f t="shared" si="33"/>
        <v>40</v>
      </c>
      <c r="AM281" s="17">
        <f t="shared" si="34"/>
        <v>428</v>
      </c>
    </row>
    <row r="282" spans="1:39" s="3" customFormat="1" x14ac:dyDescent="0.25">
      <c r="A282" s="2" t="s">
        <v>16</v>
      </c>
      <c r="B282" s="29" t="s">
        <v>739</v>
      </c>
      <c r="C282" s="2" t="s">
        <v>31</v>
      </c>
      <c r="D282" s="2" t="s">
        <v>317</v>
      </c>
      <c r="E282" s="14">
        <v>17135</v>
      </c>
      <c r="F282" s="15">
        <f t="shared" si="28"/>
        <v>598.01149999999996</v>
      </c>
      <c r="G282" s="15">
        <f t="shared" si="29"/>
        <v>685.4</v>
      </c>
      <c r="H282" s="15">
        <f t="shared" si="30"/>
        <v>498.34291666666667</v>
      </c>
      <c r="I282" s="15">
        <f t="shared" si="31"/>
        <v>571.16666666666663</v>
      </c>
      <c r="J282" s="10">
        <v>303</v>
      </c>
      <c r="K282" s="10">
        <v>478</v>
      </c>
      <c r="L282" s="10">
        <v>557</v>
      </c>
      <c r="M282" s="10">
        <v>503</v>
      </c>
      <c r="N282" s="10">
        <v>517</v>
      </c>
      <c r="O282" s="10">
        <v>427</v>
      </c>
      <c r="P282" s="10">
        <v>372</v>
      </c>
      <c r="Q282" s="10">
        <v>387</v>
      </c>
      <c r="R282" s="10">
        <v>444</v>
      </c>
      <c r="S282" s="10">
        <v>369</v>
      </c>
      <c r="T282" s="10">
        <v>384</v>
      </c>
      <c r="U282" s="10">
        <v>423</v>
      </c>
      <c r="V282" s="10">
        <v>361</v>
      </c>
      <c r="W282" s="10">
        <v>373</v>
      </c>
      <c r="X282" s="10">
        <v>519</v>
      </c>
      <c r="Y282" s="10">
        <v>192</v>
      </c>
      <c r="Z282" s="10">
        <v>383</v>
      </c>
      <c r="AA282" s="10">
        <v>478</v>
      </c>
      <c r="AB282" s="10">
        <v>433</v>
      </c>
      <c r="AC282" s="10">
        <v>72</v>
      </c>
      <c r="AD282" s="10">
        <v>47</v>
      </c>
      <c r="AE282" s="10">
        <v>47</v>
      </c>
      <c r="AF282" s="10">
        <v>39</v>
      </c>
      <c r="AG282" s="10">
        <v>31</v>
      </c>
      <c r="AH282" s="102">
        <f>SUM(Tableau2[[#This Row],[Td 2]:[Td 5]])</f>
        <v>164</v>
      </c>
      <c r="AI282" s="10">
        <v>50</v>
      </c>
      <c r="AJ282" s="10">
        <v>100</v>
      </c>
      <c r="AK282" s="17">
        <f t="shared" si="32"/>
        <v>71.342916666666667</v>
      </c>
      <c r="AL282" s="17">
        <f t="shared" si="33"/>
        <v>0</v>
      </c>
      <c r="AM282" s="17">
        <f t="shared" si="34"/>
        <v>383</v>
      </c>
    </row>
    <row r="283" spans="1:39" s="3" customFormat="1" x14ac:dyDescent="0.25">
      <c r="A283" s="2" t="s">
        <v>16</v>
      </c>
      <c r="B283" s="29" t="s">
        <v>739</v>
      </c>
      <c r="C283" s="2" t="s">
        <v>31</v>
      </c>
      <c r="D283" s="2" t="s">
        <v>318</v>
      </c>
      <c r="E283" s="14">
        <v>19266</v>
      </c>
      <c r="F283" s="15">
        <f t="shared" si="28"/>
        <v>672.38340000000005</v>
      </c>
      <c r="G283" s="15">
        <f t="shared" si="29"/>
        <v>770.64</v>
      </c>
      <c r="H283" s="15">
        <f t="shared" si="30"/>
        <v>560.31950000000006</v>
      </c>
      <c r="I283" s="15">
        <f t="shared" si="31"/>
        <v>642.20000000000005</v>
      </c>
      <c r="J283" s="10">
        <v>776</v>
      </c>
      <c r="K283" s="10">
        <v>489</v>
      </c>
      <c r="L283" s="10">
        <v>991</v>
      </c>
      <c r="M283" s="10">
        <v>532</v>
      </c>
      <c r="N283" s="10">
        <v>465</v>
      </c>
      <c r="O283" s="10">
        <v>532</v>
      </c>
      <c r="P283" s="10">
        <v>500</v>
      </c>
      <c r="Q283" s="10">
        <v>447</v>
      </c>
      <c r="R283" s="10">
        <v>549</v>
      </c>
      <c r="S283" s="10">
        <v>467</v>
      </c>
      <c r="T283" s="10">
        <v>377</v>
      </c>
      <c r="U283" s="10">
        <v>598</v>
      </c>
      <c r="V283" s="10">
        <v>567</v>
      </c>
      <c r="W283" s="10">
        <v>435</v>
      </c>
      <c r="X283" s="10">
        <v>452</v>
      </c>
      <c r="Y283" s="10">
        <v>170</v>
      </c>
      <c r="Z283" s="10">
        <v>387</v>
      </c>
      <c r="AA283" s="10">
        <v>443</v>
      </c>
      <c r="AB283" s="10">
        <v>402</v>
      </c>
      <c r="AC283" s="10">
        <v>233</v>
      </c>
      <c r="AD283" s="10">
        <v>207</v>
      </c>
      <c r="AE283" s="10">
        <v>55</v>
      </c>
      <c r="AF283" s="10">
        <v>29</v>
      </c>
      <c r="AG283" s="10">
        <v>46</v>
      </c>
      <c r="AH283" s="102">
        <f>SUM(Tableau2[[#This Row],[Td 2]:[Td 5]])</f>
        <v>337</v>
      </c>
      <c r="AI283" s="10">
        <v>58.3</v>
      </c>
      <c r="AJ283" s="10">
        <v>100</v>
      </c>
      <c r="AK283" s="17">
        <f t="shared" si="32"/>
        <v>28.319500000000062</v>
      </c>
      <c r="AL283" s="17">
        <f t="shared" si="33"/>
        <v>80</v>
      </c>
      <c r="AM283" s="17">
        <f t="shared" si="34"/>
        <v>387</v>
      </c>
    </row>
    <row r="284" spans="1:39" s="3" customFormat="1" x14ac:dyDescent="0.25">
      <c r="A284" s="2" t="s">
        <v>16</v>
      </c>
      <c r="B284" s="29" t="s">
        <v>739</v>
      </c>
      <c r="C284" s="2" t="s">
        <v>31</v>
      </c>
      <c r="D284" s="2" t="s">
        <v>319</v>
      </c>
      <c r="E284" s="14">
        <v>13932</v>
      </c>
      <c r="F284" s="15">
        <f t="shared" si="28"/>
        <v>486.22680000000003</v>
      </c>
      <c r="G284" s="15">
        <f t="shared" si="29"/>
        <v>557.28</v>
      </c>
      <c r="H284" s="15">
        <f t="shared" si="30"/>
        <v>405.18900000000002</v>
      </c>
      <c r="I284" s="15">
        <f t="shared" si="31"/>
        <v>464.4</v>
      </c>
      <c r="J284" s="10">
        <v>290</v>
      </c>
      <c r="K284" s="10">
        <v>222</v>
      </c>
      <c r="L284" s="10">
        <v>468</v>
      </c>
      <c r="M284" s="10">
        <v>471</v>
      </c>
      <c r="N284" s="10">
        <v>441</v>
      </c>
      <c r="O284" s="10">
        <v>376</v>
      </c>
      <c r="P284" s="10">
        <v>398</v>
      </c>
      <c r="Q284" s="10">
        <v>280</v>
      </c>
      <c r="R284" s="10">
        <v>470</v>
      </c>
      <c r="S284" s="10">
        <v>465</v>
      </c>
      <c r="T284" s="10">
        <v>445</v>
      </c>
      <c r="U284" s="10">
        <v>327</v>
      </c>
      <c r="V284" s="10">
        <v>331</v>
      </c>
      <c r="W284" s="10">
        <v>316</v>
      </c>
      <c r="X284" s="10">
        <v>326</v>
      </c>
      <c r="Y284" s="10">
        <v>45</v>
      </c>
      <c r="Z284" s="10">
        <v>262</v>
      </c>
      <c r="AA284" s="10">
        <v>326</v>
      </c>
      <c r="AB284" s="10">
        <v>9</v>
      </c>
      <c r="AC284" s="10">
        <v>388</v>
      </c>
      <c r="AD284" s="10">
        <v>257</v>
      </c>
      <c r="AE284" s="10">
        <v>152</v>
      </c>
      <c r="AF284" s="10">
        <v>119</v>
      </c>
      <c r="AG284" s="10">
        <v>83</v>
      </c>
      <c r="AH284" s="102">
        <f>SUM(Tableau2[[#This Row],[Td 2]:[Td 5]])</f>
        <v>611</v>
      </c>
      <c r="AI284" s="10">
        <v>41.7</v>
      </c>
      <c r="AJ284" s="10">
        <v>100</v>
      </c>
      <c r="AK284" s="17">
        <f t="shared" si="32"/>
        <v>29.189000000000021</v>
      </c>
      <c r="AL284" s="17">
        <f t="shared" si="33"/>
        <v>50</v>
      </c>
      <c r="AM284" s="17">
        <f t="shared" si="34"/>
        <v>262</v>
      </c>
    </row>
    <row r="285" spans="1:39" s="3" customFormat="1" x14ac:dyDescent="0.25">
      <c r="A285" s="2" t="s">
        <v>16</v>
      </c>
      <c r="B285" s="29" t="s">
        <v>739</v>
      </c>
      <c r="C285" s="2" t="s">
        <v>31</v>
      </c>
      <c r="D285" s="2" t="s">
        <v>320</v>
      </c>
      <c r="E285" s="14">
        <v>14483</v>
      </c>
      <c r="F285" s="15">
        <f t="shared" si="28"/>
        <v>505.45670000000001</v>
      </c>
      <c r="G285" s="15">
        <f t="shared" si="29"/>
        <v>579.32000000000005</v>
      </c>
      <c r="H285" s="15">
        <f t="shared" si="30"/>
        <v>421.21391666666671</v>
      </c>
      <c r="I285" s="15">
        <f t="shared" si="31"/>
        <v>482.76666666666671</v>
      </c>
      <c r="J285" s="10">
        <v>334</v>
      </c>
      <c r="K285" s="10">
        <v>27</v>
      </c>
      <c r="L285" s="10">
        <v>418</v>
      </c>
      <c r="M285" s="10">
        <v>335</v>
      </c>
      <c r="N285" s="10">
        <v>377</v>
      </c>
      <c r="O285" s="10">
        <v>360</v>
      </c>
      <c r="P285" s="10">
        <v>293</v>
      </c>
      <c r="Q285" s="10">
        <v>326</v>
      </c>
      <c r="R285" s="10">
        <v>381</v>
      </c>
      <c r="S285" s="10">
        <v>266</v>
      </c>
      <c r="T285" s="10">
        <v>342</v>
      </c>
      <c r="U285" s="10">
        <v>354</v>
      </c>
      <c r="V285" s="10">
        <v>291</v>
      </c>
      <c r="W285" s="10">
        <v>323</v>
      </c>
      <c r="X285" s="10">
        <v>405</v>
      </c>
      <c r="Y285" s="10">
        <v>51</v>
      </c>
      <c r="Z285" s="10">
        <v>405</v>
      </c>
      <c r="AA285" s="10">
        <v>377</v>
      </c>
      <c r="AB285" s="10">
        <v>375</v>
      </c>
      <c r="AC285" s="10">
        <v>39</v>
      </c>
      <c r="AD285" s="10">
        <v>39</v>
      </c>
      <c r="AE285" s="10">
        <v>30</v>
      </c>
      <c r="AF285" s="10">
        <v>29</v>
      </c>
      <c r="AG285" s="10">
        <v>18</v>
      </c>
      <c r="AH285" s="102">
        <f>SUM(Tableau2[[#This Row],[Td 2]:[Td 5]])</f>
        <v>116</v>
      </c>
      <c r="AI285" s="10">
        <v>25</v>
      </c>
      <c r="AJ285" s="10">
        <v>100</v>
      </c>
      <c r="AK285" s="17">
        <f t="shared" si="32"/>
        <v>61.213916666666705</v>
      </c>
      <c r="AL285" s="17">
        <f t="shared" si="33"/>
        <v>0</v>
      </c>
      <c r="AM285" s="17">
        <f t="shared" si="34"/>
        <v>405</v>
      </c>
    </row>
    <row r="286" spans="1:39" s="3" customFormat="1" x14ac:dyDescent="0.25">
      <c r="A286" s="2" t="s">
        <v>16</v>
      </c>
      <c r="B286" s="29" t="s">
        <v>739</v>
      </c>
      <c r="C286" s="2" t="s">
        <v>31</v>
      </c>
      <c r="D286" s="2" t="s">
        <v>321</v>
      </c>
      <c r="E286" s="14">
        <v>28164</v>
      </c>
      <c r="F286" s="15">
        <f t="shared" si="28"/>
        <v>982.92359999999996</v>
      </c>
      <c r="G286" s="15">
        <f t="shared" si="29"/>
        <v>1126.56</v>
      </c>
      <c r="H286" s="15">
        <f t="shared" si="30"/>
        <v>819.10299999999995</v>
      </c>
      <c r="I286" s="15">
        <f t="shared" si="31"/>
        <v>938.8</v>
      </c>
      <c r="J286" s="10">
        <v>295</v>
      </c>
      <c r="K286" s="10">
        <v>411</v>
      </c>
      <c r="L286" s="10">
        <v>749</v>
      </c>
      <c r="M286" s="10">
        <v>696</v>
      </c>
      <c r="N286" s="10">
        <v>712</v>
      </c>
      <c r="O286" s="10">
        <v>625</v>
      </c>
      <c r="P286" s="10">
        <v>590</v>
      </c>
      <c r="Q286" s="10">
        <v>583</v>
      </c>
      <c r="R286" s="10">
        <v>688</v>
      </c>
      <c r="S286" s="10">
        <v>717</v>
      </c>
      <c r="T286" s="10">
        <v>713</v>
      </c>
      <c r="U286" s="10">
        <v>766</v>
      </c>
      <c r="V286" s="10">
        <v>679</v>
      </c>
      <c r="W286" s="10">
        <v>641</v>
      </c>
      <c r="X286" s="10">
        <v>785</v>
      </c>
      <c r="Y286" s="10">
        <v>231</v>
      </c>
      <c r="Z286" s="10">
        <v>757</v>
      </c>
      <c r="AA286" s="10">
        <v>712</v>
      </c>
      <c r="AB286" s="10">
        <v>757</v>
      </c>
      <c r="AC286" s="10">
        <v>486</v>
      </c>
      <c r="AD286" s="10">
        <v>292</v>
      </c>
      <c r="AE286" s="10">
        <v>154</v>
      </c>
      <c r="AF286" s="10">
        <v>85</v>
      </c>
      <c r="AG286" s="10">
        <v>56</v>
      </c>
      <c r="AH286" s="102">
        <f>SUM(Tableau2[[#This Row],[Td 2]:[Td 5]])</f>
        <v>587</v>
      </c>
      <c r="AI286" s="10">
        <v>41.7</v>
      </c>
      <c r="AJ286" s="10">
        <v>100</v>
      </c>
      <c r="AK286" s="17">
        <f t="shared" si="32"/>
        <v>194.10299999999995</v>
      </c>
      <c r="AL286" s="17">
        <f t="shared" si="33"/>
        <v>0</v>
      </c>
      <c r="AM286" s="17">
        <f t="shared" si="34"/>
        <v>757</v>
      </c>
    </row>
    <row r="287" spans="1:39" s="3" customFormat="1" x14ac:dyDescent="0.25">
      <c r="A287" s="2" t="s">
        <v>16</v>
      </c>
      <c r="B287" s="29" t="s">
        <v>740</v>
      </c>
      <c r="C287" s="2" t="s">
        <v>32</v>
      </c>
      <c r="D287" s="2" t="s">
        <v>322</v>
      </c>
      <c r="E287" s="14">
        <v>20638</v>
      </c>
      <c r="F287" s="15">
        <f t="shared" si="28"/>
        <v>720.26620000000003</v>
      </c>
      <c r="G287" s="15">
        <f t="shared" si="29"/>
        <v>825.52</v>
      </c>
      <c r="H287" s="15">
        <f t="shared" si="30"/>
        <v>600.22183333333339</v>
      </c>
      <c r="I287" s="15">
        <f t="shared" si="31"/>
        <v>687.93333333333339</v>
      </c>
      <c r="J287" s="10">
        <v>584</v>
      </c>
      <c r="K287" s="10">
        <v>166</v>
      </c>
      <c r="L287" s="10">
        <v>451</v>
      </c>
      <c r="M287" s="10">
        <v>356</v>
      </c>
      <c r="N287" s="10">
        <v>424</v>
      </c>
      <c r="O287" s="10">
        <v>701</v>
      </c>
      <c r="P287" s="10">
        <v>522</v>
      </c>
      <c r="Q287" s="10">
        <v>613</v>
      </c>
      <c r="R287" s="10">
        <v>615</v>
      </c>
      <c r="S287" s="10">
        <v>461</v>
      </c>
      <c r="T287" s="10">
        <v>529</v>
      </c>
      <c r="U287" s="10">
        <v>423</v>
      </c>
      <c r="V287" s="10">
        <v>306</v>
      </c>
      <c r="W287" s="10">
        <v>359</v>
      </c>
      <c r="X287" s="10">
        <v>514</v>
      </c>
      <c r="Y287" s="10">
        <v>108</v>
      </c>
      <c r="Z287" s="10">
        <v>292</v>
      </c>
      <c r="AA287" s="10">
        <v>434</v>
      </c>
      <c r="AB287" s="10">
        <v>332</v>
      </c>
      <c r="AC287" s="10">
        <v>449</v>
      </c>
      <c r="AD287" s="10">
        <v>501</v>
      </c>
      <c r="AE287" s="10">
        <v>129</v>
      </c>
      <c r="AF287" s="10">
        <v>69</v>
      </c>
      <c r="AG287" s="10">
        <v>74</v>
      </c>
      <c r="AH287" s="102">
        <f>SUM(Tableau2[[#This Row],[Td 2]:[Td 5]])</f>
        <v>773</v>
      </c>
      <c r="AI287" s="10">
        <v>50</v>
      </c>
      <c r="AJ287" s="10">
        <v>100</v>
      </c>
      <c r="AK287" s="17">
        <f t="shared" si="32"/>
        <v>0</v>
      </c>
      <c r="AL287" s="17">
        <f t="shared" si="33"/>
        <v>187</v>
      </c>
      <c r="AM287" s="17">
        <f t="shared" si="34"/>
        <v>292</v>
      </c>
    </row>
    <row r="288" spans="1:39" s="3" customFormat="1" x14ac:dyDescent="0.25">
      <c r="A288" s="2" t="s">
        <v>16</v>
      </c>
      <c r="B288" s="29" t="s">
        <v>740</v>
      </c>
      <c r="C288" s="2" t="s">
        <v>32</v>
      </c>
      <c r="D288" s="2" t="s">
        <v>323</v>
      </c>
      <c r="E288" s="14">
        <v>20908</v>
      </c>
      <c r="F288" s="15">
        <f t="shared" si="28"/>
        <v>729.68920000000003</v>
      </c>
      <c r="G288" s="15">
        <f t="shared" si="29"/>
        <v>836.32</v>
      </c>
      <c r="H288" s="15">
        <f t="shared" si="30"/>
        <v>608.07433333333336</v>
      </c>
      <c r="I288" s="15">
        <f t="shared" si="31"/>
        <v>696.93333333333339</v>
      </c>
      <c r="J288" s="10">
        <v>693</v>
      </c>
      <c r="K288" s="10">
        <v>431</v>
      </c>
      <c r="L288" s="10">
        <v>717</v>
      </c>
      <c r="M288" s="10">
        <v>676</v>
      </c>
      <c r="N288" s="10">
        <v>685</v>
      </c>
      <c r="O288" s="10">
        <v>717</v>
      </c>
      <c r="P288" s="10">
        <v>676</v>
      </c>
      <c r="Q288" s="10">
        <v>685</v>
      </c>
      <c r="R288" s="10">
        <v>717</v>
      </c>
      <c r="S288" s="10">
        <v>676</v>
      </c>
      <c r="T288" s="10">
        <v>685</v>
      </c>
      <c r="U288" s="10">
        <v>716</v>
      </c>
      <c r="V288" s="10">
        <v>676</v>
      </c>
      <c r="W288" s="10">
        <v>659</v>
      </c>
      <c r="X288" s="10">
        <v>611</v>
      </c>
      <c r="Y288" s="10">
        <v>628</v>
      </c>
      <c r="Z288" s="10">
        <v>611</v>
      </c>
      <c r="AA288" s="10">
        <v>635</v>
      </c>
      <c r="AB288" s="10">
        <v>800</v>
      </c>
      <c r="AC288" s="10">
        <v>524</v>
      </c>
      <c r="AD288" s="10">
        <v>403</v>
      </c>
      <c r="AE288" s="10">
        <v>526</v>
      </c>
      <c r="AF288" s="10">
        <v>504</v>
      </c>
      <c r="AG288" s="10">
        <v>431</v>
      </c>
      <c r="AH288" s="102">
        <f>SUM(Tableau2[[#This Row],[Td 2]:[Td 5]])</f>
        <v>1864</v>
      </c>
      <c r="AI288" s="10">
        <v>58.3</v>
      </c>
      <c r="AJ288" s="10">
        <v>100</v>
      </c>
      <c r="AK288" s="17">
        <f t="shared" si="32"/>
        <v>0</v>
      </c>
      <c r="AL288" s="17">
        <f t="shared" si="33"/>
        <v>106</v>
      </c>
      <c r="AM288" s="17">
        <f t="shared" si="34"/>
        <v>611</v>
      </c>
    </row>
    <row r="289" spans="1:39" s="3" customFormat="1" x14ac:dyDescent="0.25">
      <c r="A289" s="2" t="s">
        <v>16</v>
      </c>
      <c r="B289" s="29" t="s">
        <v>740</v>
      </c>
      <c r="C289" s="2" t="s">
        <v>32</v>
      </c>
      <c r="D289" s="2" t="s">
        <v>324</v>
      </c>
      <c r="E289" s="14">
        <v>16967</v>
      </c>
      <c r="F289" s="15">
        <f t="shared" si="28"/>
        <v>592.14830000000006</v>
      </c>
      <c r="G289" s="15">
        <f t="shared" si="29"/>
        <v>678.68000000000006</v>
      </c>
      <c r="H289" s="15">
        <f t="shared" si="30"/>
        <v>493.45691666666676</v>
      </c>
      <c r="I289" s="15">
        <f t="shared" si="31"/>
        <v>565.56666666666672</v>
      </c>
      <c r="J289" s="10">
        <v>258</v>
      </c>
      <c r="K289" s="10">
        <v>290</v>
      </c>
      <c r="L289" s="10">
        <v>495</v>
      </c>
      <c r="M289" s="10">
        <v>490</v>
      </c>
      <c r="N289" s="10">
        <v>471</v>
      </c>
      <c r="O289" s="10">
        <v>500</v>
      </c>
      <c r="P289" s="10">
        <v>501</v>
      </c>
      <c r="Q289" s="10">
        <v>483</v>
      </c>
      <c r="R289" s="10">
        <v>510</v>
      </c>
      <c r="S289" s="10">
        <v>506</v>
      </c>
      <c r="T289" s="10">
        <v>492</v>
      </c>
      <c r="U289" s="10">
        <v>288</v>
      </c>
      <c r="V289" s="10">
        <v>297</v>
      </c>
      <c r="W289" s="10">
        <v>285</v>
      </c>
      <c r="X289" s="10">
        <v>379</v>
      </c>
      <c r="Y289" s="10">
        <v>121</v>
      </c>
      <c r="Z289" s="10">
        <v>426</v>
      </c>
      <c r="AA289" s="10">
        <v>476</v>
      </c>
      <c r="AB289" s="10">
        <v>412</v>
      </c>
      <c r="AC289" s="10">
        <v>417</v>
      </c>
      <c r="AD289" s="10">
        <v>364</v>
      </c>
      <c r="AE289" s="10">
        <v>126</v>
      </c>
      <c r="AF289" s="10">
        <v>100</v>
      </c>
      <c r="AG289" s="10">
        <v>132</v>
      </c>
      <c r="AH289" s="102">
        <f>SUM(Tableau2[[#This Row],[Td 2]:[Td 5]])</f>
        <v>722</v>
      </c>
      <c r="AI289" s="10">
        <v>58.3</v>
      </c>
      <c r="AJ289" s="10">
        <v>100</v>
      </c>
      <c r="AK289" s="17">
        <f t="shared" si="32"/>
        <v>0</v>
      </c>
      <c r="AL289" s="17">
        <f t="shared" si="33"/>
        <v>121</v>
      </c>
      <c r="AM289" s="17">
        <f t="shared" si="34"/>
        <v>379</v>
      </c>
    </row>
    <row r="290" spans="1:39" s="3" customFormat="1" x14ac:dyDescent="0.25">
      <c r="A290" s="2" t="s">
        <v>16</v>
      </c>
      <c r="B290" s="29" t="s">
        <v>740</v>
      </c>
      <c r="C290" s="2" t="s">
        <v>32</v>
      </c>
      <c r="D290" s="2" t="s">
        <v>325</v>
      </c>
      <c r="E290" s="14">
        <v>23849</v>
      </c>
      <c r="F290" s="15">
        <f t="shared" si="28"/>
        <v>832.33010000000002</v>
      </c>
      <c r="G290" s="15">
        <f t="shared" si="29"/>
        <v>953.96</v>
      </c>
      <c r="H290" s="15">
        <f t="shared" si="30"/>
        <v>693.6084166666667</v>
      </c>
      <c r="I290" s="15">
        <f t="shared" si="31"/>
        <v>794.9666666666667</v>
      </c>
      <c r="J290" s="10">
        <v>952</v>
      </c>
      <c r="K290" s="10">
        <v>585</v>
      </c>
      <c r="L290" s="10">
        <v>748</v>
      </c>
      <c r="M290" s="10">
        <v>732</v>
      </c>
      <c r="N290" s="10">
        <v>740</v>
      </c>
      <c r="O290" s="10">
        <v>748</v>
      </c>
      <c r="P290" s="10">
        <v>730</v>
      </c>
      <c r="Q290" s="10">
        <v>741</v>
      </c>
      <c r="R290" s="10">
        <v>748</v>
      </c>
      <c r="S290" s="10">
        <v>732</v>
      </c>
      <c r="T290" s="10">
        <v>741</v>
      </c>
      <c r="U290" s="10">
        <v>623</v>
      </c>
      <c r="V290" s="10">
        <v>674</v>
      </c>
      <c r="W290" s="10">
        <v>527</v>
      </c>
      <c r="X290" s="10">
        <v>757</v>
      </c>
      <c r="Y290" s="10">
        <v>542</v>
      </c>
      <c r="Z290" s="10">
        <v>703</v>
      </c>
      <c r="AA290" s="10">
        <v>741</v>
      </c>
      <c r="AB290" s="10">
        <v>757</v>
      </c>
      <c r="AC290" s="10">
        <v>519</v>
      </c>
      <c r="AD290" s="10">
        <v>536</v>
      </c>
      <c r="AE290" s="10">
        <v>537</v>
      </c>
      <c r="AF290" s="10">
        <v>517</v>
      </c>
      <c r="AG290" s="10">
        <v>533</v>
      </c>
      <c r="AH290" s="102">
        <f>SUM(Tableau2[[#This Row],[Td 2]:[Td 5]])</f>
        <v>2123</v>
      </c>
      <c r="AI290" s="10">
        <v>58.3</v>
      </c>
      <c r="AJ290" s="10">
        <v>100</v>
      </c>
      <c r="AK290" s="17">
        <f t="shared" si="32"/>
        <v>0</v>
      </c>
      <c r="AL290" s="17">
        <f t="shared" si="33"/>
        <v>0</v>
      </c>
      <c r="AM290" s="17">
        <f t="shared" si="34"/>
        <v>703</v>
      </c>
    </row>
    <row r="291" spans="1:39" s="3" customFormat="1" x14ac:dyDescent="0.25">
      <c r="A291" s="2" t="s">
        <v>16</v>
      </c>
      <c r="B291" s="29" t="s">
        <v>740</v>
      </c>
      <c r="C291" s="2" t="s">
        <v>32</v>
      </c>
      <c r="D291" s="2" t="s">
        <v>326</v>
      </c>
      <c r="E291" s="14">
        <v>7886</v>
      </c>
      <c r="F291" s="15">
        <f t="shared" si="28"/>
        <v>275.22140000000002</v>
      </c>
      <c r="G291" s="15">
        <f t="shared" si="29"/>
        <v>315.44</v>
      </c>
      <c r="H291" s="15">
        <f t="shared" si="30"/>
        <v>229.3511666666667</v>
      </c>
      <c r="I291" s="15">
        <f t="shared" si="31"/>
        <v>262.86666666666667</v>
      </c>
      <c r="J291" s="10">
        <v>111</v>
      </c>
      <c r="K291" s="10">
        <v>69</v>
      </c>
      <c r="L291" s="10">
        <v>184</v>
      </c>
      <c r="M291" s="10">
        <v>178</v>
      </c>
      <c r="N291" s="10">
        <v>175</v>
      </c>
      <c r="O291" s="10">
        <v>192</v>
      </c>
      <c r="P291" s="10">
        <v>180</v>
      </c>
      <c r="Q291" s="10">
        <v>179</v>
      </c>
      <c r="R291" s="10">
        <v>184</v>
      </c>
      <c r="S291" s="10">
        <v>181</v>
      </c>
      <c r="T291" s="10">
        <v>177</v>
      </c>
      <c r="U291" s="10">
        <v>159</v>
      </c>
      <c r="V291" s="10">
        <v>153</v>
      </c>
      <c r="W291" s="10">
        <v>152</v>
      </c>
      <c r="X291" s="10">
        <v>148</v>
      </c>
      <c r="Y291" s="10">
        <v>89</v>
      </c>
      <c r="Z291" s="10">
        <v>113</v>
      </c>
      <c r="AA291" s="10">
        <v>179</v>
      </c>
      <c r="AB291" s="10">
        <v>67</v>
      </c>
      <c r="AC291" s="10">
        <v>127</v>
      </c>
      <c r="AD291" s="10">
        <v>105</v>
      </c>
      <c r="AE291" s="10">
        <v>6</v>
      </c>
      <c r="AF291" s="10">
        <v>3</v>
      </c>
      <c r="AG291" s="10" t="s">
        <v>2</v>
      </c>
      <c r="AH291" s="102">
        <f>SUM(Tableau2[[#This Row],[Td 2]:[Td 5]])</f>
        <v>114</v>
      </c>
      <c r="AI291" s="10">
        <v>58.3</v>
      </c>
      <c r="AJ291" s="10">
        <v>100</v>
      </c>
      <c r="AK291" s="17">
        <f t="shared" si="32"/>
        <v>37.3511666666667</v>
      </c>
      <c r="AL291" s="17">
        <f t="shared" si="33"/>
        <v>44</v>
      </c>
      <c r="AM291" s="17">
        <f t="shared" si="34"/>
        <v>113</v>
      </c>
    </row>
    <row r="292" spans="1:39" s="3" customFormat="1" x14ac:dyDescent="0.25">
      <c r="A292" s="2" t="s">
        <v>16</v>
      </c>
      <c r="B292" s="29" t="s">
        <v>740</v>
      </c>
      <c r="C292" s="2" t="s">
        <v>32</v>
      </c>
      <c r="D292" s="2" t="s">
        <v>327</v>
      </c>
      <c r="E292" s="14">
        <v>24792</v>
      </c>
      <c r="F292" s="15">
        <f t="shared" si="28"/>
        <v>865.24080000000004</v>
      </c>
      <c r="G292" s="15">
        <f t="shared" si="29"/>
        <v>991.68000000000006</v>
      </c>
      <c r="H292" s="15">
        <f t="shared" si="30"/>
        <v>721.03400000000011</v>
      </c>
      <c r="I292" s="15">
        <f t="shared" si="31"/>
        <v>826.4</v>
      </c>
      <c r="J292" s="10">
        <v>699</v>
      </c>
      <c r="K292" s="10">
        <v>361</v>
      </c>
      <c r="L292" s="10">
        <v>648</v>
      </c>
      <c r="M292" s="10">
        <v>617</v>
      </c>
      <c r="N292" s="10">
        <v>632</v>
      </c>
      <c r="O292" s="10">
        <v>561</v>
      </c>
      <c r="P292" s="10">
        <v>539</v>
      </c>
      <c r="Q292" s="10">
        <v>553</v>
      </c>
      <c r="R292" s="10">
        <v>641</v>
      </c>
      <c r="S292" s="10">
        <v>618</v>
      </c>
      <c r="T292" s="10">
        <v>634</v>
      </c>
      <c r="U292" s="10">
        <v>342</v>
      </c>
      <c r="V292" s="10">
        <v>328</v>
      </c>
      <c r="W292" s="10">
        <v>334</v>
      </c>
      <c r="X292" s="10">
        <v>699</v>
      </c>
      <c r="Y292" s="10">
        <v>555</v>
      </c>
      <c r="Z292" s="10">
        <v>550</v>
      </c>
      <c r="AA292" s="10">
        <v>632</v>
      </c>
      <c r="AB292" s="10">
        <v>562</v>
      </c>
      <c r="AC292" s="10">
        <v>271</v>
      </c>
      <c r="AD292" s="10">
        <v>215</v>
      </c>
      <c r="AE292" s="10">
        <v>666</v>
      </c>
      <c r="AF292" s="10">
        <v>123</v>
      </c>
      <c r="AG292" s="10">
        <v>891</v>
      </c>
      <c r="AH292" s="102">
        <f>SUM(Tableau2[[#This Row],[Td 2]:[Td 5]])</f>
        <v>1895</v>
      </c>
      <c r="AI292" s="10">
        <v>58.3</v>
      </c>
      <c r="AJ292" s="10">
        <v>100</v>
      </c>
      <c r="AK292" s="17">
        <f t="shared" si="32"/>
        <v>160.03400000000011</v>
      </c>
      <c r="AL292" s="17">
        <f t="shared" si="33"/>
        <v>0</v>
      </c>
      <c r="AM292" s="17">
        <f t="shared" si="34"/>
        <v>550</v>
      </c>
    </row>
    <row r="293" spans="1:39" s="3" customFormat="1" x14ac:dyDescent="0.25">
      <c r="A293" s="2" t="s">
        <v>16</v>
      </c>
      <c r="B293" s="29" t="s">
        <v>740</v>
      </c>
      <c r="C293" s="2" t="s">
        <v>32</v>
      </c>
      <c r="D293" s="2" t="s">
        <v>328</v>
      </c>
      <c r="E293" s="14">
        <v>19209</v>
      </c>
      <c r="F293" s="15">
        <f t="shared" si="28"/>
        <v>670.39409999999998</v>
      </c>
      <c r="G293" s="15">
        <f t="shared" si="29"/>
        <v>768.36</v>
      </c>
      <c r="H293" s="15">
        <f t="shared" si="30"/>
        <v>558.66174999999998</v>
      </c>
      <c r="I293" s="15">
        <f t="shared" si="31"/>
        <v>640.29999999999995</v>
      </c>
      <c r="J293" s="10">
        <v>545</v>
      </c>
      <c r="K293" s="10">
        <v>482</v>
      </c>
      <c r="L293" s="10">
        <v>518</v>
      </c>
      <c r="M293" s="10">
        <v>491</v>
      </c>
      <c r="N293" s="10">
        <v>498</v>
      </c>
      <c r="O293" s="10">
        <v>781</v>
      </c>
      <c r="P293" s="10">
        <v>552</v>
      </c>
      <c r="Q293" s="10">
        <v>519</v>
      </c>
      <c r="R293" s="10">
        <v>577</v>
      </c>
      <c r="S293" s="10">
        <v>558</v>
      </c>
      <c r="T293" s="10">
        <v>562</v>
      </c>
      <c r="U293" s="10">
        <v>519</v>
      </c>
      <c r="V293" s="10">
        <v>502</v>
      </c>
      <c r="W293" s="10">
        <v>494</v>
      </c>
      <c r="X293" s="10">
        <v>551</v>
      </c>
      <c r="Y293" s="10">
        <v>395</v>
      </c>
      <c r="Z293" s="10">
        <v>437</v>
      </c>
      <c r="AA293" s="10">
        <v>556</v>
      </c>
      <c r="AB293" s="10">
        <v>325</v>
      </c>
      <c r="AC293" s="10">
        <v>340</v>
      </c>
      <c r="AD293" s="10">
        <v>203</v>
      </c>
      <c r="AE293" s="10">
        <v>125</v>
      </c>
      <c r="AF293" s="10">
        <v>83</v>
      </c>
      <c r="AG293" s="10">
        <v>3</v>
      </c>
      <c r="AH293" s="102">
        <f>SUM(Tableau2[[#This Row],[Td 2]:[Td 5]])</f>
        <v>414</v>
      </c>
      <c r="AI293" s="10">
        <v>58.3</v>
      </c>
      <c r="AJ293" s="10">
        <v>100</v>
      </c>
      <c r="AK293" s="17">
        <f t="shared" si="32"/>
        <v>0</v>
      </c>
      <c r="AL293" s="17">
        <f t="shared" si="33"/>
        <v>230</v>
      </c>
      <c r="AM293" s="17">
        <f t="shared" si="34"/>
        <v>437</v>
      </c>
    </row>
    <row r="294" spans="1:39" s="3" customFormat="1" x14ac:dyDescent="0.25">
      <c r="A294" s="2" t="s">
        <v>16</v>
      </c>
      <c r="B294" s="29" t="s">
        <v>740</v>
      </c>
      <c r="C294" s="2" t="s">
        <v>32</v>
      </c>
      <c r="D294" s="2" t="s">
        <v>329</v>
      </c>
      <c r="E294" s="14">
        <v>12279</v>
      </c>
      <c r="F294" s="15">
        <f t="shared" si="28"/>
        <v>428.53710000000001</v>
      </c>
      <c r="G294" s="15">
        <f t="shared" si="29"/>
        <v>491.16</v>
      </c>
      <c r="H294" s="15">
        <f t="shared" si="30"/>
        <v>357.11424999999997</v>
      </c>
      <c r="I294" s="15">
        <f t="shared" si="31"/>
        <v>409.3</v>
      </c>
      <c r="J294" s="10">
        <v>419</v>
      </c>
      <c r="K294" s="10">
        <v>420</v>
      </c>
      <c r="L294" s="10">
        <v>379</v>
      </c>
      <c r="M294" s="10">
        <v>351</v>
      </c>
      <c r="N294" s="10">
        <v>362</v>
      </c>
      <c r="O294" s="10">
        <v>378</v>
      </c>
      <c r="P294" s="10">
        <v>359</v>
      </c>
      <c r="Q294" s="10">
        <v>361</v>
      </c>
      <c r="R294" s="10">
        <v>378</v>
      </c>
      <c r="S294" s="10">
        <v>359</v>
      </c>
      <c r="T294" s="10">
        <v>360</v>
      </c>
      <c r="U294" s="10">
        <v>379</v>
      </c>
      <c r="V294" s="10">
        <v>357</v>
      </c>
      <c r="W294" s="10">
        <v>362</v>
      </c>
      <c r="X294" s="10">
        <v>367</v>
      </c>
      <c r="Y294" s="10">
        <v>252</v>
      </c>
      <c r="Z294" s="10">
        <v>367</v>
      </c>
      <c r="AA294" s="10">
        <v>362</v>
      </c>
      <c r="AB294" s="10">
        <v>352</v>
      </c>
      <c r="AC294" s="10">
        <v>423</v>
      </c>
      <c r="AD294" s="10">
        <v>409</v>
      </c>
      <c r="AE294" s="10">
        <v>74</v>
      </c>
      <c r="AF294" s="10">
        <v>131</v>
      </c>
      <c r="AG294" s="10">
        <v>104</v>
      </c>
      <c r="AH294" s="102">
        <f>SUM(Tableau2[[#This Row],[Td 2]:[Td 5]])</f>
        <v>718</v>
      </c>
      <c r="AI294" s="10">
        <v>58.3</v>
      </c>
      <c r="AJ294" s="10">
        <v>100</v>
      </c>
      <c r="AK294" s="17">
        <f t="shared" si="32"/>
        <v>0</v>
      </c>
      <c r="AL294" s="17">
        <f t="shared" si="33"/>
        <v>11</v>
      </c>
      <c r="AM294" s="17">
        <f t="shared" si="34"/>
        <v>367</v>
      </c>
    </row>
    <row r="295" spans="1:39" s="3" customFormat="1" x14ac:dyDescent="0.25">
      <c r="A295" s="2" t="s">
        <v>16</v>
      </c>
      <c r="B295" s="29" t="s">
        <v>740</v>
      </c>
      <c r="C295" s="2" t="s">
        <v>32</v>
      </c>
      <c r="D295" s="2" t="s">
        <v>330</v>
      </c>
      <c r="E295" s="14">
        <v>14632</v>
      </c>
      <c r="F295" s="15">
        <f t="shared" si="28"/>
        <v>510.65680000000003</v>
      </c>
      <c r="G295" s="15">
        <f t="shared" si="29"/>
        <v>585.28</v>
      </c>
      <c r="H295" s="15">
        <f t="shared" si="30"/>
        <v>425.54733333333337</v>
      </c>
      <c r="I295" s="15">
        <f t="shared" si="31"/>
        <v>487.73333333333335</v>
      </c>
      <c r="J295" s="10">
        <v>826</v>
      </c>
      <c r="K295" s="10">
        <v>807</v>
      </c>
      <c r="L295" s="10">
        <v>513</v>
      </c>
      <c r="M295" s="10">
        <v>474</v>
      </c>
      <c r="N295" s="10">
        <v>486</v>
      </c>
      <c r="O295" s="10">
        <v>513</v>
      </c>
      <c r="P295" s="10">
        <v>474</v>
      </c>
      <c r="Q295" s="10">
        <v>486</v>
      </c>
      <c r="R295" s="10">
        <v>513</v>
      </c>
      <c r="S295" s="10">
        <v>474</v>
      </c>
      <c r="T295" s="10">
        <v>483</v>
      </c>
      <c r="U295" s="10">
        <v>513</v>
      </c>
      <c r="V295" s="10">
        <v>474</v>
      </c>
      <c r="W295" s="10">
        <v>486</v>
      </c>
      <c r="X295" s="10">
        <v>608</v>
      </c>
      <c r="Y295" s="10">
        <v>200</v>
      </c>
      <c r="Z295" s="10">
        <v>570</v>
      </c>
      <c r="AA295" s="10">
        <v>486</v>
      </c>
      <c r="AB295" s="10">
        <v>374</v>
      </c>
      <c r="AC295" s="10">
        <v>230</v>
      </c>
      <c r="AD295" s="10">
        <v>279</v>
      </c>
      <c r="AE295" s="10">
        <v>434</v>
      </c>
      <c r="AF295" s="10">
        <v>157</v>
      </c>
      <c r="AG295" s="10">
        <v>122</v>
      </c>
      <c r="AH295" s="102">
        <f>SUM(Tableau2[[#This Row],[Td 2]:[Td 5]])</f>
        <v>992</v>
      </c>
      <c r="AI295" s="10">
        <v>58.3</v>
      </c>
      <c r="AJ295" s="10">
        <v>100</v>
      </c>
      <c r="AK295" s="17">
        <f t="shared" si="32"/>
        <v>0</v>
      </c>
      <c r="AL295" s="17">
        <f t="shared" si="33"/>
        <v>0</v>
      </c>
      <c r="AM295" s="17">
        <f t="shared" si="34"/>
        <v>570</v>
      </c>
    </row>
    <row r="296" spans="1:39" s="3" customFormat="1" x14ac:dyDescent="0.25">
      <c r="A296" s="2" t="s">
        <v>16</v>
      </c>
      <c r="B296" s="29" t="s">
        <v>740</v>
      </c>
      <c r="C296" s="2" t="s">
        <v>32</v>
      </c>
      <c r="D296" s="2" t="s">
        <v>331</v>
      </c>
      <c r="E296" s="14">
        <v>13538</v>
      </c>
      <c r="F296" s="15">
        <f t="shared" si="28"/>
        <v>472.47620000000001</v>
      </c>
      <c r="G296" s="15">
        <f t="shared" si="29"/>
        <v>541.52</v>
      </c>
      <c r="H296" s="15">
        <f t="shared" si="30"/>
        <v>393.73016666666666</v>
      </c>
      <c r="I296" s="15">
        <f t="shared" si="31"/>
        <v>451.26666666666665</v>
      </c>
      <c r="J296" s="10">
        <v>461</v>
      </c>
      <c r="K296" s="10">
        <v>390</v>
      </c>
      <c r="L296" s="10">
        <v>402</v>
      </c>
      <c r="M296" s="10">
        <v>401</v>
      </c>
      <c r="N296" s="10">
        <v>400</v>
      </c>
      <c r="O296" s="10">
        <v>402</v>
      </c>
      <c r="P296" s="10">
        <v>401</v>
      </c>
      <c r="Q296" s="10">
        <v>400</v>
      </c>
      <c r="R296" s="10">
        <v>402</v>
      </c>
      <c r="S296" s="10">
        <v>401</v>
      </c>
      <c r="T296" s="10">
        <v>400</v>
      </c>
      <c r="U296" s="10">
        <v>402</v>
      </c>
      <c r="V296" s="10">
        <v>402</v>
      </c>
      <c r="W296" s="10">
        <v>400</v>
      </c>
      <c r="X296" s="10">
        <v>414</v>
      </c>
      <c r="Y296" s="10">
        <v>409</v>
      </c>
      <c r="Z296" s="10">
        <v>421</v>
      </c>
      <c r="AA296" s="10">
        <v>400</v>
      </c>
      <c r="AB296" s="10">
        <v>383</v>
      </c>
      <c r="AC296" s="10">
        <v>448</v>
      </c>
      <c r="AD296" s="10">
        <v>296</v>
      </c>
      <c r="AE296" s="10">
        <v>443</v>
      </c>
      <c r="AF296" s="10">
        <v>534</v>
      </c>
      <c r="AG296" s="10">
        <v>436</v>
      </c>
      <c r="AH296" s="102">
        <f>SUM(Tableau2[[#This Row],[Td 2]:[Td 5]])</f>
        <v>1709</v>
      </c>
      <c r="AI296" s="10">
        <v>58.3</v>
      </c>
      <c r="AJ296" s="10">
        <v>100</v>
      </c>
      <c r="AK296" s="17">
        <f t="shared" si="32"/>
        <v>0</v>
      </c>
      <c r="AL296" s="17">
        <f t="shared" si="33"/>
        <v>0</v>
      </c>
      <c r="AM296" s="17">
        <f t="shared" si="34"/>
        <v>414</v>
      </c>
    </row>
    <row r="297" spans="1:39" s="3" customFormat="1" x14ac:dyDescent="0.25">
      <c r="A297" s="2" t="s">
        <v>16</v>
      </c>
      <c r="B297" s="29" t="s">
        <v>740</v>
      </c>
      <c r="C297" s="2" t="s">
        <v>32</v>
      </c>
      <c r="D297" s="2" t="s">
        <v>332</v>
      </c>
      <c r="E297" s="14">
        <v>14400</v>
      </c>
      <c r="F297" s="15">
        <f t="shared" si="28"/>
        <v>502.56</v>
      </c>
      <c r="G297" s="15">
        <f t="shared" si="29"/>
        <v>576</v>
      </c>
      <c r="H297" s="15">
        <f t="shared" si="30"/>
        <v>418.8</v>
      </c>
      <c r="I297" s="15">
        <f t="shared" si="31"/>
        <v>480</v>
      </c>
      <c r="J297" s="10">
        <v>437</v>
      </c>
      <c r="K297" s="10">
        <v>173</v>
      </c>
      <c r="L297" s="10">
        <v>378</v>
      </c>
      <c r="M297" s="10">
        <v>357</v>
      </c>
      <c r="N297" s="10">
        <v>350</v>
      </c>
      <c r="O297" s="10">
        <v>412</v>
      </c>
      <c r="P297" s="10">
        <v>389</v>
      </c>
      <c r="Q297" s="10">
        <v>428</v>
      </c>
      <c r="R297" s="10">
        <v>454</v>
      </c>
      <c r="S297" s="10">
        <v>429</v>
      </c>
      <c r="T297" s="10">
        <v>427</v>
      </c>
      <c r="U297" s="10">
        <v>450</v>
      </c>
      <c r="V297" s="10">
        <v>431</v>
      </c>
      <c r="W297" s="10">
        <v>426</v>
      </c>
      <c r="X297" s="10">
        <v>383</v>
      </c>
      <c r="Y297" s="10">
        <v>179</v>
      </c>
      <c r="Z297" s="10">
        <v>344</v>
      </c>
      <c r="AA297" s="10">
        <v>421</v>
      </c>
      <c r="AB297" s="10">
        <v>345</v>
      </c>
      <c r="AC297" s="10">
        <v>433</v>
      </c>
      <c r="AD297" s="10">
        <v>379</v>
      </c>
      <c r="AE297" s="10">
        <v>397</v>
      </c>
      <c r="AF297" s="10">
        <v>263</v>
      </c>
      <c r="AG297" s="10">
        <v>157</v>
      </c>
      <c r="AH297" s="102">
        <f>SUM(Tableau2[[#This Row],[Td 2]:[Td 5]])</f>
        <v>1196</v>
      </c>
      <c r="AI297" s="10">
        <v>58.3</v>
      </c>
      <c r="AJ297" s="10">
        <v>100</v>
      </c>
      <c r="AK297" s="17">
        <f t="shared" si="32"/>
        <v>6.8000000000000114</v>
      </c>
      <c r="AL297" s="17">
        <f t="shared" si="33"/>
        <v>29</v>
      </c>
      <c r="AM297" s="17">
        <f t="shared" si="34"/>
        <v>344</v>
      </c>
    </row>
    <row r="298" spans="1:39" s="3" customFormat="1" x14ac:dyDescent="0.25">
      <c r="A298" s="2" t="s">
        <v>16</v>
      </c>
      <c r="B298" s="29" t="s">
        <v>740</v>
      </c>
      <c r="C298" s="2" t="s">
        <v>32</v>
      </c>
      <c r="D298" s="2" t="s">
        <v>333</v>
      </c>
      <c r="E298" s="14">
        <v>15221</v>
      </c>
      <c r="F298" s="15">
        <f t="shared" si="28"/>
        <v>531.21289999999999</v>
      </c>
      <c r="G298" s="15">
        <f t="shared" si="29"/>
        <v>608.84</v>
      </c>
      <c r="H298" s="15">
        <f t="shared" si="30"/>
        <v>442.67741666666666</v>
      </c>
      <c r="I298" s="15">
        <f t="shared" si="31"/>
        <v>507.36666666666673</v>
      </c>
      <c r="J298" s="10">
        <v>555</v>
      </c>
      <c r="K298" s="10">
        <v>172</v>
      </c>
      <c r="L298" s="10">
        <v>510</v>
      </c>
      <c r="M298" s="10">
        <v>552</v>
      </c>
      <c r="N298" s="10">
        <v>535</v>
      </c>
      <c r="O298" s="10">
        <v>538</v>
      </c>
      <c r="P298" s="10">
        <v>550</v>
      </c>
      <c r="Q298" s="10">
        <v>474</v>
      </c>
      <c r="R298" s="10">
        <v>670</v>
      </c>
      <c r="S298" s="10">
        <v>459</v>
      </c>
      <c r="T298" s="10">
        <v>544</v>
      </c>
      <c r="U298" s="10">
        <v>631</v>
      </c>
      <c r="V298" s="10">
        <v>600</v>
      </c>
      <c r="W298" s="10">
        <v>597</v>
      </c>
      <c r="X298" s="10">
        <v>608</v>
      </c>
      <c r="Y298" s="10">
        <v>573</v>
      </c>
      <c r="Z298" s="10">
        <v>563</v>
      </c>
      <c r="AA298" s="10">
        <v>518</v>
      </c>
      <c r="AB298" s="10">
        <v>570</v>
      </c>
      <c r="AC298" s="10">
        <v>315</v>
      </c>
      <c r="AD298" s="10">
        <v>224</v>
      </c>
      <c r="AE298" s="10">
        <v>465</v>
      </c>
      <c r="AF298" s="10">
        <v>353</v>
      </c>
      <c r="AG298" s="10">
        <v>259</v>
      </c>
      <c r="AH298" s="102">
        <f>SUM(Tableau2[[#This Row],[Td 2]:[Td 5]])</f>
        <v>1301</v>
      </c>
      <c r="AI298" s="10">
        <v>58.3</v>
      </c>
      <c r="AJ298" s="10">
        <v>100</v>
      </c>
      <c r="AK298" s="17">
        <f t="shared" si="32"/>
        <v>0</v>
      </c>
      <c r="AL298" s="17">
        <f t="shared" si="33"/>
        <v>0</v>
      </c>
      <c r="AM298" s="17">
        <f t="shared" si="34"/>
        <v>563</v>
      </c>
    </row>
    <row r="299" spans="1:39" s="3" customFormat="1" x14ac:dyDescent="0.25">
      <c r="A299" s="2" t="s">
        <v>16</v>
      </c>
      <c r="B299" s="29" t="s">
        <v>740</v>
      </c>
      <c r="C299" s="2" t="s">
        <v>32</v>
      </c>
      <c r="D299" s="2" t="s">
        <v>32</v>
      </c>
      <c r="E299" s="14">
        <v>19897</v>
      </c>
      <c r="F299" s="15">
        <f t="shared" si="28"/>
        <v>694.40530000000001</v>
      </c>
      <c r="G299" s="15">
        <f t="shared" si="29"/>
        <v>795.88</v>
      </c>
      <c r="H299" s="15">
        <f t="shared" si="30"/>
        <v>578.6710833333334</v>
      </c>
      <c r="I299" s="15">
        <f t="shared" si="31"/>
        <v>663.23333333333335</v>
      </c>
      <c r="J299" s="10">
        <v>730</v>
      </c>
      <c r="K299" s="10">
        <v>223</v>
      </c>
      <c r="L299" s="10">
        <v>431</v>
      </c>
      <c r="M299" s="10">
        <v>407</v>
      </c>
      <c r="N299" s="10">
        <v>424</v>
      </c>
      <c r="O299" s="10">
        <v>450</v>
      </c>
      <c r="P299" s="10">
        <v>421</v>
      </c>
      <c r="Q299" s="10">
        <v>443</v>
      </c>
      <c r="R299" s="10">
        <v>450</v>
      </c>
      <c r="S299" s="10">
        <v>421</v>
      </c>
      <c r="T299" s="10">
        <v>443</v>
      </c>
      <c r="U299" s="10">
        <v>402</v>
      </c>
      <c r="V299" s="10">
        <v>375</v>
      </c>
      <c r="W299" s="10">
        <v>395</v>
      </c>
      <c r="X299" s="10">
        <v>370</v>
      </c>
      <c r="Y299" s="10">
        <v>314</v>
      </c>
      <c r="Z299" s="10">
        <v>350</v>
      </c>
      <c r="AA299" s="10">
        <v>424</v>
      </c>
      <c r="AB299" s="10">
        <v>360</v>
      </c>
      <c r="AC299" s="10">
        <v>328</v>
      </c>
      <c r="AD299" s="10">
        <v>216</v>
      </c>
      <c r="AE299" s="10">
        <v>292</v>
      </c>
      <c r="AF299" s="10">
        <v>182</v>
      </c>
      <c r="AG299" s="10">
        <v>146</v>
      </c>
      <c r="AH299" s="102">
        <f>SUM(Tableau2[[#This Row],[Td 2]:[Td 5]])</f>
        <v>836</v>
      </c>
      <c r="AI299" s="10">
        <v>54.2</v>
      </c>
      <c r="AJ299" s="10">
        <v>100</v>
      </c>
      <c r="AK299" s="17">
        <f t="shared" si="32"/>
        <v>128.6710833333334</v>
      </c>
      <c r="AL299" s="17">
        <f t="shared" si="33"/>
        <v>80</v>
      </c>
      <c r="AM299" s="17">
        <f t="shared" si="34"/>
        <v>350</v>
      </c>
    </row>
    <row r="300" spans="1:39" s="3" customFormat="1" x14ac:dyDescent="0.25">
      <c r="A300" s="2" t="s">
        <v>16</v>
      </c>
      <c r="B300" s="29" t="s">
        <v>740</v>
      </c>
      <c r="C300" s="2" t="s">
        <v>32</v>
      </c>
      <c r="D300" s="2" t="s">
        <v>334</v>
      </c>
      <c r="E300" s="14">
        <v>29804</v>
      </c>
      <c r="F300" s="15">
        <f t="shared" si="28"/>
        <v>1040.1596</v>
      </c>
      <c r="G300" s="15">
        <f t="shared" si="29"/>
        <v>1192.1600000000001</v>
      </c>
      <c r="H300" s="15">
        <f t="shared" si="30"/>
        <v>866.79966666666655</v>
      </c>
      <c r="I300" s="15">
        <f t="shared" si="31"/>
        <v>993.46666666666681</v>
      </c>
      <c r="J300" s="10">
        <v>813</v>
      </c>
      <c r="K300" s="10">
        <v>589</v>
      </c>
      <c r="L300" s="10">
        <v>674</v>
      </c>
      <c r="M300" s="10">
        <v>632</v>
      </c>
      <c r="N300" s="10">
        <v>653</v>
      </c>
      <c r="O300" s="10">
        <v>820</v>
      </c>
      <c r="P300" s="10">
        <v>773</v>
      </c>
      <c r="Q300" s="10">
        <v>793</v>
      </c>
      <c r="R300" s="10">
        <v>793</v>
      </c>
      <c r="S300" s="10">
        <v>711</v>
      </c>
      <c r="T300" s="10">
        <v>739</v>
      </c>
      <c r="U300" s="10">
        <v>578</v>
      </c>
      <c r="V300" s="10">
        <v>471</v>
      </c>
      <c r="W300" s="10">
        <v>476</v>
      </c>
      <c r="X300" s="10">
        <v>748</v>
      </c>
      <c r="Y300" s="10">
        <v>632</v>
      </c>
      <c r="Z300" s="10">
        <v>462</v>
      </c>
      <c r="AA300" s="10">
        <v>825</v>
      </c>
      <c r="AB300" s="10">
        <v>621</v>
      </c>
      <c r="AC300" s="10">
        <v>1437</v>
      </c>
      <c r="AD300" s="10">
        <v>1093</v>
      </c>
      <c r="AE300" s="10">
        <v>84</v>
      </c>
      <c r="AF300" s="10">
        <v>14</v>
      </c>
      <c r="AG300" s="10">
        <v>1</v>
      </c>
      <c r="AH300" s="102">
        <f>SUM(Tableau2[[#This Row],[Td 2]:[Td 5]])</f>
        <v>1192</v>
      </c>
      <c r="AI300" s="10">
        <v>58.3</v>
      </c>
      <c r="AJ300" s="10">
        <v>100</v>
      </c>
      <c r="AK300" s="17">
        <f t="shared" si="32"/>
        <v>46.799666666666553</v>
      </c>
      <c r="AL300" s="17">
        <f t="shared" si="33"/>
        <v>72</v>
      </c>
      <c r="AM300" s="17">
        <f t="shared" si="34"/>
        <v>462</v>
      </c>
    </row>
    <row r="301" spans="1:39" s="3" customFormat="1" x14ac:dyDescent="0.25">
      <c r="A301" s="2" t="s">
        <v>16</v>
      </c>
      <c r="B301" s="29" t="s">
        <v>740</v>
      </c>
      <c r="C301" s="2" t="s">
        <v>32</v>
      </c>
      <c r="D301" s="2" t="s">
        <v>195</v>
      </c>
      <c r="E301" s="14">
        <v>11854</v>
      </c>
      <c r="F301" s="15">
        <f t="shared" si="28"/>
        <v>413.70460000000003</v>
      </c>
      <c r="G301" s="15">
        <f t="shared" si="29"/>
        <v>474.16</v>
      </c>
      <c r="H301" s="15">
        <f t="shared" si="30"/>
        <v>344.75383333333332</v>
      </c>
      <c r="I301" s="15">
        <f t="shared" si="31"/>
        <v>395.13333333333333</v>
      </c>
      <c r="J301" s="10">
        <v>357</v>
      </c>
      <c r="K301" s="10">
        <v>157</v>
      </c>
      <c r="L301" s="10">
        <v>347</v>
      </c>
      <c r="M301" s="10">
        <v>346</v>
      </c>
      <c r="N301" s="10">
        <v>338</v>
      </c>
      <c r="O301" s="10">
        <v>357</v>
      </c>
      <c r="P301" s="10">
        <v>346</v>
      </c>
      <c r="Q301" s="10">
        <v>337</v>
      </c>
      <c r="R301" s="10">
        <v>347</v>
      </c>
      <c r="S301" s="10">
        <v>346</v>
      </c>
      <c r="T301" s="10">
        <v>337</v>
      </c>
      <c r="U301" s="10">
        <v>311</v>
      </c>
      <c r="V301" s="10">
        <v>310</v>
      </c>
      <c r="W301" s="10">
        <v>284</v>
      </c>
      <c r="X301" s="10">
        <v>358</v>
      </c>
      <c r="Y301" s="10">
        <v>361</v>
      </c>
      <c r="Z301" s="10">
        <v>348</v>
      </c>
      <c r="AA301" s="10">
        <v>337</v>
      </c>
      <c r="AB301" s="10">
        <v>358</v>
      </c>
      <c r="AC301" s="10">
        <v>176</v>
      </c>
      <c r="AD301" s="10">
        <v>223</v>
      </c>
      <c r="AE301" s="10">
        <v>179</v>
      </c>
      <c r="AF301" s="10">
        <v>209</v>
      </c>
      <c r="AG301" s="10">
        <v>92</v>
      </c>
      <c r="AH301" s="102">
        <f>SUM(Tableau2[[#This Row],[Td 2]:[Td 5]])</f>
        <v>703</v>
      </c>
      <c r="AI301" s="10">
        <v>58.3</v>
      </c>
      <c r="AJ301" s="10">
        <v>100</v>
      </c>
      <c r="AK301" s="17">
        <f t="shared" si="32"/>
        <v>0</v>
      </c>
      <c r="AL301" s="17">
        <f t="shared" si="33"/>
        <v>0</v>
      </c>
      <c r="AM301" s="17">
        <f t="shared" si="34"/>
        <v>348</v>
      </c>
    </row>
    <row r="302" spans="1:39" s="3" customFormat="1" x14ac:dyDescent="0.25">
      <c r="A302" s="2" t="s">
        <v>16</v>
      </c>
      <c r="B302" s="29" t="s">
        <v>740</v>
      </c>
      <c r="C302" s="2" t="s">
        <v>32</v>
      </c>
      <c r="D302" s="2" t="s">
        <v>335</v>
      </c>
      <c r="E302" s="14">
        <v>10033</v>
      </c>
      <c r="F302" s="15">
        <f t="shared" si="28"/>
        <v>350.15170000000001</v>
      </c>
      <c r="G302" s="15">
        <f t="shared" si="29"/>
        <v>401.32</v>
      </c>
      <c r="H302" s="15">
        <f t="shared" si="30"/>
        <v>291.79308333333336</v>
      </c>
      <c r="I302" s="15">
        <f t="shared" si="31"/>
        <v>334.43333333333334</v>
      </c>
      <c r="J302" s="10">
        <v>328</v>
      </c>
      <c r="K302" s="10">
        <v>341</v>
      </c>
      <c r="L302" s="10">
        <v>358</v>
      </c>
      <c r="M302" s="10">
        <v>328</v>
      </c>
      <c r="N302" s="10">
        <v>313</v>
      </c>
      <c r="O302" s="10">
        <v>338</v>
      </c>
      <c r="P302" s="10">
        <v>328</v>
      </c>
      <c r="Q302" s="10">
        <v>313</v>
      </c>
      <c r="R302" s="10">
        <v>368</v>
      </c>
      <c r="S302" s="10">
        <v>328</v>
      </c>
      <c r="T302" s="10">
        <v>313</v>
      </c>
      <c r="U302" s="10">
        <v>252</v>
      </c>
      <c r="V302" s="10">
        <v>216</v>
      </c>
      <c r="W302" s="10">
        <v>209</v>
      </c>
      <c r="X302" s="10">
        <v>309</v>
      </c>
      <c r="Y302" s="10">
        <v>239</v>
      </c>
      <c r="Z302" s="10">
        <v>207</v>
      </c>
      <c r="AA302" s="10">
        <v>286</v>
      </c>
      <c r="AB302" s="10">
        <v>292</v>
      </c>
      <c r="AC302" s="10">
        <v>214</v>
      </c>
      <c r="AD302" s="10">
        <v>179</v>
      </c>
      <c r="AE302" s="10">
        <v>123</v>
      </c>
      <c r="AF302" s="10">
        <v>94</v>
      </c>
      <c r="AG302" s="10">
        <v>45</v>
      </c>
      <c r="AH302" s="102">
        <f>SUM(Tableau2[[#This Row],[Td 2]:[Td 5]])</f>
        <v>441</v>
      </c>
      <c r="AI302" s="10">
        <v>58.3</v>
      </c>
      <c r="AJ302" s="10">
        <v>100</v>
      </c>
      <c r="AK302" s="17">
        <f t="shared" si="32"/>
        <v>0</v>
      </c>
      <c r="AL302" s="17">
        <f t="shared" si="33"/>
        <v>29</v>
      </c>
      <c r="AM302" s="17">
        <f t="shared" si="34"/>
        <v>207</v>
      </c>
    </row>
    <row r="303" spans="1:39" s="3" customFormat="1" x14ac:dyDescent="0.25">
      <c r="A303" s="2" t="s">
        <v>16</v>
      </c>
      <c r="B303" s="29" t="s">
        <v>740</v>
      </c>
      <c r="C303" s="2" t="s">
        <v>32</v>
      </c>
      <c r="D303" s="2" t="s">
        <v>336</v>
      </c>
      <c r="E303" s="14">
        <v>10629</v>
      </c>
      <c r="F303" s="15">
        <f t="shared" si="28"/>
        <v>370.95210000000003</v>
      </c>
      <c r="G303" s="15">
        <f t="shared" si="29"/>
        <v>425.16</v>
      </c>
      <c r="H303" s="15">
        <f t="shared" si="30"/>
        <v>309.12675000000002</v>
      </c>
      <c r="I303" s="15">
        <f t="shared" si="31"/>
        <v>354.3</v>
      </c>
      <c r="J303" s="10">
        <v>412</v>
      </c>
      <c r="K303" s="10">
        <v>376</v>
      </c>
      <c r="L303" s="10">
        <v>313</v>
      </c>
      <c r="M303" s="10">
        <v>304</v>
      </c>
      <c r="N303" s="10">
        <v>295</v>
      </c>
      <c r="O303" s="10">
        <v>398</v>
      </c>
      <c r="P303" s="10">
        <v>387</v>
      </c>
      <c r="Q303" s="10">
        <v>375</v>
      </c>
      <c r="R303" s="10">
        <v>398</v>
      </c>
      <c r="S303" s="10">
        <v>386</v>
      </c>
      <c r="T303" s="10">
        <v>375</v>
      </c>
      <c r="U303" s="10">
        <v>284</v>
      </c>
      <c r="V303" s="10">
        <v>276</v>
      </c>
      <c r="W303" s="10">
        <v>267</v>
      </c>
      <c r="X303" s="10">
        <v>473</v>
      </c>
      <c r="Y303" s="10">
        <v>277</v>
      </c>
      <c r="Z303" s="10">
        <v>260</v>
      </c>
      <c r="AA303" s="10">
        <v>375</v>
      </c>
      <c r="AB303" s="10">
        <v>423</v>
      </c>
      <c r="AC303" s="10">
        <v>568</v>
      </c>
      <c r="AD303" s="10">
        <v>400</v>
      </c>
      <c r="AE303" s="10">
        <v>272</v>
      </c>
      <c r="AF303" s="10">
        <v>250</v>
      </c>
      <c r="AG303" s="10">
        <v>247</v>
      </c>
      <c r="AH303" s="102">
        <f>SUM(Tableau2[[#This Row],[Td 2]:[Td 5]])</f>
        <v>1169</v>
      </c>
      <c r="AI303" s="10">
        <v>58.3</v>
      </c>
      <c r="AJ303" s="10">
        <v>100</v>
      </c>
      <c r="AK303" s="17">
        <f t="shared" si="32"/>
        <v>0</v>
      </c>
      <c r="AL303" s="17">
        <f t="shared" si="33"/>
        <v>0</v>
      </c>
      <c r="AM303" s="17">
        <f t="shared" si="34"/>
        <v>260</v>
      </c>
    </row>
    <row r="304" spans="1:39" s="3" customFormat="1" x14ac:dyDescent="0.25">
      <c r="A304" s="2" t="s">
        <v>16</v>
      </c>
      <c r="B304" s="29" t="s">
        <v>740</v>
      </c>
      <c r="C304" s="2" t="s">
        <v>32</v>
      </c>
      <c r="D304" s="2" t="s">
        <v>337</v>
      </c>
      <c r="E304" s="14">
        <v>10405</v>
      </c>
      <c r="F304" s="15">
        <f t="shared" si="28"/>
        <v>363.1345</v>
      </c>
      <c r="G304" s="15">
        <f t="shared" si="29"/>
        <v>416.2</v>
      </c>
      <c r="H304" s="15">
        <f t="shared" si="30"/>
        <v>302.61208333333332</v>
      </c>
      <c r="I304" s="15">
        <f t="shared" si="31"/>
        <v>346.83333333333331</v>
      </c>
      <c r="J304" s="10">
        <v>356</v>
      </c>
      <c r="K304" s="10">
        <v>116</v>
      </c>
      <c r="L304" s="10">
        <v>311</v>
      </c>
      <c r="M304" s="10">
        <v>299</v>
      </c>
      <c r="N304" s="10">
        <v>294</v>
      </c>
      <c r="O304" s="10">
        <v>340</v>
      </c>
      <c r="P304" s="10">
        <v>326</v>
      </c>
      <c r="Q304" s="10">
        <v>323</v>
      </c>
      <c r="R304" s="10">
        <v>340</v>
      </c>
      <c r="S304" s="10">
        <v>327</v>
      </c>
      <c r="T304" s="10">
        <v>324</v>
      </c>
      <c r="U304" s="10">
        <v>340</v>
      </c>
      <c r="V304" s="10">
        <v>327</v>
      </c>
      <c r="W304" s="10">
        <v>323</v>
      </c>
      <c r="X304" s="10">
        <v>279</v>
      </c>
      <c r="Y304" s="10">
        <v>150</v>
      </c>
      <c r="Z304" s="10">
        <v>313</v>
      </c>
      <c r="AA304" s="10">
        <v>303</v>
      </c>
      <c r="AB304" s="10">
        <v>266</v>
      </c>
      <c r="AC304" s="10">
        <v>351</v>
      </c>
      <c r="AD304" s="10">
        <v>285</v>
      </c>
      <c r="AE304" s="10">
        <v>164</v>
      </c>
      <c r="AF304" s="10">
        <v>67</v>
      </c>
      <c r="AG304" s="10">
        <v>42</v>
      </c>
      <c r="AH304" s="102">
        <f>SUM(Tableau2[[#This Row],[Td 2]:[Td 5]])</f>
        <v>558</v>
      </c>
      <c r="AI304" s="10">
        <v>58.3</v>
      </c>
      <c r="AJ304" s="10">
        <v>100</v>
      </c>
      <c r="AK304" s="17">
        <f t="shared" si="32"/>
        <v>0</v>
      </c>
      <c r="AL304" s="17">
        <f t="shared" si="33"/>
        <v>61</v>
      </c>
      <c r="AM304" s="17">
        <f t="shared" si="34"/>
        <v>279</v>
      </c>
    </row>
    <row r="305" spans="1:39" s="3" customFormat="1" x14ac:dyDescent="0.25">
      <c r="A305" s="2" t="s">
        <v>16</v>
      </c>
      <c r="B305" s="29" t="s">
        <v>740</v>
      </c>
      <c r="C305" s="2" t="s">
        <v>32</v>
      </c>
      <c r="D305" s="2" t="s">
        <v>338</v>
      </c>
      <c r="E305" s="14">
        <v>15097</v>
      </c>
      <c r="F305" s="15">
        <f t="shared" si="28"/>
        <v>526.88530000000003</v>
      </c>
      <c r="G305" s="15">
        <f t="shared" si="29"/>
        <v>603.88</v>
      </c>
      <c r="H305" s="15">
        <f t="shared" si="30"/>
        <v>439.07108333333332</v>
      </c>
      <c r="I305" s="15">
        <f t="shared" si="31"/>
        <v>503.23333333333329</v>
      </c>
      <c r="J305" s="10">
        <v>384</v>
      </c>
      <c r="K305" s="10">
        <v>384</v>
      </c>
      <c r="L305" s="10">
        <v>374</v>
      </c>
      <c r="M305" s="10">
        <v>347</v>
      </c>
      <c r="N305" s="10">
        <v>326</v>
      </c>
      <c r="O305" s="10">
        <v>493</v>
      </c>
      <c r="P305" s="10">
        <v>483</v>
      </c>
      <c r="Q305" s="10">
        <v>492</v>
      </c>
      <c r="R305" s="10">
        <v>451</v>
      </c>
      <c r="S305" s="10">
        <v>461</v>
      </c>
      <c r="T305" s="10">
        <v>472</v>
      </c>
      <c r="U305" s="10">
        <v>351</v>
      </c>
      <c r="V305" s="10">
        <v>320</v>
      </c>
      <c r="W305" s="10">
        <v>315</v>
      </c>
      <c r="X305" s="10">
        <v>526</v>
      </c>
      <c r="Y305" s="10">
        <v>454</v>
      </c>
      <c r="Z305" s="10">
        <v>398</v>
      </c>
      <c r="AA305" s="10">
        <v>465</v>
      </c>
      <c r="AB305" s="10">
        <v>495</v>
      </c>
      <c r="AC305" s="10">
        <v>360</v>
      </c>
      <c r="AD305" s="10">
        <v>243</v>
      </c>
      <c r="AE305" s="10">
        <v>288</v>
      </c>
      <c r="AF305" s="10">
        <v>241</v>
      </c>
      <c r="AG305" s="10">
        <v>154</v>
      </c>
      <c r="AH305" s="102">
        <f>SUM(Tableau2[[#This Row],[Td 2]:[Td 5]])</f>
        <v>926</v>
      </c>
      <c r="AI305" s="10">
        <v>50</v>
      </c>
      <c r="AJ305" s="10">
        <v>100</v>
      </c>
      <c r="AK305" s="17">
        <f t="shared" si="32"/>
        <v>0</v>
      </c>
      <c r="AL305" s="17">
        <f t="shared" si="33"/>
        <v>0</v>
      </c>
      <c r="AM305" s="17">
        <f t="shared" si="34"/>
        <v>398</v>
      </c>
    </row>
    <row r="306" spans="1:39" s="3" customFormat="1" x14ac:dyDescent="0.25">
      <c r="A306" s="2" t="s">
        <v>16</v>
      </c>
      <c r="B306" s="29" t="s">
        <v>740</v>
      </c>
      <c r="C306" s="2" t="s">
        <v>32</v>
      </c>
      <c r="D306" s="2" t="s">
        <v>339</v>
      </c>
      <c r="E306" s="14">
        <v>32296</v>
      </c>
      <c r="F306" s="15">
        <f t="shared" si="28"/>
        <v>1127.1304</v>
      </c>
      <c r="G306" s="15">
        <f t="shared" si="29"/>
        <v>1291.8399999999999</v>
      </c>
      <c r="H306" s="15">
        <f t="shared" si="30"/>
        <v>939.27533333333326</v>
      </c>
      <c r="I306" s="15">
        <f t="shared" si="31"/>
        <v>1076.5333333333333</v>
      </c>
      <c r="J306" s="10">
        <v>1116</v>
      </c>
      <c r="K306" s="10">
        <v>622</v>
      </c>
      <c r="L306" s="10">
        <v>578</v>
      </c>
      <c r="M306" s="10">
        <v>550</v>
      </c>
      <c r="N306" s="10">
        <v>519</v>
      </c>
      <c r="O306" s="10">
        <v>911</v>
      </c>
      <c r="P306" s="10">
        <v>870</v>
      </c>
      <c r="Q306" s="10">
        <v>844</v>
      </c>
      <c r="R306" s="10">
        <v>911</v>
      </c>
      <c r="S306" s="10">
        <v>870</v>
      </c>
      <c r="T306" s="10">
        <v>844</v>
      </c>
      <c r="U306" s="10">
        <v>776</v>
      </c>
      <c r="V306" s="10">
        <v>735</v>
      </c>
      <c r="W306" s="10">
        <v>705</v>
      </c>
      <c r="X306" s="10">
        <v>1016</v>
      </c>
      <c r="Y306" s="10">
        <v>284</v>
      </c>
      <c r="Z306" s="10">
        <v>1529</v>
      </c>
      <c r="AA306" s="10">
        <v>844</v>
      </c>
      <c r="AB306" s="10">
        <v>859</v>
      </c>
      <c r="AC306" s="10">
        <v>735</v>
      </c>
      <c r="AD306" s="10">
        <v>648</v>
      </c>
      <c r="AE306" s="10">
        <v>570</v>
      </c>
      <c r="AF306" s="10">
        <v>500</v>
      </c>
      <c r="AG306" s="10">
        <v>452</v>
      </c>
      <c r="AH306" s="102">
        <f>SUM(Tableau2[[#This Row],[Td 2]:[Td 5]])</f>
        <v>2170</v>
      </c>
      <c r="AI306" s="10">
        <v>58.3</v>
      </c>
      <c r="AJ306" s="10">
        <v>100</v>
      </c>
      <c r="AK306" s="17">
        <f t="shared" si="32"/>
        <v>28.275333333333265</v>
      </c>
      <c r="AL306" s="17">
        <f t="shared" si="33"/>
        <v>0</v>
      </c>
      <c r="AM306" s="17">
        <f t="shared" si="34"/>
        <v>1016</v>
      </c>
    </row>
    <row r="307" spans="1:39" s="3" customFormat="1" x14ac:dyDescent="0.25">
      <c r="A307" s="2" t="s">
        <v>16</v>
      </c>
      <c r="B307" s="29" t="s">
        <v>740</v>
      </c>
      <c r="C307" s="2" t="s">
        <v>32</v>
      </c>
      <c r="D307" s="2" t="s">
        <v>340</v>
      </c>
      <c r="E307" s="14">
        <v>16847</v>
      </c>
      <c r="F307" s="15">
        <f t="shared" si="28"/>
        <v>587.96029999999996</v>
      </c>
      <c r="G307" s="15">
        <f t="shared" si="29"/>
        <v>673.88</v>
      </c>
      <c r="H307" s="15">
        <f t="shared" si="30"/>
        <v>489.96691666666663</v>
      </c>
      <c r="I307" s="15">
        <f t="shared" si="31"/>
        <v>561.56666666666661</v>
      </c>
      <c r="J307" s="10">
        <v>471</v>
      </c>
      <c r="K307" s="10" t="s">
        <v>2</v>
      </c>
      <c r="L307" s="10">
        <v>510</v>
      </c>
      <c r="M307" s="10">
        <v>493</v>
      </c>
      <c r="N307" s="10">
        <v>487</v>
      </c>
      <c r="O307" s="10">
        <v>510</v>
      </c>
      <c r="P307" s="10">
        <v>492</v>
      </c>
      <c r="Q307" s="10">
        <v>488</v>
      </c>
      <c r="R307" s="10">
        <v>505</v>
      </c>
      <c r="S307" s="10">
        <v>493</v>
      </c>
      <c r="T307" s="10">
        <v>487</v>
      </c>
      <c r="U307" s="10">
        <v>448</v>
      </c>
      <c r="V307" s="10">
        <v>434</v>
      </c>
      <c r="W307" s="10">
        <v>472</v>
      </c>
      <c r="X307" s="10">
        <v>519</v>
      </c>
      <c r="Y307" s="10">
        <v>529</v>
      </c>
      <c r="Z307" s="10">
        <v>505</v>
      </c>
      <c r="AA307" s="10">
        <v>487</v>
      </c>
      <c r="AB307" s="10">
        <v>506</v>
      </c>
      <c r="AC307" s="10">
        <v>421</v>
      </c>
      <c r="AD307" s="10">
        <v>322</v>
      </c>
      <c r="AE307" s="10">
        <v>268</v>
      </c>
      <c r="AF307" s="10">
        <v>149</v>
      </c>
      <c r="AG307" s="10">
        <v>65</v>
      </c>
      <c r="AH307" s="102">
        <f>SUM(Tableau2[[#This Row],[Td 2]:[Td 5]])</f>
        <v>804</v>
      </c>
      <c r="AI307" s="10">
        <v>58.3</v>
      </c>
      <c r="AJ307" s="10">
        <v>100</v>
      </c>
      <c r="AK307" s="17">
        <f t="shared" si="32"/>
        <v>0</v>
      </c>
      <c r="AL307" s="17">
        <f t="shared" si="33"/>
        <v>0</v>
      </c>
      <c r="AM307" s="17">
        <f t="shared" si="34"/>
        <v>505</v>
      </c>
    </row>
    <row r="308" spans="1:39" s="3" customFormat="1" x14ac:dyDescent="0.25">
      <c r="A308" s="2" t="s">
        <v>16</v>
      </c>
      <c r="B308" s="29" t="s">
        <v>740</v>
      </c>
      <c r="C308" s="2" t="s">
        <v>32</v>
      </c>
      <c r="D308" s="2" t="s">
        <v>341</v>
      </c>
      <c r="E308" s="14">
        <v>25724</v>
      </c>
      <c r="F308" s="15">
        <f t="shared" si="28"/>
        <v>897.76760000000002</v>
      </c>
      <c r="G308" s="15">
        <f t="shared" si="29"/>
        <v>1028.96</v>
      </c>
      <c r="H308" s="15">
        <f t="shared" si="30"/>
        <v>748.1396666666667</v>
      </c>
      <c r="I308" s="15">
        <f t="shared" si="31"/>
        <v>857.4666666666667</v>
      </c>
      <c r="J308" s="10">
        <v>763</v>
      </c>
      <c r="K308" s="10">
        <v>580</v>
      </c>
      <c r="L308" s="10">
        <v>684</v>
      </c>
      <c r="M308" s="10">
        <v>674</v>
      </c>
      <c r="N308" s="10">
        <v>664</v>
      </c>
      <c r="O308" s="10">
        <v>762</v>
      </c>
      <c r="P308" s="10">
        <v>747</v>
      </c>
      <c r="Q308" s="10">
        <v>740</v>
      </c>
      <c r="R308" s="10">
        <v>682</v>
      </c>
      <c r="S308" s="10">
        <v>673</v>
      </c>
      <c r="T308" s="10">
        <v>664</v>
      </c>
      <c r="U308" s="10">
        <v>684</v>
      </c>
      <c r="V308" s="10">
        <v>673</v>
      </c>
      <c r="W308" s="10">
        <v>666</v>
      </c>
      <c r="X308" s="10">
        <v>713</v>
      </c>
      <c r="Y308" s="10">
        <v>698</v>
      </c>
      <c r="Z308" s="10">
        <v>1019</v>
      </c>
      <c r="AA308" s="10">
        <v>739</v>
      </c>
      <c r="AB308" s="10">
        <v>727</v>
      </c>
      <c r="AC308" s="10">
        <v>516</v>
      </c>
      <c r="AD308" s="10">
        <v>323</v>
      </c>
      <c r="AE308" s="10">
        <v>307</v>
      </c>
      <c r="AF308" s="10">
        <v>155</v>
      </c>
      <c r="AG308" s="10">
        <v>105</v>
      </c>
      <c r="AH308" s="102">
        <f>SUM(Tableau2[[#This Row],[Td 2]:[Td 5]])</f>
        <v>890</v>
      </c>
      <c r="AI308" s="10">
        <v>58.3</v>
      </c>
      <c r="AJ308" s="10">
        <v>100</v>
      </c>
      <c r="AK308" s="17">
        <f t="shared" si="32"/>
        <v>0</v>
      </c>
      <c r="AL308" s="17">
        <f t="shared" si="33"/>
        <v>49</v>
      </c>
      <c r="AM308" s="17">
        <f t="shared" si="34"/>
        <v>713</v>
      </c>
    </row>
    <row r="309" spans="1:39" s="3" customFormat="1" x14ac:dyDescent="0.25">
      <c r="A309" s="2" t="s">
        <v>16</v>
      </c>
      <c r="B309" s="29" t="s">
        <v>740</v>
      </c>
      <c r="C309" s="2" t="s">
        <v>32</v>
      </c>
      <c r="D309" s="2" t="s">
        <v>295</v>
      </c>
      <c r="E309" s="14">
        <v>18466</v>
      </c>
      <c r="F309" s="15">
        <f t="shared" si="28"/>
        <v>644.46339999999998</v>
      </c>
      <c r="G309" s="15">
        <f t="shared" si="29"/>
        <v>738.64</v>
      </c>
      <c r="H309" s="15">
        <f t="shared" si="30"/>
        <v>537.0528333333333</v>
      </c>
      <c r="I309" s="15">
        <f t="shared" si="31"/>
        <v>615.5333333333333</v>
      </c>
      <c r="J309" s="10">
        <v>420</v>
      </c>
      <c r="K309" s="10">
        <v>15</v>
      </c>
      <c r="L309" s="10">
        <v>364</v>
      </c>
      <c r="M309" s="10">
        <v>347</v>
      </c>
      <c r="N309" s="10">
        <v>316</v>
      </c>
      <c r="O309" s="10">
        <v>388</v>
      </c>
      <c r="P309" s="10">
        <v>364</v>
      </c>
      <c r="Q309" s="10">
        <v>358</v>
      </c>
      <c r="R309" s="10">
        <v>401</v>
      </c>
      <c r="S309" s="10">
        <v>370</v>
      </c>
      <c r="T309" s="10">
        <v>355</v>
      </c>
      <c r="U309" s="10">
        <v>354</v>
      </c>
      <c r="V309" s="10">
        <v>324</v>
      </c>
      <c r="W309" s="10">
        <v>358</v>
      </c>
      <c r="X309" s="10">
        <v>375</v>
      </c>
      <c r="Y309" s="10">
        <v>251</v>
      </c>
      <c r="Z309" s="10">
        <v>292</v>
      </c>
      <c r="AA309" s="10">
        <v>342</v>
      </c>
      <c r="AB309" s="10">
        <v>259</v>
      </c>
      <c r="AC309" s="10">
        <v>356</v>
      </c>
      <c r="AD309" s="10">
        <v>301</v>
      </c>
      <c r="AE309" s="10">
        <v>338</v>
      </c>
      <c r="AF309" s="10">
        <v>193</v>
      </c>
      <c r="AG309" s="10">
        <v>125</v>
      </c>
      <c r="AH309" s="102">
        <f>SUM(Tableau2[[#This Row],[Td 2]:[Td 5]])</f>
        <v>957</v>
      </c>
      <c r="AI309" s="10">
        <v>58.3</v>
      </c>
      <c r="AJ309" s="10">
        <v>100</v>
      </c>
      <c r="AK309" s="17">
        <f t="shared" si="32"/>
        <v>149.0528333333333</v>
      </c>
      <c r="AL309" s="17">
        <f t="shared" si="33"/>
        <v>13</v>
      </c>
      <c r="AM309" s="17">
        <f t="shared" si="34"/>
        <v>292</v>
      </c>
    </row>
    <row r="310" spans="1:39" s="3" customFormat="1" x14ac:dyDescent="0.25">
      <c r="A310" s="2" t="s">
        <v>16</v>
      </c>
      <c r="B310" s="29" t="s">
        <v>740</v>
      </c>
      <c r="C310" s="2" t="s">
        <v>32</v>
      </c>
      <c r="D310" s="2" t="s">
        <v>342</v>
      </c>
      <c r="E310" s="14">
        <v>26136</v>
      </c>
      <c r="F310" s="15">
        <f t="shared" si="28"/>
        <v>912.14639999999997</v>
      </c>
      <c r="G310" s="15">
        <f t="shared" si="29"/>
        <v>1045.44</v>
      </c>
      <c r="H310" s="15">
        <f t="shared" si="30"/>
        <v>760.12199999999996</v>
      </c>
      <c r="I310" s="15">
        <f t="shared" si="31"/>
        <v>871.2</v>
      </c>
      <c r="J310" s="10">
        <v>857</v>
      </c>
      <c r="K310" s="10">
        <v>744</v>
      </c>
      <c r="L310" s="10">
        <v>730</v>
      </c>
      <c r="M310" s="10">
        <v>718</v>
      </c>
      <c r="N310" s="10">
        <v>719</v>
      </c>
      <c r="O310" s="10">
        <v>749</v>
      </c>
      <c r="P310" s="10">
        <v>748</v>
      </c>
      <c r="Q310" s="10">
        <v>748</v>
      </c>
      <c r="R310" s="10">
        <v>749</v>
      </c>
      <c r="S310" s="10">
        <v>748</v>
      </c>
      <c r="T310" s="10">
        <v>751</v>
      </c>
      <c r="U310" s="10">
        <v>742</v>
      </c>
      <c r="V310" s="10">
        <v>743</v>
      </c>
      <c r="W310" s="10">
        <v>743</v>
      </c>
      <c r="X310" s="10">
        <v>757</v>
      </c>
      <c r="Y310" s="10">
        <v>765</v>
      </c>
      <c r="Z310" s="10">
        <v>766</v>
      </c>
      <c r="AA310" s="10">
        <v>754</v>
      </c>
      <c r="AB310" s="10">
        <v>757</v>
      </c>
      <c r="AC310" s="10">
        <v>756</v>
      </c>
      <c r="AD310" s="10">
        <v>692</v>
      </c>
      <c r="AE310" s="10">
        <v>670</v>
      </c>
      <c r="AF310" s="10">
        <v>630</v>
      </c>
      <c r="AG310" s="10">
        <v>585</v>
      </c>
      <c r="AH310" s="102">
        <f>SUM(Tableau2[[#This Row],[Td 2]:[Td 5]])</f>
        <v>2577</v>
      </c>
      <c r="AI310" s="10">
        <v>58.3</v>
      </c>
      <c r="AJ310" s="10">
        <v>100</v>
      </c>
      <c r="AK310" s="17">
        <f t="shared" si="32"/>
        <v>11.121999999999957</v>
      </c>
      <c r="AL310" s="17">
        <f t="shared" si="33"/>
        <v>0</v>
      </c>
      <c r="AM310" s="17">
        <f t="shared" si="34"/>
        <v>757</v>
      </c>
    </row>
    <row r="311" spans="1:39" s="3" customFormat="1" x14ac:dyDescent="0.25">
      <c r="A311" s="2" t="s">
        <v>16</v>
      </c>
      <c r="B311" s="29" t="s">
        <v>740</v>
      </c>
      <c r="C311" s="2" t="s">
        <v>33</v>
      </c>
      <c r="D311" s="2" t="s">
        <v>343</v>
      </c>
      <c r="E311" s="14">
        <v>7953</v>
      </c>
      <c r="F311" s="15">
        <f t="shared" si="28"/>
        <v>277.55970000000002</v>
      </c>
      <c r="G311" s="15">
        <f t="shared" si="29"/>
        <v>318.12</v>
      </c>
      <c r="H311" s="15">
        <f t="shared" si="30"/>
        <v>231.29975000000002</v>
      </c>
      <c r="I311" s="15">
        <f t="shared" si="31"/>
        <v>265.10000000000002</v>
      </c>
      <c r="J311" s="10">
        <v>167</v>
      </c>
      <c r="K311" s="10">
        <v>58</v>
      </c>
      <c r="L311" s="10">
        <v>195</v>
      </c>
      <c r="M311" s="10">
        <v>183</v>
      </c>
      <c r="N311" s="10">
        <v>189</v>
      </c>
      <c r="O311" s="10">
        <v>195</v>
      </c>
      <c r="P311" s="10">
        <v>173</v>
      </c>
      <c r="Q311" s="10">
        <v>189</v>
      </c>
      <c r="R311" s="10">
        <v>195</v>
      </c>
      <c r="S311" s="10">
        <v>179</v>
      </c>
      <c r="T311" s="10">
        <v>188</v>
      </c>
      <c r="U311" s="10">
        <v>195</v>
      </c>
      <c r="V311" s="10">
        <v>179</v>
      </c>
      <c r="W311" s="10">
        <v>189</v>
      </c>
      <c r="X311" s="10">
        <v>176</v>
      </c>
      <c r="Y311" s="10">
        <v>222</v>
      </c>
      <c r="Z311" s="10">
        <v>157</v>
      </c>
      <c r="AA311" s="10">
        <v>186</v>
      </c>
      <c r="AB311" s="10">
        <v>158</v>
      </c>
      <c r="AC311" s="10">
        <v>83</v>
      </c>
      <c r="AD311" s="10">
        <v>61</v>
      </c>
      <c r="AE311" s="10">
        <v>49</v>
      </c>
      <c r="AF311" s="10">
        <v>64</v>
      </c>
      <c r="AG311" s="10">
        <v>23</v>
      </c>
      <c r="AH311" s="102">
        <f>SUM(Tableau2[[#This Row],[Td 2]:[Td 5]])</f>
        <v>197</v>
      </c>
      <c r="AI311" s="10">
        <v>41.7</v>
      </c>
      <c r="AJ311" s="10">
        <v>100</v>
      </c>
      <c r="AK311" s="17">
        <f t="shared" si="32"/>
        <v>36.299750000000017</v>
      </c>
      <c r="AL311" s="17">
        <f t="shared" si="33"/>
        <v>19</v>
      </c>
      <c r="AM311" s="17">
        <f t="shared" si="34"/>
        <v>157</v>
      </c>
    </row>
    <row r="312" spans="1:39" s="3" customFormat="1" x14ac:dyDescent="0.25">
      <c r="A312" s="2" t="s">
        <v>16</v>
      </c>
      <c r="B312" s="29" t="s">
        <v>740</v>
      </c>
      <c r="C312" s="2" t="s">
        <v>33</v>
      </c>
      <c r="D312" s="2" t="s">
        <v>344</v>
      </c>
      <c r="E312" s="14">
        <v>7611</v>
      </c>
      <c r="F312" s="15">
        <f t="shared" si="28"/>
        <v>265.62389999999999</v>
      </c>
      <c r="G312" s="15">
        <f t="shared" si="29"/>
        <v>304.44</v>
      </c>
      <c r="H312" s="15">
        <f t="shared" si="30"/>
        <v>221.35324999999997</v>
      </c>
      <c r="I312" s="15">
        <f t="shared" si="31"/>
        <v>253.70000000000002</v>
      </c>
      <c r="J312" s="10">
        <v>268</v>
      </c>
      <c r="K312" s="10">
        <v>45</v>
      </c>
      <c r="L312" s="10">
        <v>209</v>
      </c>
      <c r="M312" s="10">
        <v>187</v>
      </c>
      <c r="N312" s="10">
        <v>177</v>
      </c>
      <c r="O312" s="10">
        <v>231</v>
      </c>
      <c r="P312" s="10">
        <v>211</v>
      </c>
      <c r="Q312" s="10">
        <v>201</v>
      </c>
      <c r="R312" s="10">
        <v>217</v>
      </c>
      <c r="S312" s="10">
        <v>195</v>
      </c>
      <c r="T312" s="10">
        <v>201</v>
      </c>
      <c r="U312" s="10">
        <v>242</v>
      </c>
      <c r="V312" s="10">
        <v>207</v>
      </c>
      <c r="W312" s="10">
        <v>201</v>
      </c>
      <c r="X312" s="10">
        <v>179</v>
      </c>
      <c r="Y312" s="10">
        <v>95</v>
      </c>
      <c r="Z312" s="10">
        <v>187</v>
      </c>
      <c r="AA312" s="10">
        <v>201</v>
      </c>
      <c r="AB312" s="10">
        <v>171</v>
      </c>
      <c r="AC312" s="10">
        <v>68</v>
      </c>
      <c r="AD312" s="10">
        <v>52</v>
      </c>
      <c r="AE312" s="10">
        <v>34</v>
      </c>
      <c r="AF312" s="10">
        <v>42</v>
      </c>
      <c r="AG312" s="10">
        <v>38</v>
      </c>
      <c r="AH312" s="102">
        <f>SUM(Tableau2[[#This Row],[Td 2]:[Td 5]])</f>
        <v>166</v>
      </c>
      <c r="AI312" s="10">
        <v>50</v>
      </c>
      <c r="AJ312" s="10">
        <v>100</v>
      </c>
      <c r="AK312" s="17">
        <f t="shared" si="32"/>
        <v>0</v>
      </c>
      <c r="AL312" s="17">
        <f t="shared" si="33"/>
        <v>52</v>
      </c>
      <c r="AM312" s="17">
        <f t="shared" si="34"/>
        <v>179</v>
      </c>
    </row>
    <row r="313" spans="1:39" s="3" customFormat="1" x14ac:dyDescent="0.25">
      <c r="A313" s="2" t="s">
        <v>16</v>
      </c>
      <c r="B313" s="29" t="s">
        <v>740</v>
      </c>
      <c r="C313" s="2" t="s">
        <v>33</v>
      </c>
      <c r="D313" s="2" t="s">
        <v>345</v>
      </c>
      <c r="E313" s="14">
        <v>4569</v>
      </c>
      <c r="F313" s="15">
        <f t="shared" si="28"/>
        <v>159.4581</v>
      </c>
      <c r="G313" s="15">
        <f t="shared" si="29"/>
        <v>182.76</v>
      </c>
      <c r="H313" s="15">
        <f t="shared" si="30"/>
        <v>132.88175000000001</v>
      </c>
      <c r="I313" s="15">
        <f t="shared" si="31"/>
        <v>152.29999999999998</v>
      </c>
      <c r="J313" s="10">
        <v>117</v>
      </c>
      <c r="K313" s="10">
        <v>54</v>
      </c>
      <c r="L313" s="10">
        <v>97</v>
      </c>
      <c r="M313" s="10">
        <v>105</v>
      </c>
      <c r="N313" s="10">
        <v>115</v>
      </c>
      <c r="O313" s="10">
        <v>117</v>
      </c>
      <c r="P313" s="10">
        <v>134</v>
      </c>
      <c r="Q313" s="10">
        <v>150</v>
      </c>
      <c r="R313" s="10">
        <v>117</v>
      </c>
      <c r="S313" s="10">
        <v>134</v>
      </c>
      <c r="T313" s="10">
        <v>150</v>
      </c>
      <c r="U313" s="10">
        <v>120</v>
      </c>
      <c r="V313" s="10">
        <v>139</v>
      </c>
      <c r="W313" s="10">
        <v>179</v>
      </c>
      <c r="X313" s="10">
        <v>136</v>
      </c>
      <c r="Y313" s="10">
        <v>66</v>
      </c>
      <c r="Z313" s="10">
        <v>172</v>
      </c>
      <c r="AA313" s="10">
        <v>121</v>
      </c>
      <c r="AB313" s="10">
        <v>131</v>
      </c>
      <c r="AC313" s="10">
        <v>29</v>
      </c>
      <c r="AD313" s="10">
        <v>26</v>
      </c>
      <c r="AE313" s="10">
        <v>25</v>
      </c>
      <c r="AF313" s="10">
        <v>18</v>
      </c>
      <c r="AG313" s="10">
        <v>12</v>
      </c>
      <c r="AH313" s="102">
        <f>SUM(Tableau2[[#This Row],[Td 2]:[Td 5]])</f>
        <v>81</v>
      </c>
      <c r="AI313" s="10">
        <v>45.8</v>
      </c>
      <c r="AJ313" s="10">
        <v>100</v>
      </c>
      <c r="AK313" s="17">
        <f t="shared" si="32"/>
        <v>15.881750000000011</v>
      </c>
      <c r="AL313" s="17">
        <f t="shared" si="33"/>
        <v>0</v>
      </c>
      <c r="AM313" s="17">
        <f t="shared" si="34"/>
        <v>136</v>
      </c>
    </row>
    <row r="314" spans="1:39" s="3" customFormat="1" x14ac:dyDescent="0.25">
      <c r="A314" s="2" t="s">
        <v>16</v>
      </c>
      <c r="B314" s="29" t="s">
        <v>740</v>
      </c>
      <c r="C314" s="2" t="s">
        <v>33</v>
      </c>
      <c r="D314" s="2" t="s">
        <v>30</v>
      </c>
      <c r="E314" s="14">
        <v>4855</v>
      </c>
      <c r="F314" s="15">
        <f t="shared" si="28"/>
        <v>169.43950000000001</v>
      </c>
      <c r="G314" s="15">
        <f t="shared" si="29"/>
        <v>194.20000000000002</v>
      </c>
      <c r="H314" s="15">
        <f t="shared" si="30"/>
        <v>141.19958333333335</v>
      </c>
      <c r="I314" s="15">
        <f t="shared" si="31"/>
        <v>161.83333333333334</v>
      </c>
      <c r="J314" s="10">
        <v>120</v>
      </c>
      <c r="K314" s="10">
        <v>34</v>
      </c>
      <c r="L314" s="10">
        <v>98</v>
      </c>
      <c r="M314" s="10">
        <v>112</v>
      </c>
      <c r="N314" s="10">
        <v>84</v>
      </c>
      <c r="O314" s="10">
        <v>234</v>
      </c>
      <c r="P314" s="10">
        <v>138</v>
      </c>
      <c r="Q314" s="10">
        <v>113</v>
      </c>
      <c r="R314" s="10">
        <v>143</v>
      </c>
      <c r="S314" s="10">
        <v>141</v>
      </c>
      <c r="T314" s="10">
        <v>111</v>
      </c>
      <c r="U314" s="10">
        <v>144</v>
      </c>
      <c r="V314" s="10">
        <v>141</v>
      </c>
      <c r="W314" s="10">
        <v>123</v>
      </c>
      <c r="X314" s="10">
        <v>126</v>
      </c>
      <c r="Y314" s="10">
        <v>88</v>
      </c>
      <c r="Z314" s="10">
        <v>111</v>
      </c>
      <c r="AA314" s="10">
        <v>107</v>
      </c>
      <c r="AB314" s="10">
        <v>121</v>
      </c>
      <c r="AC314" s="10">
        <v>48</v>
      </c>
      <c r="AD314" s="10">
        <v>27</v>
      </c>
      <c r="AE314" s="10">
        <v>26</v>
      </c>
      <c r="AF314" s="10">
        <v>18</v>
      </c>
      <c r="AG314" s="10">
        <v>15</v>
      </c>
      <c r="AH314" s="102">
        <f>SUM(Tableau2[[#This Row],[Td 2]:[Td 5]])</f>
        <v>86</v>
      </c>
      <c r="AI314" s="10">
        <v>41.7</v>
      </c>
      <c r="AJ314" s="10">
        <v>100</v>
      </c>
      <c r="AK314" s="17">
        <f t="shared" si="32"/>
        <v>0</v>
      </c>
      <c r="AL314" s="17">
        <f t="shared" si="33"/>
        <v>108</v>
      </c>
      <c r="AM314" s="17">
        <f t="shared" si="34"/>
        <v>111</v>
      </c>
    </row>
    <row r="315" spans="1:39" s="3" customFormat="1" x14ac:dyDescent="0.25">
      <c r="A315" s="2" t="s">
        <v>16</v>
      </c>
      <c r="B315" s="29" t="s">
        <v>740</v>
      </c>
      <c r="C315" s="2" t="s">
        <v>33</v>
      </c>
      <c r="D315" s="2" t="s">
        <v>346</v>
      </c>
      <c r="E315" s="14">
        <v>13080</v>
      </c>
      <c r="F315" s="15">
        <f t="shared" si="28"/>
        <v>456.49200000000002</v>
      </c>
      <c r="G315" s="15">
        <f t="shared" si="29"/>
        <v>523.20000000000005</v>
      </c>
      <c r="H315" s="15">
        <f t="shared" si="30"/>
        <v>380.41</v>
      </c>
      <c r="I315" s="15">
        <f t="shared" si="31"/>
        <v>436</v>
      </c>
      <c r="J315" s="10">
        <v>381</v>
      </c>
      <c r="K315" s="10">
        <v>100</v>
      </c>
      <c r="L315" s="10">
        <v>249</v>
      </c>
      <c r="M315" s="10">
        <v>243</v>
      </c>
      <c r="N315" s="10">
        <v>245</v>
      </c>
      <c r="O315" s="10">
        <v>367</v>
      </c>
      <c r="P315" s="10">
        <v>342</v>
      </c>
      <c r="Q315" s="10">
        <v>352</v>
      </c>
      <c r="R315" s="10">
        <v>367</v>
      </c>
      <c r="S315" s="10">
        <v>343</v>
      </c>
      <c r="T315" s="10">
        <v>352</v>
      </c>
      <c r="U315" s="10">
        <v>367</v>
      </c>
      <c r="V315" s="10">
        <v>332</v>
      </c>
      <c r="W315" s="10">
        <v>352</v>
      </c>
      <c r="X315" s="10">
        <v>354</v>
      </c>
      <c r="Y315" s="10">
        <v>138</v>
      </c>
      <c r="Z315" s="10">
        <v>430</v>
      </c>
      <c r="AA315" s="10">
        <v>337</v>
      </c>
      <c r="AB315" s="10">
        <v>317</v>
      </c>
      <c r="AC315" s="10">
        <v>65</v>
      </c>
      <c r="AD315" s="10">
        <v>71</v>
      </c>
      <c r="AE315" s="10">
        <v>57</v>
      </c>
      <c r="AF315" s="10">
        <v>42</v>
      </c>
      <c r="AG315" s="10">
        <v>33</v>
      </c>
      <c r="AH315" s="102">
        <f>SUM(Tableau2[[#This Row],[Td 2]:[Td 5]])</f>
        <v>203</v>
      </c>
      <c r="AI315" s="10">
        <v>37.5</v>
      </c>
      <c r="AJ315" s="10">
        <v>100</v>
      </c>
      <c r="AK315" s="17">
        <f t="shared" si="32"/>
        <v>13.410000000000025</v>
      </c>
      <c r="AL315" s="17">
        <f t="shared" si="33"/>
        <v>13</v>
      </c>
      <c r="AM315" s="17">
        <f t="shared" si="34"/>
        <v>354</v>
      </c>
    </row>
    <row r="316" spans="1:39" s="3" customFormat="1" x14ac:dyDescent="0.25">
      <c r="A316" s="2" t="s">
        <v>16</v>
      </c>
      <c r="B316" s="29" t="s">
        <v>740</v>
      </c>
      <c r="C316" s="2" t="s">
        <v>33</v>
      </c>
      <c r="D316" s="2" t="s">
        <v>33</v>
      </c>
      <c r="E316" s="14">
        <v>14464</v>
      </c>
      <c r="F316" s="15">
        <f t="shared" si="28"/>
        <v>504.79360000000003</v>
      </c>
      <c r="G316" s="15">
        <f t="shared" si="29"/>
        <v>578.56000000000006</v>
      </c>
      <c r="H316" s="15">
        <f t="shared" si="30"/>
        <v>420.66133333333335</v>
      </c>
      <c r="I316" s="15">
        <f t="shared" si="31"/>
        <v>482.13333333333338</v>
      </c>
      <c r="J316" s="10">
        <v>400</v>
      </c>
      <c r="K316" s="10">
        <v>125</v>
      </c>
      <c r="L316" s="10">
        <v>275</v>
      </c>
      <c r="M316" s="10">
        <v>261</v>
      </c>
      <c r="N316" s="10">
        <v>316</v>
      </c>
      <c r="O316" s="10">
        <v>478</v>
      </c>
      <c r="P316" s="10">
        <v>454</v>
      </c>
      <c r="Q316" s="10">
        <v>424</v>
      </c>
      <c r="R316" s="10">
        <v>468</v>
      </c>
      <c r="S316" s="10">
        <v>454</v>
      </c>
      <c r="T316" s="10">
        <v>424</v>
      </c>
      <c r="U316" s="10">
        <v>478</v>
      </c>
      <c r="V316" s="10">
        <v>454</v>
      </c>
      <c r="W316" s="10">
        <v>419</v>
      </c>
      <c r="X316" s="10">
        <v>361</v>
      </c>
      <c r="Y316" s="10">
        <v>244</v>
      </c>
      <c r="Z316" s="10">
        <v>418</v>
      </c>
      <c r="AA316" s="10">
        <v>389</v>
      </c>
      <c r="AB316" s="10">
        <v>280</v>
      </c>
      <c r="AC316" s="10">
        <v>46</v>
      </c>
      <c r="AD316" s="10">
        <v>46</v>
      </c>
      <c r="AE316" s="10">
        <v>61</v>
      </c>
      <c r="AF316" s="10">
        <v>47</v>
      </c>
      <c r="AG316" s="10">
        <v>43</v>
      </c>
      <c r="AH316" s="102">
        <f>SUM(Tableau2[[#This Row],[Td 2]:[Td 5]])</f>
        <v>197</v>
      </c>
      <c r="AI316" s="10">
        <v>58.3</v>
      </c>
      <c r="AJ316" s="10">
        <v>100</v>
      </c>
      <c r="AK316" s="17">
        <f t="shared" si="32"/>
        <v>0</v>
      </c>
      <c r="AL316" s="17">
        <f t="shared" si="33"/>
        <v>117</v>
      </c>
      <c r="AM316" s="17">
        <f t="shared" si="34"/>
        <v>361</v>
      </c>
    </row>
    <row r="317" spans="1:39" s="3" customFormat="1" x14ac:dyDescent="0.25">
      <c r="A317" s="2" t="s">
        <v>16</v>
      </c>
      <c r="B317" s="29" t="s">
        <v>740</v>
      </c>
      <c r="C317" s="2" t="s">
        <v>33</v>
      </c>
      <c r="D317" s="2" t="s">
        <v>347</v>
      </c>
      <c r="E317" s="14">
        <v>7423</v>
      </c>
      <c r="F317" s="15">
        <f t="shared" si="28"/>
        <v>259.06270000000001</v>
      </c>
      <c r="G317" s="15">
        <f t="shared" si="29"/>
        <v>296.92</v>
      </c>
      <c r="H317" s="15">
        <f t="shared" si="30"/>
        <v>215.88558333333336</v>
      </c>
      <c r="I317" s="15">
        <f t="shared" si="31"/>
        <v>247.43333333333337</v>
      </c>
      <c r="J317" s="10">
        <v>170</v>
      </c>
      <c r="K317" s="10">
        <v>98</v>
      </c>
      <c r="L317" s="10">
        <v>146</v>
      </c>
      <c r="M317" s="10">
        <v>139</v>
      </c>
      <c r="N317" s="10">
        <v>137</v>
      </c>
      <c r="O317" s="10">
        <v>175</v>
      </c>
      <c r="P317" s="10">
        <v>167</v>
      </c>
      <c r="Q317" s="10">
        <v>171</v>
      </c>
      <c r="R317" s="10">
        <v>173</v>
      </c>
      <c r="S317" s="10">
        <v>167</v>
      </c>
      <c r="T317" s="10">
        <v>171</v>
      </c>
      <c r="U317" s="10">
        <v>173</v>
      </c>
      <c r="V317" s="10">
        <v>167</v>
      </c>
      <c r="W317" s="10">
        <v>170</v>
      </c>
      <c r="X317" s="10">
        <v>158</v>
      </c>
      <c r="Y317" s="10">
        <v>92</v>
      </c>
      <c r="Z317" s="10">
        <v>141</v>
      </c>
      <c r="AA317" s="10">
        <v>165</v>
      </c>
      <c r="AB317" s="10">
        <v>91</v>
      </c>
      <c r="AC317" s="10">
        <v>55</v>
      </c>
      <c r="AD317" s="10">
        <v>60</v>
      </c>
      <c r="AE317" s="10">
        <v>24</v>
      </c>
      <c r="AF317" s="10">
        <v>16</v>
      </c>
      <c r="AG317" s="10">
        <v>4</v>
      </c>
      <c r="AH317" s="102">
        <f>SUM(Tableau2[[#This Row],[Td 2]:[Td 5]])</f>
        <v>104</v>
      </c>
      <c r="AI317" s="10">
        <v>58.3</v>
      </c>
      <c r="AJ317" s="10">
        <v>100</v>
      </c>
      <c r="AK317" s="17">
        <f t="shared" si="32"/>
        <v>40.885583333333358</v>
      </c>
      <c r="AL317" s="17">
        <f t="shared" si="33"/>
        <v>17</v>
      </c>
      <c r="AM317" s="17">
        <f t="shared" si="34"/>
        <v>141</v>
      </c>
    </row>
    <row r="318" spans="1:39" s="3" customFormat="1" x14ac:dyDescent="0.25">
      <c r="A318" s="2" t="s">
        <v>16</v>
      </c>
      <c r="B318" s="29" t="s">
        <v>740</v>
      </c>
      <c r="C318" s="2" t="s">
        <v>33</v>
      </c>
      <c r="D318" s="2" t="s">
        <v>348</v>
      </c>
      <c r="E318" s="14">
        <v>9641</v>
      </c>
      <c r="F318" s="15">
        <f t="shared" si="28"/>
        <v>336.47090000000003</v>
      </c>
      <c r="G318" s="15">
        <f t="shared" si="29"/>
        <v>385.64</v>
      </c>
      <c r="H318" s="15">
        <f t="shared" si="30"/>
        <v>280.39241666666669</v>
      </c>
      <c r="I318" s="15">
        <f t="shared" si="31"/>
        <v>321.36666666666662</v>
      </c>
      <c r="J318" s="10">
        <v>229</v>
      </c>
      <c r="K318" s="10">
        <v>128</v>
      </c>
      <c r="L318" s="10">
        <v>228</v>
      </c>
      <c r="M318" s="10">
        <v>217</v>
      </c>
      <c r="N318" s="10">
        <v>208</v>
      </c>
      <c r="O318" s="10">
        <v>258</v>
      </c>
      <c r="P318" s="10">
        <v>243</v>
      </c>
      <c r="Q318" s="10">
        <v>239</v>
      </c>
      <c r="R318" s="10">
        <v>258</v>
      </c>
      <c r="S318" s="10">
        <v>244</v>
      </c>
      <c r="T318" s="10">
        <v>239</v>
      </c>
      <c r="U318" s="10">
        <v>258</v>
      </c>
      <c r="V318" s="10">
        <v>246</v>
      </c>
      <c r="W318" s="10">
        <v>237</v>
      </c>
      <c r="X318" s="10">
        <v>228</v>
      </c>
      <c r="Y318" s="10">
        <v>200</v>
      </c>
      <c r="Z318" s="10">
        <v>228</v>
      </c>
      <c r="AA318" s="10">
        <v>237</v>
      </c>
      <c r="AB318" s="10">
        <v>238</v>
      </c>
      <c r="AC318" s="10">
        <v>62</v>
      </c>
      <c r="AD318" s="10">
        <v>62</v>
      </c>
      <c r="AE318" s="10">
        <v>43</v>
      </c>
      <c r="AF318" s="10">
        <v>23</v>
      </c>
      <c r="AG318" s="10">
        <v>24</v>
      </c>
      <c r="AH318" s="102">
        <f>SUM(Tableau2[[#This Row],[Td 2]:[Td 5]])</f>
        <v>152</v>
      </c>
      <c r="AI318" s="10">
        <v>37.5</v>
      </c>
      <c r="AJ318" s="10">
        <v>100</v>
      </c>
      <c r="AK318" s="17">
        <f t="shared" si="32"/>
        <v>22.392416666666691</v>
      </c>
      <c r="AL318" s="17">
        <f t="shared" si="33"/>
        <v>30</v>
      </c>
      <c r="AM318" s="17">
        <f t="shared" si="34"/>
        <v>228</v>
      </c>
    </row>
    <row r="319" spans="1:39" s="3" customFormat="1" x14ac:dyDescent="0.25">
      <c r="A319" s="2" t="s">
        <v>16</v>
      </c>
      <c r="B319" s="29" t="s">
        <v>740</v>
      </c>
      <c r="C319" s="2" t="s">
        <v>33</v>
      </c>
      <c r="D319" s="2" t="s">
        <v>349</v>
      </c>
      <c r="E319" s="14">
        <v>6739</v>
      </c>
      <c r="F319" s="15">
        <f t="shared" si="28"/>
        <v>235.19110000000001</v>
      </c>
      <c r="G319" s="15">
        <f t="shared" si="29"/>
        <v>269.56</v>
      </c>
      <c r="H319" s="15">
        <f t="shared" si="30"/>
        <v>195.99258333333336</v>
      </c>
      <c r="I319" s="15">
        <f t="shared" si="31"/>
        <v>224.63333333333335</v>
      </c>
      <c r="J319" s="10">
        <v>157</v>
      </c>
      <c r="K319" s="10">
        <v>152</v>
      </c>
      <c r="L319" s="10">
        <v>172</v>
      </c>
      <c r="M319" s="10">
        <v>168</v>
      </c>
      <c r="N319" s="10">
        <v>172</v>
      </c>
      <c r="O319" s="10">
        <v>191</v>
      </c>
      <c r="P319" s="10">
        <v>187</v>
      </c>
      <c r="Q319" s="10">
        <v>191</v>
      </c>
      <c r="R319" s="10">
        <v>191</v>
      </c>
      <c r="S319" s="10">
        <v>187</v>
      </c>
      <c r="T319" s="10">
        <v>191</v>
      </c>
      <c r="U319" s="10">
        <v>191</v>
      </c>
      <c r="V319" s="10">
        <v>187</v>
      </c>
      <c r="W319" s="10">
        <v>191</v>
      </c>
      <c r="X319" s="10">
        <v>185</v>
      </c>
      <c r="Y319" s="10">
        <v>116</v>
      </c>
      <c r="Z319" s="10">
        <v>177</v>
      </c>
      <c r="AA319" s="10">
        <v>191</v>
      </c>
      <c r="AB319" s="10">
        <v>160</v>
      </c>
      <c r="AC319" s="10">
        <v>29</v>
      </c>
      <c r="AD319" s="10">
        <v>33</v>
      </c>
      <c r="AE319" s="10">
        <v>54</v>
      </c>
      <c r="AF319" s="10">
        <v>52</v>
      </c>
      <c r="AG319" s="10">
        <v>47</v>
      </c>
      <c r="AH319" s="102">
        <f>SUM(Tableau2[[#This Row],[Td 2]:[Td 5]])</f>
        <v>186</v>
      </c>
      <c r="AI319" s="10">
        <v>50</v>
      </c>
      <c r="AJ319" s="10">
        <v>100</v>
      </c>
      <c r="AK319" s="17">
        <f t="shared" si="32"/>
        <v>4.9925833333333571</v>
      </c>
      <c r="AL319" s="17">
        <f t="shared" si="33"/>
        <v>6</v>
      </c>
      <c r="AM319" s="17">
        <f t="shared" si="34"/>
        <v>177</v>
      </c>
    </row>
    <row r="320" spans="1:39" s="3" customFormat="1" x14ac:dyDescent="0.25">
      <c r="A320" s="2" t="s">
        <v>16</v>
      </c>
      <c r="B320" s="29" t="s">
        <v>740</v>
      </c>
      <c r="C320" s="2" t="s">
        <v>33</v>
      </c>
      <c r="D320" s="2" t="s">
        <v>350</v>
      </c>
      <c r="E320" s="14">
        <v>5972</v>
      </c>
      <c r="F320" s="15">
        <f t="shared" si="28"/>
        <v>208.4228</v>
      </c>
      <c r="G320" s="15">
        <f t="shared" si="29"/>
        <v>238.88</v>
      </c>
      <c r="H320" s="15">
        <f t="shared" si="30"/>
        <v>173.68566666666666</v>
      </c>
      <c r="I320" s="15">
        <f t="shared" si="31"/>
        <v>199.06666666666666</v>
      </c>
      <c r="J320" s="10">
        <v>146</v>
      </c>
      <c r="K320" s="10">
        <v>10</v>
      </c>
      <c r="L320" s="10">
        <v>114</v>
      </c>
      <c r="M320" s="10">
        <v>100</v>
      </c>
      <c r="N320" s="10">
        <v>122</v>
      </c>
      <c r="O320" s="10">
        <v>130</v>
      </c>
      <c r="P320" s="10">
        <v>118</v>
      </c>
      <c r="Q320" s="10">
        <v>130</v>
      </c>
      <c r="R320" s="10">
        <v>130</v>
      </c>
      <c r="S320" s="10">
        <v>116</v>
      </c>
      <c r="T320" s="10">
        <v>130</v>
      </c>
      <c r="U320" s="10">
        <v>130</v>
      </c>
      <c r="V320" s="10">
        <v>116</v>
      </c>
      <c r="W320" s="10">
        <v>130</v>
      </c>
      <c r="X320" s="10">
        <v>120</v>
      </c>
      <c r="Y320" s="10">
        <v>103</v>
      </c>
      <c r="Z320" s="10">
        <v>176</v>
      </c>
      <c r="AA320" s="10">
        <v>130</v>
      </c>
      <c r="AB320" s="10">
        <v>117</v>
      </c>
      <c r="AC320" s="10">
        <v>56</v>
      </c>
      <c r="AD320" s="10">
        <v>40</v>
      </c>
      <c r="AE320" s="10">
        <v>31</v>
      </c>
      <c r="AF320" s="10">
        <v>20</v>
      </c>
      <c r="AG320" s="10">
        <v>6</v>
      </c>
      <c r="AH320" s="102">
        <f>SUM(Tableau2[[#This Row],[Td 2]:[Td 5]])</f>
        <v>97</v>
      </c>
      <c r="AI320" s="10">
        <v>50</v>
      </c>
      <c r="AJ320" s="10">
        <v>100</v>
      </c>
      <c r="AK320" s="17">
        <f t="shared" si="32"/>
        <v>43.685666666666663</v>
      </c>
      <c r="AL320" s="17">
        <f t="shared" si="33"/>
        <v>10</v>
      </c>
      <c r="AM320" s="17">
        <f t="shared" si="34"/>
        <v>120</v>
      </c>
    </row>
    <row r="321" spans="1:39" s="3" customFormat="1" x14ac:dyDescent="0.25">
      <c r="A321" s="2" t="s">
        <v>16</v>
      </c>
      <c r="B321" s="29" t="s">
        <v>740</v>
      </c>
      <c r="C321" s="2" t="s">
        <v>33</v>
      </c>
      <c r="D321" s="2" t="s">
        <v>351</v>
      </c>
      <c r="E321" s="14">
        <v>5092</v>
      </c>
      <c r="F321" s="15">
        <f t="shared" si="28"/>
        <v>177.71080000000001</v>
      </c>
      <c r="G321" s="15">
        <f t="shared" si="29"/>
        <v>203.68</v>
      </c>
      <c r="H321" s="15">
        <f t="shared" si="30"/>
        <v>148.09233333333333</v>
      </c>
      <c r="I321" s="15">
        <f t="shared" si="31"/>
        <v>169.73333333333332</v>
      </c>
      <c r="J321" s="10">
        <v>134</v>
      </c>
      <c r="K321" s="10">
        <v>44</v>
      </c>
      <c r="L321" s="10">
        <v>92</v>
      </c>
      <c r="M321" s="10">
        <v>85</v>
      </c>
      <c r="N321" s="10">
        <v>88</v>
      </c>
      <c r="O321" s="10">
        <v>137</v>
      </c>
      <c r="P321" s="10">
        <v>135</v>
      </c>
      <c r="Q321" s="10">
        <v>135</v>
      </c>
      <c r="R321" s="10">
        <v>137</v>
      </c>
      <c r="S321" s="10">
        <v>135</v>
      </c>
      <c r="T321" s="10">
        <v>135</v>
      </c>
      <c r="U321" s="10">
        <v>137</v>
      </c>
      <c r="V321" s="10">
        <v>135</v>
      </c>
      <c r="W321" s="10">
        <v>136</v>
      </c>
      <c r="X321" s="10">
        <v>128</v>
      </c>
      <c r="Y321" s="10">
        <v>116</v>
      </c>
      <c r="Z321" s="10">
        <v>158</v>
      </c>
      <c r="AA321" s="10">
        <v>135</v>
      </c>
      <c r="AB321" s="10">
        <v>76</v>
      </c>
      <c r="AC321" s="10">
        <v>24</v>
      </c>
      <c r="AD321" s="10">
        <v>43</v>
      </c>
      <c r="AE321" s="10">
        <v>39</v>
      </c>
      <c r="AF321" s="10">
        <v>37</v>
      </c>
      <c r="AG321" s="10">
        <v>36</v>
      </c>
      <c r="AH321" s="102">
        <f>SUM(Tableau2[[#This Row],[Td 2]:[Td 5]])</f>
        <v>155</v>
      </c>
      <c r="AI321" s="10">
        <v>41.7</v>
      </c>
      <c r="AJ321" s="10">
        <v>100</v>
      </c>
      <c r="AK321" s="17">
        <f t="shared" si="32"/>
        <v>11.092333333333329</v>
      </c>
      <c r="AL321" s="17">
        <f t="shared" si="33"/>
        <v>9</v>
      </c>
      <c r="AM321" s="17">
        <f t="shared" si="34"/>
        <v>128</v>
      </c>
    </row>
    <row r="322" spans="1:39" s="3" customFormat="1" x14ac:dyDescent="0.25">
      <c r="A322" s="2" t="s">
        <v>16</v>
      </c>
      <c r="B322" s="29" t="s">
        <v>740</v>
      </c>
      <c r="C322" s="2" t="s">
        <v>33</v>
      </c>
      <c r="D322" s="2" t="s">
        <v>352</v>
      </c>
      <c r="E322" s="14">
        <v>5100</v>
      </c>
      <c r="F322" s="15">
        <f t="shared" si="28"/>
        <v>177.99</v>
      </c>
      <c r="G322" s="15">
        <f t="shared" si="29"/>
        <v>204</v>
      </c>
      <c r="H322" s="15">
        <f t="shared" si="30"/>
        <v>148.32500000000002</v>
      </c>
      <c r="I322" s="15">
        <f t="shared" si="31"/>
        <v>170</v>
      </c>
      <c r="J322" s="10">
        <v>172</v>
      </c>
      <c r="K322" s="10">
        <v>74</v>
      </c>
      <c r="L322" s="10">
        <v>164</v>
      </c>
      <c r="M322" s="10">
        <v>164</v>
      </c>
      <c r="N322" s="10">
        <v>157</v>
      </c>
      <c r="O322" s="10">
        <v>162</v>
      </c>
      <c r="P322" s="10">
        <v>164</v>
      </c>
      <c r="Q322" s="10">
        <v>157</v>
      </c>
      <c r="R322" s="10">
        <v>164</v>
      </c>
      <c r="S322" s="10">
        <v>164</v>
      </c>
      <c r="T322" s="10">
        <v>157</v>
      </c>
      <c r="U322" s="10">
        <v>164</v>
      </c>
      <c r="V322" s="10">
        <v>164</v>
      </c>
      <c r="W322" s="10">
        <v>157</v>
      </c>
      <c r="X322" s="10">
        <v>159</v>
      </c>
      <c r="Y322" s="10">
        <v>132</v>
      </c>
      <c r="Z322" s="10">
        <v>159</v>
      </c>
      <c r="AA322" s="10">
        <v>157</v>
      </c>
      <c r="AB322" s="10">
        <v>156</v>
      </c>
      <c r="AC322" s="10">
        <v>84</v>
      </c>
      <c r="AD322" s="10">
        <v>53</v>
      </c>
      <c r="AE322" s="10">
        <v>45</v>
      </c>
      <c r="AF322" s="10">
        <v>23</v>
      </c>
      <c r="AG322" s="10">
        <v>30</v>
      </c>
      <c r="AH322" s="102">
        <f>SUM(Tableau2[[#This Row],[Td 2]:[Td 5]])</f>
        <v>151</v>
      </c>
      <c r="AI322" s="10">
        <v>37.5</v>
      </c>
      <c r="AJ322" s="10">
        <v>100</v>
      </c>
      <c r="AK322" s="17">
        <f t="shared" si="32"/>
        <v>0</v>
      </c>
      <c r="AL322" s="17">
        <f t="shared" si="33"/>
        <v>3</v>
      </c>
      <c r="AM322" s="17">
        <f t="shared" si="34"/>
        <v>159</v>
      </c>
    </row>
    <row r="323" spans="1:39" s="3" customFormat="1" x14ac:dyDescent="0.25">
      <c r="A323" s="2" t="s">
        <v>16</v>
      </c>
      <c r="B323" s="29" t="s">
        <v>740</v>
      </c>
      <c r="C323" s="2" t="s">
        <v>33</v>
      </c>
      <c r="D323" s="2" t="s">
        <v>353</v>
      </c>
      <c r="E323" s="14">
        <v>6257</v>
      </c>
      <c r="F323" s="15">
        <f t="shared" si="28"/>
        <v>218.36930000000001</v>
      </c>
      <c r="G323" s="15">
        <f t="shared" si="29"/>
        <v>250.28</v>
      </c>
      <c r="H323" s="15">
        <f t="shared" si="30"/>
        <v>181.97441666666666</v>
      </c>
      <c r="I323" s="15">
        <f t="shared" si="31"/>
        <v>208.56666666666666</v>
      </c>
      <c r="J323" s="10">
        <v>195</v>
      </c>
      <c r="K323" s="10">
        <v>53</v>
      </c>
      <c r="L323" s="10">
        <v>119</v>
      </c>
      <c r="M323" s="10">
        <v>102</v>
      </c>
      <c r="N323" s="10">
        <v>113</v>
      </c>
      <c r="O323" s="10">
        <v>179</v>
      </c>
      <c r="P323" s="10">
        <v>146</v>
      </c>
      <c r="Q323" s="10">
        <v>169</v>
      </c>
      <c r="R323" s="10">
        <v>173</v>
      </c>
      <c r="S323" s="10">
        <v>147</v>
      </c>
      <c r="T323" s="10">
        <v>169</v>
      </c>
      <c r="U323" s="10">
        <v>179</v>
      </c>
      <c r="V323" s="10">
        <v>147</v>
      </c>
      <c r="W323" s="10">
        <v>169</v>
      </c>
      <c r="X323" s="10">
        <v>153</v>
      </c>
      <c r="Y323" s="10">
        <v>83</v>
      </c>
      <c r="Z323" s="10">
        <v>187</v>
      </c>
      <c r="AA323" s="10">
        <v>153</v>
      </c>
      <c r="AB323" s="10">
        <v>155</v>
      </c>
      <c r="AC323" s="10">
        <v>58</v>
      </c>
      <c r="AD323" s="10">
        <v>39</v>
      </c>
      <c r="AE323" s="10">
        <v>37</v>
      </c>
      <c r="AF323" s="10">
        <v>30</v>
      </c>
      <c r="AG323" s="10">
        <v>32</v>
      </c>
      <c r="AH323" s="102">
        <f>SUM(Tableau2[[#This Row],[Td 2]:[Td 5]])</f>
        <v>138</v>
      </c>
      <c r="AI323" s="10">
        <v>33.299999999999997</v>
      </c>
      <c r="AJ323" s="10">
        <v>100</v>
      </c>
      <c r="AK323" s="17">
        <f t="shared" si="32"/>
        <v>2.9744166666666558</v>
      </c>
      <c r="AL323" s="17">
        <f t="shared" si="33"/>
        <v>26</v>
      </c>
      <c r="AM323" s="17">
        <f t="shared" si="34"/>
        <v>153</v>
      </c>
    </row>
    <row r="324" spans="1:39" s="3" customFormat="1" x14ac:dyDescent="0.25">
      <c r="A324" s="2" t="s">
        <v>16</v>
      </c>
      <c r="B324" s="29" t="s">
        <v>740</v>
      </c>
      <c r="C324" s="2" t="s">
        <v>33</v>
      </c>
      <c r="D324" s="2" t="s">
        <v>354</v>
      </c>
      <c r="E324" s="14">
        <v>8574</v>
      </c>
      <c r="F324" s="15">
        <f t="shared" si="28"/>
        <v>299.23259999999999</v>
      </c>
      <c r="G324" s="15">
        <f t="shared" si="29"/>
        <v>342.96</v>
      </c>
      <c r="H324" s="15">
        <f t="shared" si="30"/>
        <v>249.36049999999997</v>
      </c>
      <c r="I324" s="15">
        <f t="shared" si="31"/>
        <v>285.79999999999995</v>
      </c>
      <c r="J324" s="10">
        <v>176</v>
      </c>
      <c r="K324" s="10">
        <v>18</v>
      </c>
      <c r="L324" s="10">
        <v>209</v>
      </c>
      <c r="M324" s="10">
        <v>201</v>
      </c>
      <c r="N324" s="10">
        <v>201</v>
      </c>
      <c r="O324" s="10">
        <v>225</v>
      </c>
      <c r="P324" s="10">
        <v>203</v>
      </c>
      <c r="Q324" s="10">
        <v>219</v>
      </c>
      <c r="R324" s="10">
        <v>225</v>
      </c>
      <c r="S324" s="10">
        <v>239</v>
      </c>
      <c r="T324" s="10">
        <v>241</v>
      </c>
      <c r="U324" s="10">
        <v>249</v>
      </c>
      <c r="V324" s="10">
        <v>239</v>
      </c>
      <c r="W324" s="10">
        <v>243</v>
      </c>
      <c r="X324" s="10">
        <v>240</v>
      </c>
      <c r="Y324" s="10">
        <v>64</v>
      </c>
      <c r="Z324" s="10">
        <v>247</v>
      </c>
      <c r="AA324" s="10">
        <v>196</v>
      </c>
      <c r="AB324" s="10">
        <v>192</v>
      </c>
      <c r="AC324" s="10">
        <v>61</v>
      </c>
      <c r="AD324" s="10">
        <v>48</v>
      </c>
      <c r="AE324" s="10">
        <v>40</v>
      </c>
      <c r="AF324" s="10">
        <v>38</v>
      </c>
      <c r="AG324" s="10">
        <v>35</v>
      </c>
      <c r="AH324" s="102">
        <f>SUM(Tableau2[[#This Row],[Td 2]:[Td 5]])</f>
        <v>161</v>
      </c>
      <c r="AI324" s="10">
        <v>50</v>
      </c>
      <c r="AJ324" s="10">
        <v>100</v>
      </c>
      <c r="AK324" s="17">
        <f t="shared" si="32"/>
        <v>24.360499999999973</v>
      </c>
      <c r="AL324" s="17">
        <f t="shared" si="33"/>
        <v>0</v>
      </c>
      <c r="AM324" s="17">
        <f t="shared" si="34"/>
        <v>240</v>
      </c>
    </row>
    <row r="325" spans="1:39" s="3" customFormat="1" x14ac:dyDescent="0.25">
      <c r="A325" s="2" t="s">
        <v>16</v>
      </c>
      <c r="B325" s="29" t="s">
        <v>740</v>
      </c>
      <c r="C325" s="2" t="s">
        <v>33</v>
      </c>
      <c r="D325" s="2" t="s">
        <v>355</v>
      </c>
      <c r="E325" s="14">
        <v>9257</v>
      </c>
      <c r="F325" s="15">
        <f t="shared" si="28"/>
        <v>323.0693</v>
      </c>
      <c r="G325" s="15">
        <f t="shared" si="29"/>
        <v>370.28000000000003</v>
      </c>
      <c r="H325" s="15">
        <f t="shared" si="30"/>
        <v>269.22441666666668</v>
      </c>
      <c r="I325" s="15">
        <f t="shared" si="31"/>
        <v>308.56666666666672</v>
      </c>
      <c r="J325" s="10">
        <v>248</v>
      </c>
      <c r="K325" s="10">
        <v>158</v>
      </c>
      <c r="L325" s="10">
        <v>195</v>
      </c>
      <c r="M325" s="10">
        <v>191</v>
      </c>
      <c r="N325" s="10">
        <v>199</v>
      </c>
      <c r="O325" s="10">
        <v>248</v>
      </c>
      <c r="P325" s="10">
        <v>247</v>
      </c>
      <c r="Q325" s="10">
        <v>255</v>
      </c>
      <c r="R325" s="10">
        <v>248</v>
      </c>
      <c r="S325" s="10">
        <v>247</v>
      </c>
      <c r="T325" s="10">
        <v>255</v>
      </c>
      <c r="U325" s="10">
        <v>252</v>
      </c>
      <c r="V325" s="10">
        <v>247</v>
      </c>
      <c r="W325" s="10">
        <v>252</v>
      </c>
      <c r="X325" s="10">
        <v>243</v>
      </c>
      <c r="Y325" s="10">
        <v>227</v>
      </c>
      <c r="Z325" s="10">
        <v>240</v>
      </c>
      <c r="AA325" s="10">
        <v>255</v>
      </c>
      <c r="AB325" s="10">
        <v>148</v>
      </c>
      <c r="AC325" s="10">
        <v>105</v>
      </c>
      <c r="AD325" s="10">
        <v>97</v>
      </c>
      <c r="AE325" s="10">
        <v>41</v>
      </c>
      <c r="AF325" s="10">
        <v>38</v>
      </c>
      <c r="AG325" s="10">
        <v>68</v>
      </c>
      <c r="AH325" s="102">
        <f>SUM(Tableau2[[#This Row],[Td 2]:[Td 5]])</f>
        <v>244</v>
      </c>
      <c r="AI325" s="10">
        <v>33.299999999999997</v>
      </c>
      <c r="AJ325" s="10">
        <v>100</v>
      </c>
      <c r="AK325" s="17">
        <f t="shared" si="32"/>
        <v>21.224416666666684</v>
      </c>
      <c r="AL325" s="17">
        <f t="shared" si="33"/>
        <v>5</v>
      </c>
      <c r="AM325" s="17">
        <f t="shared" si="34"/>
        <v>240</v>
      </c>
    </row>
    <row r="326" spans="1:39" s="3" customFormat="1" x14ac:dyDescent="0.25">
      <c r="A326" s="2" t="s">
        <v>16</v>
      </c>
      <c r="B326" s="29" t="s">
        <v>740</v>
      </c>
      <c r="C326" s="2" t="s">
        <v>33</v>
      </c>
      <c r="D326" s="2" t="s">
        <v>356</v>
      </c>
      <c r="E326" s="14">
        <v>4532</v>
      </c>
      <c r="F326" s="15">
        <f t="shared" ref="F326:F389" si="35">IFERROR(E326*3.49%,"")</f>
        <v>158.16679999999999</v>
      </c>
      <c r="G326" s="15">
        <f t="shared" ref="G326:G389" si="36">IFERROR(E326*4%,"")</f>
        <v>181.28</v>
      </c>
      <c r="H326" s="15">
        <f t="shared" ref="H326:H389" si="37">IFERROR((F326/12)*$C$1,"")</f>
        <v>131.80566666666667</v>
      </c>
      <c r="I326" s="15">
        <f t="shared" ref="I326:I389" si="38">IFERROR((G326/12)*$C$1,"")</f>
        <v>151.06666666666666</v>
      </c>
      <c r="J326" s="10">
        <v>114</v>
      </c>
      <c r="K326" s="10">
        <v>40</v>
      </c>
      <c r="L326" s="10">
        <v>68</v>
      </c>
      <c r="M326" s="10">
        <v>63</v>
      </c>
      <c r="N326" s="10">
        <v>66</v>
      </c>
      <c r="O326" s="10">
        <v>109</v>
      </c>
      <c r="P326" s="10">
        <v>99</v>
      </c>
      <c r="Q326" s="10">
        <v>108</v>
      </c>
      <c r="R326" s="10">
        <v>109</v>
      </c>
      <c r="S326" s="10">
        <v>99</v>
      </c>
      <c r="T326" s="10">
        <v>108</v>
      </c>
      <c r="U326" s="10">
        <v>109</v>
      </c>
      <c r="V326" s="10">
        <v>99</v>
      </c>
      <c r="W326" s="10">
        <v>108</v>
      </c>
      <c r="X326" s="10">
        <v>101</v>
      </c>
      <c r="Y326" s="10">
        <v>60</v>
      </c>
      <c r="Z326" s="10">
        <v>134</v>
      </c>
      <c r="AA326" s="10">
        <v>92</v>
      </c>
      <c r="AB326" s="10">
        <v>67</v>
      </c>
      <c r="AC326" s="10">
        <v>25</v>
      </c>
      <c r="AD326" s="10">
        <v>20</v>
      </c>
      <c r="AE326" s="10">
        <v>18</v>
      </c>
      <c r="AF326" s="10">
        <v>21</v>
      </c>
      <c r="AG326" s="10">
        <v>17</v>
      </c>
      <c r="AH326" s="102">
        <f>SUM(Tableau2[[#This Row],[Td 2]:[Td 5]])</f>
        <v>76</v>
      </c>
      <c r="AI326" s="10">
        <v>41.7</v>
      </c>
      <c r="AJ326" s="10">
        <v>100</v>
      </c>
      <c r="AK326" s="17">
        <f t="shared" ref="AK326:AK389" si="39">IFERROR(IF(H326-O326&lt;0,0,H326-O326),0)</f>
        <v>22.805666666666667</v>
      </c>
      <c r="AL326" s="17">
        <f t="shared" ref="AL326:AL389" si="40">IFERROR(IF(O326-X326&lt;0,0,O326-X326),0)</f>
        <v>8</v>
      </c>
      <c r="AM326" s="17">
        <f t="shared" ref="AM326:AM389" si="41">MIN(X326,Z326)</f>
        <v>101</v>
      </c>
    </row>
    <row r="327" spans="1:39" s="3" customFormat="1" x14ac:dyDescent="0.25">
      <c r="A327" s="2" t="s">
        <v>16</v>
      </c>
      <c r="B327" s="29" t="s">
        <v>740</v>
      </c>
      <c r="C327" s="2" t="s">
        <v>33</v>
      </c>
      <c r="D327" s="2" t="s">
        <v>357</v>
      </c>
      <c r="E327" s="14">
        <v>10777</v>
      </c>
      <c r="F327" s="15">
        <f t="shared" si="35"/>
        <v>376.1173</v>
      </c>
      <c r="G327" s="15">
        <f t="shared" si="36"/>
        <v>431.08</v>
      </c>
      <c r="H327" s="15">
        <f t="shared" si="37"/>
        <v>313.43108333333333</v>
      </c>
      <c r="I327" s="15">
        <f t="shared" si="38"/>
        <v>359.23333333333335</v>
      </c>
      <c r="J327" s="10">
        <v>324</v>
      </c>
      <c r="K327" s="10">
        <v>153</v>
      </c>
      <c r="L327" s="10">
        <v>267</v>
      </c>
      <c r="M327" s="10">
        <v>243</v>
      </c>
      <c r="N327" s="10">
        <v>250</v>
      </c>
      <c r="O327" s="10">
        <v>287</v>
      </c>
      <c r="P327" s="10">
        <v>271</v>
      </c>
      <c r="Q327" s="10">
        <v>281</v>
      </c>
      <c r="R327" s="10">
        <v>286</v>
      </c>
      <c r="S327" s="10">
        <v>271</v>
      </c>
      <c r="T327" s="10">
        <v>281</v>
      </c>
      <c r="U327" s="10">
        <v>287</v>
      </c>
      <c r="V327" s="10">
        <v>271</v>
      </c>
      <c r="W327" s="10">
        <v>280</v>
      </c>
      <c r="X327" s="10">
        <v>293</v>
      </c>
      <c r="Y327" s="10">
        <v>113</v>
      </c>
      <c r="Z327" s="10">
        <v>331</v>
      </c>
      <c r="AA327" s="10">
        <v>274</v>
      </c>
      <c r="AB327" s="10">
        <v>277</v>
      </c>
      <c r="AC327" s="10">
        <v>144</v>
      </c>
      <c r="AD327" s="10">
        <v>122</v>
      </c>
      <c r="AE327" s="10">
        <v>105</v>
      </c>
      <c r="AF327" s="10">
        <v>92</v>
      </c>
      <c r="AG327" s="10">
        <v>79</v>
      </c>
      <c r="AH327" s="102">
        <f>SUM(Tableau2[[#This Row],[Td 2]:[Td 5]])</f>
        <v>398</v>
      </c>
      <c r="AI327" s="10">
        <v>41.7</v>
      </c>
      <c r="AJ327" s="10">
        <v>100</v>
      </c>
      <c r="AK327" s="17">
        <f t="shared" si="39"/>
        <v>26.431083333333333</v>
      </c>
      <c r="AL327" s="17">
        <f t="shared" si="40"/>
        <v>0</v>
      </c>
      <c r="AM327" s="17">
        <f t="shared" si="41"/>
        <v>293</v>
      </c>
    </row>
    <row r="328" spans="1:39" s="3" customFormat="1" x14ac:dyDescent="0.25">
      <c r="A328" s="2" t="s">
        <v>16</v>
      </c>
      <c r="B328" s="29" t="s">
        <v>740</v>
      </c>
      <c r="C328" s="2" t="s">
        <v>33</v>
      </c>
      <c r="D328" s="2" t="s">
        <v>358</v>
      </c>
      <c r="E328" s="14">
        <v>7448</v>
      </c>
      <c r="F328" s="15">
        <f t="shared" si="35"/>
        <v>259.93520000000001</v>
      </c>
      <c r="G328" s="15">
        <f t="shared" si="36"/>
        <v>297.92</v>
      </c>
      <c r="H328" s="15">
        <f t="shared" si="37"/>
        <v>216.61266666666666</v>
      </c>
      <c r="I328" s="15">
        <f t="shared" si="38"/>
        <v>248.26666666666668</v>
      </c>
      <c r="J328" s="10">
        <v>172</v>
      </c>
      <c r="K328" s="10">
        <v>76</v>
      </c>
      <c r="L328" s="10">
        <v>173</v>
      </c>
      <c r="M328" s="10">
        <v>166</v>
      </c>
      <c r="N328" s="10">
        <v>170</v>
      </c>
      <c r="O328" s="10">
        <v>181</v>
      </c>
      <c r="P328" s="10">
        <v>185</v>
      </c>
      <c r="Q328" s="10">
        <v>179</v>
      </c>
      <c r="R328" s="10">
        <v>181</v>
      </c>
      <c r="S328" s="10">
        <v>185</v>
      </c>
      <c r="T328" s="10">
        <v>179</v>
      </c>
      <c r="U328" s="10">
        <v>180</v>
      </c>
      <c r="V328" s="10">
        <v>185</v>
      </c>
      <c r="W328" s="10">
        <v>180</v>
      </c>
      <c r="X328" s="10">
        <v>180</v>
      </c>
      <c r="Y328" s="10">
        <v>130</v>
      </c>
      <c r="Z328" s="10">
        <v>162</v>
      </c>
      <c r="AA328" s="10">
        <v>179</v>
      </c>
      <c r="AB328" s="10">
        <v>130</v>
      </c>
      <c r="AC328" s="10">
        <v>68</v>
      </c>
      <c r="AD328" s="10">
        <v>44</v>
      </c>
      <c r="AE328" s="10">
        <v>59</v>
      </c>
      <c r="AF328" s="10">
        <v>32</v>
      </c>
      <c r="AG328" s="10">
        <v>26</v>
      </c>
      <c r="AH328" s="102">
        <f>SUM(Tableau2[[#This Row],[Td 2]:[Td 5]])</f>
        <v>161</v>
      </c>
      <c r="AI328" s="10">
        <v>45.8</v>
      </c>
      <c r="AJ328" s="10">
        <v>100</v>
      </c>
      <c r="AK328" s="17">
        <f t="shared" si="39"/>
        <v>35.612666666666655</v>
      </c>
      <c r="AL328" s="17">
        <f t="shared" si="40"/>
        <v>1</v>
      </c>
      <c r="AM328" s="17">
        <f t="shared" si="41"/>
        <v>162</v>
      </c>
    </row>
    <row r="329" spans="1:39" s="3" customFormat="1" x14ac:dyDescent="0.25">
      <c r="A329" s="2" t="s">
        <v>16</v>
      </c>
      <c r="B329" s="29" t="s">
        <v>740</v>
      </c>
      <c r="C329" s="2" t="s">
        <v>33</v>
      </c>
      <c r="D329" s="2" t="s">
        <v>359</v>
      </c>
      <c r="E329" s="14">
        <v>3870</v>
      </c>
      <c r="F329" s="15">
        <f t="shared" si="35"/>
        <v>135.06299999999999</v>
      </c>
      <c r="G329" s="15">
        <f t="shared" si="36"/>
        <v>154.80000000000001</v>
      </c>
      <c r="H329" s="15">
        <f t="shared" si="37"/>
        <v>112.55249999999998</v>
      </c>
      <c r="I329" s="15">
        <f t="shared" si="38"/>
        <v>129</v>
      </c>
      <c r="J329" s="10">
        <v>95</v>
      </c>
      <c r="K329" s="10">
        <v>84</v>
      </c>
      <c r="L329" s="10">
        <v>85</v>
      </c>
      <c r="M329" s="10">
        <v>82</v>
      </c>
      <c r="N329" s="10">
        <v>85</v>
      </c>
      <c r="O329" s="10">
        <v>95</v>
      </c>
      <c r="P329" s="10">
        <v>90</v>
      </c>
      <c r="Q329" s="10">
        <v>96</v>
      </c>
      <c r="R329" s="10">
        <v>95</v>
      </c>
      <c r="S329" s="10">
        <v>90</v>
      </c>
      <c r="T329" s="10">
        <v>96</v>
      </c>
      <c r="U329" s="10">
        <v>95</v>
      </c>
      <c r="V329" s="10">
        <v>90</v>
      </c>
      <c r="W329" s="10">
        <v>96</v>
      </c>
      <c r="X329" s="10">
        <v>96</v>
      </c>
      <c r="Y329" s="10">
        <v>59</v>
      </c>
      <c r="Z329" s="10">
        <v>179</v>
      </c>
      <c r="AA329" s="10">
        <v>96</v>
      </c>
      <c r="AB329" s="10">
        <v>56</v>
      </c>
      <c r="AC329" s="10">
        <v>26</v>
      </c>
      <c r="AD329" s="10">
        <v>29</v>
      </c>
      <c r="AE329" s="10">
        <v>16</v>
      </c>
      <c r="AF329" s="10">
        <v>17</v>
      </c>
      <c r="AG329" s="10">
        <v>11</v>
      </c>
      <c r="AH329" s="102">
        <f>SUM(Tableau2[[#This Row],[Td 2]:[Td 5]])</f>
        <v>73</v>
      </c>
      <c r="AI329" s="10">
        <v>41.7</v>
      </c>
      <c r="AJ329" s="10">
        <v>100</v>
      </c>
      <c r="AK329" s="17">
        <f t="shared" si="39"/>
        <v>17.552499999999981</v>
      </c>
      <c r="AL329" s="17">
        <f t="shared" si="40"/>
        <v>0</v>
      </c>
      <c r="AM329" s="17">
        <f t="shared" si="41"/>
        <v>96</v>
      </c>
    </row>
    <row r="330" spans="1:39" s="3" customFormat="1" x14ac:dyDescent="0.25">
      <c r="A330" s="2" t="s">
        <v>16</v>
      </c>
      <c r="B330" s="29" t="s">
        <v>740</v>
      </c>
      <c r="C330" s="2" t="s">
        <v>34</v>
      </c>
      <c r="D330" s="2" t="s">
        <v>360</v>
      </c>
      <c r="E330" s="14">
        <v>7141</v>
      </c>
      <c r="F330" s="15">
        <f t="shared" si="35"/>
        <v>249.2209</v>
      </c>
      <c r="G330" s="15">
        <f t="shared" si="36"/>
        <v>285.64</v>
      </c>
      <c r="H330" s="15">
        <f t="shared" si="37"/>
        <v>207.68408333333332</v>
      </c>
      <c r="I330" s="15">
        <f t="shared" si="38"/>
        <v>238.0333333333333</v>
      </c>
      <c r="J330" s="10">
        <v>346</v>
      </c>
      <c r="K330" s="10">
        <v>240</v>
      </c>
      <c r="L330" s="10">
        <v>244</v>
      </c>
      <c r="M330" s="10">
        <v>222</v>
      </c>
      <c r="N330" s="10">
        <v>242</v>
      </c>
      <c r="O330" s="10">
        <v>248</v>
      </c>
      <c r="P330" s="10">
        <v>222</v>
      </c>
      <c r="Q330" s="10">
        <v>242</v>
      </c>
      <c r="R330" s="10">
        <v>248</v>
      </c>
      <c r="S330" s="10">
        <v>221</v>
      </c>
      <c r="T330" s="10">
        <v>245</v>
      </c>
      <c r="U330" s="10">
        <v>248</v>
      </c>
      <c r="V330" s="10">
        <v>221</v>
      </c>
      <c r="W330" s="10">
        <v>245</v>
      </c>
      <c r="X330" s="10">
        <v>229</v>
      </c>
      <c r="Y330" s="10">
        <v>135</v>
      </c>
      <c r="Z330" s="10">
        <v>229</v>
      </c>
      <c r="AA330" s="10">
        <v>245</v>
      </c>
      <c r="AB330" s="10">
        <v>214</v>
      </c>
      <c r="AC330" s="10">
        <v>60</v>
      </c>
      <c r="AD330" s="10">
        <v>26</v>
      </c>
      <c r="AE330" s="10">
        <v>35</v>
      </c>
      <c r="AF330" s="10">
        <v>35</v>
      </c>
      <c r="AG330" s="10">
        <v>28</v>
      </c>
      <c r="AH330" s="102">
        <f>SUM(Tableau2[[#This Row],[Td 2]:[Td 5]])</f>
        <v>124</v>
      </c>
      <c r="AI330" s="10">
        <v>58.3</v>
      </c>
      <c r="AJ330" s="10">
        <v>100</v>
      </c>
      <c r="AK330" s="17">
        <f t="shared" si="39"/>
        <v>0</v>
      </c>
      <c r="AL330" s="17">
        <f t="shared" si="40"/>
        <v>19</v>
      </c>
      <c r="AM330" s="17">
        <f t="shared" si="41"/>
        <v>229</v>
      </c>
    </row>
    <row r="331" spans="1:39" s="3" customFormat="1" x14ac:dyDescent="0.25">
      <c r="A331" s="2" t="s">
        <v>16</v>
      </c>
      <c r="B331" s="29" t="s">
        <v>740</v>
      </c>
      <c r="C331" s="2" t="s">
        <v>34</v>
      </c>
      <c r="D331" s="2" t="s">
        <v>361</v>
      </c>
      <c r="E331" s="14">
        <v>18647</v>
      </c>
      <c r="F331" s="15">
        <f t="shared" si="35"/>
        <v>650.78030000000001</v>
      </c>
      <c r="G331" s="15">
        <f t="shared" si="36"/>
        <v>745.88</v>
      </c>
      <c r="H331" s="15">
        <f t="shared" si="37"/>
        <v>542.31691666666666</v>
      </c>
      <c r="I331" s="15">
        <f t="shared" si="38"/>
        <v>621.56666666666661</v>
      </c>
      <c r="J331" s="10">
        <v>490</v>
      </c>
      <c r="K331" s="10">
        <v>16</v>
      </c>
      <c r="L331" s="10">
        <v>145</v>
      </c>
      <c r="M331" s="10">
        <v>123</v>
      </c>
      <c r="N331" s="10">
        <v>131</v>
      </c>
      <c r="O331" s="10">
        <v>127</v>
      </c>
      <c r="P331" s="10">
        <v>117</v>
      </c>
      <c r="Q331" s="10">
        <v>124</v>
      </c>
      <c r="R331" s="10">
        <v>145</v>
      </c>
      <c r="S331" s="10">
        <v>123</v>
      </c>
      <c r="T331" s="10">
        <v>131</v>
      </c>
      <c r="U331" s="10">
        <v>145</v>
      </c>
      <c r="V331" s="10">
        <v>123</v>
      </c>
      <c r="W331" s="10">
        <v>131</v>
      </c>
      <c r="X331" s="10">
        <v>136</v>
      </c>
      <c r="Y331" s="10">
        <v>49</v>
      </c>
      <c r="Z331" s="10">
        <v>135</v>
      </c>
      <c r="AA331" s="10">
        <v>131</v>
      </c>
      <c r="AB331" s="10">
        <v>136</v>
      </c>
      <c r="AC331" s="10">
        <v>65</v>
      </c>
      <c r="AD331" s="10">
        <v>19</v>
      </c>
      <c r="AE331" s="10">
        <v>7</v>
      </c>
      <c r="AF331" s="10">
        <v>3</v>
      </c>
      <c r="AG331" s="10">
        <v>13</v>
      </c>
      <c r="AH331" s="102">
        <f>SUM(Tableau2[[#This Row],[Td 2]:[Td 5]])</f>
        <v>42</v>
      </c>
      <c r="AI331" s="10">
        <v>50</v>
      </c>
      <c r="AJ331" s="10">
        <v>100</v>
      </c>
      <c r="AK331" s="17">
        <f t="shared" si="39"/>
        <v>415.31691666666666</v>
      </c>
      <c r="AL331" s="17">
        <f t="shared" si="40"/>
        <v>0</v>
      </c>
      <c r="AM331" s="17">
        <f t="shared" si="41"/>
        <v>135</v>
      </c>
    </row>
    <row r="332" spans="1:39" s="3" customFormat="1" x14ac:dyDescent="0.25">
      <c r="A332" s="2" t="s">
        <v>16</v>
      </c>
      <c r="B332" s="29" t="s">
        <v>740</v>
      </c>
      <c r="C332" s="2" t="s">
        <v>34</v>
      </c>
      <c r="D332" s="2" t="s">
        <v>362</v>
      </c>
      <c r="E332" s="14">
        <v>14055</v>
      </c>
      <c r="F332" s="15">
        <f t="shared" si="35"/>
        <v>490.51949999999999</v>
      </c>
      <c r="G332" s="15">
        <f t="shared" si="36"/>
        <v>562.20000000000005</v>
      </c>
      <c r="H332" s="15">
        <f t="shared" si="37"/>
        <v>408.76624999999996</v>
      </c>
      <c r="I332" s="15">
        <f t="shared" si="38"/>
        <v>468.5</v>
      </c>
      <c r="J332" s="10">
        <v>488</v>
      </c>
      <c r="K332" s="10">
        <v>277</v>
      </c>
      <c r="L332" s="10">
        <v>421</v>
      </c>
      <c r="M332" s="10">
        <v>406</v>
      </c>
      <c r="N332" s="10">
        <v>421</v>
      </c>
      <c r="O332" s="10">
        <v>421</v>
      </c>
      <c r="P332" s="10">
        <v>406</v>
      </c>
      <c r="Q332" s="10">
        <v>421</v>
      </c>
      <c r="R332" s="10">
        <v>420</v>
      </c>
      <c r="S332" s="10">
        <v>406</v>
      </c>
      <c r="T332" s="10">
        <v>421</v>
      </c>
      <c r="U332" s="10">
        <v>421</v>
      </c>
      <c r="V332" s="10">
        <v>406</v>
      </c>
      <c r="W332" s="10">
        <v>421</v>
      </c>
      <c r="X332" s="10">
        <v>421</v>
      </c>
      <c r="Y332" s="10">
        <v>52</v>
      </c>
      <c r="Z332" s="10">
        <v>421</v>
      </c>
      <c r="AA332" s="10">
        <v>421</v>
      </c>
      <c r="AB332" s="10">
        <v>280</v>
      </c>
      <c r="AC332" s="10">
        <v>405</v>
      </c>
      <c r="AD332" s="10">
        <v>280</v>
      </c>
      <c r="AE332" s="10">
        <v>208</v>
      </c>
      <c r="AF332" s="10">
        <v>14</v>
      </c>
      <c r="AG332" s="10">
        <v>14</v>
      </c>
      <c r="AH332" s="102">
        <f>SUM(Tableau2[[#This Row],[Td 2]:[Td 5]])</f>
        <v>516</v>
      </c>
      <c r="AI332" s="10">
        <v>58.3</v>
      </c>
      <c r="AJ332" s="10">
        <v>100</v>
      </c>
      <c r="AK332" s="17">
        <f t="shared" si="39"/>
        <v>0</v>
      </c>
      <c r="AL332" s="17">
        <f t="shared" si="40"/>
        <v>0</v>
      </c>
      <c r="AM332" s="17">
        <f t="shared" si="41"/>
        <v>421</v>
      </c>
    </row>
    <row r="333" spans="1:39" s="3" customFormat="1" x14ac:dyDescent="0.25">
      <c r="A333" s="2" t="s">
        <v>16</v>
      </c>
      <c r="B333" s="29" t="s">
        <v>740</v>
      </c>
      <c r="C333" s="2" t="s">
        <v>34</v>
      </c>
      <c r="D333" s="2" t="s">
        <v>363</v>
      </c>
      <c r="E333" s="14">
        <v>25217</v>
      </c>
      <c r="F333" s="15">
        <f t="shared" si="35"/>
        <v>880.07330000000002</v>
      </c>
      <c r="G333" s="15">
        <f t="shared" si="36"/>
        <v>1008.6800000000001</v>
      </c>
      <c r="H333" s="15">
        <f t="shared" si="37"/>
        <v>733.39441666666676</v>
      </c>
      <c r="I333" s="15">
        <f t="shared" si="38"/>
        <v>840.56666666666672</v>
      </c>
      <c r="J333" s="10" t="s">
        <v>2</v>
      </c>
      <c r="K333" s="10" t="s">
        <v>2</v>
      </c>
      <c r="L333" s="10">
        <v>8</v>
      </c>
      <c r="M333" s="10">
        <v>7</v>
      </c>
      <c r="N333" s="10">
        <v>6</v>
      </c>
      <c r="O333" s="10">
        <v>8</v>
      </c>
      <c r="P333" s="10">
        <v>7</v>
      </c>
      <c r="Q333" s="10">
        <v>6</v>
      </c>
      <c r="R333" s="10">
        <v>8</v>
      </c>
      <c r="S333" s="10">
        <v>7</v>
      </c>
      <c r="T333" s="10">
        <v>6</v>
      </c>
      <c r="U333" s="10">
        <v>8</v>
      </c>
      <c r="V333" s="10">
        <v>7</v>
      </c>
      <c r="W333" s="10">
        <v>6</v>
      </c>
      <c r="X333" s="10">
        <v>7</v>
      </c>
      <c r="Y333" s="10">
        <v>1</v>
      </c>
      <c r="Z333" s="10">
        <v>7</v>
      </c>
      <c r="AA333" s="10">
        <v>6</v>
      </c>
      <c r="AB333" s="10">
        <v>1</v>
      </c>
      <c r="AC333" s="10">
        <v>8</v>
      </c>
      <c r="AD333" s="10">
        <v>6</v>
      </c>
      <c r="AE333" s="10">
        <v>2</v>
      </c>
      <c r="AF333" s="10">
        <v>2</v>
      </c>
      <c r="AG333" s="10">
        <v>1</v>
      </c>
      <c r="AH333" s="102">
        <f>SUM(Tableau2[[#This Row],[Td 2]:[Td 5]])</f>
        <v>11</v>
      </c>
      <c r="AI333" s="10">
        <v>45.8</v>
      </c>
      <c r="AJ333" s="10">
        <v>100</v>
      </c>
      <c r="AK333" s="17">
        <f t="shared" si="39"/>
        <v>725.39441666666676</v>
      </c>
      <c r="AL333" s="17">
        <f t="shared" si="40"/>
        <v>1</v>
      </c>
      <c r="AM333" s="17">
        <f t="shared" si="41"/>
        <v>7</v>
      </c>
    </row>
    <row r="334" spans="1:39" s="3" customFormat="1" x14ac:dyDescent="0.25">
      <c r="A334" s="2" t="s">
        <v>16</v>
      </c>
      <c r="B334" s="29" t="s">
        <v>740</v>
      </c>
      <c r="C334" s="2" t="s">
        <v>34</v>
      </c>
      <c r="D334" s="2" t="s">
        <v>364</v>
      </c>
      <c r="E334" s="14">
        <v>19170</v>
      </c>
      <c r="F334" s="15">
        <f t="shared" si="35"/>
        <v>669.03300000000002</v>
      </c>
      <c r="G334" s="15">
        <f t="shared" si="36"/>
        <v>766.80000000000007</v>
      </c>
      <c r="H334" s="15">
        <f t="shared" si="37"/>
        <v>557.52750000000003</v>
      </c>
      <c r="I334" s="15">
        <f t="shared" si="38"/>
        <v>639</v>
      </c>
      <c r="J334" s="10" t="s">
        <v>2</v>
      </c>
      <c r="K334" s="10" t="s">
        <v>2</v>
      </c>
      <c r="L334" s="10" t="s">
        <v>2</v>
      </c>
      <c r="M334" s="10" t="s">
        <v>2</v>
      </c>
      <c r="N334" s="10" t="s">
        <v>2</v>
      </c>
      <c r="O334" s="10" t="s">
        <v>2</v>
      </c>
      <c r="P334" s="10">
        <v>32</v>
      </c>
      <c r="Q334" s="10">
        <v>30</v>
      </c>
      <c r="R334" s="10">
        <v>35</v>
      </c>
      <c r="S334" s="10">
        <v>32</v>
      </c>
      <c r="T334" s="10">
        <v>30</v>
      </c>
      <c r="U334" s="10">
        <v>35</v>
      </c>
      <c r="V334" s="10">
        <v>32</v>
      </c>
      <c r="W334" s="10">
        <v>30</v>
      </c>
      <c r="X334" s="10">
        <v>40</v>
      </c>
      <c r="Y334" s="10">
        <v>17</v>
      </c>
      <c r="Z334" s="10">
        <v>40</v>
      </c>
      <c r="AA334" s="10" t="s">
        <v>2</v>
      </c>
      <c r="AB334" s="10" t="s">
        <v>2</v>
      </c>
      <c r="AC334" s="10">
        <v>2</v>
      </c>
      <c r="AD334" s="10" t="s">
        <v>2</v>
      </c>
      <c r="AE334" s="10">
        <v>1</v>
      </c>
      <c r="AF334" s="10">
        <v>2</v>
      </c>
      <c r="AG334" s="10" t="s">
        <v>2</v>
      </c>
      <c r="AH334" s="102">
        <f>SUM(Tableau2[[#This Row],[Td 2]:[Td 5]])</f>
        <v>3</v>
      </c>
      <c r="AI334" s="10">
        <v>41.7</v>
      </c>
      <c r="AJ334" s="10">
        <v>100</v>
      </c>
      <c r="AK334" s="17">
        <f t="shared" si="39"/>
        <v>0</v>
      </c>
      <c r="AL334" s="17">
        <f t="shared" si="40"/>
        <v>0</v>
      </c>
      <c r="AM334" s="17">
        <f t="shared" si="41"/>
        <v>40</v>
      </c>
    </row>
    <row r="335" spans="1:39" s="3" customFormat="1" x14ac:dyDescent="0.25">
      <c r="A335" s="2" t="s">
        <v>16</v>
      </c>
      <c r="B335" s="29" t="s">
        <v>740</v>
      </c>
      <c r="C335" s="2" t="s">
        <v>34</v>
      </c>
      <c r="D335" s="2" t="s">
        <v>365</v>
      </c>
      <c r="E335" s="14">
        <v>16936</v>
      </c>
      <c r="F335" s="15">
        <f t="shared" si="35"/>
        <v>591.06640000000004</v>
      </c>
      <c r="G335" s="15">
        <f t="shared" si="36"/>
        <v>677.44</v>
      </c>
      <c r="H335" s="15">
        <f t="shared" si="37"/>
        <v>492.55533333333341</v>
      </c>
      <c r="I335" s="15">
        <f t="shared" si="38"/>
        <v>564.53333333333342</v>
      </c>
      <c r="J335" s="10">
        <v>649</v>
      </c>
      <c r="K335" s="10">
        <v>86</v>
      </c>
      <c r="L335" s="10">
        <v>580</v>
      </c>
      <c r="M335" s="10">
        <v>547</v>
      </c>
      <c r="N335" s="10">
        <v>469</v>
      </c>
      <c r="O335" s="10">
        <v>580</v>
      </c>
      <c r="P335" s="10">
        <v>547</v>
      </c>
      <c r="Q335" s="10">
        <v>469</v>
      </c>
      <c r="R335" s="10">
        <v>580</v>
      </c>
      <c r="S335" s="10">
        <v>492</v>
      </c>
      <c r="T335" s="10">
        <v>469</v>
      </c>
      <c r="U335" s="10">
        <v>580</v>
      </c>
      <c r="V335" s="10">
        <v>547</v>
      </c>
      <c r="W335" s="10">
        <v>469</v>
      </c>
      <c r="X335" s="10">
        <v>512</v>
      </c>
      <c r="Y335" s="10">
        <v>187</v>
      </c>
      <c r="Z335" s="10">
        <v>512</v>
      </c>
      <c r="AA335" s="10">
        <v>467</v>
      </c>
      <c r="AB335" s="10" t="s">
        <v>2</v>
      </c>
      <c r="AC335" s="10">
        <v>153</v>
      </c>
      <c r="AD335" s="10">
        <v>93</v>
      </c>
      <c r="AE335" s="10">
        <v>92</v>
      </c>
      <c r="AF335" s="10">
        <v>62</v>
      </c>
      <c r="AG335" s="10">
        <v>75</v>
      </c>
      <c r="AH335" s="102">
        <f>SUM(Tableau2[[#This Row],[Td 2]:[Td 5]])</f>
        <v>322</v>
      </c>
      <c r="AI335" s="10">
        <v>50</v>
      </c>
      <c r="AJ335" s="10">
        <v>100</v>
      </c>
      <c r="AK335" s="17">
        <f t="shared" si="39"/>
        <v>0</v>
      </c>
      <c r="AL335" s="17">
        <f t="shared" si="40"/>
        <v>68</v>
      </c>
      <c r="AM335" s="17">
        <f t="shared" si="41"/>
        <v>512</v>
      </c>
    </row>
    <row r="336" spans="1:39" s="3" customFormat="1" x14ac:dyDescent="0.25">
      <c r="A336" s="2" t="s">
        <v>16</v>
      </c>
      <c r="B336" s="29" t="s">
        <v>740</v>
      </c>
      <c r="C336" s="2" t="s">
        <v>34</v>
      </c>
      <c r="D336" s="2" t="s">
        <v>366</v>
      </c>
      <c r="E336" s="14">
        <v>12409</v>
      </c>
      <c r="F336" s="15">
        <f t="shared" si="35"/>
        <v>433.07409999999999</v>
      </c>
      <c r="G336" s="15">
        <f t="shared" si="36"/>
        <v>496.36</v>
      </c>
      <c r="H336" s="15">
        <f t="shared" si="37"/>
        <v>360.89508333333333</v>
      </c>
      <c r="I336" s="15">
        <f t="shared" si="38"/>
        <v>413.63333333333338</v>
      </c>
      <c r="J336" s="10">
        <v>243</v>
      </c>
      <c r="K336" s="10">
        <v>108</v>
      </c>
      <c r="L336" s="10">
        <v>310</v>
      </c>
      <c r="M336" s="10">
        <v>282</v>
      </c>
      <c r="N336" s="10">
        <v>301</v>
      </c>
      <c r="O336" s="10">
        <v>309</v>
      </c>
      <c r="P336" s="10">
        <v>291</v>
      </c>
      <c r="Q336" s="10">
        <v>293</v>
      </c>
      <c r="R336" s="10">
        <v>310</v>
      </c>
      <c r="S336" s="10">
        <v>291</v>
      </c>
      <c r="T336" s="10">
        <v>302</v>
      </c>
      <c r="U336" s="10">
        <v>310</v>
      </c>
      <c r="V336" s="10">
        <v>282</v>
      </c>
      <c r="W336" s="10">
        <v>301</v>
      </c>
      <c r="X336" s="10">
        <v>447</v>
      </c>
      <c r="Y336" s="10">
        <v>372</v>
      </c>
      <c r="Z336" s="10">
        <v>439</v>
      </c>
      <c r="AA336" s="10">
        <v>303</v>
      </c>
      <c r="AB336" s="10">
        <v>157</v>
      </c>
      <c r="AC336" s="10">
        <v>175</v>
      </c>
      <c r="AD336" s="10">
        <v>86</v>
      </c>
      <c r="AE336" s="10">
        <v>56</v>
      </c>
      <c r="AF336" s="10">
        <v>27</v>
      </c>
      <c r="AG336" s="10">
        <v>18</v>
      </c>
      <c r="AH336" s="102">
        <f>SUM(Tableau2[[#This Row],[Td 2]:[Td 5]])</f>
        <v>187</v>
      </c>
      <c r="AI336" s="10">
        <v>50</v>
      </c>
      <c r="AJ336" s="10">
        <v>100</v>
      </c>
      <c r="AK336" s="17">
        <f t="shared" si="39"/>
        <v>51.895083333333332</v>
      </c>
      <c r="AL336" s="17">
        <f t="shared" si="40"/>
        <v>0</v>
      </c>
      <c r="AM336" s="17">
        <f t="shared" si="41"/>
        <v>439</v>
      </c>
    </row>
    <row r="337" spans="1:39" s="3" customFormat="1" x14ac:dyDescent="0.25">
      <c r="A337" s="2" t="s">
        <v>16</v>
      </c>
      <c r="B337" s="29" t="s">
        <v>740</v>
      </c>
      <c r="C337" s="2" t="s">
        <v>34</v>
      </c>
      <c r="D337" s="2" t="s">
        <v>367</v>
      </c>
      <c r="E337" s="14">
        <v>11628</v>
      </c>
      <c r="F337" s="15">
        <f t="shared" si="35"/>
        <v>405.81720000000001</v>
      </c>
      <c r="G337" s="15">
        <f t="shared" si="36"/>
        <v>465.12</v>
      </c>
      <c r="H337" s="15">
        <f t="shared" si="37"/>
        <v>338.18100000000004</v>
      </c>
      <c r="I337" s="15">
        <f t="shared" si="38"/>
        <v>387.59999999999997</v>
      </c>
      <c r="J337" s="10">
        <v>81</v>
      </c>
      <c r="K337" s="10">
        <v>8</v>
      </c>
      <c r="L337" s="10">
        <v>107</v>
      </c>
      <c r="M337" s="10">
        <v>90</v>
      </c>
      <c r="N337" s="10">
        <v>89</v>
      </c>
      <c r="O337" s="10">
        <v>107</v>
      </c>
      <c r="P337" s="10">
        <v>90</v>
      </c>
      <c r="Q337" s="10">
        <v>89</v>
      </c>
      <c r="R337" s="10">
        <v>107</v>
      </c>
      <c r="S337" s="10">
        <v>92</v>
      </c>
      <c r="T337" s="10">
        <v>89</v>
      </c>
      <c r="U337" s="10">
        <v>107</v>
      </c>
      <c r="V337" s="10">
        <v>86</v>
      </c>
      <c r="W337" s="10">
        <v>89</v>
      </c>
      <c r="X337" s="10">
        <v>98</v>
      </c>
      <c r="Y337" s="10" t="s">
        <v>2</v>
      </c>
      <c r="Z337" s="10">
        <v>98</v>
      </c>
      <c r="AA337" s="10">
        <v>89</v>
      </c>
      <c r="AB337" s="10" t="s">
        <v>2</v>
      </c>
      <c r="AC337" s="10">
        <v>31</v>
      </c>
      <c r="AD337" s="10">
        <v>21</v>
      </c>
      <c r="AE337" s="10">
        <v>14</v>
      </c>
      <c r="AF337" s="10">
        <v>5</v>
      </c>
      <c r="AG337" s="10">
        <v>5</v>
      </c>
      <c r="AH337" s="102">
        <f>SUM(Tableau2[[#This Row],[Td 2]:[Td 5]])</f>
        <v>45</v>
      </c>
      <c r="AI337" s="10">
        <v>50</v>
      </c>
      <c r="AJ337" s="10">
        <v>100</v>
      </c>
      <c r="AK337" s="17">
        <f t="shared" si="39"/>
        <v>231.18100000000004</v>
      </c>
      <c r="AL337" s="17">
        <f t="shared" si="40"/>
        <v>9</v>
      </c>
      <c r="AM337" s="17">
        <f t="shared" si="41"/>
        <v>98</v>
      </c>
    </row>
    <row r="338" spans="1:39" s="3" customFormat="1" x14ac:dyDescent="0.25">
      <c r="A338" s="2" t="s">
        <v>16</v>
      </c>
      <c r="B338" s="29" t="s">
        <v>740</v>
      </c>
      <c r="C338" s="2" t="s">
        <v>34</v>
      </c>
      <c r="D338" s="2" t="s">
        <v>368</v>
      </c>
      <c r="E338" s="14">
        <v>8889</v>
      </c>
      <c r="F338" s="15">
        <f t="shared" si="35"/>
        <v>310.22610000000003</v>
      </c>
      <c r="G338" s="15">
        <f t="shared" si="36"/>
        <v>355.56</v>
      </c>
      <c r="H338" s="15">
        <f t="shared" si="37"/>
        <v>258.52175</v>
      </c>
      <c r="I338" s="15">
        <f t="shared" si="38"/>
        <v>296.3</v>
      </c>
      <c r="J338" s="10">
        <v>286</v>
      </c>
      <c r="K338" s="10">
        <v>205</v>
      </c>
      <c r="L338" s="10">
        <v>288</v>
      </c>
      <c r="M338" s="10">
        <v>236</v>
      </c>
      <c r="N338" s="10">
        <v>275</v>
      </c>
      <c r="O338" s="10">
        <v>286</v>
      </c>
      <c r="P338" s="10">
        <v>237</v>
      </c>
      <c r="Q338" s="10">
        <v>276</v>
      </c>
      <c r="R338" s="10">
        <v>296</v>
      </c>
      <c r="S338" s="10">
        <v>228</v>
      </c>
      <c r="T338" s="10">
        <v>274</v>
      </c>
      <c r="U338" s="10">
        <v>286</v>
      </c>
      <c r="V338" s="10">
        <v>227</v>
      </c>
      <c r="W338" s="10">
        <v>297</v>
      </c>
      <c r="X338" s="10">
        <v>248</v>
      </c>
      <c r="Y338" s="10">
        <v>43</v>
      </c>
      <c r="Z338" s="10">
        <v>256</v>
      </c>
      <c r="AA338" s="10">
        <v>305</v>
      </c>
      <c r="AB338" s="10">
        <v>248</v>
      </c>
      <c r="AC338" s="10">
        <v>187</v>
      </c>
      <c r="AD338" s="10">
        <v>111</v>
      </c>
      <c r="AE338" s="10">
        <v>15</v>
      </c>
      <c r="AF338" s="10">
        <v>1</v>
      </c>
      <c r="AG338" s="10" t="s">
        <v>2</v>
      </c>
      <c r="AH338" s="102">
        <f>SUM(Tableau2[[#This Row],[Td 2]:[Td 5]])</f>
        <v>127</v>
      </c>
      <c r="AI338" s="10">
        <v>41.7</v>
      </c>
      <c r="AJ338" s="10">
        <v>100</v>
      </c>
      <c r="AK338" s="17">
        <f t="shared" si="39"/>
        <v>0</v>
      </c>
      <c r="AL338" s="17">
        <f t="shared" si="40"/>
        <v>38</v>
      </c>
      <c r="AM338" s="17">
        <f t="shared" si="41"/>
        <v>248</v>
      </c>
    </row>
    <row r="339" spans="1:39" s="3" customFormat="1" x14ac:dyDescent="0.25">
      <c r="A339" s="2" t="s">
        <v>16</v>
      </c>
      <c r="B339" s="29" t="s">
        <v>740</v>
      </c>
      <c r="C339" s="2" t="s">
        <v>34</v>
      </c>
      <c r="D339" s="2" t="s">
        <v>369</v>
      </c>
      <c r="E339" s="14">
        <v>18668</v>
      </c>
      <c r="F339" s="15">
        <f t="shared" si="35"/>
        <v>651.51319999999998</v>
      </c>
      <c r="G339" s="15">
        <f t="shared" si="36"/>
        <v>746.72</v>
      </c>
      <c r="H339" s="15">
        <f t="shared" si="37"/>
        <v>542.92766666666671</v>
      </c>
      <c r="I339" s="15">
        <f t="shared" si="38"/>
        <v>622.26666666666665</v>
      </c>
      <c r="J339" s="10">
        <v>80</v>
      </c>
      <c r="K339" s="10">
        <v>25</v>
      </c>
      <c r="L339" s="10">
        <v>105</v>
      </c>
      <c r="M339" s="10">
        <v>88</v>
      </c>
      <c r="N339" s="10">
        <v>105</v>
      </c>
      <c r="O339" s="10">
        <v>105</v>
      </c>
      <c r="P339" s="10">
        <v>88</v>
      </c>
      <c r="Q339" s="10">
        <v>105</v>
      </c>
      <c r="R339" s="10">
        <v>105</v>
      </c>
      <c r="S339" s="10">
        <v>88</v>
      </c>
      <c r="T339" s="10">
        <v>105</v>
      </c>
      <c r="U339" s="10">
        <v>105</v>
      </c>
      <c r="V339" s="10">
        <v>88</v>
      </c>
      <c r="W339" s="10">
        <v>105</v>
      </c>
      <c r="X339" s="10">
        <v>87</v>
      </c>
      <c r="Y339" s="10">
        <v>91</v>
      </c>
      <c r="Z339" s="10">
        <v>87</v>
      </c>
      <c r="AA339" s="10">
        <v>105</v>
      </c>
      <c r="AB339" s="10">
        <v>87</v>
      </c>
      <c r="AC339" s="10">
        <v>59</v>
      </c>
      <c r="AD339" s="10">
        <v>62</v>
      </c>
      <c r="AE339" s="10">
        <v>10</v>
      </c>
      <c r="AF339" s="10">
        <v>3</v>
      </c>
      <c r="AG339" s="10">
        <v>2</v>
      </c>
      <c r="AH339" s="102">
        <f>SUM(Tableau2[[#This Row],[Td 2]:[Td 5]])</f>
        <v>77</v>
      </c>
      <c r="AI339" s="10">
        <v>29.2</v>
      </c>
      <c r="AJ339" s="10">
        <v>100</v>
      </c>
      <c r="AK339" s="17">
        <f t="shared" si="39"/>
        <v>437.92766666666671</v>
      </c>
      <c r="AL339" s="17">
        <f t="shared" si="40"/>
        <v>18</v>
      </c>
      <c r="AM339" s="17">
        <f t="shared" si="41"/>
        <v>87</v>
      </c>
    </row>
    <row r="340" spans="1:39" s="3" customFormat="1" x14ac:dyDescent="0.25">
      <c r="A340" s="2" t="s">
        <v>16</v>
      </c>
      <c r="B340" s="29" t="s">
        <v>740</v>
      </c>
      <c r="C340" s="2" t="s">
        <v>34</v>
      </c>
      <c r="D340" s="2" t="s">
        <v>370</v>
      </c>
      <c r="E340" s="14">
        <v>18552</v>
      </c>
      <c r="F340" s="15">
        <f t="shared" si="35"/>
        <v>647.46479999999997</v>
      </c>
      <c r="G340" s="15">
        <f t="shared" si="36"/>
        <v>742.08</v>
      </c>
      <c r="H340" s="15">
        <f t="shared" si="37"/>
        <v>539.55399999999997</v>
      </c>
      <c r="I340" s="15">
        <f t="shared" si="38"/>
        <v>618.40000000000009</v>
      </c>
      <c r="J340" s="10">
        <v>369</v>
      </c>
      <c r="K340" s="10">
        <v>47</v>
      </c>
      <c r="L340" s="10">
        <v>293</v>
      </c>
      <c r="M340" s="10">
        <v>192</v>
      </c>
      <c r="N340" s="10">
        <v>135</v>
      </c>
      <c r="O340" s="10">
        <v>358</v>
      </c>
      <c r="P340" s="10">
        <v>281</v>
      </c>
      <c r="Q340" s="10">
        <v>165</v>
      </c>
      <c r="R340" s="10">
        <v>358</v>
      </c>
      <c r="S340" s="10">
        <v>281</v>
      </c>
      <c r="T340" s="10">
        <v>164</v>
      </c>
      <c r="U340" s="10">
        <v>358</v>
      </c>
      <c r="V340" s="10">
        <v>281</v>
      </c>
      <c r="W340" s="10">
        <v>165</v>
      </c>
      <c r="X340" s="10">
        <v>201</v>
      </c>
      <c r="Y340" s="10">
        <v>47</v>
      </c>
      <c r="Z340" s="10">
        <v>201</v>
      </c>
      <c r="AA340" s="10">
        <v>154</v>
      </c>
      <c r="AB340" s="10">
        <v>85</v>
      </c>
      <c r="AC340" s="10">
        <v>82</v>
      </c>
      <c r="AD340" s="10">
        <v>47</v>
      </c>
      <c r="AE340" s="10">
        <v>26</v>
      </c>
      <c r="AF340" s="10">
        <v>18</v>
      </c>
      <c r="AG340" s="10">
        <v>17</v>
      </c>
      <c r="AH340" s="102">
        <f>SUM(Tableau2[[#This Row],[Td 2]:[Td 5]])</f>
        <v>108</v>
      </c>
      <c r="AI340" s="10">
        <v>50</v>
      </c>
      <c r="AJ340" s="10">
        <v>100</v>
      </c>
      <c r="AK340" s="17">
        <f t="shared" si="39"/>
        <v>181.55399999999997</v>
      </c>
      <c r="AL340" s="17">
        <f t="shared" si="40"/>
        <v>157</v>
      </c>
      <c r="AM340" s="17">
        <f t="shared" si="41"/>
        <v>201</v>
      </c>
    </row>
    <row r="341" spans="1:39" s="3" customFormat="1" x14ac:dyDescent="0.25">
      <c r="A341" s="2" t="s">
        <v>16</v>
      </c>
      <c r="B341" s="29" t="s">
        <v>740</v>
      </c>
      <c r="C341" s="2" t="s">
        <v>34</v>
      </c>
      <c r="D341" s="2" t="s">
        <v>371</v>
      </c>
      <c r="E341" s="14">
        <v>16764</v>
      </c>
      <c r="F341" s="15">
        <f t="shared" si="35"/>
        <v>585.06359999999995</v>
      </c>
      <c r="G341" s="15">
        <f t="shared" si="36"/>
        <v>670.56000000000006</v>
      </c>
      <c r="H341" s="15">
        <f t="shared" si="37"/>
        <v>487.553</v>
      </c>
      <c r="I341" s="15">
        <f t="shared" si="38"/>
        <v>558.80000000000007</v>
      </c>
      <c r="J341" s="10">
        <v>290</v>
      </c>
      <c r="K341" s="10">
        <v>38</v>
      </c>
      <c r="L341" s="10">
        <v>292</v>
      </c>
      <c r="M341" s="10">
        <v>193</v>
      </c>
      <c r="N341" s="10">
        <v>84</v>
      </c>
      <c r="O341" s="10">
        <v>292</v>
      </c>
      <c r="P341" s="10">
        <v>193</v>
      </c>
      <c r="Q341" s="10">
        <v>114</v>
      </c>
      <c r="R341" s="10">
        <v>327</v>
      </c>
      <c r="S341" s="10">
        <v>222</v>
      </c>
      <c r="T341" s="10">
        <v>114</v>
      </c>
      <c r="U341" s="10">
        <v>269</v>
      </c>
      <c r="V341" s="10">
        <v>80</v>
      </c>
      <c r="W341" s="10">
        <v>60</v>
      </c>
      <c r="X341" s="10">
        <v>125</v>
      </c>
      <c r="Y341" s="10">
        <v>4</v>
      </c>
      <c r="Z341" s="10">
        <v>125</v>
      </c>
      <c r="AA341" s="10">
        <v>137</v>
      </c>
      <c r="AB341" s="10">
        <v>28</v>
      </c>
      <c r="AC341" s="10">
        <v>52</v>
      </c>
      <c r="AD341" s="10">
        <v>20</v>
      </c>
      <c r="AE341" s="10">
        <v>17</v>
      </c>
      <c r="AF341" s="10">
        <v>4</v>
      </c>
      <c r="AG341" s="10">
        <v>1</v>
      </c>
      <c r="AH341" s="102">
        <f>SUM(Tableau2[[#This Row],[Td 2]:[Td 5]])</f>
        <v>42</v>
      </c>
      <c r="AI341" s="10">
        <v>50</v>
      </c>
      <c r="AJ341" s="10">
        <v>100</v>
      </c>
      <c r="AK341" s="17">
        <f t="shared" si="39"/>
        <v>195.553</v>
      </c>
      <c r="AL341" s="17">
        <f t="shared" si="40"/>
        <v>167</v>
      </c>
      <c r="AM341" s="17">
        <f t="shared" si="41"/>
        <v>125</v>
      </c>
    </row>
    <row r="342" spans="1:39" s="3" customFormat="1" x14ac:dyDescent="0.25">
      <c r="A342" s="2" t="s">
        <v>16</v>
      </c>
      <c r="B342" s="29" t="s">
        <v>740</v>
      </c>
      <c r="C342" s="2" t="s">
        <v>34</v>
      </c>
      <c r="D342" s="2" t="s">
        <v>372</v>
      </c>
      <c r="E342" s="14">
        <v>26315</v>
      </c>
      <c r="F342" s="15">
        <f t="shared" si="35"/>
        <v>918.39350000000002</v>
      </c>
      <c r="G342" s="15">
        <f t="shared" si="36"/>
        <v>1052.5999999999999</v>
      </c>
      <c r="H342" s="15">
        <f t="shared" si="37"/>
        <v>765.32791666666662</v>
      </c>
      <c r="I342" s="15">
        <f t="shared" si="38"/>
        <v>877.16666666666652</v>
      </c>
      <c r="J342" s="10">
        <v>883</v>
      </c>
      <c r="K342" s="10">
        <v>651</v>
      </c>
      <c r="L342" s="10">
        <v>719</v>
      </c>
      <c r="M342" s="10">
        <v>659</v>
      </c>
      <c r="N342" s="10">
        <v>661</v>
      </c>
      <c r="O342" s="10">
        <v>844</v>
      </c>
      <c r="P342" s="10">
        <v>768</v>
      </c>
      <c r="Q342" s="10">
        <v>770</v>
      </c>
      <c r="R342" s="10">
        <v>844</v>
      </c>
      <c r="S342" s="10">
        <v>769</v>
      </c>
      <c r="T342" s="10">
        <v>770</v>
      </c>
      <c r="U342" s="10">
        <v>843</v>
      </c>
      <c r="V342" s="10">
        <v>770</v>
      </c>
      <c r="W342" s="10">
        <v>770</v>
      </c>
      <c r="X342" s="10">
        <v>814</v>
      </c>
      <c r="Y342" s="10">
        <v>722</v>
      </c>
      <c r="Z342" s="10">
        <v>815</v>
      </c>
      <c r="AA342" s="10">
        <v>758</v>
      </c>
      <c r="AB342" s="10">
        <v>780</v>
      </c>
      <c r="AC342" s="10">
        <v>251</v>
      </c>
      <c r="AD342" s="10">
        <v>233</v>
      </c>
      <c r="AE342" s="10">
        <v>177</v>
      </c>
      <c r="AF342" s="10">
        <v>160</v>
      </c>
      <c r="AG342" s="10">
        <v>168</v>
      </c>
      <c r="AH342" s="102">
        <f>SUM(Tableau2[[#This Row],[Td 2]:[Td 5]])</f>
        <v>738</v>
      </c>
      <c r="AI342" s="10">
        <v>33.299999999999997</v>
      </c>
      <c r="AJ342" s="10">
        <v>100</v>
      </c>
      <c r="AK342" s="17">
        <f t="shared" si="39"/>
        <v>0</v>
      </c>
      <c r="AL342" s="17">
        <f t="shared" si="40"/>
        <v>30</v>
      </c>
      <c r="AM342" s="17">
        <f t="shared" si="41"/>
        <v>814</v>
      </c>
    </row>
    <row r="343" spans="1:39" s="3" customFormat="1" x14ac:dyDescent="0.25">
      <c r="A343" s="2" t="s">
        <v>16</v>
      </c>
      <c r="B343" s="29" t="s">
        <v>740</v>
      </c>
      <c r="C343" s="2" t="s">
        <v>34</v>
      </c>
      <c r="D343" s="2" t="s">
        <v>268</v>
      </c>
      <c r="E343" s="14">
        <v>10702</v>
      </c>
      <c r="F343" s="15">
        <f t="shared" si="35"/>
        <v>373.49979999999999</v>
      </c>
      <c r="G343" s="15">
        <f t="shared" si="36"/>
        <v>428.08</v>
      </c>
      <c r="H343" s="15">
        <f t="shared" si="37"/>
        <v>311.2498333333333</v>
      </c>
      <c r="I343" s="15">
        <f t="shared" si="38"/>
        <v>356.73333333333335</v>
      </c>
      <c r="J343" s="10">
        <v>316</v>
      </c>
      <c r="K343" s="10">
        <v>224</v>
      </c>
      <c r="L343" s="10">
        <v>303</v>
      </c>
      <c r="M343" s="10">
        <v>273</v>
      </c>
      <c r="N343" s="10">
        <v>286</v>
      </c>
      <c r="O343" s="10">
        <v>302</v>
      </c>
      <c r="P343" s="10">
        <v>240</v>
      </c>
      <c r="Q343" s="10">
        <v>254</v>
      </c>
      <c r="R343" s="10">
        <v>304</v>
      </c>
      <c r="S343" s="10">
        <v>272</v>
      </c>
      <c r="T343" s="10">
        <v>286</v>
      </c>
      <c r="U343" s="10">
        <v>304</v>
      </c>
      <c r="V343" s="10">
        <v>272</v>
      </c>
      <c r="W343" s="10">
        <v>286</v>
      </c>
      <c r="X343" s="10">
        <v>329</v>
      </c>
      <c r="Y343" s="10">
        <v>57</v>
      </c>
      <c r="Z343" s="10">
        <v>329</v>
      </c>
      <c r="AA343" s="10">
        <v>286</v>
      </c>
      <c r="AB343" s="10">
        <v>329</v>
      </c>
      <c r="AC343" s="10">
        <v>61</v>
      </c>
      <c r="AD343" s="10">
        <v>40</v>
      </c>
      <c r="AE343" s="10">
        <v>32</v>
      </c>
      <c r="AF343" s="10">
        <v>35</v>
      </c>
      <c r="AG343" s="10">
        <v>29</v>
      </c>
      <c r="AH343" s="102">
        <f>SUM(Tableau2[[#This Row],[Td 2]:[Td 5]])</f>
        <v>136</v>
      </c>
      <c r="AI343" s="10">
        <v>58.3</v>
      </c>
      <c r="AJ343" s="10">
        <v>100</v>
      </c>
      <c r="AK343" s="17">
        <f t="shared" si="39"/>
        <v>9.2498333333332994</v>
      </c>
      <c r="AL343" s="17">
        <f t="shared" si="40"/>
        <v>0</v>
      </c>
      <c r="AM343" s="17">
        <f t="shared" si="41"/>
        <v>329</v>
      </c>
    </row>
    <row r="344" spans="1:39" s="3" customFormat="1" x14ac:dyDescent="0.25">
      <c r="A344" s="2" t="s">
        <v>16</v>
      </c>
      <c r="B344" s="29" t="s">
        <v>740</v>
      </c>
      <c r="C344" s="2" t="s">
        <v>34</v>
      </c>
      <c r="D344" s="2" t="s">
        <v>373</v>
      </c>
      <c r="E344" s="14">
        <v>29723</v>
      </c>
      <c r="F344" s="15">
        <f t="shared" si="35"/>
        <v>1037.3326999999999</v>
      </c>
      <c r="G344" s="15">
        <f t="shared" si="36"/>
        <v>1188.92</v>
      </c>
      <c r="H344" s="15">
        <f t="shared" si="37"/>
        <v>864.44391666666661</v>
      </c>
      <c r="I344" s="15">
        <f t="shared" si="38"/>
        <v>990.76666666666665</v>
      </c>
      <c r="J344" s="10">
        <v>226</v>
      </c>
      <c r="K344" s="10">
        <v>16</v>
      </c>
      <c r="L344" s="10">
        <v>228</v>
      </c>
      <c r="M344" s="10">
        <v>127</v>
      </c>
      <c r="N344" s="10">
        <v>97</v>
      </c>
      <c r="O344" s="10">
        <v>325</v>
      </c>
      <c r="P344" s="10">
        <v>238</v>
      </c>
      <c r="Q344" s="10">
        <v>152</v>
      </c>
      <c r="R344" s="10">
        <v>268</v>
      </c>
      <c r="S344" s="10">
        <v>151</v>
      </c>
      <c r="T344" s="10">
        <v>133</v>
      </c>
      <c r="U344" s="10">
        <v>325</v>
      </c>
      <c r="V344" s="10">
        <v>237</v>
      </c>
      <c r="W344" s="10">
        <v>152</v>
      </c>
      <c r="X344" s="10">
        <v>172</v>
      </c>
      <c r="Y344" s="10">
        <v>82</v>
      </c>
      <c r="Z344" s="10">
        <v>151</v>
      </c>
      <c r="AA344" s="10">
        <v>100</v>
      </c>
      <c r="AB344" s="10">
        <v>9</v>
      </c>
      <c r="AC344" s="10">
        <v>24</v>
      </c>
      <c r="AD344" s="10">
        <v>14</v>
      </c>
      <c r="AE344" s="10" t="s">
        <v>2</v>
      </c>
      <c r="AF344" s="10" t="s">
        <v>2</v>
      </c>
      <c r="AG344" s="10" t="s">
        <v>2</v>
      </c>
      <c r="AH344" s="102">
        <f>SUM(Tableau2[[#This Row],[Td 2]:[Td 5]])</f>
        <v>14</v>
      </c>
      <c r="AI344" s="10">
        <v>58.3</v>
      </c>
      <c r="AJ344" s="10">
        <v>100</v>
      </c>
      <c r="AK344" s="17">
        <f t="shared" si="39"/>
        <v>539.44391666666661</v>
      </c>
      <c r="AL344" s="17">
        <f t="shared" si="40"/>
        <v>153</v>
      </c>
      <c r="AM344" s="17">
        <f t="shared" si="41"/>
        <v>151</v>
      </c>
    </row>
    <row r="345" spans="1:39" s="3" customFormat="1" x14ac:dyDescent="0.25">
      <c r="A345" s="2" t="s">
        <v>16</v>
      </c>
      <c r="B345" s="29" t="s">
        <v>740</v>
      </c>
      <c r="C345" s="2" t="s">
        <v>34</v>
      </c>
      <c r="D345" s="2" t="s">
        <v>374</v>
      </c>
      <c r="E345" s="14">
        <v>8563</v>
      </c>
      <c r="F345" s="15">
        <f t="shared" si="35"/>
        <v>298.84870000000001</v>
      </c>
      <c r="G345" s="15">
        <f t="shared" si="36"/>
        <v>342.52</v>
      </c>
      <c r="H345" s="15">
        <f t="shared" si="37"/>
        <v>249.04058333333336</v>
      </c>
      <c r="I345" s="15">
        <f t="shared" si="38"/>
        <v>285.43333333333334</v>
      </c>
      <c r="J345" s="10">
        <v>36</v>
      </c>
      <c r="K345" s="10">
        <v>56</v>
      </c>
      <c r="L345" s="10">
        <v>80</v>
      </c>
      <c r="M345" s="10">
        <v>72</v>
      </c>
      <c r="N345" s="10">
        <v>76</v>
      </c>
      <c r="O345" s="10">
        <v>80</v>
      </c>
      <c r="P345" s="10">
        <v>72</v>
      </c>
      <c r="Q345" s="10">
        <v>76</v>
      </c>
      <c r="R345" s="10">
        <v>80</v>
      </c>
      <c r="S345" s="10">
        <v>72</v>
      </c>
      <c r="T345" s="10">
        <v>76</v>
      </c>
      <c r="U345" s="10">
        <v>80</v>
      </c>
      <c r="V345" s="10">
        <v>72</v>
      </c>
      <c r="W345" s="10">
        <v>73</v>
      </c>
      <c r="X345" s="10">
        <v>51</v>
      </c>
      <c r="Y345" s="10">
        <v>18</v>
      </c>
      <c r="Z345" s="10">
        <v>51</v>
      </c>
      <c r="AA345" s="10">
        <v>76</v>
      </c>
      <c r="AB345" s="10">
        <v>57</v>
      </c>
      <c r="AC345" s="10">
        <v>8</v>
      </c>
      <c r="AD345" s="10">
        <v>8</v>
      </c>
      <c r="AE345" s="10">
        <v>8</v>
      </c>
      <c r="AF345" s="10">
        <v>8</v>
      </c>
      <c r="AG345" s="10">
        <v>3</v>
      </c>
      <c r="AH345" s="102">
        <f>SUM(Tableau2[[#This Row],[Td 2]:[Td 5]])</f>
        <v>27</v>
      </c>
      <c r="AI345" s="10">
        <v>33.299999999999997</v>
      </c>
      <c r="AJ345" s="10">
        <v>100</v>
      </c>
      <c r="AK345" s="17">
        <f t="shared" si="39"/>
        <v>169.04058333333336</v>
      </c>
      <c r="AL345" s="17">
        <f t="shared" si="40"/>
        <v>29</v>
      </c>
      <c r="AM345" s="17">
        <f t="shared" si="41"/>
        <v>51</v>
      </c>
    </row>
    <row r="346" spans="1:39" s="3" customFormat="1" x14ac:dyDescent="0.25">
      <c r="A346" s="2" t="s">
        <v>16</v>
      </c>
      <c r="B346" s="29" t="s">
        <v>740</v>
      </c>
      <c r="C346" s="2" t="s">
        <v>34</v>
      </c>
      <c r="D346" s="2" t="s">
        <v>375</v>
      </c>
      <c r="E346" s="14">
        <v>23345</v>
      </c>
      <c r="F346" s="15">
        <f t="shared" si="35"/>
        <v>814.7405</v>
      </c>
      <c r="G346" s="15">
        <f t="shared" si="36"/>
        <v>933.80000000000007</v>
      </c>
      <c r="H346" s="15">
        <f t="shared" si="37"/>
        <v>678.95041666666668</v>
      </c>
      <c r="I346" s="15">
        <f t="shared" si="38"/>
        <v>778.16666666666674</v>
      </c>
      <c r="J346" s="10">
        <v>69</v>
      </c>
      <c r="K346" s="10">
        <v>34</v>
      </c>
      <c r="L346" s="10">
        <v>69</v>
      </c>
      <c r="M346" s="10">
        <v>64</v>
      </c>
      <c r="N346" s="10">
        <v>75</v>
      </c>
      <c r="O346" s="10">
        <v>69</v>
      </c>
      <c r="P346" s="10">
        <v>64</v>
      </c>
      <c r="Q346" s="10">
        <v>65</v>
      </c>
      <c r="R346" s="10">
        <v>69</v>
      </c>
      <c r="S346" s="10">
        <v>64</v>
      </c>
      <c r="T346" s="10">
        <v>65</v>
      </c>
      <c r="U346" s="10">
        <v>69</v>
      </c>
      <c r="V346" s="10">
        <v>64</v>
      </c>
      <c r="W346" s="10">
        <v>65</v>
      </c>
      <c r="X346" s="10">
        <v>60</v>
      </c>
      <c r="Y346" s="10">
        <v>55</v>
      </c>
      <c r="Z346" s="10">
        <v>61</v>
      </c>
      <c r="AA346" s="10">
        <v>75</v>
      </c>
      <c r="AB346" s="10">
        <v>68</v>
      </c>
      <c r="AC346" s="10">
        <v>27</v>
      </c>
      <c r="AD346" s="10">
        <v>48</v>
      </c>
      <c r="AE346" s="10">
        <v>19</v>
      </c>
      <c r="AF346" s="10">
        <v>7</v>
      </c>
      <c r="AG346" s="10">
        <v>4</v>
      </c>
      <c r="AH346" s="102">
        <f>SUM(Tableau2[[#This Row],[Td 2]:[Td 5]])</f>
        <v>78</v>
      </c>
      <c r="AI346" s="10">
        <v>33.299999999999997</v>
      </c>
      <c r="AJ346" s="10">
        <v>100</v>
      </c>
      <c r="AK346" s="17">
        <f t="shared" si="39"/>
        <v>609.95041666666668</v>
      </c>
      <c r="AL346" s="17">
        <f t="shared" si="40"/>
        <v>9</v>
      </c>
      <c r="AM346" s="17">
        <f t="shared" si="41"/>
        <v>60</v>
      </c>
    </row>
    <row r="347" spans="1:39" s="3" customFormat="1" x14ac:dyDescent="0.25">
      <c r="A347" s="2" t="s">
        <v>16</v>
      </c>
      <c r="B347" s="29" t="s">
        <v>740</v>
      </c>
      <c r="C347" s="2" t="s">
        <v>34</v>
      </c>
      <c r="D347" s="2" t="s">
        <v>376</v>
      </c>
      <c r="E347" s="14">
        <v>11628</v>
      </c>
      <c r="F347" s="15">
        <f t="shared" si="35"/>
        <v>405.81720000000001</v>
      </c>
      <c r="G347" s="15">
        <f t="shared" si="36"/>
        <v>465.12</v>
      </c>
      <c r="H347" s="15">
        <f t="shared" si="37"/>
        <v>338.18100000000004</v>
      </c>
      <c r="I347" s="15">
        <f t="shared" si="38"/>
        <v>387.59999999999997</v>
      </c>
      <c r="J347" s="10">
        <v>38</v>
      </c>
      <c r="K347" s="10">
        <v>7</v>
      </c>
      <c r="L347" s="10">
        <v>101</v>
      </c>
      <c r="M347" s="10">
        <v>87</v>
      </c>
      <c r="N347" s="10">
        <v>78</v>
      </c>
      <c r="O347" s="10">
        <v>101</v>
      </c>
      <c r="P347" s="10">
        <v>87</v>
      </c>
      <c r="Q347" s="10">
        <v>78</v>
      </c>
      <c r="R347" s="10">
        <v>101</v>
      </c>
      <c r="S347" s="10">
        <v>88</v>
      </c>
      <c r="T347" s="10">
        <v>78</v>
      </c>
      <c r="U347" s="10">
        <v>101</v>
      </c>
      <c r="V347" s="10">
        <v>87</v>
      </c>
      <c r="W347" s="10">
        <v>78</v>
      </c>
      <c r="X347" s="10">
        <v>82</v>
      </c>
      <c r="Y347" s="10">
        <v>30</v>
      </c>
      <c r="Z347" s="10">
        <v>83</v>
      </c>
      <c r="AA347" s="10">
        <v>78</v>
      </c>
      <c r="AB347" s="10">
        <v>79</v>
      </c>
      <c r="AC347" s="10">
        <v>43</v>
      </c>
      <c r="AD347" s="10">
        <v>38</v>
      </c>
      <c r="AE347" s="10">
        <v>20</v>
      </c>
      <c r="AF347" s="10">
        <v>26</v>
      </c>
      <c r="AG347" s="10">
        <v>13</v>
      </c>
      <c r="AH347" s="102">
        <f>SUM(Tableau2[[#This Row],[Td 2]:[Td 5]])</f>
        <v>97</v>
      </c>
      <c r="AI347" s="10">
        <v>58.3</v>
      </c>
      <c r="AJ347" s="10">
        <v>100</v>
      </c>
      <c r="AK347" s="17">
        <f t="shared" si="39"/>
        <v>237.18100000000004</v>
      </c>
      <c r="AL347" s="17">
        <f t="shared" si="40"/>
        <v>19</v>
      </c>
      <c r="AM347" s="17">
        <f t="shared" si="41"/>
        <v>82</v>
      </c>
    </row>
    <row r="348" spans="1:39" s="3" customFormat="1" x14ac:dyDescent="0.25">
      <c r="A348" s="2" t="s">
        <v>16</v>
      </c>
      <c r="B348" s="29" t="s">
        <v>740</v>
      </c>
      <c r="C348" s="2" t="s">
        <v>34</v>
      </c>
      <c r="D348" s="2" t="s">
        <v>34</v>
      </c>
      <c r="E348" s="14">
        <v>15802</v>
      </c>
      <c r="F348" s="15">
        <f t="shared" si="35"/>
        <v>551.48980000000006</v>
      </c>
      <c r="G348" s="15">
        <f t="shared" si="36"/>
        <v>632.08000000000004</v>
      </c>
      <c r="H348" s="15">
        <f t="shared" si="37"/>
        <v>459.57483333333334</v>
      </c>
      <c r="I348" s="15">
        <f t="shared" si="38"/>
        <v>526.73333333333335</v>
      </c>
      <c r="J348" s="10">
        <v>74</v>
      </c>
      <c r="K348" s="10">
        <v>5</v>
      </c>
      <c r="L348" s="10">
        <v>50</v>
      </c>
      <c r="M348" s="10">
        <v>47</v>
      </c>
      <c r="N348" s="10">
        <v>46</v>
      </c>
      <c r="O348" s="10">
        <v>50</v>
      </c>
      <c r="P348" s="10">
        <v>47</v>
      </c>
      <c r="Q348" s="10">
        <v>46</v>
      </c>
      <c r="R348" s="10">
        <v>50</v>
      </c>
      <c r="S348" s="10">
        <v>47</v>
      </c>
      <c r="T348" s="10">
        <v>46</v>
      </c>
      <c r="U348" s="10">
        <v>50</v>
      </c>
      <c r="V348" s="10">
        <v>47</v>
      </c>
      <c r="W348" s="10">
        <v>46</v>
      </c>
      <c r="X348" s="10">
        <v>43</v>
      </c>
      <c r="Y348" s="10">
        <v>19</v>
      </c>
      <c r="Z348" s="10">
        <v>43</v>
      </c>
      <c r="AA348" s="10">
        <v>46</v>
      </c>
      <c r="AB348" s="10">
        <v>43</v>
      </c>
      <c r="AC348" s="10">
        <v>16</v>
      </c>
      <c r="AD348" s="10">
        <v>9</v>
      </c>
      <c r="AE348" s="10">
        <v>8</v>
      </c>
      <c r="AF348" s="10">
        <v>6</v>
      </c>
      <c r="AG348" s="10">
        <v>5</v>
      </c>
      <c r="AH348" s="102">
        <f>SUM(Tableau2[[#This Row],[Td 2]:[Td 5]])</f>
        <v>28</v>
      </c>
      <c r="AI348" s="10">
        <v>25</v>
      </c>
      <c r="AJ348" s="10">
        <v>100</v>
      </c>
      <c r="AK348" s="17">
        <f t="shared" si="39"/>
        <v>409.57483333333334</v>
      </c>
      <c r="AL348" s="17">
        <f t="shared" si="40"/>
        <v>7</v>
      </c>
      <c r="AM348" s="17">
        <f t="shared" si="41"/>
        <v>43</v>
      </c>
    </row>
    <row r="349" spans="1:39" s="3" customFormat="1" x14ac:dyDescent="0.25">
      <c r="A349" s="2" t="s">
        <v>16</v>
      </c>
      <c r="B349" s="29" t="s">
        <v>740</v>
      </c>
      <c r="C349" s="2" t="s">
        <v>34</v>
      </c>
      <c r="D349" s="2" t="s">
        <v>377</v>
      </c>
      <c r="E349" s="14">
        <v>11628</v>
      </c>
      <c r="F349" s="15">
        <f t="shared" si="35"/>
        <v>405.81720000000001</v>
      </c>
      <c r="G349" s="15">
        <f t="shared" si="36"/>
        <v>465.12</v>
      </c>
      <c r="H349" s="15">
        <f t="shared" si="37"/>
        <v>338.18100000000004</v>
      </c>
      <c r="I349" s="15">
        <f t="shared" si="38"/>
        <v>387.59999999999997</v>
      </c>
      <c r="J349" s="10">
        <v>97</v>
      </c>
      <c r="K349" s="10">
        <v>47</v>
      </c>
      <c r="L349" s="10">
        <v>85</v>
      </c>
      <c r="M349" s="10">
        <v>108</v>
      </c>
      <c r="N349" s="10">
        <v>103</v>
      </c>
      <c r="O349" s="10">
        <v>85</v>
      </c>
      <c r="P349" s="10">
        <v>108</v>
      </c>
      <c r="Q349" s="10">
        <v>103</v>
      </c>
      <c r="R349" s="10">
        <v>87</v>
      </c>
      <c r="S349" s="10">
        <v>108</v>
      </c>
      <c r="T349" s="10">
        <v>103</v>
      </c>
      <c r="U349" s="10">
        <v>85</v>
      </c>
      <c r="V349" s="10">
        <v>108</v>
      </c>
      <c r="W349" s="10">
        <v>103</v>
      </c>
      <c r="X349" s="10">
        <v>105</v>
      </c>
      <c r="Y349" s="10">
        <v>65</v>
      </c>
      <c r="Z349" s="10">
        <v>105</v>
      </c>
      <c r="AA349" s="10">
        <v>103</v>
      </c>
      <c r="AB349" s="10">
        <v>105</v>
      </c>
      <c r="AC349" s="10">
        <v>44</v>
      </c>
      <c r="AD349" s="10">
        <v>21</v>
      </c>
      <c r="AE349" s="10">
        <v>16</v>
      </c>
      <c r="AF349" s="10">
        <v>2</v>
      </c>
      <c r="AG349" s="10">
        <v>3</v>
      </c>
      <c r="AH349" s="102">
        <f>SUM(Tableau2[[#This Row],[Td 2]:[Td 5]])</f>
        <v>42</v>
      </c>
      <c r="AI349" s="10">
        <v>58.3</v>
      </c>
      <c r="AJ349" s="10">
        <v>100</v>
      </c>
      <c r="AK349" s="17">
        <f t="shared" si="39"/>
        <v>253.18100000000004</v>
      </c>
      <c r="AL349" s="17">
        <f t="shared" si="40"/>
        <v>0</v>
      </c>
      <c r="AM349" s="17">
        <f t="shared" si="41"/>
        <v>105</v>
      </c>
    </row>
    <row r="350" spans="1:39" s="3" customFormat="1" x14ac:dyDescent="0.25">
      <c r="A350" s="2" t="s">
        <v>16</v>
      </c>
      <c r="B350" s="29" t="s">
        <v>740</v>
      </c>
      <c r="C350" s="2" t="s">
        <v>34</v>
      </c>
      <c r="D350" s="2" t="s">
        <v>378</v>
      </c>
      <c r="E350" s="14">
        <v>10779</v>
      </c>
      <c r="F350" s="15">
        <f t="shared" si="35"/>
        <v>376.18709999999999</v>
      </c>
      <c r="G350" s="15">
        <f t="shared" si="36"/>
        <v>431.16</v>
      </c>
      <c r="H350" s="15">
        <f t="shared" si="37"/>
        <v>313.48924999999997</v>
      </c>
      <c r="I350" s="15">
        <f t="shared" si="38"/>
        <v>359.3</v>
      </c>
      <c r="J350" s="10">
        <v>467</v>
      </c>
      <c r="K350" s="10">
        <v>334</v>
      </c>
      <c r="L350" s="10">
        <v>513</v>
      </c>
      <c r="M350" s="10">
        <v>401</v>
      </c>
      <c r="N350" s="10">
        <v>424</v>
      </c>
      <c r="O350" s="10">
        <v>499</v>
      </c>
      <c r="P350" s="10">
        <v>399</v>
      </c>
      <c r="Q350" s="10">
        <v>440</v>
      </c>
      <c r="R350" s="10">
        <v>447</v>
      </c>
      <c r="S350" s="10">
        <v>363</v>
      </c>
      <c r="T350" s="10">
        <v>401</v>
      </c>
      <c r="U350" s="10">
        <v>509</v>
      </c>
      <c r="V350" s="10">
        <v>399</v>
      </c>
      <c r="W350" s="10">
        <v>438</v>
      </c>
      <c r="X350" s="10">
        <v>467</v>
      </c>
      <c r="Y350" s="10">
        <v>29</v>
      </c>
      <c r="Z350" s="10">
        <v>467</v>
      </c>
      <c r="AA350" s="10">
        <v>424</v>
      </c>
      <c r="AB350" s="10">
        <v>261</v>
      </c>
      <c r="AC350" s="10">
        <v>146</v>
      </c>
      <c r="AD350" s="10">
        <v>156</v>
      </c>
      <c r="AE350" s="10">
        <v>89</v>
      </c>
      <c r="AF350" s="10">
        <v>69</v>
      </c>
      <c r="AG350" s="10">
        <v>52</v>
      </c>
      <c r="AH350" s="102">
        <f>SUM(Tableau2[[#This Row],[Td 2]:[Td 5]])</f>
        <v>366</v>
      </c>
      <c r="AI350" s="10">
        <v>33.299999999999997</v>
      </c>
      <c r="AJ350" s="10">
        <v>100</v>
      </c>
      <c r="AK350" s="17">
        <f t="shared" si="39"/>
        <v>0</v>
      </c>
      <c r="AL350" s="17">
        <f t="shared" si="40"/>
        <v>32</v>
      </c>
      <c r="AM350" s="17">
        <f t="shared" si="41"/>
        <v>467</v>
      </c>
    </row>
    <row r="351" spans="1:39" s="3" customFormat="1" x14ac:dyDescent="0.25">
      <c r="A351" s="2" t="s">
        <v>16</v>
      </c>
      <c r="B351" s="29" t="s">
        <v>740</v>
      </c>
      <c r="C351" s="2" t="s">
        <v>34</v>
      </c>
      <c r="D351" s="2" t="s">
        <v>161</v>
      </c>
      <c r="E351" s="14">
        <v>13879</v>
      </c>
      <c r="F351" s="15">
        <f t="shared" si="35"/>
        <v>484.37709999999998</v>
      </c>
      <c r="G351" s="15">
        <f t="shared" si="36"/>
        <v>555.16</v>
      </c>
      <c r="H351" s="15">
        <f t="shared" si="37"/>
        <v>403.64758333333333</v>
      </c>
      <c r="I351" s="15">
        <f t="shared" si="38"/>
        <v>462.63333333333327</v>
      </c>
      <c r="J351" s="10">
        <v>334</v>
      </c>
      <c r="K351" s="10">
        <v>64</v>
      </c>
      <c r="L351" s="10">
        <v>197</v>
      </c>
      <c r="M351" s="10">
        <v>140</v>
      </c>
      <c r="N351" s="10">
        <v>118</v>
      </c>
      <c r="O351" s="10">
        <v>281</v>
      </c>
      <c r="P351" s="10">
        <v>223</v>
      </c>
      <c r="Q351" s="10">
        <v>207</v>
      </c>
      <c r="R351" s="10">
        <v>281</v>
      </c>
      <c r="S351" s="10">
        <v>223</v>
      </c>
      <c r="T351" s="10">
        <v>207</v>
      </c>
      <c r="U351" s="10">
        <v>281</v>
      </c>
      <c r="V351" s="10">
        <v>223</v>
      </c>
      <c r="W351" s="10">
        <v>213</v>
      </c>
      <c r="X351" s="10">
        <v>207</v>
      </c>
      <c r="Y351" s="10">
        <v>11</v>
      </c>
      <c r="Z351" s="10">
        <v>207</v>
      </c>
      <c r="AA351" s="10">
        <v>127</v>
      </c>
      <c r="AB351" s="10" t="s">
        <v>2</v>
      </c>
      <c r="AC351" s="10">
        <v>230</v>
      </c>
      <c r="AD351" s="10">
        <v>181</v>
      </c>
      <c r="AE351" s="10">
        <v>12</v>
      </c>
      <c r="AF351" s="10" t="s">
        <v>2</v>
      </c>
      <c r="AG351" s="10" t="s">
        <v>2</v>
      </c>
      <c r="AH351" s="102">
        <f>SUM(Tableau2[[#This Row],[Td 2]:[Td 5]])</f>
        <v>193</v>
      </c>
      <c r="AI351" s="10">
        <v>50</v>
      </c>
      <c r="AJ351" s="10">
        <v>100</v>
      </c>
      <c r="AK351" s="17">
        <f t="shared" si="39"/>
        <v>122.64758333333333</v>
      </c>
      <c r="AL351" s="17">
        <f t="shared" si="40"/>
        <v>74</v>
      </c>
      <c r="AM351" s="17">
        <f t="shared" si="41"/>
        <v>207</v>
      </c>
    </row>
    <row r="352" spans="1:39" s="3" customFormat="1" x14ac:dyDescent="0.25">
      <c r="A352" s="2" t="s">
        <v>16</v>
      </c>
      <c r="B352" s="29" t="s">
        <v>740</v>
      </c>
      <c r="C352" s="2" t="s">
        <v>34</v>
      </c>
      <c r="D352" s="2" t="s">
        <v>379</v>
      </c>
      <c r="E352" s="14">
        <v>8070</v>
      </c>
      <c r="F352" s="15">
        <f t="shared" si="35"/>
        <v>281.64300000000003</v>
      </c>
      <c r="G352" s="15">
        <f t="shared" si="36"/>
        <v>322.8</v>
      </c>
      <c r="H352" s="15">
        <f t="shared" si="37"/>
        <v>234.70250000000004</v>
      </c>
      <c r="I352" s="15">
        <f t="shared" si="38"/>
        <v>269</v>
      </c>
      <c r="J352" s="10">
        <v>17</v>
      </c>
      <c r="K352" s="10">
        <v>4</v>
      </c>
      <c r="L352" s="10">
        <v>44</v>
      </c>
      <c r="M352" s="10">
        <v>30</v>
      </c>
      <c r="N352" s="10">
        <v>41</v>
      </c>
      <c r="O352" s="10">
        <v>44</v>
      </c>
      <c r="P352" s="10">
        <v>30</v>
      </c>
      <c r="Q352" s="10">
        <v>41</v>
      </c>
      <c r="R352" s="10">
        <v>44</v>
      </c>
      <c r="S352" s="10">
        <v>30</v>
      </c>
      <c r="T352" s="10">
        <v>41</v>
      </c>
      <c r="U352" s="10">
        <v>44</v>
      </c>
      <c r="V352" s="10">
        <v>30</v>
      </c>
      <c r="W352" s="10">
        <v>41</v>
      </c>
      <c r="X352" s="10">
        <v>34</v>
      </c>
      <c r="Y352" s="10">
        <v>14</v>
      </c>
      <c r="Z352" s="10">
        <v>34</v>
      </c>
      <c r="AA352" s="10">
        <v>47</v>
      </c>
      <c r="AB352" s="10">
        <v>30</v>
      </c>
      <c r="AC352" s="10">
        <v>17</v>
      </c>
      <c r="AD352" s="10">
        <v>10</v>
      </c>
      <c r="AE352" s="10">
        <v>3</v>
      </c>
      <c r="AF352" s="10">
        <v>1</v>
      </c>
      <c r="AG352" s="10">
        <v>3</v>
      </c>
      <c r="AH352" s="102">
        <f>SUM(Tableau2[[#This Row],[Td 2]:[Td 5]])</f>
        <v>17</v>
      </c>
      <c r="AI352" s="10">
        <v>50</v>
      </c>
      <c r="AJ352" s="10">
        <v>100</v>
      </c>
      <c r="AK352" s="17">
        <f t="shared" si="39"/>
        <v>190.70250000000004</v>
      </c>
      <c r="AL352" s="17">
        <f t="shared" si="40"/>
        <v>10</v>
      </c>
      <c r="AM352" s="17">
        <f t="shared" si="41"/>
        <v>34</v>
      </c>
    </row>
    <row r="353" spans="1:39" s="3" customFormat="1" x14ac:dyDescent="0.25">
      <c r="A353" s="2" t="s">
        <v>16</v>
      </c>
      <c r="B353" s="29" t="s">
        <v>740</v>
      </c>
      <c r="C353" s="2" t="s">
        <v>34</v>
      </c>
      <c r="D353" s="2" t="s">
        <v>380</v>
      </c>
      <c r="E353" s="14">
        <v>15450</v>
      </c>
      <c r="F353" s="15">
        <f t="shared" si="35"/>
        <v>539.20500000000004</v>
      </c>
      <c r="G353" s="15">
        <f t="shared" si="36"/>
        <v>618</v>
      </c>
      <c r="H353" s="15">
        <f t="shared" si="37"/>
        <v>449.33750000000003</v>
      </c>
      <c r="I353" s="15">
        <f t="shared" si="38"/>
        <v>515</v>
      </c>
      <c r="J353" s="10">
        <v>809</v>
      </c>
      <c r="K353" s="10">
        <v>264</v>
      </c>
      <c r="L353" s="10">
        <v>479</v>
      </c>
      <c r="M353" s="10">
        <v>394</v>
      </c>
      <c r="N353" s="10">
        <v>414</v>
      </c>
      <c r="O353" s="10">
        <v>732</v>
      </c>
      <c r="P353" s="10">
        <v>678</v>
      </c>
      <c r="Q353" s="10">
        <v>705</v>
      </c>
      <c r="R353" s="10">
        <v>732</v>
      </c>
      <c r="S353" s="10">
        <v>675</v>
      </c>
      <c r="T353" s="10">
        <v>705</v>
      </c>
      <c r="U353" s="10">
        <v>603</v>
      </c>
      <c r="V353" s="10">
        <v>530</v>
      </c>
      <c r="W353" s="10">
        <v>562</v>
      </c>
      <c r="X353" s="10">
        <v>542</v>
      </c>
      <c r="Y353" s="10">
        <v>374</v>
      </c>
      <c r="Z353" s="10">
        <v>556</v>
      </c>
      <c r="AA353" s="10">
        <v>709</v>
      </c>
      <c r="AB353" s="10">
        <v>539</v>
      </c>
      <c r="AC353" s="10">
        <v>430</v>
      </c>
      <c r="AD353" s="10">
        <v>321</v>
      </c>
      <c r="AE353" s="10">
        <v>311</v>
      </c>
      <c r="AF353" s="10">
        <v>304</v>
      </c>
      <c r="AG353" s="10">
        <v>337</v>
      </c>
      <c r="AH353" s="102">
        <f>SUM(Tableau2[[#This Row],[Td 2]:[Td 5]])</f>
        <v>1273</v>
      </c>
      <c r="AI353" s="10">
        <v>58.3</v>
      </c>
      <c r="AJ353" s="10">
        <v>100</v>
      </c>
      <c r="AK353" s="17">
        <f t="shared" si="39"/>
        <v>0</v>
      </c>
      <c r="AL353" s="17">
        <f t="shared" si="40"/>
        <v>190</v>
      </c>
      <c r="AM353" s="17">
        <f t="shared" si="41"/>
        <v>542</v>
      </c>
    </row>
    <row r="354" spans="1:39" s="3" customFormat="1" x14ac:dyDescent="0.25">
      <c r="A354" s="2" t="s">
        <v>16</v>
      </c>
      <c r="B354" s="29" t="s">
        <v>740</v>
      </c>
      <c r="C354" s="2" t="s">
        <v>34</v>
      </c>
      <c r="D354" s="2" t="s">
        <v>381</v>
      </c>
      <c r="E354" s="14">
        <v>9643</v>
      </c>
      <c r="F354" s="15">
        <f t="shared" si="35"/>
        <v>336.54070000000002</v>
      </c>
      <c r="G354" s="15">
        <f t="shared" si="36"/>
        <v>385.72</v>
      </c>
      <c r="H354" s="15">
        <f t="shared" si="37"/>
        <v>280.45058333333333</v>
      </c>
      <c r="I354" s="15">
        <f t="shared" si="38"/>
        <v>321.43333333333339</v>
      </c>
      <c r="J354" s="10" t="s">
        <v>2</v>
      </c>
      <c r="K354" s="10" t="s">
        <v>2</v>
      </c>
      <c r="L354" s="10" t="s">
        <v>2</v>
      </c>
      <c r="M354" s="10" t="s">
        <v>2</v>
      </c>
      <c r="N354" s="10" t="s">
        <v>2</v>
      </c>
      <c r="O354" s="10" t="s">
        <v>2</v>
      </c>
      <c r="P354" s="10" t="s">
        <v>2</v>
      </c>
      <c r="Q354" s="10" t="s">
        <v>2</v>
      </c>
      <c r="R354" s="10" t="s">
        <v>2</v>
      </c>
      <c r="S354" s="10" t="s">
        <v>2</v>
      </c>
      <c r="T354" s="10" t="s">
        <v>2</v>
      </c>
      <c r="U354" s="10" t="s">
        <v>2</v>
      </c>
      <c r="V354" s="10" t="s">
        <v>2</v>
      </c>
      <c r="W354" s="10" t="s">
        <v>2</v>
      </c>
      <c r="X354" s="10" t="s">
        <v>2</v>
      </c>
      <c r="Y354" s="10" t="s">
        <v>2</v>
      </c>
      <c r="Z354" s="10" t="s">
        <v>2</v>
      </c>
      <c r="AA354" s="10" t="s">
        <v>2</v>
      </c>
      <c r="AB354" s="10" t="s">
        <v>2</v>
      </c>
      <c r="AC354" s="10" t="s">
        <v>2</v>
      </c>
      <c r="AD354" s="10" t="s">
        <v>2</v>
      </c>
      <c r="AE354" s="10" t="s">
        <v>2</v>
      </c>
      <c r="AF354" s="10" t="s">
        <v>2</v>
      </c>
      <c r="AG354" s="10" t="s">
        <v>2</v>
      </c>
      <c r="AH354" s="102">
        <f>SUM(Tableau2[[#This Row],[Td 2]:[Td 5]])</f>
        <v>0</v>
      </c>
      <c r="AI354" s="10">
        <v>25</v>
      </c>
      <c r="AJ354" s="10">
        <v>100</v>
      </c>
      <c r="AK354" s="17">
        <f t="shared" si="39"/>
        <v>0</v>
      </c>
      <c r="AL354" s="17">
        <f t="shared" si="40"/>
        <v>0</v>
      </c>
      <c r="AM354" s="17">
        <f t="shared" si="41"/>
        <v>0</v>
      </c>
    </row>
    <row r="355" spans="1:39" s="3" customFormat="1" x14ac:dyDescent="0.25">
      <c r="A355" s="2" t="s">
        <v>16</v>
      </c>
      <c r="B355" s="29" t="s">
        <v>740</v>
      </c>
      <c r="C355" s="2" t="s">
        <v>34</v>
      </c>
      <c r="D355" s="2" t="s">
        <v>382</v>
      </c>
      <c r="E355" s="14">
        <v>10797</v>
      </c>
      <c r="F355" s="15">
        <f t="shared" si="35"/>
        <v>376.81529999999998</v>
      </c>
      <c r="G355" s="15">
        <f t="shared" si="36"/>
        <v>431.88</v>
      </c>
      <c r="H355" s="15">
        <f t="shared" si="37"/>
        <v>314.01274999999998</v>
      </c>
      <c r="I355" s="15">
        <f t="shared" si="38"/>
        <v>359.90000000000003</v>
      </c>
      <c r="J355" s="10">
        <v>320</v>
      </c>
      <c r="K355" s="10">
        <v>169</v>
      </c>
      <c r="L355" s="10">
        <v>323</v>
      </c>
      <c r="M355" s="10">
        <v>278</v>
      </c>
      <c r="N355" s="10">
        <v>291</v>
      </c>
      <c r="O355" s="10">
        <v>345</v>
      </c>
      <c r="P355" s="10">
        <v>301</v>
      </c>
      <c r="Q355" s="10">
        <v>311</v>
      </c>
      <c r="R355" s="10">
        <v>345</v>
      </c>
      <c r="S355" s="10">
        <v>301</v>
      </c>
      <c r="T355" s="10">
        <v>311</v>
      </c>
      <c r="U355" s="10">
        <v>345</v>
      </c>
      <c r="V355" s="10">
        <v>301</v>
      </c>
      <c r="W355" s="10">
        <v>311</v>
      </c>
      <c r="X355" s="10">
        <v>316</v>
      </c>
      <c r="Y355" s="10">
        <v>196</v>
      </c>
      <c r="Z355" s="10">
        <v>316</v>
      </c>
      <c r="AA355" s="10">
        <v>311</v>
      </c>
      <c r="AB355" s="10">
        <v>291</v>
      </c>
      <c r="AC355" s="10">
        <v>482</v>
      </c>
      <c r="AD355" s="10">
        <v>282</v>
      </c>
      <c r="AE355" s="10">
        <v>102</v>
      </c>
      <c r="AF355" s="10">
        <v>70</v>
      </c>
      <c r="AG355" s="10" t="s">
        <v>2</v>
      </c>
      <c r="AH355" s="102">
        <f>SUM(Tableau2[[#This Row],[Td 2]:[Td 5]])</f>
        <v>454</v>
      </c>
      <c r="AI355" s="10">
        <v>50</v>
      </c>
      <c r="AJ355" s="10">
        <v>100</v>
      </c>
      <c r="AK355" s="17">
        <f t="shared" si="39"/>
        <v>0</v>
      </c>
      <c r="AL355" s="17">
        <f t="shared" si="40"/>
        <v>29</v>
      </c>
      <c r="AM355" s="17">
        <f t="shared" si="41"/>
        <v>316</v>
      </c>
    </row>
    <row r="356" spans="1:39" s="3" customFormat="1" x14ac:dyDescent="0.25">
      <c r="A356" s="2" t="s">
        <v>16</v>
      </c>
      <c r="B356" s="29" t="s">
        <v>740</v>
      </c>
      <c r="C356" s="2" t="s">
        <v>34</v>
      </c>
      <c r="D356" s="2" t="s">
        <v>383</v>
      </c>
      <c r="E356" s="14">
        <v>30956</v>
      </c>
      <c r="F356" s="15">
        <f t="shared" si="35"/>
        <v>1080.3643999999999</v>
      </c>
      <c r="G356" s="15">
        <f t="shared" si="36"/>
        <v>1238.24</v>
      </c>
      <c r="H356" s="15">
        <f t="shared" si="37"/>
        <v>900.30366666666669</v>
      </c>
      <c r="I356" s="15">
        <f t="shared" si="38"/>
        <v>1031.8666666666668</v>
      </c>
      <c r="J356" s="10">
        <v>821</v>
      </c>
      <c r="K356" s="10">
        <v>179</v>
      </c>
      <c r="L356" s="10">
        <v>718</v>
      </c>
      <c r="M356" s="10">
        <v>660</v>
      </c>
      <c r="N356" s="10">
        <v>660</v>
      </c>
      <c r="O356" s="10">
        <v>718</v>
      </c>
      <c r="P356" s="10">
        <v>660</v>
      </c>
      <c r="Q356" s="10">
        <v>660</v>
      </c>
      <c r="R356" s="10">
        <v>622</v>
      </c>
      <c r="S356" s="10">
        <v>566</v>
      </c>
      <c r="T356" s="10">
        <v>514</v>
      </c>
      <c r="U356" s="10">
        <v>718</v>
      </c>
      <c r="V356" s="10">
        <v>660</v>
      </c>
      <c r="W356" s="10">
        <v>660</v>
      </c>
      <c r="X356" s="10">
        <v>666</v>
      </c>
      <c r="Y356" s="10">
        <v>7</v>
      </c>
      <c r="Z356" s="10">
        <v>666</v>
      </c>
      <c r="AA356" s="10">
        <v>660</v>
      </c>
      <c r="AB356" s="10">
        <v>3</v>
      </c>
      <c r="AC356" s="10">
        <v>201</v>
      </c>
      <c r="AD356" s="10">
        <v>116</v>
      </c>
      <c r="AE356" s="10">
        <v>135</v>
      </c>
      <c r="AF356" s="10">
        <v>112</v>
      </c>
      <c r="AG356" s="10">
        <v>98</v>
      </c>
      <c r="AH356" s="102">
        <f>SUM(Tableau2[[#This Row],[Td 2]:[Td 5]])</f>
        <v>461</v>
      </c>
      <c r="AI356" s="10">
        <v>41.7</v>
      </c>
      <c r="AJ356" s="10">
        <v>100</v>
      </c>
      <c r="AK356" s="17">
        <f t="shared" si="39"/>
        <v>182.30366666666669</v>
      </c>
      <c r="AL356" s="17">
        <f t="shared" si="40"/>
        <v>52</v>
      </c>
      <c r="AM356" s="17">
        <f t="shared" si="41"/>
        <v>666</v>
      </c>
    </row>
    <row r="357" spans="1:39" s="3" customFormat="1" x14ac:dyDescent="0.25">
      <c r="A357" s="2" t="s">
        <v>16</v>
      </c>
      <c r="B357" s="29" t="s">
        <v>740</v>
      </c>
      <c r="C357" s="2" t="s">
        <v>34</v>
      </c>
      <c r="D357" s="2" t="s">
        <v>384</v>
      </c>
      <c r="E357" s="14">
        <v>8964</v>
      </c>
      <c r="F357" s="15">
        <f t="shared" si="35"/>
        <v>312.84359999999998</v>
      </c>
      <c r="G357" s="15">
        <f t="shared" si="36"/>
        <v>358.56</v>
      </c>
      <c r="H357" s="15">
        <f t="shared" si="37"/>
        <v>260.70299999999997</v>
      </c>
      <c r="I357" s="15">
        <f t="shared" si="38"/>
        <v>298.8</v>
      </c>
      <c r="J357" s="10">
        <v>390</v>
      </c>
      <c r="K357" s="10">
        <v>130</v>
      </c>
      <c r="L357" s="10">
        <v>485</v>
      </c>
      <c r="M357" s="10">
        <v>464</v>
      </c>
      <c r="N357" s="10">
        <v>414</v>
      </c>
      <c r="O357" s="10">
        <v>484</v>
      </c>
      <c r="P357" s="10">
        <v>480</v>
      </c>
      <c r="Q357" s="10">
        <v>414</v>
      </c>
      <c r="R357" s="10">
        <v>480</v>
      </c>
      <c r="S357" s="10">
        <v>480</v>
      </c>
      <c r="T357" s="10">
        <v>414</v>
      </c>
      <c r="U357" s="10">
        <v>479</v>
      </c>
      <c r="V357" s="10">
        <v>480</v>
      </c>
      <c r="W357" s="10">
        <v>414</v>
      </c>
      <c r="X357" s="10">
        <v>351</v>
      </c>
      <c r="Y357" s="10">
        <v>122</v>
      </c>
      <c r="Z357" s="10">
        <v>352</v>
      </c>
      <c r="AA357" s="10">
        <v>434</v>
      </c>
      <c r="AB357" s="10">
        <v>307</v>
      </c>
      <c r="AC357" s="10">
        <v>161</v>
      </c>
      <c r="AD357" s="10">
        <v>63</v>
      </c>
      <c r="AE357" s="10">
        <v>104</v>
      </c>
      <c r="AF357" s="10">
        <v>50</v>
      </c>
      <c r="AG357" s="10">
        <v>29</v>
      </c>
      <c r="AH357" s="102">
        <f>SUM(Tableau2[[#This Row],[Td 2]:[Td 5]])</f>
        <v>246</v>
      </c>
      <c r="AI357" s="10">
        <v>50</v>
      </c>
      <c r="AJ357" s="10">
        <v>100</v>
      </c>
      <c r="AK357" s="17">
        <f t="shared" si="39"/>
        <v>0</v>
      </c>
      <c r="AL357" s="17">
        <f t="shared" si="40"/>
        <v>133</v>
      </c>
      <c r="AM357" s="17">
        <f t="shared" si="41"/>
        <v>351</v>
      </c>
    </row>
    <row r="358" spans="1:39" s="3" customFormat="1" x14ac:dyDescent="0.25">
      <c r="A358" s="2" t="s">
        <v>16</v>
      </c>
      <c r="B358" s="29" t="s">
        <v>740</v>
      </c>
      <c r="C358" s="2" t="s">
        <v>34</v>
      </c>
      <c r="D358" s="2" t="s">
        <v>385</v>
      </c>
      <c r="E358" s="14">
        <v>42058</v>
      </c>
      <c r="F358" s="15">
        <f t="shared" si="35"/>
        <v>1467.8242</v>
      </c>
      <c r="G358" s="15">
        <f t="shared" si="36"/>
        <v>1682.32</v>
      </c>
      <c r="H358" s="15">
        <f t="shared" si="37"/>
        <v>1223.1868333333334</v>
      </c>
      <c r="I358" s="15">
        <f t="shared" si="38"/>
        <v>1401.9333333333334</v>
      </c>
      <c r="J358" s="10">
        <v>1188</v>
      </c>
      <c r="K358" s="10">
        <v>1188</v>
      </c>
      <c r="L358" s="10">
        <v>1176</v>
      </c>
      <c r="M358" s="10">
        <v>1186</v>
      </c>
      <c r="N358" s="10">
        <v>1202</v>
      </c>
      <c r="O358" s="10">
        <v>1176</v>
      </c>
      <c r="P358" s="10">
        <v>1186</v>
      </c>
      <c r="Q358" s="10">
        <v>1202</v>
      </c>
      <c r="R358" s="10">
        <v>1176</v>
      </c>
      <c r="S358" s="10">
        <v>1186</v>
      </c>
      <c r="T358" s="10">
        <v>1202</v>
      </c>
      <c r="U358" s="10">
        <v>1176</v>
      </c>
      <c r="V358" s="10">
        <v>1186</v>
      </c>
      <c r="W358" s="10">
        <v>1202</v>
      </c>
      <c r="X358" s="10">
        <v>1238</v>
      </c>
      <c r="Y358" s="10">
        <v>1212</v>
      </c>
      <c r="Z358" s="10">
        <v>1236</v>
      </c>
      <c r="AA358" s="10">
        <v>1202</v>
      </c>
      <c r="AB358" s="10">
        <v>1234</v>
      </c>
      <c r="AC358" s="10">
        <v>228</v>
      </c>
      <c r="AD358" s="10">
        <v>184</v>
      </c>
      <c r="AE358" s="10">
        <v>168</v>
      </c>
      <c r="AF358" s="10">
        <v>122</v>
      </c>
      <c r="AG358" s="10">
        <v>113</v>
      </c>
      <c r="AH358" s="102">
        <f>SUM(Tableau2[[#This Row],[Td 2]:[Td 5]])</f>
        <v>587</v>
      </c>
      <c r="AI358" s="10">
        <v>58.3</v>
      </c>
      <c r="AJ358" s="10">
        <v>100</v>
      </c>
      <c r="AK358" s="17">
        <f t="shared" si="39"/>
        <v>47.186833333333425</v>
      </c>
      <c r="AL358" s="17">
        <f t="shared" si="40"/>
        <v>0</v>
      </c>
      <c r="AM358" s="17">
        <f t="shared" si="41"/>
        <v>1236</v>
      </c>
    </row>
    <row r="359" spans="1:39" s="3" customFormat="1" x14ac:dyDescent="0.25">
      <c r="A359" s="2" t="s">
        <v>16</v>
      </c>
      <c r="B359" s="29" t="s">
        <v>740</v>
      </c>
      <c r="C359" s="2" t="s">
        <v>34</v>
      </c>
      <c r="D359" s="2" t="s">
        <v>386</v>
      </c>
      <c r="E359" s="14">
        <v>9839</v>
      </c>
      <c r="F359" s="15">
        <f t="shared" si="35"/>
        <v>343.3811</v>
      </c>
      <c r="G359" s="15">
        <f t="shared" si="36"/>
        <v>393.56</v>
      </c>
      <c r="H359" s="15">
        <f t="shared" si="37"/>
        <v>286.15091666666666</v>
      </c>
      <c r="I359" s="15">
        <f t="shared" si="38"/>
        <v>327.9666666666667</v>
      </c>
      <c r="J359" s="10">
        <v>192</v>
      </c>
      <c r="K359" s="10">
        <v>81</v>
      </c>
      <c r="L359" s="10">
        <v>239</v>
      </c>
      <c r="M359" s="10">
        <v>205</v>
      </c>
      <c r="N359" s="10">
        <v>220</v>
      </c>
      <c r="O359" s="10">
        <v>244</v>
      </c>
      <c r="P359" s="10">
        <v>205</v>
      </c>
      <c r="Q359" s="10">
        <v>220</v>
      </c>
      <c r="R359" s="10">
        <v>239</v>
      </c>
      <c r="S359" s="10">
        <v>214</v>
      </c>
      <c r="T359" s="10">
        <v>220</v>
      </c>
      <c r="U359" s="10">
        <v>244</v>
      </c>
      <c r="V359" s="10">
        <v>218</v>
      </c>
      <c r="W359" s="10">
        <v>220</v>
      </c>
      <c r="X359" s="10">
        <v>172</v>
      </c>
      <c r="Y359" s="10">
        <v>75</v>
      </c>
      <c r="Z359" s="10">
        <v>151</v>
      </c>
      <c r="AA359" s="10">
        <v>220</v>
      </c>
      <c r="AB359" s="10">
        <v>172</v>
      </c>
      <c r="AC359" s="10">
        <v>50</v>
      </c>
      <c r="AD359" s="10">
        <v>17</v>
      </c>
      <c r="AE359" s="10" t="s">
        <v>2</v>
      </c>
      <c r="AF359" s="10" t="s">
        <v>2</v>
      </c>
      <c r="AG359" s="10" t="s">
        <v>2</v>
      </c>
      <c r="AH359" s="102">
        <f>SUM(Tableau2[[#This Row],[Td 2]:[Td 5]])</f>
        <v>17</v>
      </c>
      <c r="AI359" s="10">
        <v>25</v>
      </c>
      <c r="AJ359" s="10">
        <v>100</v>
      </c>
      <c r="AK359" s="17">
        <f t="shared" si="39"/>
        <v>42.15091666666666</v>
      </c>
      <c r="AL359" s="17">
        <f t="shared" si="40"/>
        <v>72</v>
      </c>
      <c r="AM359" s="17">
        <f t="shared" si="41"/>
        <v>151</v>
      </c>
    </row>
    <row r="360" spans="1:39" s="3" customFormat="1" x14ac:dyDescent="0.25">
      <c r="A360" s="2" t="s">
        <v>16</v>
      </c>
      <c r="B360" s="29" t="s">
        <v>740</v>
      </c>
      <c r="C360" s="2" t="s">
        <v>34</v>
      </c>
      <c r="D360" s="2" t="s">
        <v>387</v>
      </c>
      <c r="E360" s="14">
        <v>28580</v>
      </c>
      <c r="F360" s="15">
        <f t="shared" si="35"/>
        <v>997.44200000000001</v>
      </c>
      <c r="G360" s="15">
        <f t="shared" si="36"/>
        <v>1143.2</v>
      </c>
      <c r="H360" s="15">
        <f t="shared" si="37"/>
        <v>831.2016666666666</v>
      </c>
      <c r="I360" s="15">
        <f t="shared" si="38"/>
        <v>952.66666666666663</v>
      </c>
      <c r="J360" s="10">
        <v>125</v>
      </c>
      <c r="K360" s="10">
        <v>50</v>
      </c>
      <c r="L360" s="10">
        <v>120</v>
      </c>
      <c r="M360" s="10">
        <v>112</v>
      </c>
      <c r="N360" s="10">
        <v>119</v>
      </c>
      <c r="O360" s="10">
        <v>120</v>
      </c>
      <c r="P360" s="10">
        <v>112</v>
      </c>
      <c r="Q360" s="10">
        <v>119</v>
      </c>
      <c r="R360" s="10">
        <v>120</v>
      </c>
      <c r="S360" s="10">
        <v>112</v>
      </c>
      <c r="T360" s="10">
        <v>119</v>
      </c>
      <c r="U360" s="10">
        <v>120</v>
      </c>
      <c r="V360" s="10">
        <v>112</v>
      </c>
      <c r="W360" s="10">
        <v>119</v>
      </c>
      <c r="X360" s="10">
        <v>92</v>
      </c>
      <c r="Y360" s="10">
        <v>44</v>
      </c>
      <c r="Z360" s="10">
        <v>92</v>
      </c>
      <c r="AA360" s="10">
        <v>119</v>
      </c>
      <c r="AB360" s="10">
        <v>92</v>
      </c>
      <c r="AC360" s="10">
        <v>113</v>
      </c>
      <c r="AD360" s="10">
        <v>97</v>
      </c>
      <c r="AE360" s="10">
        <v>20</v>
      </c>
      <c r="AF360" s="10">
        <v>9</v>
      </c>
      <c r="AG360" s="10">
        <v>10</v>
      </c>
      <c r="AH360" s="102">
        <f>SUM(Tableau2[[#This Row],[Td 2]:[Td 5]])</f>
        <v>136</v>
      </c>
      <c r="AI360" s="10">
        <v>16.7</v>
      </c>
      <c r="AJ360" s="10">
        <v>100</v>
      </c>
      <c r="AK360" s="17">
        <f t="shared" si="39"/>
        <v>711.2016666666666</v>
      </c>
      <c r="AL360" s="17">
        <f t="shared" si="40"/>
        <v>28</v>
      </c>
      <c r="AM360" s="17">
        <f t="shared" si="41"/>
        <v>92</v>
      </c>
    </row>
    <row r="361" spans="1:39" s="3" customFormat="1" x14ac:dyDescent="0.25">
      <c r="A361" s="2" t="s">
        <v>16</v>
      </c>
      <c r="B361" s="29" t="s">
        <v>739</v>
      </c>
      <c r="C361" s="2" t="s">
        <v>35</v>
      </c>
      <c r="D361" s="2" t="s">
        <v>388</v>
      </c>
      <c r="E361" s="14">
        <v>7200</v>
      </c>
      <c r="F361" s="15">
        <f t="shared" si="35"/>
        <v>251.28</v>
      </c>
      <c r="G361" s="15">
        <f t="shared" si="36"/>
        <v>288</v>
      </c>
      <c r="H361" s="15">
        <f t="shared" si="37"/>
        <v>209.4</v>
      </c>
      <c r="I361" s="15">
        <f t="shared" si="38"/>
        <v>240</v>
      </c>
      <c r="J361" s="10">
        <v>236</v>
      </c>
      <c r="K361" s="10">
        <v>404</v>
      </c>
      <c r="L361" s="10">
        <v>264</v>
      </c>
      <c r="M361" s="10">
        <v>257</v>
      </c>
      <c r="N361" s="10">
        <v>302</v>
      </c>
      <c r="O361" s="10">
        <v>261</v>
      </c>
      <c r="P361" s="10">
        <v>259</v>
      </c>
      <c r="Q361" s="10">
        <v>279</v>
      </c>
      <c r="R361" s="10">
        <v>275</v>
      </c>
      <c r="S361" s="10">
        <v>237</v>
      </c>
      <c r="T361" s="10">
        <v>261</v>
      </c>
      <c r="U361" s="10">
        <v>266</v>
      </c>
      <c r="V361" s="10">
        <v>281</v>
      </c>
      <c r="W361" s="10">
        <v>289</v>
      </c>
      <c r="X361" s="10">
        <v>286</v>
      </c>
      <c r="Y361" s="10">
        <v>137</v>
      </c>
      <c r="Z361" s="10">
        <v>271</v>
      </c>
      <c r="AA361" s="10">
        <v>293</v>
      </c>
      <c r="AB361" s="10">
        <v>214</v>
      </c>
      <c r="AC361" s="10">
        <v>57</v>
      </c>
      <c r="AD361" s="10">
        <v>42</v>
      </c>
      <c r="AE361" s="10">
        <v>35</v>
      </c>
      <c r="AF361" s="10">
        <v>47</v>
      </c>
      <c r="AG361" s="10">
        <v>35</v>
      </c>
      <c r="AH361" s="102">
        <f>SUM(Tableau2[[#This Row],[Td 2]:[Td 5]])</f>
        <v>159</v>
      </c>
      <c r="AI361" s="10">
        <v>66.7</v>
      </c>
      <c r="AJ361" s="10">
        <v>100</v>
      </c>
      <c r="AK361" s="17">
        <f t="shared" si="39"/>
        <v>0</v>
      </c>
      <c r="AL361" s="17">
        <f t="shared" si="40"/>
        <v>0</v>
      </c>
      <c r="AM361" s="17">
        <f t="shared" si="41"/>
        <v>271</v>
      </c>
    </row>
    <row r="362" spans="1:39" s="3" customFormat="1" x14ac:dyDescent="0.25">
      <c r="A362" s="2" t="s">
        <v>16</v>
      </c>
      <c r="B362" s="29" t="s">
        <v>739</v>
      </c>
      <c r="C362" s="2" t="s">
        <v>35</v>
      </c>
      <c r="D362" s="2" t="s">
        <v>389</v>
      </c>
      <c r="E362" s="14">
        <v>4779</v>
      </c>
      <c r="F362" s="15">
        <f t="shared" si="35"/>
        <v>166.78710000000001</v>
      </c>
      <c r="G362" s="15">
        <f t="shared" si="36"/>
        <v>191.16</v>
      </c>
      <c r="H362" s="15">
        <f t="shared" si="37"/>
        <v>138.98925</v>
      </c>
      <c r="I362" s="15">
        <f t="shared" si="38"/>
        <v>159.30000000000001</v>
      </c>
      <c r="J362" s="10">
        <v>128</v>
      </c>
      <c r="K362" s="10">
        <v>8</v>
      </c>
      <c r="L362" s="10">
        <v>145</v>
      </c>
      <c r="M362" s="10">
        <v>116</v>
      </c>
      <c r="N362" s="10">
        <v>155</v>
      </c>
      <c r="O362" s="10">
        <v>145</v>
      </c>
      <c r="P362" s="10">
        <v>113</v>
      </c>
      <c r="Q362" s="10">
        <v>138</v>
      </c>
      <c r="R362" s="10">
        <v>145</v>
      </c>
      <c r="S362" s="10">
        <v>116</v>
      </c>
      <c r="T362" s="10">
        <v>155</v>
      </c>
      <c r="U362" s="10">
        <v>145</v>
      </c>
      <c r="V362" s="10">
        <v>116</v>
      </c>
      <c r="W362" s="10">
        <v>155</v>
      </c>
      <c r="X362" s="10">
        <v>147</v>
      </c>
      <c r="Y362" s="10">
        <v>34</v>
      </c>
      <c r="Z362" s="10">
        <v>147</v>
      </c>
      <c r="AA362" s="10">
        <v>175</v>
      </c>
      <c r="AB362" s="10">
        <v>114</v>
      </c>
      <c r="AC362" s="10">
        <v>25</v>
      </c>
      <c r="AD362" s="10">
        <v>12</v>
      </c>
      <c r="AE362" s="10">
        <v>20</v>
      </c>
      <c r="AF362" s="10">
        <v>18</v>
      </c>
      <c r="AG362" s="10">
        <v>4</v>
      </c>
      <c r="AH362" s="102">
        <f>SUM(Tableau2[[#This Row],[Td 2]:[Td 5]])</f>
        <v>54</v>
      </c>
      <c r="AI362" s="10">
        <v>58.3</v>
      </c>
      <c r="AJ362" s="10">
        <v>100</v>
      </c>
      <c r="AK362" s="17">
        <f t="shared" si="39"/>
        <v>0</v>
      </c>
      <c r="AL362" s="17">
        <f t="shared" si="40"/>
        <v>0</v>
      </c>
      <c r="AM362" s="17">
        <f t="shared" si="41"/>
        <v>147</v>
      </c>
    </row>
    <row r="363" spans="1:39" s="3" customFormat="1" x14ac:dyDescent="0.25">
      <c r="A363" s="2" t="s">
        <v>16</v>
      </c>
      <c r="B363" s="29" t="s">
        <v>739</v>
      </c>
      <c r="C363" s="2" t="s">
        <v>35</v>
      </c>
      <c r="D363" s="2" t="s">
        <v>390</v>
      </c>
      <c r="E363" s="14">
        <v>11429</v>
      </c>
      <c r="F363" s="15">
        <f t="shared" si="35"/>
        <v>398.87209999999999</v>
      </c>
      <c r="G363" s="15">
        <f t="shared" si="36"/>
        <v>457.16</v>
      </c>
      <c r="H363" s="15">
        <f t="shared" si="37"/>
        <v>332.39341666666667</v>
      </c>
      <c r="I363" s="15">
        <f t="shared" si="38"/>
        <v>380.9666666666667</v>
      </c>
      <c r="J363" s="10">
        <v>287</v>
      </c>
      <c r="K363" s="10">
        <v>258</v>
      </c>
      <c r="L363" s="10">
        <v>328</v>
      </c>
      <c r="M363" s="10">
        <v>326</v>
      </c>
      <c r="N363" s="10">
        <v>305</v>
      </c>
      <c r="O363" s="10">
        <v>300</v>
      </c>
      <c r="P363" s="10">
        <v>253</v>
      </c>
      <c r="Q363" s="10">
        <v>262</v>
      </c>
      <c r="R363" s="10">
        <v>300</v>
      </c>
      <c r="S363" s="10">
        <v>296</v>
      </c>
      <c r="T363" s="10">
        <v>291</v>
      </c>
      <c r="U363" s="10">
        <v>328</v>
      </c>
      <c r="V363" s="10">
        <v>324</v>
      </c>
      <c r="W363" s="10">
        <v>291</v>
      </c>
      <c r="X363" s="10">
        <v>252</v>
      </c>
      <c r="Y363" s="10">
        <v>98</v>
      </c>
      <c r="Z363" s="10">
        <v>252</v>
      </c>
      <c r="AA363" s="10">
        <v>291</v>
      </c>
      <c r="AB363" s="10">
        <v>151</v>
      </c>
      <c r="AC363" s="10">
        <v>89</v>
      </c>
      <c r="AD363" s="10">
        <v>37</v>
      </c>
      <c r="AE363" s="10">
        <v>35</v>
      </c>
      <c r="AF363" s="10">
        <v>21</v>
      </c>
      <c r="AG363" s="10">
        <v>25</v>
      </c>
      <c r="AH363" s="102">
        <f>SUM(Tableau2[[#This Row],[Td 2]:[Td 5]])</f>
        <v>118</v>
      </c>
      <c r="AI363" s="10">
        <v>66.7</v>
      </c>
      <c r="AJ363" s="10">
        <v>100</v>
      </c>
      <c r="AK363" s="17">
        <f t="shared" si="39"/>
        <v>32.393416666666667</v>
      </c>
      <c r="AL363" s="17">
        <f t="shared" si="40"/>
        <v>48</v>
      </c>
      <c r="AM363" s="17">
        <f t="shared" si="41"/>
        <v>252</v>
      </c>
    </row>
    <row r="364" spans="1:39" s="3" customFormat="1" x14ac:dyDescent="0.25">
      <c r="A364" s="2" t="s">
        <v>16</v>
      </c>
      <c r="B364" s="29" t="s">
        <v>739</v>
      </c>
      <c r="C364" s="2" t="s">
        <v>35</v>
      </c>
      <c r="D364" s="2" t="s">
        <v>391</v>
      </c>
      <c r="E364" s="14">
        <v>10129</v>
      </c>
      <c r="F364" s="15">
        <f t="shared" si="35"/>
        <v>353.50209999999998</v>
      </c>
      <c r="G364" s="15">
        <f t="shared" si="36"/>
        <v>405.16</v>
      </c>
      <c r="H364" s="15">
        <f t="shared" si="37"/>
        <v>294.58508333333333</v>
      </c>
      <c r="I364" s="15">
        <f t="shared" si="38"/>
        <v>337.63333333333333</v>
      </c>
      <c r="J364" s="10">
        <v>289</v>
      </c>
      <c r="K364" s="10">
        <v>65</v>
      </c>
      <c r="L364" s="10">
        <v>273</v>
      </c>
      <c r="M364" s="10">
        <v>332</v>
      </c>
      <c r="N364" s="10">
        <v>334</v>
      </c>
      <c r="O364" s="10">
        <v>359</v>
      </c>
      <c r="P364" s="10">
        <v>395</v>
      </c>
      <c r="Q364" s="10">
        <v>370</v>
      </c>
      <c r="R364" s="10">
        <v>369</v>
      </c>
      <c r="S364" s="10">
        <v>361</v>
      </c>
      <c r="T364" s="10">
        <v>364</v>
      </c>
      <c r="U364" s="10">
        <v>337</v>
      </c>
      <c r="V364" s="10">
        <v>346</v>
      </c>
      <c r="W364" s="10">
        <v>364</v>
      </c>
      <c r="X364" s="10">
        <v>330</v>
      </c>
      <c r="Y364" s="10" t="s">
        <v>2</v>
      </c>
      <c r="Z364" s="10">
        <v>313</v>
      </c>
      <c r="AA364" s="10">
        <v>443</v>
      </c>
      <c r="AB364" s="10">
        <v>180</v>
      </c>
      <c r="AC364" s="10">
        <v>49</v>
      </c>
      <c r="AD364" s="10">
        <v>42</v>
      </c>
      <c r="AE364" s="10">
        <v>57</v>
      </c>
      <c r="AF364" s="10">
        <v>31</v>
      </c>
      <c r="AG364" s="10">
        <v>25</v>
      </c>
      <c r="AH364" s="102">
        <f>SUM(Tableau2[[#This Row],[Td 2]:[Td 5]])</f>
        <v>155</v>
      </c>
      <c r="AI364" s="10">
        <v>58.3</v>
      </c>
      <c r="AJ364" s="10">
        <v>100</v>
      </c>
      <c r="AK364" s="17">
        <f t="shared" si="39"/>
        <v>0</v>
      </c>
      <c r="AL364" s="17">
        <f t="shared" si="40"/>
        <v>29</v>
      </c>
      <c r="AM364" s="17">
        <f t="shared" si="41"/>
        <v>313</v>
      </c>
    </row>
    <row r="365" spans="1:39" s="3" customFormat="1" x14ac:dyDescent="0.25">
      <c r="A365" s="2" t="s">
        <v>16</v>
      </c>
      <c r="B365" s="29" t="s">
        <v>739</v>
      </c>
      <c r="C365" s="2" t="s">
        <v>35</v>
      </c>
      <c r="D365" s="2" t="s">
        <v>392</v>
      </c>
      <c r="E365" s="14">
        <v>9396</v>
      </c>
      <c r="F365" s="15">
        <f t="shared" si="35"/>
        <v>327.92040000000003</v>
      </c>
      <c r="G365" s="15">
        <f t="shared" si="36"/>
        <v>375.84000000000003</v>
      </c>
      <c r="H365" s="15">
        <f t="shared" si="37"/>
        <v>273.26700000000005</v>
      </c>
      <c r="I365" s="15">
        <f t="shared" si="38"/>
        <v>313.20000000000005</v>
      </c>
      <c r="J365" s="10">
        <v>267</v>
      </c>
      <c r="K365" s="10">
        <v>176</v>
      </c>
      <c r="L365" s="10">
        <v>266</v>
      </c>
      <c r="M365" s="10">
        <v>268</v>
      </c>
      <c r="N365" s="10">
        <v>283</v>
      </c>
      <c r="O365" s="10">
        <v>220</v>
      </c>
      <c r="P365" s="10">
        <v>242</v>
      </c>
      <c r="Q365" s="10">
        <v>256</v>
      </c>
      <c r="R365" s="10">
        <v>239</v>
      </c>
      <c r="S365" s="10">
        <v>242</v>
      </c>
      <c r="T365" s="10">
        <v>264</v>
      </c>
      <c r="U365" s="10">
        <v>213</v>
      </c>
      <c r="V365" s="10">
        <v>215</v>
      </c>
      <c r="W365" s="10">
        <v>234</v>
      </c>
      <c r="X365" s="10">
        <v>305</v>
      </c>
      <c r="Y365" s="10">
        <v>200</v>
      </c>
      <c r="Z365" s="10">
        <v>269</v>
      </c>
      <c r="AA365" s="10">
        <v>392</v>
      </c>
      <c r="AB365" s="10">
        <v>154</v>
      </c>
      <c r="AC365" s="10">
        <v>76</v>
      </c>
      <c r="AD365" s="10">
        <v>45</v>
      </c>
      <c r="AE365" s="10">
        <v>65</v>
      </c>
      <c r="AF365" s="10">
        <v>57</v>
      </c>
      <c r="AG365" s="10">
        <v>42</v>
      </c>
      <c r="AH365" s="102">
        <f>SUM(Tableau2[[#This Row],[Td 2]:[Td 5]])</f>
        <v>209</v>
      </c>
      <c r="AI365" s="10">
        <v>58.3</v>
      </c>
      <c r="AJ365" s="10">
        <v>100</v>
      </c>
      <c r="AK365" s="17">
        <f t="shared" si="39"/>
        <v>53.267000000000053</v>
      </c>
      <c r="AL365" s="17">
        <f t="shared" si="40"/>
        <v>0</v>
      </c>
      <c r="AM365" s="17">
        <f t="shared" si="41"/>
        <v>269</v>
      </c>
    </row>
    <row r="366" spans="1:39" s="3" customFormat="1" x14ac:dyDescent="0.25">
      <c r="A366" s="2" t="s">
        <v>16</v>
      </c>
      <c r="B366" s="29" t="s">
        <v>739</v>
      </c>
      <c r="C366" s="2" t="s">
        <v>35</v>
      </c>
      <c r="D366" s="2" t="s">
        <v>393</v>
      </c>
      <c r="E366" s="14">
        <v>6367</v>
      </c>
      <c r="F366" s="15">
        <f t="shared" si="35"/>
        <v>222.20830000000001</v>
      </c>
      <c r="G366" s="15">
        <f t="shared" si="36"/>
        <v>254.68</v>
      </c>
      <c r="H366" s="15">
        <f t="shared" si="37"/>
        <v>185.17358333333334</v>
      </c>
      <c r="I366" s="15">
        <f t="shared" si="38"/>
        <v>212.23333333333332</v>
      </c>
      <c r="J366" s="10">
        <v>170</v>
      </c>
      <c r="K366" s="10">
        <v>58</v>
      </c>
      <c r="L366" s="10">
        <v>175</v>
      </c>
      <c r="M366" s="10">
        <v>188</v>
      </c>
      <c r="N366" s="10">
        <v>177</v>
      </c>
      <c r="O366" s="10">
        <v>185</v>
      </c>
      <c r="P366" s="10">
        <v>197</v>
      </c>
      <c r="Q366" s="10">
        <v>179</v>
      </c>
      <c r="R366" s="10">
        <v>178</v>
      </c>
      <c r="S366" s="10">
        <v>203</v>
      </c>
      <c r="T366" s="10">
        <v>185</v>
      </c>
      <c r="U366" s="10">
        <v>182</v>
      </c>
      <c r="V366" s="10">
        <v>193</v>
      </c>
      <c r="W366" s="10">
        <v>177</v>
      </c>
      <c r="X366" s="10">
        <v>173</v>
      </c>
      <c r="Y366" s="10">
        <v>20</v>
      </c>
      <c r="Z366" s="10">
        <v>178</v>
      </c>
      <c r="AA366" s="10">
        <v>177</v>
      </c>
      <c r="AB366" s="10">
        <v>91</v>
      </c>
      <c r="AC366" s="10">
        <v>72</v>
      </c>
      <c r="AD366" s="10">
        <v>36</v>
      </c>
      <c r="AE366" s="10">
        <v>44</v>
      </c>
      <c r="AF366" s="10">
        <v>35</v>
      </c>
      <c r="AG366" s="10">
        <v>24</v>
      </c>
      <c r="AH366" s="102">
        <f>SUM(Tableau2[[#This Row],[Td 2]:[Td 5]])</f>
        <v>139</v>
      </c>
      <c r="AI366" s="10">
        <v>58.3</v>
      </c>
      <c r="AJ366" s="10">
        <v>100</v>
      </c>
      <c r="AK366" s="17">
        <f t="shared" si="39"/>
        <v>0.17358333333334031</v>
      </c>
      <c r="AL366" s="17">
        <f t="shared" si="40"/>
        <v>12</v>
      </c>
      <c r="AM366" s="17">
        <f t="shared" si="41"/>
        <v>173</v>
      </c>
    </row>
    <row r="367" spans="1:39" s="3" customFormat="1" x14ac:dyDescent="0.25">
      <c r="A367" s="2" t="s">
        <v>16</v>
      </c>
      <c r="B367" s="29" t="s">
        <v>739</v>
      </c>
      <c r="C367" s="2" t="s">
        <v>35</v>
      </c>
      <c r="D367" s="2" t="s">
        <v>394</v>
      </c>
      <c r="E367" s="14">
        <v>14413</v>
      </c>
      <c r="F367" s="15">
        <f t="shared" si="35"/>
        <v>503.01370000000003</v>
      </c>
      <c r="G367" s="15">
        <f t="shared" si="36"/>
        <v>576.52</v>
      </c>
      <c r="H367" s="15">
        <f t="shared" si="37"/>
        <v>419.17808333333335</v>
      </c>
      <c r="I367" s="15">
        <f t="shared" si="38"/>
        <v>480.43333333333328</v>
      </c>
      <c r="J367" s="10">
        <v>308</v>
      </c>
      <c r="K367" s="10">
        <v>23</v>
      </c>
      <c r="L367" s="10">
        <v>356</v>
      </c>
      <c r="M367" s="10">
        <v>337</v>
      </c>
      <c r="N367" s="10">
        <v>372</v>
      </c>
      <c r="O367" s="10">
        <v>335</v>
      </c>
      <c r="P367" s="10">
        <v>317</v>
      </c>
      <c r="Q367" s="10">
        <v>358</v>
      </c>
      <c r="R367" s="10">
        <v>335</v>
      </c>
      <c r="S367" s="10">
        <v>317</v>
      </c>
      <c r="T367" s="10">
        <v>347</v>
      </c>
      <c r="U367" s="10">
        <v>356</v>
      </c>
      <c r="V367" s="10">
        <v>337</v>
      </c>
      <c r="W367" s="10">
        <v>372</v>
      </c>
      <c r="X367" s="10">
        <v>445</v>
      </c>
      <c r="Y367" s="10">
        <v>78</v>
      </c>
      <c r="Z367" s="10">
        <v>413</v>
      </c>
      <c r="AA367" s="10">
        <v>372</v>
      </c>
      <c r="AB367" s="10">
        <v>271</v>
      </c>
      <c r="AC367" s="10">
        <v>58</v>
      </c>
      <c r="AD367" s="10">
        <v>49</v>
      </c>
      <c r="AE367" s="10">
        <v>48</v>
      </c>
      <c r="AF367" s="10">
        <v>38</v>
      </c>
      <c r="AG367" s="10">
        <v>28</v>
      </c>
      <c r="AH367" s="102">
        <f>SUM(Tableau2[[#This Row],[Td 2]:[Td 5]])</f>
        <v>163</v>
      </c>
      <c r="AI367" s="10">
        <v>58.3</v>
      </c>
      <c r="AJ367" s="10">
        <v>100</v>
      </c>
      <c r="AK367" s="17">
        <f t="shared" si="39"/>
        <v>84.178083333333348</v>
      </c>
      <c r="AL367" s="17">
        <f t="shared" si="40"/>
        <v>0</v>
      </c>
      <c r="AM367" s="17">
        <f t="shared" si="41"/>
        <v>413</v>
      </c>
    </row>
    <row r="368" spans="1:39" s="3" customFormat="1" x14ac:dyDescent="0.25">
      <c r="A368" s="2" t="s">
        <v>16</v>
      </c>
      <c r="B368" s="29" t="s">
        <v>739</v>
      </c>
      <c r="C368" s="2" t="s">
        <v>35</v>
      </c>
      <c r="D368" s="2" t="s">
        <v>395</v>
      </c>
      <c r="E368" s="14">
        <v>8580</v>
      </c>
      <c r="F368" s="15">
        <f t="shared" si="35"/>
        <v>299.44200000000001</v>
      </c>
      <c r="G368" s="15">
        <f t="shared" si="36"/>
        <v>343.2</v>
      </c>
      <c r="H368" s="15">
        <f t="shared" si="37"/>
        <v>249.53500000000003</v>
      </c>
      <c r="I368" s="15">
        <f t="shared" si="38"/>
        <v>286</v>
      </c>
      <c r="J368" s="10">
        <v>313</v>
      </c>
      <c r="K368" s="10">
        <v>134</v>
      </c>
      <c r="L368" s="10">
        <v>311</v>
      </c>
      <c r="M368" s="10">
        <v>300</v>
      </c>
      <c r="N368" s="10">
        <v>291</v>
      </c>
      <c r="O368" s="10">
        <v>255</v>
      </c>
      <c r="P368" s="10">
        <v>254</v>
      </c>
      <c r="Q368" s="10">
        <v>233</v>
      </c>
      <c r="R368" s="10">
        <v>250</v>
      </c>
      <c r="S368" s="10">
        <v>247</v>
      </c>
      <c r="T368" s="10">
        <v>232</v>
      </c>
      <c r="U368" s="10">
        <v>274</v>
      </c>
      <c r="V368" s="10">
        <v>275</v>
      </c>
      <c r="W368" s="10">
        <v>252</v>
      </c>
      <c r="X368" s="10">
        <v>270</v>
      </c>
      <c r="Y368" s="10">
        <v>85</v>
      </c>
      <c r="Z368" s="10">
        <v>251</v>
      </c>
      <c r="AA368" s="10">
        <v>288</v>
      </c>
      <c r="AB368" s="10">
        <v>168</v>
      </c>
      <c r="AC368" s="10">
        <v>101</v>
      </c>
      <c r="AD368" s="10">
        <v>71</v>
      </c>
      <c r="AE368" s="10">
        <v>38</v>
      </c>
      <c r="AF368" s="10">
        <v>16</v>
      </c>
      <c r="AG368" s="10">
        <v>14</v>
      </c>
      <c r="AH368" s="102">
        <f>SUM(Tableau2[[#This Row],[Td 2]:[Td 5]])</f>
        <v>139</v>
      </c>
      <c r="AI368" s="10">
        <v>58.3</v>
      </c>
      <c r="AJ368" s="10">
        <v>100</v>
      </c>
      <c r="AK368" s="17">
        <f t="shared" si="39"/>
        <v>0</v>
      </c>
      <c r="AL368" s="17">
        <f t="shared" si="40"/>
        <v>0</v>
      </c>
      <c r="AM368" s="17">
        <f t="shared" si="41"/>
        <v>251</v>
      </c>
    </row>
    <row r="369" spans="1:39" s="3" customFormat="1" x14ac:dyDescent="0.25">
      <c r="A369" s="2" t="s">
        <v>16</v>
      </c>
      <c r="B369" s="29" t="s">
        <v>739</v>
      </c>
      <c r="C369" s="2" t="s">
        <v>35</v>
      </c>
      <c r="D369" s="2" t="s">
        <v>396</v>
      </c>
      <c r="E369" s="14">
        <v>9878</v>
      </c>
      <c r="F369" s="15">
        <f t="shared" si="35"/>
        <v>344.74220000000003</v>
      </c>
      <c r="G369" s="15">
        <f t="shared" si="36"/>
        <v>395.12</v>
      </c>
      <c r="H369" s="15">
        <f t="shared" si="37"/>
        <v>287.28516666666667</v>
      </c>
      <c r="I369" s="15">
        <f t="shared" si="38"/>
        <v>329.26666666666671</v>
      </c>
      <c r="J369" s="10">
        <v>267</v>
      </c>
      <c r="K369" s="10">
        <v>88</v>
      </c>
      <c r="L369" s="10">
        <v>246</v>
      </c>
      <c r="M369" s="10">
        <v>243</v>
      </c>
      <c r="N369" s="10">
        <v>253</v>
      </c>
      <c r="O369" s="10">
        <v>251</v>
      </c>
      <c r="P369" s="10">
        <v>232</v>
      </c>
      <c r="Q369" s="10">
        <v>253</v>
      </c>
      <c r="R369" s="10">
        <v>242</v>
      </c>
      <c r="S369" s="10">
        <v>226</v>
      </c>
      <c r="T369" s="10">
        <v>246</v>
      </c>
      <c r="U369" s="10">
        <v>247</v>
      </c>
      <c r="V369" s="10">
        <v>239</v>
      </c>
      <c r="W369" s="10">
        <v>256</v>
      </c>
      <c r="X369" s="10">
        <v>259</v>
      </c>
      <c r="Y369" s="10">
        <v>42</v>
      </c>
      <c r="Z369" s="10">
        <v>247</v>
      </c>
      <c r="AA369" s="10">
        <v>304</v>
      </c>
      <c r="AB369" s="10">
        <v>147</v>
      </c>
      <c r="AC369" s="10">
        <v>44</v>
      </c>
      <c r="AD369" s="10">
        <v>44</v>
      </c>
      <c r="AE369" s="10">
        <v>37</v>
      </c>
      <c r="AF369" s="10">
        <v>29</v>
      </c>
      <c r="AG369" s="10">
        <v>26</v>
      </c>
      <c r="AH369" s="102">
        <f>SUM(Tableau2[[#This Row],[Td 2]:[Td 5]])</f>
        <v>136</v>
      </c>
      <c r="AI369" s="10">
        <v>50</v>
      </c>
      <c r="AJ369" s="10">
        <v>100</v>
      </c>
      <c r="AK369" s="17">
        <f t="shared" si="39"/>
        <v>36.285166666666669</v>
      </c>
      <c r="AL369" s="17">
        <f t="shared" si="40"/>
        <v>0</v>
      </c>
      <c r="AM369" s="17">
        <f t="shared" si="41"/>
        <v>247</v>
      </c>
    </row>
    <row r="370" spans="1:39" s="3" customFormat="1" x14ac:dyDescent="0.25">
      <c r="A370" s="2" t="s">
        <v>16</v>
      </c>
      <c r="B370" s="29" t="s">
        <v>739</v>
      </c>
      <c r="C370" s="2" t="s">
        <v>35</v>
      </c>
      <c r="D370" s="2" t="s">
        <v>397</v>
      </c>
      <c r="E370" s="14">
        <v>13508</v>
      </c>
      <c r="F370" s="15">
        <f t="shared" si="35"/>
        <v>471.42919999999998</v>
      </c>
      <c r="G370" s="15">
        <f t="shared" si="36"/>
        <v>540.32000000000005</v>
      </c>
      <c r="H370" s="15">
        <f t="shared" si="37"/>
        <v>392.85766666666666</v>
      </c>
      <c r="I370" s="15">
        <f t="shared" si="38"/>
        <v>450.26666666666671</v>
      </c>
      <c r="J370" s="10">
        <v>394</v>
      </c>
      <c r="K370" s="10">
        <v>57</v>
      </c>
      <c r="L370" s="10">
        <v>444</v>
      </c>
      <c r="M370" s="10">
        <v>422</v>
      </c>
      <c r="N370" s="10">
        <v>383</v>
      </c>
      <c r="O370" s="10">
        <v>397</v>
      </c>
      <c r="P370" s="10">
        <v>396</v>
      </c>
      <c r="Q370" s="10">
        <v>365</v>
      </c>
      <c r="R370" s="10">
        <v>455</v>
      </c>
      <c r="S370" s="10">
        <v>416</v>
      </c>
      <c r="T370" s="10">
        <v>385</v>
      </c>
      <c r="U370" s="10">
        <v>388</v>
      </c>
      <c r="V370" s="10">
        <v>384</v>
      </c>
      <c r="W370" s="10">
        <v>352</v>
      </c>
      <c r="X370" s="10">
        <v>411</v>
      </c>
      <c r="Y370" s="10">
        <v>66</v>
      </c>
      <c r="Z370" s="10">
        <v>383</v>
      </c>
      <c r="AA370" s="10">
        <v>537</v>
      </c>
      <c r="AB370" s="10">
        <v>243</v>
      </c>
      <c r="AC370" s="10">
        <v>107</v>
      </c>
      <c r="AD370" s="10">
        <v>79</v>
      </c>
      <c r="AE370" s="10">
        <v>60</v>
      </c>
      <c r="AF370" s="10">
        <v>54</v>
      </c>
      <c r="AG370" s="10">
        <v>43</v>
      </c>
      <c r="AH370" s="102">
        <f>SUM(Tableau2[[#This Row],[Td 2]:[Td 5]])</f>
        <v>236</v>
      </c>
      <c r="AI370" s="10">
        <v>58.3</v>
      </c>
      <c r="AJ370" s="10">
        <v>100</v>
      </c>
      <c r="AK370" s="17">
        <f t="shared" si="39"/>
        <v>0</v>
      </c>
      <c r="AL370" s="17">
        <f t="shared" si="40"/>
        <v>0</v>
      </c>
      <c r="AM370" s="17">
        <f t="shared" si="41"/>
        <v>383</v>
      </c>
    </row>
    <row r="371" spans="1:39" s="3" customFormat="1" x14ac:dyDescent="0.25">
      <c r="A371" s="2" t="s">
        <v>16</v>
      </c>
      <c r="B371" s="29" t="s">
        <v>739</v>
      </c>
      <c r="C371" s="2" t="s">
        <v>35</v>
      </c>
      <c r="D371" s="2" t="s">
        <v>398</v>
      </c>
      <c r="E371" s="14">
        <v>6558</v>
      </c>
      <c r="F371" s="15">
        <f t="shared" si="35"/>
        <v>228.8742</v>
      </c>
      <c r="G371" s="15">
        <f t="shared" si="36"/>
        <v>262.32</v>
      </c>
      <c r="H371" s="15">
        <f t="shared" si="37"/>
        <v>190.7285</v>
      </c>
      <c r="I371" s="15">
        <f t="shared" si="38"/>
        <v>218.6</v>
      </c>
      <c r="J371" s="10">
        <v>128</v>
      </c>
      <c r="K371" s="10">
        <v>117</v>
      </c>
      <c r="L371" s="10">
        <v>115</v>
      </c>
      <c r="M371" s="10">
        <v>118</v>
      </c>
      <c r="N371" s="10">
        <v>115</v>
      </c>
      <c r="O371" s="10">
        <v>92</v>
      </c>
      <c r="P371" s="10">
        <v>108</v>
      </c>
      <c r="Q371" s="10">
        <v>100</v>
      </c>
      <c r="R371" s="10">
        <v>90</v>
      </c>
      <c r="S371" s="10">
        <v>100</v>
      </c>
      <c r="T371" s="10">
        <v>100</v>
      </c>
      <c r="U371" s="10">
        <v>90</v>
      </c>
      <c r="V371" s="10">
        <v>100</v>
      </c>
      <c r="W371" s="10">
        <v>100</v>
      </c>
      <c r="X371" s="10">
        <v>130</v>
      </c>
      <c r="Y371" s="10">
        <v>34</v>
      </c>
      <c r="Z371" s="10">
        <v>130</v>
      </c>
      <c r="AA371" s="10">
        <v>113</v>
      </c>
      <c r="AB371" s="10">
        <v>84</v>
      </c>
      <c r="AC371" s="10">
        <v>33</v>
      </c>
      <c r="AD371" s="10">
        <v>38</v>
      </c>
      <c r="AE371" s="10">
        <v>22</v>
      </c>
      <c r="AF371" s="10">
        <v>23</v>
      </c>
      <c r="AG371" s="10">
        <v>37</v>
      </c>
      <c r="AH371" s="102">
        <f>SUM(Tableau2[[#This Row],[Td 2]:[Td 5]])</f>
        <v>120</v>
      </c>
      <c r="AI371" s="10">
        <v>58.3</v>
      </c>
      <c r="AJ371" s="10">
        <v>100</v>
      </c>
      <c r="AK371" s="17">
        <f t="shared" si="39"/>
        <v>98.728499999999997</v>
      </c>
      <c r="AL371" s="17">
        <f t="shared" si="40"/>
        <v>0</v>
      </c>
      <c r="AM371" s="17">
        <f t="shared" si="41"/>
        <v>130</v>
      </c>
    </row>
    <row r="372" spans="1:39" s="3" customFormat="1" x14ac:dyDescent="0.25">
      <c r="A372" s="2" t="s">
        <v>16</v>
      </c>
      <c r="B372" s="29" t="s">
        <v>739</v>
      </c>
      <c r="C372" s="2" t="s">
        <v>35</v>
      </c>
      <c r="D372" s="2" t="s">
        <v>399</v>
      </c>
      <c r="E372" s="14">
        <v>31723</v>
      </c>
      <c r="F372" s="15">
        <f t="shared" si="35"/>
        <v>1107.1327000000001</v>
      </c>
      <c r="G372" s="15">
        <f t="shared" si="36"/>
        <v>1268.92</v>
      </c>
      <c r="H372" s="15">
        <f t="shared" si="37"/>
        <v>922.61058333333335</v>
      </c>
      <c r="I372" s="15">
        <f t="shared" si="38"/>
        <v>1057.4333333333334</v>
      </c>
      <c r="J372" s="10">
        <v>660</v>
      </c>
      <c r="K372" s="10">
        <v>813</v>
      </c>
      <c r="L372" s="10">
        <v>816</v>
      </c>
      <c r="M372" s="10">
        <v>855</v>
      </c>
      <c r="N372" s="10">
        <v>773</v>
      </c>
      <c r="O372" s="10">
        <v>816</v>
      </c>
      <c r="P372" s="10">
        <v>855</v>
      </c>
      <c r="Q372" s="10">
        <v>773</v>
      </c>
      <c r="R372" s="10">
        <v>769</v>
      </c>
      <c r="S372" s="10">
        <v>793</v>
      </c>
      <c r="T372" s="10">
        <v>720</v>
      </c>
      <c r="U372" s="10">
        <v>816</v>
      </c>
      <c r="V372" s="10">
        <v>855</v>
      </c>
      <c r="W372" s="10">
        <v>773</v>
      </c>
      <c r="X372" s="10">
        <v>725</v>
      </c>
      <c r="Y372" s="10">
        <v>243</v>
      </c>
      <c r="Z372" s="10">
        <v>689</v>
      </c>
      <c r="AA372" s="10">
        <v>892</v>
      </c>
      <c r="AB372" s="10">
        <v>480</v>
      </c>
      <c r="AC372" s="10">
        <v>129</v>
      </c>
      <c r="AD372" s="10">
        <v>124</v>
      </c>
      <c r="AE372" s="10">
        <v>119</v>
      </c>
      <c r="AF372" s="10">
        <v>108</v>
      </c>
      <c r="AG372" s="10">
        <v>78</v>
      </c>
      <c r="AH372" s="102">
        <f>SUM(Tableau2[[#This Row],[Td 2]:[Td 5]])</f>
        <v>429</v>
      </c>
      <c r="AI372" s="10">
        <v>58.3</v>
      </c>
      <c r="AJ372" s="10">
        <v>100</v>
      </c>
      <c r="AK372" s="17">
        <f t="shared" si="39"/>
        <v>106.61058333333335</v>
      </c>
      <c r="AL372" s="17">
        <f t="shared" si="40"/>
        <v>91</v>
      </c>
      <c r="AM372" s="17">
        <f t="shared" si="41"/>
        <v>689</v>
      </c>
    </row>
    <row r="373" spans="1:39" s="3" customFormat="1" x14ac:dyDescent="0.25">
      <c r="A373" s="2" t="s">
        <v>16</v>
      </c>
      <c r="B373" s="29" t="s">
        <v>739</v>
      </c>
      <c r="C373" s="2" t="s">
        <v>35</v>
      </c>
      <c r="D373" s="2" t="s">
        <v>35</v>
      </c>
      <c r="E373" s="14">
        <v>10642</v>
      </c>
      <c r="F373" s="15">
        <f t="shared" si="35"/>
        <v>371.4058</v>
      </c>
      <c r="G373" s="15">
        <f t="shared" si="36"/>
        <v>425.68</v>
      </c>
      <c r="H373" s="15">
        <f t="shared" si="37"/>
        <v>309.50483333333335</v>
      </c>
      <c r="I373" s="15">
        <f t="shared" si="38"/>
        <v>354.73333333333335</v>
      </c>
      <c r="J373" s="10">
        <v>347</v>
      </c>
      <c r="K373" s="10">
        <v>78</v>
      </c>
      <c r="L373" s="10">
        <v>315</v>
      </c>
      <c r="M373" s="10">
        <v>305</v>
      </c>
      <c r="N373" s="10">
        <v>294</v>
      </c>
      <c r="O373" s="10">
        <v>297</v>
      </c>
      <c r="P373" s="10">
        <v>295</v>
      </c>
      <c r="Q373" s="10">
        <v>279</v>
      </c>
      <c r="R373" s="10">
        <v>297</v>
      </c>
      <c r="S373" s="10">
        <v>295</v>
      </c>
      <c r="T373" s="10">
        <v>279</v>
      </c>
      <c r="U373" s="10">
        <v>303</v>
      </c>
      <c r="V373" s="10">
        <v>300</v>
      </c>
      <c r="W373" s="10">
        <v>279</v>
      </c>
      <c r="X373" s="10">
        <v>297</v>
      </c>
      <c r="Y373" s="10">
        <v>49</v>
      </c>
      <c r="Z373" s="10">
        <v>286</v>
      </c>
      <c r="AA373" s="10">
        <v>335</v>
      </c>
      <c r="AB373" s="10">
        <v>185</v>
      </c>
      <c r="AC373" s="10">
        <v>104</v>
      </c>
      <c r="AD373" s="10">
        <v>82</v>
      </c>
      <c r="AE373" s="10">
        <v>69</v>
      </c>
      <c r="AF373" s="10">
        <v>57</v>
      </c>
      <c r="AG373" s="10">
        <v>31</v>
      </c>
      <c r="AH373" s="102">
        <f>SUM(Tableau2[[#This Row],[Td 2]:[Td 5]])</f>
        <v>239</v>
      </c>
      <c r="AI373" s="10">
        <v>58.3</v>
      </c>
      <c r="AJ373" s="10">
        <v>100</v>
      </c>
      <c r="AK373" s="17">
        <f t="shared" si="39"/>
        <v>12.504833333333352</v>
      </c>
      <c r="AL373" s="17">
        <f t="shared" si="40"/>
        <v>0</v>
      </c>
      <c r="AM373" s="17">
        <f t="shared" si="41"/>
        <v>286</v>
      </c>
    </row>
    <row r="374" spans="1:39" s="3" customFormat="1" x14ac:dyDescent="0.25">
      <c r="A374" s="2" t="s">
        <v>16</v>
      </c>
      <c r="B374" s="29" t="s">
        <v>739</v>
      </c>
      <c r="C374" s="2" t="s">
        <v>35</v>
      </c>
      <c r="D374" s="2" t="s">
        <v>67</v>
      </c>
      <c r="E374" s="14">
        <v>5000</v>
      </c>
      <c r="F374" s="15">
        <f t="shared" si="35"/>
        <v>174.5</v>
      </c>
      <c r="G374" s="15">
        <f t="shared" si="36"/>
        <v>200</v>
      </c>
      <c r="H374" s="15">
        <f t="shared" si="37"/>
        <v>145.41666666666666</v>
      </c>
      <c r="I374" s="15">
        <f t="shared" si="38"/>
        <v>166.66666666666669</v>
      </c>
      <c r="J374" s="10">
        <v>129</v>
      </c>
      <c r="K374" s="10">
        <v>2</v>
      </c>
      <c r="L374" s="10">
        <v>151</v>
      </c>
      <c r="M374" s="10">
        <v>132</v>
      </c>
      <c r="N374" s="10">
        <v>141</v>
      </c>
      <c r="O374" s="10">
        <v>117</v>
      </c>
      <c r="P374" s="10">
        <v>138</v>
      </c>
      <c r="Q374" s="10">
        <v>133</v>
      </c>
      <c r="R374" s="10">
        <v>136</v>
      </c>
      <c r="S374" s="10">
        <v>121</v>
      </c>
      <c r="T374" s="10">
        <v>133</v>
      </c>
      <c r="U374" s="10">
        <v>136</v>
      </c>
      <c r="V374" s="10">
        <v>121</v>
      </c>
      <c r="W374" s="10">
        <v>133</v>
      </c>
      <c r="X374" s="10">
        <v>107</v>
      </c>
      <c r="Y374" s="10">
        <v>19</v>
      </c>
      <c r="Z374" s="10">
        <v>102</v>
      </c>
      <c r="AA374" s="10">
        <v>141</v>
      </c>
      <c r="AB374" s="10">
        <v>97</v>
      </c>
      <c r="AC374" s="10">
        <v>22</v>
      </c>
      <c r="AD374" s="10">
        <v>13</v>
      </c>
      <c r="AE374" s="10">
        <v>23</v>
      </c>
      <c r="AF374" s="10">
        <v>19</v>
      </c>
      <c r="AG374" s="10">
        <v>12</v>
      </c>
      <c r="AH374" s="102">
        <f>SUM(Tableau2[[#This Row],[Td 2]:[Td 5]])</f>
        <v>67</v>
      </c>
      <c r="AI374" s="10">
        <v>58.3</v>
      </c>
      <c r="AJ374" s="10">
        <v>100</v>
      </c>
      <c r="AK374" s="17">
        <f t="shared" si="39"/>
        <v>28.416666666666657</v>
      </c>
      <c r="AL374" s="17">
        <f t="shared" si="40"/>
        <v>10</v>
      </c>
      <c r="AM374" s="17">
        <f t="shared" si="41"/>
        <v>102</v>
      </c>
    </row>
    <row r="375" spans="1:39" s="3" customFormat="1" x14ac:dyDescent="0.25">
      <c r="A375" s="2" t="s">
        <v>16</v>
      </c>
      <c r="B375" s="29" t="s">
        <v>739</v>
      </c>
      <c r="C375" s="2" t="s">
        <v>35</v>
      </c>
      <c r="D375" s="2" t="s">
        <v>400</v>
      </c>
      <c r="E375" s="14">
        <v>4778</v>
      </c>
      <c r="F375" s="15">
        <f t="shared" si="35"/>
        <v>166.75220000000002</v>
      </c>
      <c r="G375" s="15">
        <f t="shared" si="36"/>
        <v>191.12</v>
      </c>
      <c r="H375" s="15">
        <f t="shared" si="37"/>
        <v>138.96016666666668</v>
      </c>
      <c r="I375" s="15">
        <f t="shared" si="38"/>
        <v>159.26666666666668</v>
      </c>
      <c r="J375" s="10">
        <v>139</v>
      </c>
      <c r="K375" s="10">
        <v>63</v>
      </c>
      <c r="L375" s="10">
        <v>159</v>
      </c>
      <c r="M375" s="10">
        <v>168</v>
      </c>
      <c r="N375" s="10">
        <v>168</v>
      </c>
      <c r="O375" s="10">
        <v>131</v>
      </c>
      <c r="P375" s="10">
        <v>145</v>
      </c>
      <c r="Q375" s="10">
        <v>139</v>
      </c>
      <c r="R375" s="10">
        <v>131</v>
      </c>
      <c r="S375" s="10">
        <v>142</v>
      </c>
      <c r="T375" s="10">
        <v>139</v>
      </c>
      <c r="U375" s="10">
        <v>159</v>
      </c>
      <c r="V375" s="10">
        <v>168</v>
      </c>
      <c r="W375" s="10">
        <v>168</v>
      </c>
      <c r="X375" s="10">
        <v>138</v>
      </c>
      <c r="Y375" s="10" t="s">
        <v>2</v>
      </c>
      <c r="Z375" s="10">
        <v>138</v>
      </c>
      <c r="AA375" s="10">
        <v>168</v>
      </c>
      <c r="AB375" s="10">
        <v>138</v>
      </c>
      <c r="AC375" s="10">
        <v>30</v>
      </c>
      <c r="AD375" s="10">
        <v>19</v>
      </c>
      <c r="AE375" s="10">
        <v>38</v>
      </c>
      <c r="AF375" s="10">
        <v>20</v>
      </c>
      <c r="AG375" s="10">
        <v>22</v>
      </c>
      <c r="AH375" s="102">
        <f>SUM(Tableau2[[#This Row],[Td 2]:[Td 5]])</f>
        <v>99</v>
      </c>
      <c r="AI375" s="10">
        <v>58.3</v>
      </c>
      <c r="AJ375" s="10">
        <v>100</v>
      </c>
      <c r="AK375" s="17">
        <f t="shared" si="39"/>
        <v>7.9601666666666802</v>
      </c>
      <c r="AL375" s="17">
        <f t="shared" si="40"/>
        <v>0</v>
      </c>
      <c r="AM375" s="17">
        <f t="shared" si="41"/>
        <v>138</v>
      </c>
    </row>
    <row r="376" spans="1:39" s="3" customFormat="1" x14ac:dyDescent="0.25">
      <c r="A376" s="2" t="s">
        <v>16</v>
      </c>
      <c r="B376" s="29" t="s">
        <v>739</v>
      </c>
      <c r="C376" s="2" t="s">
        <v>35</v>
      </c>
      <c r="D376" s="2" t="s">
        <v>401</v>
      </c>
      <c r="E376" s="14">
        <v>10862</v>
      </c>
      <c r="F376" s="15">
        <f t="shared" si="35"/>
        <v>379.0838</v>
      </c>
      <c r="G376" s="15">
        <f t="shared" si="36"/>
        <v>434.48</v>
      </c>
      <c r="H376" s="15">
        <f t="shared" si="37"/>
        <v>315.90316666666666</v>
      </c>
      <c r="I376" s="15">
        <f t="shared" si="38"/>
        <v>362.06666666666672</v>
      </c>
      <c r="J376" s="10">
        <v>241</v>
      </c>
      <c r="K376" s="10">
        <v>113</v>
      </c>
      <c r="L376" s="10">
        <v>235</v>
      </c>
      <c r="M376" s="10">
        <v>234</v>
      </c>
      <c r="N376" s="10">
        <v>211</v>
      </c>
      <c r="O376" s="10">
        <v>234</v>
      </c>
      <c r="P376" s="10">
        <v>240</v>
      </c>
      <c r="Q376" s="10">
        <v>196</v>
      </c>
      <c r="R376" s="10">
        <v>196</v>
      </c>
      <c r="S376" s="10">
        <v>206</v>
      </c>
      <c r="T376" s="10">
        <v>205</v>
      </c>
      <c r="U376" s="10">
        <v>213</v>
      </c>
      <c r="V376" s="10">
        <v>208</v>
      </c>
      <c r="W376" s="10">
        <v>191</v>
      </c>
      <c r="X376" s="10">
        <v>257</v>
      </c>
      <c r="Y376" s="10">
        <v>5</v>
      </c>
      <c r="Z376" s="10">
        <v>260</v>
      </c>
      <c r="AA376" s="10">
        <v>219</v>
      </c>
      <c r="AB376" s="10">
        <v>112</v>
      </c>
      <c r="AC376" s="10">
        <v>63</v>
      </c>
      <c r="AD376" s="10">
        <v>27</v>
      </c>
      <c r="AE376" s="10">
        <v>45</v>
      </c>
      <c r="AF376" s="10">
        <v>37</v>
      </c>
      <c r="AG376" s="10">
        <v>32</v>
      </c>
      <c r="AH376" s="102">
        <f>SUM(Tableau2[[#This Row],[Td 2]:[Td 5]])</f>
        <v>141</v>
      </c>
      <c r="AI376" s="10">
        <v>62.5</v>
      </c>
      <c r="AJ376" s="10">
        <v>100</v>
      </c>
      <c r="AK376" s="17">
        <f t="shared" si="39"/>
        <v>81.903166666666664</v>
      </c>
      <c r="AL376" s="17">
        <f t="shared" si="40"/>
        <v>0</v>
      </c>
      <c r="AM376" s="17">
        <f t="shared" si="41"/>
        <v>257</v>
      </c>
    </row>
    <row r="377" spans="1:39" s="3" customFormat="1" x14ac:dyDescent="0.25">
      <c r="A377" s="2" t="s">
        <v>16</v>
      </c>
      <c r="B377" s="29" t="s">
        <v>739</v>
      </c>
      <c r="C377" s="2" t="s">
        <v>35</v>
      </c>
      <c r="D377" s="2" t="s">
        <v>402</v>
      </c>
      <c r="E377" s="14">
        <v>7184</v>
      </c>
      <c r="F377" s="15">
        <f t="shared" si="35"/>
        <v>250.7216</v>
      </c>
      <c r="G377" s="15">
        <f t="shared" si="36"/>
        <v>287.36</v>
      </c>
      <c r="H377" s="15">
        <f t="shared" si="37"/>
        <v>208.93466666666666</v>
      </c>
      <c r="I377" s="15">
        <f t="shared" si="38"/>
        <v>239.4666666666667</v>
      </c>
      <c r="J377" s="10">
        <v>272</v>
      </c>
      <c r="K377" s="10">
        <v>91</v>
      </c>
      <c r="L377" s="10">
        <v>229</v>
      </c>
      <c r="M377" s="10">
        <v>229</v>
      </c>
      <c r="N377" s="10">
        <v>251</v>
      </c>
      <c r="O377" s="10">
        <v>208</v>
      </c>
      <c r="P377" s="10">
        <v>207</v>
      </c>
      <c r="Q377" s="10">
        <v>223</v>
      </c>
      <c r="R377" s="10">
        <v>229</v>
      </c>
      <c r="S377" s="10">
        <v>210</v>
      </c>
      <c r="T377" s="10">
        <v>240</v>
      </c>
      <c r="U377" s="10">
        <v>229</v>
      </c>
      <c r="V377" s="10">
        <v>229</v>
      </c>
      <c r="W377" s="10">
        <v>241</v>
      </c>
      <c r="X377" s="10">
        <v>206</v>
      </c>
      <c r="Y377" s="10" t="s">
        <v>2</v>
      </c>
      <c r="Z377" s="10">
        <v>208</v>
      </c>
      <c r="AA377" s="10">
        <v>308</v>
      </c>
      <c r="AB377" s="10" t="s">
        <v>2</v>
      </c>
      <c r="AC377" s="10">
        <v>51</v>
      </c>
      <c r="AD377" s="10">
        <v>38</v>
      </c>
      <c r="AE377" s="10">
        <v>42</v>
      </c>
      <c r="AF377" s="10">
        <v>36</v>
      </c>
      <c r="AG377" s="10">
        <v>17</v>
      </c>
      <c r="AH377" s="102">
        <f>SUM(Tableau2[[#This Row],[Td 2]:[Td 5]])</f>
        <v>133</v>
      </c>
      <c r="AI377" s="10">
        <v>66.7</v>
      </c>
      <c r="AJ377" s="10">
        <v>100</v>
      </c>
      <c r="AK377" s="17">
        <f t="shared" si="39"/>
        <v>0.93466666666665787</v>
      </c>
      <c r="AL377" s="17">
        <f t="shared" si="40"/>
        <v>2</v>
      </c>
      <c r="AM377" s="17">
        <f t="shared" si="41"/>
        <v>206</v>
      </c>
    </row>
    <row r="378" spans="1:39" s="3" customFormat="1" x14ac:dyDescent="0.25">
      <c r="A378" s="2" t="s">
        <v>16</v>
      </c>
      <c r="B378" s="29" t="s">
        <v>739</v>
      </c>
      <c r="C378" s="2" t="s">
        <v>35</v>
      </c>
      <c r="D378" s="2" t="s">
        <v>403</v>
      </c>
      <c r="E378" s="14">
        <v>10318</v>
      </c>
      <c r="F378" s="15">
        <f t="shared" si="35"/>
        <v>360.09820000000002</v>
      </c>
      <c r="G378" s="15">
        <f t="shared" si="36"/>
        <v>412.72</v>
      </c>
      <c r="H378" s="15">
        <f t="shared" si="37"/>
        <v>300.08183333333335</v>
      </c>
      <c r="I378" s="15">
        <f t="shared" si="38"/>
        <v>343.93333333333339</v>
      </c>
      <c r="J378" s="10">
        <v>270</v>
      </c>
      <c r="K378" s="10">
        <v>61</v>
      </c>
      <c r="L378" s="10">
        <v>254</v>
      </c>
      <c r="M378" s="10">
        <v>274</v>
      </c>
      <c r="N378" s="10">
        <v>260</v>
      </c>
      <c r="O378" s="10">
        <v>242</v>
      </c>
      <c r="P378" s="10">
        <v>264</v>
      </c>
      <c r="Q378" s="10">
        <v>229</v>
      </c>
      <c r="R378" s="10">
        <v>242</v>
      </c>
      <c r="S378" s="10">
        <v>264</v>
      </c>
      <c r="T378" s="10">
        <v>249</v>
      </c>
      <c r="U378" s="10">
        <v>248</v>
      </c>
      <c r="V378" s="10">
        <v>271</v>
      </c>
      <c r="W378" s="10">
        <v>254</v>
      </c>
      <c r="X378" s="10">
        <v>309</v>
      </c>
      <c r="Y378" s="10">
        <v>82</v>
      </c>
      <c r="Z378" s="10">
        <v>301</v>
      </c>
      <c r="AA378" s="10">
        <v>284</v>
      </c>
      <c r="AB378" s="10">
        <v>217</v>
      </c>
      <c r="AC378" s="10">
        <v>62</v>
      </c>
      <c r="AD378" s="10">
        <v>59</v>
      </c>
      <c r="AE378" s="10">
        <v>55</v>
      </c>
      <c r="AF378" s="10">
        <v>31</v>
      </c>
      <c r="AG378" s="10">
        <v>39</v>
      </c>
      <c r="AH378" s="102">
        <f>SUM(Tableau2[[#This Row],[Td 2]:[Td 5]])</f>
        <v>184</v>
      </c>
      <c r="AI378" s="10">
        <v>58.3</v>
      </c>
      <c r="AJ378" s="10">
        <v>100</v>
      </c>
      <c r="AK378" s="17">
        <f t="shared" si="39"/>
        <v>58.08183333333335</v>
      </c>
      <c r="AL378" s="17">
        <f t="shared" si="40"/>
        <v>0</v>
      </c>
      <c r="AM378" s="17">
        <f t="shared" si="41"/>
        <v>301</v>
      </c>
    </row>
    <row r="379" spans="1:39" s="3" customFormat="1" x14ac:dyDescent="0.25">
      <c r="A379" s="2" t="s">
        <v>16</v>
      </c>
      <c r="B379" s="29" t="s">
        <v>739</v>
      </c>
      <c r="C379" s="2" t="s">
        <v>35</v>
      </c>
      <c r="D379" s="2" t="s">
        <v>404</v>
      </c>
      <c r="E379" s="14">
        <v>5901</v>
      </c>
      <c r="F379" s="15">
        <f t="shared" si="35"/>
        <v>205.94489999999999</v>
      </c>
      <c r="G379" s="15">
        <f t="shared" si="36"/>
        <v>236.04</v>
      </c>
      <c r="H379" s="15">
        <f t="shared" si="37"/>
        <v>171.62074999999999</v>
      </c>
      <c r="I379" s="15">
        <f t="shared" si="38"/>
        <v>196.7</v>
      </c>
      <c r="J379" s="10">
        <v>188</v>
      </c>
      <c r="K379" s="10">
        <v>61</v>
      </c>
      <c r="L379" s="10">
        <v>150</v>
      </c>
      <c r="M379" s="10">
        <v>157</v>
      </c>
      <c r="N379" s="10">
        <v>151</v>
      </c>
      <c r="O379" s="10">
        <v>148</v>
      </c>
      <c r="P379" s="10">
        <v>148</v>
      </c>
      <c r="Q379" s="10">
        <v>155</v>
      </c>
      <c r="R379" s="10">
        <v>155</v>
      </c>
      <c r="S379" s="10">
        <v>141</v>
      </c>
      <c r="T379" s="10">
        <v>155</v>
      </c>
      <c r="U379" s="10">
        <v>146</v>
      </c>
      <c r="V379" s="10">
        <v>157</v>
      </c>
      <c r="W379" s="10">
        <v>156</v>
      </c>
      <c r="X379" s="10">
        <v>161</v>
      </c>
      <c r="Y379" s="10">
        <v>44</v>
      </c>
      <c r="Z379" s="10">
        <v>153</v>
      </c>
      <c r="AA379" s="10">
        <v>188</v>
      </c>
      <c r="AB379" s="10">
        <v>100</v>
      </c>
      <c r="AC379" s="10">
        <v>49</v>
      </c>
      <c r="AD379" s="10">
        <v>35</v>
      </c>
      <c r="AE379" s="10">
        <v>21</v>
      </c>
      <c r="AF379" s="10">
        <v>11</v>
      </c>
      <c r="AG379" s="10">
        <v>13</v>
      </c>
      <c r="AH379" s="102">
        <f>SUM(Tableau2[[#This Row],[Td 2]:[Td 5]])</f>
        <v>80</v>
      </c>
      <c r="AI379" s="10">
        <v>58.3</v>
      </c>
      <c r="AJ379" s="10">
        <v>100</v>
      </c>
      <c r="AK379" s="17">
        <f t="shared" si="39"/>
        <v>23.620749999999987</v>
      </c>
      <c r="AL379" s="17">
        <f t="shared" si="40"/>
        <v>0</v>
      </c>
      <c r="AM379" s="17">
        <f t="shared" si="41"/>
        <v>153</v>
      </c>
    </row>
    <row r="380" spans="1:39" s="3" customFormat="1" x14ac:dyDescent="0.25">
      <c r="A380" s="2" t="s">
        <v>16</v>
      </c>
      <c r="B380" s="29" t="s">
        <v>739</v>
      </c>
      <c r="C380" s="2" t="s">
        <v>35</v>
      </c>
      <c r="D380" s="2" t="s">
        <v>405</v>
      </c>
      <c r="E380" s="14">
        <v>7843</v>
      </c>
      <c r="F380" s="15">
        <f t="shared" si="35"/>
        <v>273.72070000000002</v>
      </c>
      <c r="G380" s="15">
        <f t="shared" si="36"/>
        <v>313.72000000000003</v>
      </c>
      <c r="H380" s="15">
        <f t="shared" si="37"/>
        <v>228.10058333333333</v>
      </c>
      <c r="I380" s="15">
        <f t="shared" si="38"/>
        <v>261.43333333333334</v>
      </c>
      <c r="J380" s="10">
        <v>188</v>
      </c>
      <c r="K380" s="10">
        <v>6</v>
      </c>
      <c r="L380" s="10">
        <v>243</v>
      </c>
      <c r="M380" s="10">
        <v>203</v>
      </c>
      <c r="N380" s="10">
        <v>223</v>
      </c>
      <c r="O380" s="10">
        <v>243</v>
      </c>
      <c r="P380" s="10">
        <v>223</v>
      </c>
      <c r="Q380" s="10">
        <v>223</v>
      </c>
      <c r="R380" s="10">
        <v>246</v>
      </c>
      <c r="S380" s="10">
        <v>220</v>
      </c>
      <c r="T380" s="10">
        <v>223</v>
      </c>
      <c r="U380" s="10">
        <v>243</v>
      </c>
      <c r="V380" s="10">
        <v>220</v>
      </c>
      <c r="W380" s="10">
        <v>222</v>
      </c>
      <c r="X380" s="10">
        <v>228</v>
      </c>
      <c r="Y380" s="10">
        <v>20</v>
      </c>
      <c r="Z380" s="10">
        <v>199</v>
      </c>
      <c r="AA380" s="10">
        <v>223</v>
      </c>
      <c r="AB380" s="10" t="s">
        <v>2</v>
      </c>
      <c r="AC380" s="10">
        <v>54</v>
      </c>
      <c r="AD380" s="10">
        <v>32</v>
      </c>
      <c r="AE380" s="10">
        <v>42</v>
      </c>
      <c r="AF380" s="10">
        <v>33</v>
      </c>
      <c r="AG380" s="10">
        <v>40</v>
      </c>
      <c r="AH380" s="102">
        <f>SUM(Tableau2[[#This Row],[Td 2]:[Td 5]])</f>
        <v>147</v>
      </c>
      <c r="AI380" s="10">
        <v>50</v>
      </c>
      <c r="AJ380" s="10">
        <v>100</v>
      </c>
      <c r="AK380" s="17">
        <f t="shared" si="39"/>
        <v>0</v>
      </c>
      <c r="AL380" s="17">
        <f t="shared" si="40"/>
        <v>15</v>
      </c>
      <c r="AM380" s="17">
        <f t="shared" si="41"/>
        <v>199</v>
      </c>
    </row>
    <row r="381" spans="1:39" s="3" customFormat="1" x14ac:dyDescent="0.25">
      <c r="A381" s="2" t="s">
        <v>16</v>
      </c>
      <c r="B381" s="29" t="s">
        <v>739</v>
      </c>
      <c r="C381" s="2" t="s">
        <v>35</v>
      </c>
      <c r="D381" s="2" t="s">
        <v>406</v>
      </c>
      <c r="E381" s="14">
        <v>14733</v>
      </c>
      <c r="F381" s="15">
        <f t="shared" si="35"/>
        <v>514.18169999999998</v>
      </c>
      <c r="G381" s="15">
        <f t="shared" si="36"/>
        <v>589.32000000000005</v>
      </c>
      <c r="H381" s="15">
        <f t="shared" si="37"/>
        <v>428.48475000000002</v>
      </c>
      <c r="I381" s="15">
        <f t="shared" si="38"/>
        <v>491.10000000000008</v>
      </c>
      <c r="J381" s="10">
        <v>445</v>
      </c>
      <c r="K381" s="10">
        <v>104</v>
      </c>
      <c r="L381" s="10">
        <v>413</v>
      </c>
      <c r="M381" s="10">
        <v>399</v>
      </c>
      <c r="N381" s="10">
        <v>395</v>
      </c>
      <c r="O381" s="10">
        <v>431</v>
      </c>
      <c r="P381" s="10">
        <v>392</v>
      </c>
      <c r="Q381" s="10">
        <v>419</v>
      </c>
      <c r="R381" s="10">
        <v>413</v>
      </c>
      <c r="S381" s="10">
        <v>392</v>
      </c>
      <c r="T381" s="10">
        <v>415</v>
      </c>
      <c r="U381" s="10">
        <v>410</v>
      </c>
      <c r="V381" s="10">
        <v>463</v>
      </c>
      <c r="W381" s="10">
        <v>429</v>
      </c>
      <c r="X381" s="10">
        <v>381</v>
      </c>
      <c r="Y381" s="10">
        <v>71</v>
      </c>
      <c r="Z381" s="10">
        <v>333</v>
      </c>
      <c r="AA381" s="10">
        <v>479</v>
      </c>
      <c r="AB381" s="10">
        <v>235</v>
      </c>
      <c r="AC381" s="10">
        <v>106</v>
      </c>
      <c r="AD381" s="10">
        <v>54</v>
      </c>
      <c r="AE381" s="10">
        <v>70</v>
      </c>
      <c r="AF381" s="10">
        <v>50</v>
      </c>
      <c r="AG381" s="10">
        <v>37</v>
      </c>
      <c r="AH381" s="102">
        <f>SUM(Tableau2[[#This Row],[Td 2]:[Td 5]])</f>
        <v>211</v>
      </c>
      <c r="AI381" s="10">
        <v>55.6</v>
      </c>
      <c r="AJ381" s="10">
        <v>100</v>
      </c>
      <c r="AK381" s="17">
        <f t="shared" si="39"/>
        <v>0</v>
      </c>
      <c r="AL381" s="17">
        <f t="shared" si="40"/>
        <v>50</v>
      </c>
      <c r="AM381" s="17">
        <f t="shared" si="41"/>
        <v>333</v>
      </c>
    </row>
    <row r="382" spans="1:39" s="3" customFormat="1" x14ac:dyDescent="0.25">
      <c r="A382" s="2" t="s">
        <v>16</v>
      </c>
      <c r="B382" s="29" t="s">
        <v>739</v>
      </c>
      <c r="C382" s="2" t="s">
        <v>35</v>
      </c>
      <c r="D382" s="2" t="s">
        <v>407</v>
      </c>
      <c r="E382" s="14">
        <v>7976</v>
      </c>
      <c r="F382" s="15">
        <f t="shared" si="35"/>
        <v>278.36239999999998</v>
      </c>
      <c r="G382" s="15">
        <f t="shared" si="36"/>
        <v>319.04000000000002</v>
      </c>
      <c r="H382" s="15">
        <f t="shared" si="37"/>
        <v>231.96866666666665</v>
      </c>
      <c r="I382" s="15">
        <f t="shared" si="38"/>
        <v>265.86666666666667</v>
      </c>
      <c r="J382" s="10">
        <v>202</v>
      </c>
      <c r="K382" s="10">
        <v>8</v>
      </c>
      <c r="L382" s="10">
        <v>208</v>
      </c>
      <c r="M382" s="10">
        <v>215</v>
      </c>
      <c r="N382" s="10">
        <v>204</v>
      </c>
      <c r="O382" s="10">
        <v>208</v>
      </c>
      <c r="P382" s="10">
        <v>215</v>
      </c>
      <c r="Q382" s="10">
        <v>210</v>
      </c>
      <c r="R382" s="10">
        <v>208</v>
      </c>
      <c r="S382" s="10">
        <v>215</v>
      </c>
      <c r="T382" s="10">
        <v>204</v>
      </c>
      <c r="U382" s="10">
        <v>208</v>
      </c>
      <c r="V382" s="10">
        <v>215</v>
      </c>
      <c r="W382" s="10">
        <v>204</v>
      </c>
      <c r="X382" s="10">
        <v>206</v>
      </c>
      <c r="Y382" s="10">
        <v>87</v>
      </c>
      <c r="Z382" s="10">
        <v>216</v>
      </c>
      <c r="AA382" s="10">
        <v>204</v>
      </c>
      <c r="AB382" s="10">
        <v>173</v>
      </c>
      <c r="AC382" s="10">
        <v>48</v>
      </c>
      <c r="AD382" s="10">
        <v>47</v>
      </c>
      <c r="AE382" s="10">
        <v>45</v>
      </c>
      <c r="AF382" s="10">
        <v>28</v>
      </c>
      <c r="AG382" s="10">
        <v>26</v>
      </c>
      <c r="AH382" s="102">
        <f>SUM(Tableau2[[#This Row],[Td 2]:[Td 5]])</f>
        <v>146</v>
      </c>
      <c r="AI382" s="10">
        <v>58.3</v>
      </c>
      <c r="AJ382" s="10">
        <v>100</v>
      </c>
      <c r="AK382" s="17">
        <f t="shared" si="39"/>
        <v>23.96866666666665</v>
      </c>
      <c r="AL382" s="17">
        <f t="shared" si="40"/>
        <v>2</v>
      </c>
      <c r="AM382" s="17">
        <f t="shared" si="41"/>
        <v>206</v>
      </c>
    </row>
    <row r="383" spans="1:39" s="3" customFormat="1" x14ac:dyDescent="0.25">
      <c r="A383" s="2" t="s">
        <v>16</v>
      </c>
      <c r="B383" s="29" t="s">
        <v>739</v>
      </c>
      <c r="C383" s="2" t="s">
        <v>35</v>
      </c>
      <c r="D383" s="2" t="s">
        <v>408</v>
      </c>
      <c r="E383" s="14">
        <v>5228</v>
      </c>
      <c r="F383" s="15">
        <f t="shared" si="35"/>
        <v>182.4572</v>
      </c>
      <c r="G383" s="15">
        <f t="shared" si="36"/>
        <v>209.12</v>
      </c>
      <c r="H383" s="15">
        <f t="shared" si="37"/>
        <v>152.04766666666666</v>
      </c>
      <c r="I383" s="15">
        <f t="shared" si="38"/>
        <v>174.26666666666665</v>
      </c>
      <c r="J383" s="10">
        <v>122</v>
      </c>
      <c r="K383" s="10">
        <v>26</v>
      </c>
      <c r="L383" s="10">
        <v>145</v>
      </c>
      <c r="M383" s="10">
        <v>129</v>
      </c>
      <c r="N383" s="10">
        <v>132</v>
      </c>
      <c r="O383" s="10">
        <v>151</v>
      </c>
      <c r="P383" s="10">
        <v>125</v>
      </c>
      <c r="Q383" s="10">
        <v>143</v>
      </c>
      <c r="R383" s="10">
        <v>148</v>
      </c>
      <c r="S383" s="10">
        <v>117</v>
      </c>
      <c r="T383" s="10">
        <v>140</v>
      </c>
      <c r="U383" s="10">
        <v>148</v>
      </c>
      <c r="V383" s="10">
        <v>130</v>
      </c>
      <c r="W383" s="10">
        <v>140</v>
      </c>
      <c r="X383" s="10">
        <v>178</v>
      </c>
      <c r="Y383" s="10">
        <v>24</v>
      </c>
      <c r="Z383" s="10">
        <v>131</v>
      </c>
      <c r="AA383" s="10">
        <v>236</v>
      </c>
      <c r="AB383" s="10">
        <v>20</v>
      </c>
      <c r="AC383" s="10">
        <v>25</v>
      </c>
      <c r="AD383" s="10">
        <v>36</v>
      </c>
      <c r="AE383" s="10">
        <v>42</v>
      </c>
      <c r="AF383" s="10">
        <v>17</v>
      </c>
      <c r="AG383" s="10">
        <v>8</v>
      </c>
      <c r="AH383" s="102">
        <f>SUM(Tableau2[[#This Row],[Td 2]:[Td 5]])</f>
        <v>103</v>
      </c>
      <c r="AI383" s="10">
        <v>58.3</v>
      </c>
      <c r="AJ383" s="10">
        <v>100</v>
      </c>
      <c r="AK383" s="17">
        <f t="shared" si="39"/>
        <v>1.0476666666666574</v>
      </c>
      <c r="AL383" s="17">
        <f t="shared" si="40"/>
        <v>0</v>
      </c>
      <c r="AM383" s="17">
        <f t="shared" si="41"/>
        <v>131</v>
      </c>
    </row>
    <row r="384" spans="1:39" s="3" customFormat="1" x14ac:dyDescent="0.25">
      <c r="A384" s="2" t="s">
        <v>16</v>
      </c>
      <c r="B384" s="29" t="s">
        <v>739</v>
      </c>
      <c r="C384" s="2" t="s">
        <v>35</v>
      </c>
      <c r="D384" s="2" t="s">
        <v>409</v>
      </c>
      <c r="E384" s="14">
        <v>7649</v>
      </c>
      <c r="F384" s="15">
        <f t="shared" si="35"/>
        <v>266.95010000000002</v>
      </c>
      <c r="G384" s="15">
        <f t="shared" si="36"/>
        <v>305.95999999999998</v>
      </c>
      <c r="H384" s="15">
        <f t="shared" si="37"/>
        <v>222.45841666666666</v>
      </c>
      <c r="I384" s="15">
        <f t="shared" si="38"/>
        <v>254.96666666666667</v>
      </c>
      <c r="J384" s="10">
        <v>197</v>
      </c>
      <c r="K384" s="10">
        <v>102</v>
      </c>
      <c r="L384" s="10">
        <v>217</v>
      </c>
      <c r="M384" s="10">
        <v>223</v>
      </c>
      <c r="N384" s="10">
        <v>211</v>
      </c>
      <c r="O384" s="10">
        <v>207</v>
      </c>
      <c r="P384" s="10">
        <v>200</v>
      </c>
      <c r="Q384" s="10">
        <v>190</v>
      </c>
      <c r="R384" s="10">
        <v>231</v>
      </c>
      <c r="S384" s="10">
        <v>223</v>
      </c>
      <c r="T384" s="10">
        <v>211</v>
      </c>
      <c r="U384" s="10">
        <v>231</v>
      </c>
      <c r="V384" s="10">
        <v>223</v>
      </c>
      <c r="W384" s="10">
        <v>211</v>
      </c>
      <c r="X384" s="10">
        <v>193</v>
      </c>
      <c r="Y384" s="10">
        <v>52</v>
      </c>
      <c r="Z384" s="10">
        <v>173</v>
      </c>
      <c r="AA384" s="10">
        <v>249</v>
      </c>
      <c r="AB384" s="10">
        <v>84</v>
      </c>
      <c r="AC384" s="10">
        <v>35</v>
      </c>
      <c r="AD384" s="10">
        <v>23</v>
      </c>
      <c r="AE384" s="10">
        <v>31</v>
      </c>
      <c r="AF384" s="10">
        <v>36</v>
      </c>
      <c r="AG384" s="10">
        <v>39</v>
      </c>
      <c r="AH384" s="102">
        <f>SUM(Tableau2[[#This Row],[Td 2]:[Td 5]])</f>
        <v>129</v>
      </c>
      <c r="AI384" s="10">
        <v>58.3</v>
      </c>
      <c r="AJ384" s="10">
        <v>100</v>
      </c>
      <c r="AK384" s="17">
        <f t="shared" si="39"/>
        <v>15.458416666666665</v>
      </c>
      <c r="AL384" s="17">
        <f t="shared" si="40"/>
        <v>14</v>
      </c>
      <c r="AM384" s="17">
        <f t="shared" si="41"/>
        <v>173</v>
      </c>
    </row>
    <row r="385" spans="1:39" s="3" customFormat="1" x14ac:dyDescent="0.25">
      <c r="A385" s="2" t="s">
        <v>16</v>
      </c>
      <c r="B385" s="29" t="s">
        <v>739</v>
      </c>
      <c r="C385" s="2" t="s">
        <v>36</v>
      </c>
      <c r="D385" s="2" t="s">
        <v>243</v>
      </c>
      <c r="E385" s="14">
        <v>21044</v>
      </c>
      <c r="F385" s="15">
        <f t="shared" si="35"/>
        <v>734.43560000000002</v>
      </c>
      <c r="G385" s="15">
        <f t="shared" si="36"/>
        <v>841.76</v>
      </c>
      <c r="H385" s="15">
        <f t="shared" si="37"/>
        <v>612.02966666666669</v>
      </c>
      <c r="I385" s="15">
        <f t="shared" si="38"/>
        <v>701.46666666666658</v>
      </c>
      <c r="J385" s="10">
        <v>536</v>
      </c>
      <c r="K385" s="10">
        <v>346</v>
      </c>
      <c r="L385" s="10">
        <v>549</v>
      </c>
      <c r="M385" s="10">
        <v>514</v>
      </c>
      <c r="N385" s="10">
        <v>528</v>
      </c>
      <c r="O385" s="10">
        <v>584</v>
      </c>
      <c r="P385" s="10">
        <v>593</v>
      </c>
      <c r="Q385" s="10">
        <v>669</v>
      </c>
      <c r="R385" s="10">
        <v>558</v>
      </c>
      <c r="S385" s="10">
        <v>508</v>
      </c>
      <c r="T385" s="10">
        <v>497</v>
      </c>
      <c r="U385" s="10">
        <v>620</v>
      </c>
      <c r="V385" s="10">
        <v>610</v>
      </c>
      <c r="W385" s="10">
        <v>538</v>
      </c>
      <c r="X385" s="10">
        <v>606</v>
      </c>
      <c r="Y385" s="10">
        <v>267</v>
      </c>
      <c r="Z385" s="10">
        <v>606</v>
      </c>
      <c r="AA385" s="10">
        <v>580</v>
      </c>
      <c r="AB385" s="10">
        <v>574</v>
      </c>
      <c r="AC385" s="10">
        <v>142</v>
      </c>
      <c r="AD385" s="10">
        <v>165</v>
      </c>
      <c r="AE385" s="10">
        <v>134</v>
      </c>
      <c r="AF385" s="10">
        <v>89</v>
      </c>
      <c r="AG385" s="10">
        <v>156</v>
      </c>
      <c r="AH385" s="102">
        <f>SUM(Tableau2[[#This Row],[Td 2]:[Td 5]])</f>
        <v>544</v>
      </c>
      <c r="AI385" s="10">
        <v>52.8</v>
      </c>
      <c r="AJ385" s="10">
        <v>100</v>
      </c>
      <c r="AK385" s="17">
        <f t="shared" si="39"/>
        <v>28.029666666666685</v>
      </c>
      <c r="AL385" s="17">
        <f t="shared" si="40"/>
        <v>0</v>
      </c>
      <c r="AM385" s="17">
        <f t="shared" si="41"/>
        <v>606</v>
      </c>
    </row>
    <row r="386" spans="1:39" s="3" customFormat="1" x14ac:dyDescent="0.25">
      <c r="A386" s="2" t="s">
        <v>16</v>
      </c>
      <c r="B386" s="29" t="s">
        <v>739</v>
      </c>
      <c r="C386" s="2" t="s">
        <v>36</v>
      </c>
      <c r="D386" s="2" t="s">
        <v>410</v>
      </c>
      <c r="E386" s="14">
        <v>15268</v>
      </c>
      <c r="F386" s="15">
        <f t="shared" si="35"/>
        <v>532.85320000000002</v>
      </c>
      <c r="G386" s="15">
        <f t="shared" si="36"/>
        <v>610.72</v>
      </c>
      <c r="H386" s="15">
        <f t="shared" si="37"/>
        <v>444.04433333333338</v>
      </c>
      <c r="I386" s="15">
        <f t="shared" si="38"/>
        <v>508.93333333333339</v>
      </c>
      <c r="J386" s="10">
        <v>242</v>
      </c>
      <c r="K386" s="10">
        <v>134</v>
      </c>
      <c r="L386" s="10">
        <v>417</v>
      </c>
      <c r="M386" s="10">
        <v>403</v>
      </c>
      <c r="N386" s="10">
        <v>416</v>
      </c>
      <c r="O386" s="10">
        <v>417</v>
      </c>
      <c r="P386" s="10">
        <v>403</v>
      </c>
      <c r="Q386" s="10">
        <v>416</v>
      </c>
      <c r="R386" s="10">
        <v>315</v>
      </c>
      <c r="S386" s="10">
        <v>299</v>
      </c>
      <c r="T386" s="10">
        <v>323</v>
      </c>
      <c r="U386" s="10">
        <v>228</v>
      </c>
      <c r="V386" s="10">
        <v>246</v>
      </c>
      <c r="W386" s="10">
        <v>243</v>
      </c>
      <c r="X386" s="10">
        <v>400</v>
      </c>
      <c r="Y386" s="10">
        <v>248</v>
      </c>
      <c r="Z386" s="10">
        <v>400</v>
      </c>
      <c r="AA386" s="10">
        <v>416</v>
      </c>
      <c r="AB386" s="10">
        <v>381</v>
      </c>
      <c r="AC386" s="10">
        <v>106</v>
      </c>
      <c r="AD386" s="10">
        <v>88</v>
      </c>
      <c r="AE386" s="10">
        <v>106</v>
      </c>
      <c r="AF386" s="10">
        <v>88</v>
      </c>
      <c r="AG386" s="10">
        <v>78</v>
      </c>
      <c r="AH386" s="102">
        <f>SUM(Tableau2[[#This Row],[Td 2]:[Td 5]])</f>
        <v>360</v>
      </c>
      <c r="AI386" s="10">
        <v>58.3</v>
      </c>
      <c r="AJ386" s="10">
        <v>100</v>
      </c>
      <c r="AK386" s="17">
        <f t="shared" si="39"/>
        <v>27.044333333333384</v>
      </c>
      <c r="AL386" s="17">
        <f t="shared" si="40"/>
        <v>17</v>
      </c>
      <c r="AM386" s="17">
        <f t="shared" si="41"/>
        <v>400</v>
      </c>
    </row>
    <row r="387" spans="1:39" s="3" customFormat="1" x14ac:dyDescent="0.25">
      <c r="A387" s="2" t="s">
        <v>16</v>
      </c>
      <c r="B387" s="29" t="s">
        <v>739</v>
      </c>
      <c r="C387" s="2" t="s">
        <v>36</v>
      </c>
      <c r="D387" s="2" t="s">
        <v>411</v>
      </c>
      <c r="E387" s="14">
        <v>18245</v>
      </c>
      <c r="F387" s="15">
        <f t="shared" si="35"/>
        <v>636.75049999999999</v>
      </c>
      <c r="G387" s="15">
        <f t="shared" si="36"/>
        <v>729.80000000000007</v>
      </c>
      <c r="H387" s="15">
        <f t="shared" si="37"/>
        <v>530.62541666666664</v>
      </c>
      <c r="I387" s="15">
        <f t="shared" si="38"/>
        <v>608.16666666666674</v>
      </c>
      <c r="J387" s="10">
        <v>619</v>
      </c>
      <c r="K387" s="10">
        <v>353</v>
      </c>
      <c r="L387" s="10">
        <v>513</v>
      </c>
      <c r="M387" s="10">
        <v>458</v>
      </c>
      <c r="N387" s="10">
        <v>482</v>
      </c>
      <c r="O387" s="10">
        <v>527</v>
      </c>
      <c r="P387" s="10">
        <v>646</v>
      </c>
      <c r="Q387" s="10">
        <v>502</v>
      </c>
      <c r="R387" s="10">
        <v>474</v>
      </c>
      <c r="S387" s="10">
        <v>425</v>
      </c>
      <c r="T387" s="10">
        <v>378</v>
      </c>
      <c r="U387" s="10">
        <v>496</v>
      </c>
      <c r="V387" s="10">
        <v>409</v>
      </c>
      <c r="W387" s="10">
        <v>407</v>
      </c>
      <c r="X387" s="10">
        <v>476</v>
      </c>
      <c r="Y387" s="10">
        <v>262</v>
      </c>
      <c r="Z387" s="10">
        <v>481</v>
      </c>
      <c r="AA387" s="10">
        <v>518</v>
      </c>
      <c r="AB387" s="10">
        <v>431</v>
      </c>
      <c r="AC387" s="10">
        <v>112</v>
      </c>
      <c r="AD387" s="10">
        <v>113</v>
      </c>
      <c r="AE387" s="10">
        <v>71</v>
      </c>
      <c r="AF387" s="10">
        <v>63</v>
      </c>
      <c r="AG387" s="10">
        <v>59</v>
      </c>
      <c r="AH387" s="102">
        <f>SUM(Tableau2[[#This Row],[Td 2]:[Td 5]])</f>
        <v>306</v>
      </c>
      <c r="AI387" s="10">
        <v>58.3</v>
      </c>
      <c r="AJ387" s="10">
        <v>100</v>
      </c>
      <c r="AK387" s="17">
        <f t="shared" si="39"/>
        <v>3.6254166666666379</v>
      </c>
      <c r="AL387" s="17">
        <f t="shared" si="40"/>
        <v>51</v>
      </c>
      <c r="AM387" s="17">
        <f t="shared" si="41"/>
        <v>476</v>
      </c>
    </row>
    <row r="388" spans="1:39" s="3" customFormat="1" x14ac:dyDescent="0.25">
      <c r="A388" s="2" t="s">
        <v>16</v>
      </c>
      <c r="B388" s="29" t="s">
        <v>739</v>
      </c>
      <c r="C388" s="2" t="s">
        <v>36</v>
      </c>
      <c r="D388" s="2" t="s">
        <v>412</v>
      </c>
      <c r="E388" s="14">
        <v>13116</v>
      </c>
      <c r="F388" s="15">
        <f t="shared" si="35"/>
        <v>457.7484</v>
      </c>
      <c r="G388" s="15">
        <f t="shared" si="36"/>
        <v>524.64</v>
      </c>
      <c r="H388" s="15">
        <f t="shared" si="37"/>
        <v>381.45699999999999</v>
      </c>
      <c r="I388" s="15">
        <f t="shared" si="38"/>
        <v>437.2</v>
      </c>
      <c r="J388" s="10">
        <v>168</v>
      </c>
      <c r="K388" s="10">
        <v>384</v>
      </c>
      <c r="L388" s="10">
        <v>390</v>
      </c>
      <c r="M388" s="10">
        <v>379</v>
      </c>
      <c r="N388" s="10">
        <v>366</v>
      </c>
      <c r="O388" s="10">
        <v>426</v>
      </c>
      <c r="P388" s="10">
        <v>389</v>
      </c>
      <c r="Q388" s="10">
        <v>366</v>
      </c>
      <c r="R388" s="10">
        <v>390</v>
      </c>
      <c r="S388" s="10">
        <v>378</v>
      </c>
      <c r="T388" s="10">
        <v>402</v>
      </c>
      <c r="U388" s="10">
        <v>350</v>
      </c>
      <c r="V388" s="10">
        <v>313</v>
      </c>
      <c r="W388" s="10">
        <v>296</v>
      </c>
      <c r="X388" s="10">
        <v>331</v>
      </c>
      <c r="Y388" s="10">
        <v>201</v>
      </c>
      <c r="Z388" s="10">
        <v>339</v>
      </c>
      <c r="AA388" s="10">
        <v>350</v>
      </c>
      <c r="AB388" s="10">
        <v>285</v>
      </c>
      <c r="AC388" s="10">
        <v>97</v>
      </c>
      <c r="AD388" s="10">
        <v>46</v>
      </c>
      <c r="AE388" s="10">
        <v>81</v>
      </c>
      <c r="AF388" s="10">
        <v>71</v>
      </c>
      <c r="AG388" s="10">
        <v>57</v>
      </c>
      <c r="AH388" s="102">
        <f>SUM(Tableau2[[#This Row],[Td 2]:[Td 5]])</f>
        <v>255</v>
      </c>
      <c r="AI388" s="10">
        <v>58.3</v>
      </c>
      <c r="AJ388" s="10">
        <v>100</v>
      </c>
      <c r="AK388" s="17">
        <f t="shared" si="39"/>
        <v>0</v>
      </c>
      <c r="AL388" s="17">
        <f t="shared" si="40"/>
        <v>95</v>
      </c>
      <c r="AM388" s="17">
        <f t="shared" si="41"/>
        <v>331</v>
      </c>
    </row>
    <row r="389" spans="1:39" s="3" customFormat="1" x14ac:dyDescent="0.25">
      <c r="A389" s="2" t="s">
        <v>16</v>
      </c>
      <c r="B389" s="29" t="s">
        <v>739</v>
      </c>
      <c r="C389" s="2" t="s">
        <v>36</v>
      </c>
      <c r="D389" s="2" t="s">
        <v>413</v>
      </c>
      <c r="E389" s="14">
        <v>16926</v>
      </c>
      <c r="F389" s="15">
        <f t="shared" si="35"/>
        <v>590.7174</v>
      </c>
      <c r="G389" s="15">
        <f t="shared" si="36"/>
        <v>677.04</v>
      </c>
      <c r="H389" s="15">
        <f t="shared" si="37"/>
        <v>492.2645</v>
      </c>
      <c r="I389" s="15">
        <f t="shared" si="38"/>
        <v>564.19999999999993</v>
      </c>
      <c r="J389" s="10">
        <v>279</v>
      </c>
      <c r="K389" s="10">
        <v>181</v>
      </c>
      <c r="L389" s="10">
        <v>520</v>
      </c>
      <c r="M389" s="10">
        <v>567</v>
      </c>
      <c r="N389" s="10">
        <v>592</v>
      </c>
      <c r="O389" s="10">
        <v>522</v>
      </c>
      <c r="P389" s="10">
        <v>562</v>
      </c>
      <c r="Q389" s="10">
        <v>632</v>
      </c>
      <c r="R389" s="10">
        <v>458</v>
      </c>
      <c r="S389" s="10">
        <v>500</v>
      </c>
      <c r="T389" s="10">
        <v>461</v>
      </c>
      <c r="U389" s="10">
        <v>429</v>
      </c>
      <c r="V389" s="10">
        <v>472</v>
      </c>
      <c r="W389" s="10">
        <v>425</v>
      </c>
      <c r="X389" s="10">
        <v>558</v>
      </c>
      <c r="Y389" s="10">
        <v>139</v>
      </c>
      <c r="Z389" s="10">
        <v>535</v>
      </c>
      <c r="AA389" s="10">
        <v>585</v>
      </c>
      <c r="AB389" s="10">
        <v>534</v>
      </c>
      <c r="AC389" s="10">
        <v>126</v>
      </c>
      <c r="AD389" s="10">
        <v>60</v>
      </c>
      <c r="AE389" s="10">
        <v>80</v>
      </c>
      <c r="AF389" s="10">
        <v>65</v>
      </c>
      <c r="AG389" s="10">
        <v>26</v>
      </c>
      <c r="AH389" s="102">
        <f>SUM(Tableau2[[#This Row],[Td 2]:[Td 5]])</f>
        <v>231</v>
      </c>
      <c r="AI389" s="10">
        <v>58.3</v>
      </c>
      <c r="AJ389" s="10">
        <v>100</v>
      </c>
      <c r="AK389" s="17">
        <f t="shared" si="39"/>
        <v>0</v>
      </c>
      <c r="AL389" s="17">
        <f t="shared" si="40"/>
        <v>0</v>
      </c>
      <c r="AM389" s="17">
        <f t="shared" si="41"/>
        <v>535</v>
      </c>
    </row>
    <row r="390" spans="1:39" s="3" customFormat="1" x14ac:dyDescent="0.25">
      <c r="A390" s="2" t="s">
        <v>16</v>
      </c>
      <c r="B390" s="29" t="s">
        <v>739</v>
      </c>
      <c r="C390" s="2" t="s">
        <v>36</v>
      </c>
      <c r="D390" s="2" t="s">
        <v>414</v>
      </c>
      <c r="E390" s="14">
        <v>20486</v>
      </c>
      <c r="F390" s="15">
        <f t="shared" ref="F390:F453" si="42">IFERROR(E390*3.49%,"")</f>
        <v>714.96140000000003</v>
      </c>
      <c r="G390" s="15">
        <f t="shared" ref="G390:G453" si="43">IFERROR(E390*4%,"")</f>
        <v>819.44</v>
      </c>
      <c r="H390" s="15">
        <f t="shared" ref="H390:H453" si="44">IFERROR((F390/12)*$C$1,"")</f>
        <v>595.80116666666663</v>
      </c>
      <c r="I390" s="15">
        <f t="shared" ref="I390:I453" si="45">IFERROR((G390/12)*$C$1,"")</f>
        <v>682.86666666666679</v>
      </c>
      <c r="J390" s="10">
        <v>475</v>
      </c>
      <c r="K390" s="10">
        <v>34</v>
      </c>
      <c r="L390" s="10">
        <v>560</v>
      </c>
      <c r="M390" s="10">
        <v>519</v>
      </c>
      <c r="N390" s="10">
        <v>533</v>
      </c>
      <c r="O390" s="10">
        <v>558</v>
      </c>
      <c r="P390" s="10">
        <v>506</v>
      </c>
      <c r="Q390" s="10">
        <v>558</v>
      </c>
      <c r="R390" s="10">
        <v>527</v>
      </c>
      <c r="S390" s="10">
        <v>430</v>
      </c>
      <c r="T390" s="10">
        <v>452</v>
      </c>
      <c r="U390" s="10">
        <v>565</v>
      </c>
      <c r="V390" s="10">
        <v>531</v>
      </c>
      <c r="W390" s="10">
        <v>586</v>
      </c>
      <c r="X390" s="10">
        <v>485</v>
      </c>
      <c r="Y390" s="10">
        <v>207</v>
      </c>
      <c r="Z390" s="10">
        <v>481</v>
      </c>
      <c r="AA390" s="10">
        <v>528</v>
      </c>
      <c r="AB390" s="10">
        <v>472</v>
      </c>
      <c r="AC390" s="10">
        <v>136</v>
      </c>
      <c r="AD390" s="10">
        <v>130</v>
      </c>
      <c r="AE390" s="10">
        <v>105</v>
      </c>
      <c r="AF390" s="10">
        <v>92</v>
      </c>
      <c r="AG390" s="10">
        <v>79</v>
      </c>
      <c r="AH390" s="102">
        <f>SUM(Tableau2[[#This Row],[Td 2]:[Td 5]])</f>
        <v>406</v>
      </c>
      <c r="AI390" s="10">
        <v>58.3</v>
      </c>
      <c r="AJ390" s="10">
        <v>100</v>
      </c>
      <c r="AK390" s="17">
        <f t="shared" ref="AK390:AK453" si="46">IFERROR(IF(H390-O390&lt;0,0,H390-O390),0)</f>
        <v>37.801166666666631</v>
      </c>
      <c r="AL390" s="17">
        <f t="shared" ref="AL390:AL453" si="47">IFERROR(IF(O390-X390&lt;0,0,O390-X390),0)</f>
        <v>73</v>
      </c>
      <c r="AM390" s="17">
        <f t="shared" ref="AM390:AM453" si="48">MIN(X390,Z390)</f>
        <v>481</v>
      </c>
    </row>
    <row r="391" spans="1:39" s="3" customFormat="1" x14ac:dyDescent="0.25">
      <c r="A391" s="2" t="s">
        <v>16</v>
      </c>
      <c r="B391" s="29" t="s">
        <v>739</v>
      </c>
      <c r="C391" s="2" t="s">
        <v>36</v>
      </c>
      <c r="D391" s="2" t="s">
        <v>415</v>
      </c>
      <c r="E391" s="14">
        <v>21582</v>
      </c>
      <c r="F391" s="15">
        <f t="shared" si="42"/>
        <v>753.21180000000004</v>
      </c>
      <c r="G391" s="15">
        <f t="shared" si="43"/>
        <v>863.28</v>
      </c>
      <c r="H391" s="15">
        <f t="shared" si="44"/>
        <v>627.67650000000003</v>
      </c>
      <c r="I391" s="15">
        <f t="shared" si="45"/>
        <v>719.4</v>
      </c>
      <c r="J391" s="10">
        <v>462</v>
      </c>
      <c r="K391" s="10">
        <v>82</v>
      </c>
      <c r="L391" s="10">
        <v>543</v>
      </c>
      <c r="M391" s="10">
        <v>512</v>
      </c>
      <c r="N391" s="10">
        <v>549</v>
      </c>
      <c r="O391" s="10">
        <v>536</v>
      </c>
      <c r="P391" s="10">
        <v>557</v>
      </c>
      <c r="Q391" s="10">
        <v>579</v>
      </c>
      <c r="R391" s="10">
        <v>527</v>
      </c>
      <c r="S391" s="10">
        <v>494</v>
      </c>
      <c r="T391" s="10">
        <v>448</v>
      </c>
      <c r="U391" s="10">
        <v>536</v>
      </c>
      <c r="V391" s="10">
        <v>503</v>
      </c>
      <c r="W391" s="10">
        <v>536</v>
      </c>
      <c r="X391" s="10">
        <v>492</v>
      </c>
      <c r="Y391" s="10">
        <v>237</v>
      </c>
      <c r="Z391" s="10">
        <v>492</v>
      </c>
      <c r="AA391" s="10">
        <v>549</v>
      </c>
      <c r="AB391" s="10">
        <v>453</v>
      </c>
      <c r="AC391" s="10">
        <v>202</v>
      </c>
      <c r="AD391" s="10">
        <v>109</v>
      </c>
      <c r="AE391" s="10">
        <v>82</v>
      </c>
      <c r="AF391" s="10">
        <v>55</v>
      </c>
      <c r="AG391" s="10">
        <v>41</v>
      </c>
      <c r="AH391" s="102">
        <f>SUM(Tableau2[[#This Row],[Td 2]:[Td 5]])</f>
        <v>287</v>
      </c>
      <c r="AI391" s="10">
        <v>58.3</v>
      </c>
      <c r="AJ391" s="10">
        <v>100</v>
      </c>
      <c r="AK391" s="17">
        <f t="shared" si="46"/>
        <v>91.676500000000033</v>
      </c>
      <c r="AL391" s="17">
        <f t="shared" si="47"/>
        <v>44</v>
      </c>
      <c r="AM391" s="17">
        <f t="shared" si="48"/>
        <v>492</v>
      </c>
    </row>
    <row r="392" spans="1:39" s="3" customFormat="1" x14ac:dyDescent="0.25">
      <c r="A392" s="2" t="s">
        <v>16</v>
      </c>
      <c r="B392" s="29" t="s">
        <v>739</v>
      </c>
      <c r="C392" s="2" t="s">
        <v>36</v>
      </c>
      <c r="D392" s="2" t="s">
        <v>416</v>
      </c>
      <c r="E392" s="14">
        <v>23343</v>
      </c>
      <c r="F392" s="15">
        <f t="shared" si="42"/>
        <v>814.67070000000001</v>
      </c>
      <c r="G392" s="15">
        <f t="shared" si="43"/>
        <v>933.72</v>
      </c>
      <c r="H392" s="15">
        <f t="shared" si="44"/>
        <v>678.89224999999999</v>
      </c>
      <c r="I392" s="15">
        <f t="shared" si="45"/>
        <v>778.1</v>
      </c>
      <c r="J392" s="10">
        <v>472</v>
      </c>
      <c r="K392" s="10">
        <v>52</v>
      </c>
      <c r="L392" s="10">
        <v>605</v>
      </c>
      <c r="M392" s="10">
        <v>611</v>
      </c>
      <c r="N392" s="10">
        <v>597</v>
      </c>
      <c r="O392" s="10">
        <v>660</v>
      </c>
      <c r="P392" s="10">
        <v>584</v>
      </c>
      <c r="Q392" s="10">
        <v>527</v>
      </c>
      <c r="R392" s="10">
        <v>587</v>
      </c>
      <c r="S392" s="10">
        <v>563</v>
      </c>
      <c r="T392" s="10">
        <v>480</v>
      </c>
      <c r="U392" s="10">
        <v>617</v>
      </c>
      <c r="V392" s="10">
        <v>599</v>
      </c>
      <c r="W392" s="10">
        <v>456</v>
      </c>
      <c r="X392" s="10">
        <v>502</v>
      </c>
      <c r="Y392" s="10">
        <v>203</v>
      </c>
      <c r="Z392" s="10">
        <v>627</v>
      </c>
      <c r="AA392" s="10">
        <v>659</v>
      </c>
      <c r="AB392" s="10">
        <v>397</v>
      </c>
      <c r="AC392" s="10">
        <v>200</v>
      </c>
      <c r="AD392" s="10">
        <v>155</v>
      </c>
      <c r="AE392" s="10">
        <v>168</v>
      </c>
      <c r="AF392" s="10">
        <v>114</v>
      </c>
      <c r="AG392" s="10">
        <v>191</v>
      </c>
      <c r="AH392" s="102">
        <f>SUM(Tableau2[[#This Row],[Td 2]:[Td 5]])</f>
        <v>628</v>
      </c>
      <c r="AI392" s="10">
        <v>58.3</v>
      </c>
      <c r="AJ392" s="10">
        <v>100</v>
      </c>
      <c r="AK392" s="17">
        <f t="shared" si="46"/>
        <v>18.89224999999999</v>
      </c>
      <c r="AL392" s="17">
        <f t="shared" si="47"/>
        <v>158</v>
      </c>
      <c r="AM392" s="17">
        <f t="shared" si="48"/>
        <v>502</v>
      </c>
    </row>
    <row r="393" spans="1:39" s="3" customFormat="1" x14ac:dyDescent="0.25">
      <c r="A393" s="2" t="s">
        <v>16</v>
      </c>
      <c r="B393" s="29" t="s">
        <v>739</v>
      </c>
      <c r="C393" s="2" t="s">
        <v>36</v>
      </c>
      <c r="D393" s="2" t="s">
        <v>417</v>
      </c>
      <c r="E393" s="14">
        <v>9208</v>
      </c>
      <c r="F393" s="15">
        <f t="shared" si="42"/>
        <v>321.35919999999999</v>
      </c>
      <c r="G393" s="15">
        <f t="shared" si="43"/>
        <v>368.32</v>
      </c>
      <c r="H393" s="15">
        <f t="shared" si="44"/>
        <v>267.79933333333332</v>
      </c>
      <c r="I393" s="15">
        <f t="shared" si="45"/>
        <v>306.93333333333334</v>
      </c>
      <c r="J393" s="10">
        <v>177</v>
      </c>
      <c r="K393" s="10">
        <v>157</v>
      </c>
      <c r="L393" s="10">
        <v>247</v>
      </c>
      <c r="M393" s="10">
        <v>233</v>
      </c>
      <c r="N393" s="10">
        <v>239</v>
      </c>
      <c r="O393" s="10">
        <v>248</v>
      </c>
      <c r="P393" s="10">
        <v>233</v>
      </c>
      <c r="Q393" s="10">
        <v>249</v>
      </c>
      <c r="R393" s="10">
        <v>247</v>
      </c>
      <c r="S393" s="10">
        <v>227</v>
      </c>
      <c r="T393" s="10">
        <v>233</v>
      </c>
      <c r="U393" s="10">
        <v>278</v>
      </c>
      <c r="V393" s="10">
        <v>193</v>
      </c>
      <c r="W393" s="10">
        <v>223</v>
      </c>
      <c r="X393" s="10">
        <v>253</v>
      </c>
      <c r="Y393" s="10">
        <v>221</v>
      </c>
      <c r="Z393" s="10">
        <v>265</v>
      </c>
      <c r="AA393" s="10">
        <v>239</v>
      </c>
      <c r="AB393" s="10">
        <v>232</v>
      </c>
      <c r="AC393" s="10">
        <v>72</v>
      </c>
      <c r="AD393" s="10">
        <v>72</v>
      </c>
      <c r="AE393" s="10">
        <v>73</v>
      </c>
      <c r="AF393" s="10">
        <v>45</v>
      </c>
      <c r="AG393" s="10">
        <v>40</v>
      </c>
      <c r="AH393" s="102">
        <f>SUM(Tableau2[[#This Row],[Td 2]:[Td 5]])</f>
        <v>230</v>
      </c>
      <c r="AI393" s="10">
        <v>58.3</v>
      </c>
      <c r="AJ393" s="10">
        <v>100</v>
      </c>
      <c r="AK393" s="17">
        <f t="shared" si="46"/>
        <v>19.799333333333323</v>
      </c>
      <c r="AL393" s="17">
        <f t="shared" si="47"/>
        <v>0</v>
      </c>
      <c r="AM393" s="17">
        <f t="shared" si="48"/>
        <v>253</v>
      </c>
    </row>
    <row r="394" spans="1:39" s="3" customFormat="1" x14ac:dyDescent="0.25">
      <c r="A394" s="2" t="s">
        <v>16</v>
      </c>
      <c r="B394" s="29" t="s">
        <v>739</v>
      </c>
      <c r="C394" s="2" t="s">
        <v>36</v>
      </c>
      <c r="D394" s="2" t="s">
        <v>418</v>
      </c>
      <c r="E394" s="14">
        <v>14844</v>
      </c>
      <c r="F394" s="15">
        <f t="shared" si="42"/>
        <v>518.05560000000003</v>
      </c>
      <c r="G394" s="15">
        <f t="shared" si="43"/>
        <v>593.76</v>
      </c>
      <c r="H394" s="15">
        <f t="shared" si="44"/>
        <v>431.71300000000002</v>
      </c>
      <c r="I394" s="15">
        <f t="shared" si="45"/>
        <v>494.79999999999995</v>
      </c>
      <c r="J394" s="10">
        <v>500</v>
      </c>
      <c r="K394" s="10">
        <v>220</v>
      </c>
      <c r="L394" s="10">
        <v>446</v>
      </c>
      <c r="M394" s="10">
        <v>426</v>
      </c>
      <c r="N394" s="10">
        <v>472</v>
      </c>
      <c r="O394" s="10">
        <v>450</v>
      </c>
      <c r="P394" s="10">
        <v>432</v>
      </c>
      <c r="Q394" s="10">
        <v>491</v>
      </c>
      <c r="R394" s="10">
        <v>402</v>
      </c>
      <c r="S394" s="10">
        <v>387</v>
      </c>
      <c r="T394" s="10">
        <v>419</v>
      </c>
      <c r="U394" s="10">
        <v>414</v>
      </c>
      <c r="V394" s="10">
        <v>387</v>
      </c>
      <c r="W394" s="10">
        <v>447</v>
      </c>
      <c r="X394" s="10">
        <v>437</v>
      </c>
      <c r="Y394" s="10">
        <v>80</v>
      </c>
      <c r="Z394" s="10">
        <v>437</v>
      </c>
      <c r="AA394" s="10">
        <v>472</v>
      </c>
      <c r="AB394" s="10">
        <v>437</v>
      </c>
      <c r="AC394" s="10">
        <v>40</v>
      </c>
      <c r="AD394" s="10">
        <v>43</v>
      </c>
      <c r="AE394" s="10">
        <v>29</v>
      </c>
      <c r="AF394" s="10">
        <v>16</v>
      </c>
      <c r="AG394" s="10">
        <v>26</v>
      </c>
      <c r="AH394" s="102">
        <f>SUM(Tableau2[[#This Row],[Td 2]:[Td 5]])</f>
        <v>114</v>
      </c>
      <c r="AI394" s="10">
        <v>58.3</v>
      </c>
      <c r="AJ394" s="10">
        <v>100</v>
      </c>
      <c r="AK394" s="17">
        <f t="shared" si="46"/>
        <v>0</v>
      </c>
      <c r="AL394" s="17">
        <f t="shared" si="47"/>
        <v>13</v>
      </c>
      <c r="AM394" s="17">
        <f t="shared" si="48"/>
        <v>437</v>
      </c>
    </row>
    <row r="395" spans="1:39" s="3" customFormat="1" x14ac:dyDescent="0.25">
      <c r="A395" s="2" t="s">
        <v>16</v>
      </c>
      <c r="B395" s="29" t="s">
        <v>739</v>
      </c>
      <c r="C395" s="2" t="s">
        <v>36</v>
      </c>
      <c r="D395" s="2" t="s">
        <v>419</v>
      </c>
      <c r="E395" s="14">
        <v>25567</v>
      </c>
      <c r="F395" s="15">
        <f t="shared" si="42"/>
        <v>892.28830000000005</v>
      </c>
      <c r="G395" s="15">
        <f t="shared" si="43"/>
        <v>1022.6800000000001</v>
      </c>
      <c r="H395" s="15">
        <f t="shared" si="44"/>
        <v>743.57358333333332</v>
      </c>
      <c r="I395" s="15">
        <f t="shared" si="45"/>
        <v>852.23333333333346</v>
      </c>
      <c r="J395" s="10">
        <v>380</v>
      </c>
      <c r="K395" s="10">
        <v>667</v>
      </c>
      <c r="L395" s="10">
        <v>716</v>
      </c>
      <c r="M395" s="10">
        <v>706</v>
      </c>
      <c r="N395" s="10">
        <v>693</v>
      </c>
      <c r="O395" s="10">
        <v>717</v>
      </c>
      <c r="P395" s="10">
        <v>703</v>
      </c>
      <c r="Q395" s="10">
        <v>692</v>
      </c>
      <c r="R395" s="10">
        <v>673</v>
      </c>
      <c r="S395" s="10">
        <v>564</v>
      </c>
      <c r="T395" s="10">
        <v>563</v>
      </c>
      <c r="U395" s="10">
        <v>632</v>
      </c>
      <c r="V395" s="10">
        <v>620</v>
      </c>
      <c r="W395" s="10">
        <v>617</v>
      </c>
      <c r="X395" s="10">
        <v>701</v>
      </c>
      <c r="Y395" s="10">
        <v>231</v>
      </c>
      <c r="Z395" s="10">
        <v>713</v>
      </c>
      <c r="AA395" s="10">
        <v>820</v>
      </c>
      <c r="AB395" s="10">
        <v>532</v>
      </c>
      <c r="AC395" s="10">
        <v>475</v>
      </c>
      <c r="AD395" s="10">
        <v>284</v>
      </c>
      <c r="AE395" s="10">
        <v>199</v>
      </c>
      <c r="AF395" s="10">
        <v>127</v>
      </c>
      <c r="AG395" s="10">
        <v>119</v>
      </c>
      <c r="AH395" s="102">
        <f>SUM(Tableau2[[#This Row],[Td 2]:[Td 5]])</f>
        <v>729</v>
      </c>
      <c r="AI395" s="10">
        <v>54.2</v>
      </c>
      <c r="AJ395" s="10">
        <v>100</v>
      </c>
      <c r="AK395" s="17">
        <f t="shared" si="46"/>
        <v>26.573583333333318</v>
      </c>
      <c r="AL395" s="17">
        <f t="shared" si="47"/>
        <v>16</v>
      </c>
      <c r="AM395" s="17">
        <f t="shared" si="48"/>
        <v>701</v>
      </c>
    </row>
    <row r="396" spans="1:39" s="3" customFormat="1" x14ac:dyDescent="0.25">
      <c r="A396" s="2" t="s">
        <v>16</v>
      </c>
      <c r="B396" s="29" t="s">
        <v>739</v>
      </c>
      <c r="C396" s="2" t="s">
        <v>36</v>
      </c>
      <c r="D396" s="2" t="s">
        <v>420</v>
      </c>
      <c r="E396" s="14">
        <v>24653</v>
      </c>
      <c r="F396" s="15">
        <f t="shared" si="42"/>
        <v>860.38970000000006</v>
      </c>
      <c r="G396" s="15">
        <f t="shared" si="43"/>
        <v>986.12</v>
      </c>
      <c r="H396" s="15">
        <f t="shared" si="44"/>
        <v>716.99141666666674</v>
      </c>
      <c r="I396" s="15">
        <f t="shared" si="45"/>
        <v>821.76666666666665</v>
      </c>
      <c r="J396" s="10">
        <v>487</v>
      </c>
      <c r="K396" s="10">
        <v>444</v>
      </c>
      <c r="L396" s="10">
        <v>715</v>
      </c>
      <c r="M396" s="10">
        <v>629</v>
      </c>
      <c r="N396" s="10">
        <v>560</v>
      </c>
      <c r="O396" s="10">
        <v>753</v>
      </c>
      <c r="P396" s="10">
        <v>665</v>
      </c>
      <c r="Q396" s="10">
        <v>657</v>
      </c>
      <c r="R396" s="10">
        <v>633</v>
      </c>
      <c r="S396" s="10">
        <v>499</v>
      </c>
      <c r="T396" s="10">
        <v>620</v>
      </c>
      <c r="U396" s="10">
        <v>731</v>
      </c>
      <c r="V396" s="10">
        <v>609</v>
      </c>
      <c r="W396" s="10">
        <v>590</v>
      </c>
      <c r="X396" s="10">
        <v>754</v>
      </c>
      <c r="Y396" s="10">
        <v>205</v>
      </c>
      <c r="Z396" s="10">
        <v>662</v>
      </c>
      <c r="AA396" s="10">
        <v>766</v>
      </c>
      <c r="AB396" s="10">
        <v>340</v>
      </c>
      <c r="AC396" s="10">
        <v>208</v>
      </c>
      <c r="AD396" s="10">
        <v>136</v>
      </c>
      <c r="AE396" s="10">
        <v>124</v>
      </c>
      <c r="AF396" s="10">
        <v>89</v>
      </c>
      <c r="AG396" s="10">
        <v>73</v>
      </c>
      <c r="AH396" s="102">
        <f>SUM(Tableau2[[#This Row],[Td 2]:[Td 5]])</f>
        <v>422</v>
      </c>
      <c r="AI396" s="10">
        <v>58.3</v>
      </c>
      <c r="AJ396" s="10">
        <v>100</v>
      </c>
      <c r="AK396" s="17">
        <f t="shared" si="46"/>
        <v>0</v>
      </c>
      <c r="AL396" s="17">
        <f t="shared" si="47"/>
        <v>0</v>
      </c>
      <c r="AM396" s="17">
        <f t="shared" si="48"/>
        <v>662</v>
      </c>
    </row>
    <row r="397" spans="1:39" s="3" customFormat="1" x14ac:dyDescent="0.25">
      <c r="A397" s="2" t="s">
        <v>16</v>
      </c>
      <c r="B397" s="29" t="s">
        <v>739</v>
      </c>
      <c r="C397" s="2" t="s">
        <v>36</v>
      </c>
      <c r="D397" s="2" t="s">
        <v>421</v>
      </c>
      <c r="E397" s="14">
        <v>8302</v>
      </c>
      <c r="F397" s="15">
        <f t="shared" si="42"/>
        <v>289.7398</v>
      </c>
      <c r="G397" s="15">
        <f t="shared" si="43"/>
        <v>332.08</v>
      </c>
      <c r="H397" s="15">
        <f t="shared" si="44"/>
        <v>241.44983333333332</v>
      </c>
      <c r="I397" s="15">
        <f t="shared" si="45"/>
        <v>276.73333333333335</v>
      </c>
      <c r="J397" s="10">
        <v>137</v>
      </c>
      <c r="K397" s="10">
        <v>143</v>
      </c>
      <c r="L397" s="10">
        <v>204</v>
      </c>
      <c r="M397" s="10">
        <v>189</v>
      </c>
      <c r="N397" s="10">
        <v>200</v>
      </c>
      <c r="O397" s="10">
        <v>213</v>
      </c>
      <c r="P397" s="10">
        <v>174</v>
      </c>
      <c r="Q397" s="10">
        <v>191</v>
      </c>
      <c r="R397" s="10">
        <v>213</v>
      </c>
      <c r="S397" s="10">
        <v>179</v>
      </c>
      <c r="T397" s="10">
        <v>191</v>
      </c>
      <c r="U397" s="10">
        <v>183</v>
      </c>
      <c r="V397" s="10">
        <v>176</v>
      </c>
      <c r="W397" s="10">
        <v>181</v>
      </c>
      <c r="X397" s="10">
        <v>219</v>
      </c>
      <c r="Y397" s="10">
        <v>176</v>
      </c>
      <c r="Z397" s="10">
        <v>180</v>
      </c>
      <c r="AA397" s="10">
        <v>210</v>
      </c>
      <c r="AB397" s="10">
        <v>219</v>
      </c>
      <c r="AC397" s="10">
        <v>40</v>
      </c>
      <c r="AD397" s="10">
        <v>40</v>
      </c>
      <c r="AE397" s="10">
        <v>50</v>
      </c>
      <c r="AF397" s="10">
        <v>40</v>
      </c>
      <c r="AG397" s="10">
        <v>25</v>
      </c>
      <c r="AH397" s="102">
        <f>SUM(Tableau2[[#This Row],[Td 2]:[Td 5]])</f>
        <v>155</v>
      </c>
      <c r="AI397" s="10">
        <v>58.3</v>
      </c>
      <c r="AJ397" s="10">
        <v>100</v>
      </c>
      <c r="AK397" s="17">
        <f t="shared" si="46"/>
        <v>28.449833333333316</v>
      </c>
      <c r="AL397" s="17">
        <f t="shared" si="47"/>
        <v>0</v>
      </c>
      <c r="AM397" s="17">
        <f t="shared" si="48"/>
        <v>180</v>
      </c>
    </row>
    <row r="398" spans="1:39" s="3" customFormat="1" x14ac:dyDescent="0.25">
      <c r="A398" s="2" t="s">
        <v>16</v>
      </c>
      <c r="B398" s="29" t="s">
        <v>739</v>
      </c>
      <c r="C398" s="2" t="s">
        <v>36</v>
      </c>
      <c r="D398" s="2" t="s">
        <v>422</v>
      </c>
      <c r="E398" s="14">
        <v>12862</v>
      </c>
      <c r="F398" s="15">
        <f t="shared" si="42"/>
        <v>448.88380000000001</v>
      </c>
      <c r="G398" s="15">
        <f t="shared" si="43"/>
        <v>514.48</v>
      </c>
      <c r="H398" s="15">
        <f t="shared" si="44"/>
        <v>374.06983333333335</v>
      </c>
      <c r="I398" s="15">
        <f t="shared" si="45"/>
        <v>428.73333333333335</v>
      </c>
      <c r="J398" s="10">
        <v>277</v>
      </c>
      <c r="K398" s="10">
        <v>122</v>
      </c>
      <c r="L398" s="10">
        <v>368</v>
      </c>
      <c r="M398" s="10">
        <v>339</v>
      </c>
      <c r="N398" s="10">
        <v>368</v>
      </c>
      <c r="O398" s="10">
        <v>331</v>
      </c>
      <c r="P398" s="10">
        <v>293</v>
      </c>
      <c r="Q398" s="10">
        <v>331</v>
      </c>
      <c r="R398" s="10">
        <v>308</v>
      </c>
      <c r="S398" s="10">
        <v>280</v>
      </c>
      <c r="T398" s="10">
        <v>309</v>
      </c>
      <c r="U398" s="10">
        <v>306</v>
      </c>
      <c r="V398" s="10">
        <v>272</v>
      </c>
      <c r="W398" s="10">
        <v>306</v>
      </c>
      <c r="X398" s="10">
        <v>364</v>
      </c>
      <c r="Y398" s="10">
        <v>211</v>
      </c>
      <c r="Z398" s="10">
        <v>328</v>
      </c>
      <c r="AA398" s="10">
        <v>368</v>
      </c>
      <c r="AB398" s="10">
        <v>364</v>
      </c>
      <c r="AC398" s="10">
        <v>111</v>
      </c>
      <c r="AD398" s="10">
        <v>67</v>
      </c>
      <c r="AE398" s="10">
        <v>93</v>
      </c>
      <c r="AF398" s="10">
        <v>89</v>
      </c>
      <c r="AG398" s="10">
        <v>80</v>
      </c>
      <c r="AH398" s="102">
        <f>SUM(Tableau2[[#This Row],[Td 2]:[Td 5]])</f>
        <v>329</v>
      </c>
      <c r="AI398" s="10">
        <v>58.3</v>
      </c>
      <c r="AJ398" s="10">
        <v>100</v>
      </c>
      <c r="AK398" s="17">
        <f t="shared" si="46"/>
        <v>43.069833333333349</v>
      </c>
      <c r="AL398" s="17">
        <f t="shared" si="47"/>
        <v>0</v>
      </c>
      <c r="AM398" s="17">
        <f t="shared" si="48"/>
        <v>328</v>
      </c>
    </row>
    <row r="399" spans="1:39" s="3" customFormat="1" x14ac:dyDescent="0.25">
      <c r="A399" s="2" t="s">
        <v>16</v>
      </c>
      <c r="B399" s="29" t="s">
        <v>739</v>
      </c>
      <c r="C399" s="2" t="s">
        <v>36</v>
      </c>
      <c r="D399" s="2" t="s">
        <v>423</v>
      </c>
      <c r="E399" s="14">
        <v>11106</v>
      </c>
      <c r="F399" s="15">
        <f t="shared" si="42"/>
        <v>387.5994</v>
      </c>
      <c r="G399" s="15">
        <f t="shared" si="43"/>
        <v>444.24</v>
      </c>
      <c r="H399" s="15">
        <f t="shared" si="44"/>
        <v>322.99950000000001</v>
      </c>
      <c r="I399" s="15">
        <f t="shared" si="45"/>
        <v>370.20000000000005</v>
      </c>
      <c r="J399" s="10">
        <v>272</v>
      </c>
      <c r="K399" s="10">
        <v>278</v>
      </c>
      <c r="L399" s="10">
        <v>354</v>
      </c>
      <c r="M399" s="10">
        <v>345</v>
      </c>
      <c r="N399" s="10">
        <v>354</v>
      </c>
      <c r="O399" s="10">
        <v>319</v>
      </c>
      <c r="P399" s="10">
        <v>317</v>
      </c>
      <c r="Q399" s="10">
        <v>325</v>
      </c>
      <c r="R399" s="10">
        <v>335</v>
      </c>
      <c r="S399" s="10">
        <v>321</v>
      </c>
      <c r="T399" s="10">
        <v>331</v>
      </c>
      <c r="U399" s="10">
        <v>344</v>
      </c>
      <c r="V399" s="10">
        <v>336</v>
      </c>
      <c r="W399" s="10">
        <v>341</v>
      </c>
      <c r="X399" s="10">
        <v>349</v>
      </c>
      <c r="Y399" s="10">
        <v>269</v>
      </c>
      <c r="Z399" s="10">
        <v>349</v>
      </c>
      <c r="AA399" s="10">
        <v>386</v>
      </c>
      <c r="AB399" s="10">
        <v>318</v>
      </c>
      <c r="AC399" s="10">
        <v>129</v>
      </c>
      <c r="AD399" s="10">
        <v>132</v>
      </c>
      <c r="AE399" s="10">
        <v>55</v>
      </c>
      <c r="AF399" s="10">
        <v>25</v>
      </c>
      <c r="AG399" s="10">
        <v>14</v>
      </c>
      <c r="AH399" s="102">
        <f>SUM(Tableau2[[#This Row],[Td 2]:[Td 5]])</f>
        <v>226</v>
      </c>
      <c r="AI399" s="10">
        <v>50</v>
      </c>
      <c r="AJ399" s="10">
        <v>100</v>
      </c>
      <c r="AK399" s="17">
        <f t="shared" si="46"/>
        <v>3.9995000000000118</v>
      </c>
      <c r="AL399" s="17">
        <f t="shared" si="47"/>
        <v>0</v>
      </c>
      <c r="AM399" s="17">
        <f t="shared" si="48"/>
        <v>349</v>
      </c>
    </row>
    <row r="400" spans="1:39" s="3" customFormat="1" x14ac:dyDescent="0.25">
      <c r="A400" s="2" t="s">
        <v>16</v>
      </c>
      <c r="B400" s="29" t="s">
        <v>739</v>
      </c>
      <c r="C400" s="2" t="s">
        <v>36</v>
      </c>
      <c r="D400" s="2" t="s">
        <v>424</v>
      </c>
      <c r="E400" s="14">
        <v>25602</v>
      </c>
      <c r="F400" s="15">
        <f t="shared" si="42"/>
        <v>893.50980000000004</v>
      </c>
      <c r="G400" s="15">
        <f t="shared" si="43"/>
        <v>1024.08</v>
      </c>
      <c r="H400" s="15">
        <f t="shared" si="44"/>
        <v>744.59150000000011</v>
      </c>
      <c r="I400" s="15">
        <f t="shared" si="45"/>
        <v>853.39999999999986</v>
      </c>
      <c r="J400" s="10">
        <v>693</v>
      </c>
      <c r="K400" s="10">
        <v>461</v>
      </c>
      <c r="L400" s="10">
        <v>753</v>
      </c>
      <c r="M400" s="10">
        <v>742</v>
      </c>
      <c r="N400" s="10">
        <v>749</v>
      </c>
      <c r="O400" s="10">
        <v>760</v>
      </c>
      <c r="P400" s="10">
        <v>742</v>
      </c>
      <c r="Q400" s="10">
        <v>744</v>
      </c>
      <c r="R400" s="10">
        <v>777</v>
      </c>
      <c r="S400" s="10">
        <v>677</v>
      </c>
      <c r="T400" s="10">
        <v>689</v>
      </c>
      <c r="U400" s="10">
        <v>829</v>
      </c>
      <c r="V400" s="10">
        <v>775</v>
      </c>
      <c r="W400" s="10">
        <v>716</v>
      </c>
      <c r="X400" s="10">
        <v>740</v>
      </c>
      <c r="Y400" s="10">
        <v>346</v>
      </c>
      <c r="Z400" s="10">
        <v>698</v>
      </c>
      <c r="AA400" s="10">
        <v>749</v>
      </c>
      <c r="AB400" s="10">
        <v>663</v>
      </c>
      <c r="AC400" s="10">
        <v>368</v>
      </c>
      <c r="AD400" s="10">
        <v>242</v>
      </c>
      <c r="AE400" s="10">
        <v>198</v>
      </c>
      <c r="AF400" s="10">
        <v>144</v>
      </c>
      <c r="AG400" s="10">
        <v>151</v>
      </c>
      <c r="AH400" s="102">
        <f>SUM(Tableau2[[#This Row],[Td 2]:[Td 5]])</f>
        <v>735</v>
      </c>
      <c r="AI400" s="10">
        <v>54.2</v>
      </c>
      <c r="AJ400" s="10">
        <v>100</v>
      </c>
      <c r="AK400" s="17">
        <f t="shared" si="46"/>
        <v>0</v>
      </c>
      <c r="AL400" s="17">
        <f t="shared" si="47"/>
        <v>20</v>
      </c>
      <c r="AM400" s="17">
        <f t="shared" si="48"/>
        <v>698</v>
      </c>
    </row>
    <row r="401" spans="1:39" s="3" customFormat="1" x14ac:dyDescent="0.25">
      <c r="A401" s="2" t="s">
        <v>16</v>
      </c>
      <c r="B401" s="29" t="s">
        <v>739</v>
      </c>
      <c r="C401" s="2" t="s">
        <v>36</v>
      </c>
      <c r="D401" s="2" t="s">
        <v>425</v>
      </c>
      <c r="E401" s="14">
        <v>9792</v>
      </c>
      <c r="F401" s="15">
        <f t="shared" si="42"/>
        <v>341.74079999999998</v>
      </c>
      <c r="G401" s="15">
        <f t="shared" si="43"/>
        <v>391.68</v>
      </c>
      <c r="H401" s="15">
        <f t="shared" si="44"/>
        <v>284.78399999999999</v>
      </c>
      <c r="I401" s="15">
        <f t="shared" si="45"/>
        <v>326.39999999999998</v>
      </c>
      <c r="J401" s="10">
        <v>189</v>
      </c>
      <c r="K401" s="10">
        <v>175</v>
      </c>
      <c r="L401" s="10">
        <v>271</v>
      </c>
      <c r="M401" s="10">
        <v>283</v>
      </c>
      <c r="N401" s="10">
        <v>270</v>
      </c>
      <c r="O401" s="10">
        <v>284</v>
      </c>
      <c r="P401" s="10">
        <v>271</v>
      </c>
      <c r="Q401" s="10">
        <v>260</v>
      </c>
      <c r="R401" s="10">
        <v>292</v>
      </c>
      <c r="S401" s="10">
        <v>277</v>
      </c>
      <c r="T401" s="10">
        <v>264</v>
      </c>
      <c r="U401" s="10">
        <v>276</v>
      </c>
      <c r="V401" s="10">
        <v>225</v>
      </c>
      <c r="W401" s="10">
        <v>255</v>
      </c>
      <c r="X401" s="10">
        <v>252</v>
      </c>
      <c r="Y401" s="10">
        <v>227</v>
      </c>
      <c r="Z401" s="10">
        <v>249</v>
      </c>
      <c r="AA401" s="10">
        <v>271</v>
      </c>
      <c r="AB401" s="10">
        <v>224</v>
      </c>
      <c r="AC401" s="10">
        <v>80</v>
      </c>
      <c r="AD401" s="10">
        <v>54</v>
      </c>
      <c r="AE401" s="10">
        <v>71</v>
      </c>
      <c r="AF401" s="10">
        <v>62</v>
      </c>
      <c r="AG401" s="10">
        <v>113</v>
      </c>
      <c r="AH401" s="102">
        <f>SUM(Tableau2[[#This Row],[Td 2]:[Td 5]])</f>
        <v>300</v>
      </c>
      <c r="AI401" s="10">
        <v>58.3</v>
      </c>
      <c r="AJ401" s="10">
        <v>100</v>
      </c>
      <c r="AK401" s="17">
        <f t="shared" si="46"/>
        <v>0.78399999999999181</v>
      </c>
      <c r="AL401" s="17">
        <f t="shared" si="47"/>
        <v>32</v>
      </c>
      <c r="AM401" s="17">
        <f t="shared" si="48"/>
        <v>249</v>
      </c>
    </row>
    <row r="402" spans="1:39" s="3" customFormat="1" x14ac:dyDescent="0.25">
      <c r="A402" s="2" t="s">
        <v>16</v>
      </c>
      <c r="B402" s="29" t="s">
        <v>739</v>
      </c>
      <c r="C402" s="2" t="s">
        <v>36</v>
      </c>
      <c r="D402" s="2" t="s">
        <v>426</v>
      </c>
      <c r="E402" s="14">
        <v>21576</v>
      </c>
      <c r="F402" s="15">
        <f t="shared" si="42"/>
        <v>753.00239999999997</v>
      </c>
      <c r="G402" s="15">
        <f t="shared" si="43"/>
        <v>863.04</v>
      </c>
      <c r="H402" s="15">
        <f t="shared" si="44"/>
        <v>627.50199999999995</v>
      </c>
      <c r="I402" s="15">
        <f t="shared" si="45"/>
        <v>719.2</v>
      </c>
      <c r="J402" s="10">
        <v>558</v>
      </c>
      <c r="K402" s="10">
        <v>167</v>
      </c>
      <c r="L402" s="10">
        <v>531</v>
      </c>
      <c r="M402" s="10">
        <v>511</v>
      </c>
      <c r="N402" s="10">
        <v>514</v>
      </c>
      <c r="O402" s="10">
        <v>527</v>
      </c>
      <c r="P402" s="10">
        <v>529</v>
      </c>
      <c r="Q402" s="10">
        <v>590</v>
      </c>
      <c r="R402" s="10">
        <v>514</v>
      </c>
      <c r="S402" s="10">
        <v>501</v>
      </c>
      <c r="T402" s="10">
        <v>505</v>
      </c>
      <c r="U402" s="10">
        <v>561</v>
      </c>
      <c r="V402" s="10">
        <v>598</v>
      </c>
      <c r="W402" s="10">
        <v>555</v>
      </c>
      <c r="X402" s="10">
        <v>464</v>
      </c>
      <c r="Y402" s="10">
        <v>174</v>
      </c>
      <c r="Z402" s="10">
        <v>464</v>
      </c>
      <c r="AA402" s="10">
        <v>523</v>
      </c>
      <c r="AB402" s="10">
        <v>460</v>
      </c>
      <c r="AC402" s="10">
        <v>59</v>
      </c>
      <c r="AD402" s="10">
        <v>44</v>
      </c>
      <c r="AE402" s="10">
        <v>68</v>
      </c>
      <c r="AF402" s="10">
        <v>44</v>
      </c>
      <c r="AG402" s="10">
        <v>40</v>
      </c>
      <c r="AH402" s="102">
        <f>SUM(Tableau2[[#This Row],[Td 2]:[Td 5]])</f>
        <v>196</v>
      </c>
      <c r="AI402" s="10">
        <v>58.3</v>
      </c>
      <c r="AJ402" s="10">
        <v>100</v>
      </c>
      <c r="AK402" s="17">
        <f t="shared" si="46"/>
        <v>100.50199999999995</v>
      </c>
      <c r="AL402" s="17">
        <f t="shared" si="47"/>
        <v>63</v>
      </c>
      <c r="AM402" s="17">
        <f t="shared" si="48"/>
        <v>464</v>
      </c>
    </row>
    <row r="403" spans="1:39" s="3" customFormat="1" x14ac:dyDescent="0.25">
      <c r="A403" s="2" t="s">
        <v>16</v>
      </c>
      <c r="B403" s="29" t="s">
        <v>739</v>
      </c>
      <c r="C403" s="2" t="s">
        <v>36</v>
      </c>
      <c r="D403" s="2" t="s">
        <v>427</v>
      </c>
      <c r="E403" s="14">
        <v>12191</v>
      </c>
      <c r="F403" s="15">
        <f t="shared" si="42"/>
        <v>425.46590000000003</v>
      </c>
      <c r="G403" s="15">
        <f t="shared" si="43"/>
        <v>487.64</v>
      </c>
      <c r="H403" s="15">
        <f t="shared" si="44"/>
        <v>354.55491666666666</v>
      </c>
      <c r="I403" s="15">
        <f t="shared" si="45"/>
        <v>406.36666666666662</v>
      </c>
      <c r="J403" s="10">
        <v>192</v>
      </c>
      <c r="K403" s="10">
        <v>147</v>
      </c>
      <c r="L403" s="10">
        <v>325</v>
      </c>
      <c r="M403" s="10">
        <v>290</v>
      </c>
      <c r="N403" s="10">
        <v>326</v>
      </c>
      <c r="O403" s="10">
        <v>315</v>
      </c>
      <c r="P403" s="10">
        <v>272</v>
      </c>
      <c r="Q403" s="10">
        <v>316</v>
      </c>
      <c r="R403" s="10">
        <v>260</v>
      </c>
      <c r="S403" s="10">
        <v>224</v>
      </c>
      <c r="T403" s="10">
        <v>261</v>
      </c>
      <c r="U403" s="10">
        <v>297</v>
      </c>
      <c r="V403" s="10">
        <v>264</v>
      </c>
      <c r="W403" s="10">
        <v>298</v>
      </c>
      <c r="X403" s="10">
        <v>306</v>
      </c>
      <c r="Y403" s="10">
        <v>177</v>
      </c>
      <c r="Z403" s="10">
        <v>306</v>
      </c>
      <c r="AA403" s="10">
        <v>326</v>
      </c>
      <c r="AB403" s="10">
        <v>306</v>
      </c>
      <c r="AC403" s="10">
        <v>46</v>
      </c>
      <c r="AD403" s="10">
        <v>47</v>
      </c>
      <c r="AE403" s="10">
        <v>49</v>
      </c>
      <c r="AF403" s="10">
        <v>33</v>
      </c>
      <c r="AG403" s="10">
        <v>23</v>
      </c>
      <c r="AH403" s="102">
        <f>SUM(Tableau2[[#This Row],[Td 2]:[Td 5]])</f>
        <v>152</v>
      </c>
      <c r="AI403" s="10">
        <v>58.3</v>
      </c>
      <c r="AJ403" s="10">
        <v>100</v>
      </c>
      <c r="AK403" s="17">
        <f t="shared" si="46"/>
        <v>39.554916666666657</v>
      </c>
      <c r="AL403" s="17">
        <f t="shared" si="47"/>
        <v>9</v>
      </c>
      <c r="AM403" s="17">
        <f t="shared" si="48"/>
        <v>306</v>
      </c>
    </row>
    <row r="404" spans="1:39" s="3" customFormat="1" x14ac:dyDescent="0.25">
      <c r="A404" s="2" t="s">
        <v>16</v>
      </c>
      <c r="B404" s="29" t="s">
        <v>739</v>
      </c>
      <c r="C404" s="2" t="s">
        <v>36</v>
      </c>
      <c r="D404" s="2" t="s">
        <v>428</v>
      </c>
      <c r="E404" s="14">
        <v>17188</v>
      </c>
      <c r="F404" s="15">
        <f t="shared" si="42"/>
        <v>599.86120000000005</v>
      </c>
      <c r="G404" s="15">
        <f t="shared" si="43"/>
        <v>687.52</v>
      </c>
      <c r="H404" s="15">
        <f t="shared" si="44"/>
        <v>499.88433333333342</v>
      </c>
      <c r="I404" s="15">
        <f t="shared" si="45"/>
        <v>572.93333333333328</v>
      </c>
      <c r="J404" s="10">
        <v>299</v>
      </c>
      <c r="K404" s="10">
        <v>105</v>
      </c>
      <c r="L404" s="10">
        <v>537</v>
      </c>
      <c r="M404" s="10">
        <v>550</v>
      </c>
      <c r="N404" s="10">
        <v>510</v>
      </c>
      <c r="O404" s="10">
        <v>532</v>
      </c>
      <c r="P404" s="10">
        <v>557</v>
      </c>
      <c r="Q404" s="10">
        <v>484</v>
      </c>
      <c r="R404" s="10">
        <v>456</v>
      </c>
      <c r="S404" s="10">
        <v>429</v>
      </c>
      <c r="T404" s="10">
        <v>393</v>
      </c>
      <c r="U404" s="10">
        <v>417</v>
      </c>
      <c r="V404" s="10">
        <v>380</v>
      </c>
      <c r="W404" s="10">
        <v>189</v>
      </c>
      <c r="X404" s="10">
        <v>496</v>
      </c>
      <c r="Y404" s="10">
        <v>239</v>
      </c>
      <c r="Z404" s="10">
        <v>573</v>
      </c>
      <c r="AA404" s="10">
        <v>598</v>
      </c>
      <c r="AB404" s="10">
        <v>439</v>
      </c>
      <c r="AC404" s="10">
        <v>99</v>
      </c>
      <c r="AD404" s="10">
        <v>72</v>
      </c>
      <c r="AE404" s="10">
        <v>72</v>
      </c>
      <c r="AF404" s="10">
        <v>51</v>
      </c>
      <c r="AG404" s="10">
        <v>50</v>
      </c>
      <c r="AH404" s="102">
        <f>SUM(Tableau2[[#This Row],[Td 2]:[Td 5]])</f>
        <v>245</v>
      </c>
      <c r="AI404" s="10">
        <v>58.3</v>
      </c>
      <c r="AJ404" s="10">
        <v>100</v>
      </c>
      <c r="AK404" s="17">
        <f t="shared" si="46"/>
        <v>0</v>
      </c>
      <c r="AL404" s="17">
        <f t="shared" si="47"/>
        <v>36</v>
      </c>
      <c r="AM404" s="17">
        <f t="shared" si="48"/>
        <v>496</v>
      </c>
    </row>
    <row r="405" spans="1:39" s="3" customFormat="1" x14ac:dyDescent="0.25">
      <c r="A405" s="2" t="s">
        <v>16</v>
      </c>
      <c r="B405" s="29" t="s">
        <v>739</v>
      </c>
      <c r="C405" s="2" t="s">
        <v>36</v>
      </c>
      <c r="D405" s="2" t="s">
        <v>429</v>
      </c>
      <c r="E405" s="14">
        <v>18665</v>
      </c>
      <c r="F405" s="15">
        <f t="shared" si="42"/>
        <v>651.4085</v>
      </c>
      <c r="G405" s="15">
        <f t="shared" si="43"/>
        <v>746.6</v>
      </c>
      <c r="H405" s="15">
        <f t="shared" si="44"/>
        <v>542.84041666666667</v>
      </c>
      <c r="I405" s="15">
        <f t="shared" si="45"/>
        <v>622.16666666666674</v>
      </c>
      <c r="J405" s="10">
        <v>486</v>
      </c>
      <c r="K405" s="10">
        <v>677</v>
      </c>
      <c r="L405" s="10">
        <v>519</v>
      </c>
      <c r="M405" s="10">
        <v>498</v>
      </c>
      <c r="N405" s="10">
        <v>508</v>
      </c>
      <c r="O405" s="10">
        <v>555</v>
      </c>
      <c r="P405" s="10">
        <v>498</v>
      </c>
      <c r="Q405" s="10">
        <v>508</v>
      </c>
      <c r="R405" s="10">
        <v>407</v>
      </c>
      <c r="S405" s="10">
        <v>376</v>
      </c>
      <c r="T405" s="10">
        <v>354</v>
      </c>
      <c r="U405" s="10">
        <v>499</v>
      </c>
      <c r="V405" s="10">
        <v>488</v>
      </c>
      <c r="W405" s="10">
        <v>478</v>
      </c>
      <c r="X405" s="10">
        <v>512</v>
      </c>
      <c r="Y405" s="10">
        <v>417</v>
      </c>
      <c r="Z405" s="10">
        <v>512</v>
      </c>
      <c r="AA405" s="10">
        <v>508</v>
      </c>
      <c r="AB405" s="10">
        <v>495</v>
      </c>
      <c r="AC405" s="10">
        <v>77</v>
      </c>
      <c r="AD405" s="10">
        <v>104</v>
      </c>
      <c r="AE405" s="10">
        <v>176</v>
      </c>
      <c r="AF405" s="10">
        <v>165</v>
      </c>
      <c r="AG405" s="10">
        <v>78</v>
      </c>
      <c r="AH405" s="102">
        <f>SUM(Tableau2[[#This Row],[Td 2]:[Td 5]])</f>
        <v>523</v>
      </c>
      <c r="AI405" s="10">
        <v>58.3</v>
      </c>
      <c r="AJ405" s="10">
        <v>100</v>
      </c>
      <c r="AK405" s="17">
        <f t="shared" si="46"/>
        <v>0</v>
      </c>
      <c r="AL405" s="17">
        <f t="shared" si="47"/>
        <v>43</v>
      </c>
      <c r="AM405" s="17">
        <f t="shared" si="48"/>
        <v>512</v>
      </c>
    </row>
    <row r="406" spans="1:39" s="3" customFormat="1" x14ac:dyDescent="0.25">
      <c r="A406" s="2" t="s">
        <v>16</v>
      </c>
      <c r="B406" s="29" t="s">
        <v>739</v>
      </c>
      <c r="C406" s="2" t="s">
        <v>37</v>
      </c>
      <c r="D406" s="2" t="s">
        <v>430</v>
      </c>
      <c r="E406" s="14">
        <v>26068</v>
      </c>
      <c r="F406" s="15">
        <f t="shared" si="42"/>
        <v>909.77319999999997</v>
      </c>
      <c r="G406" s="15">
        <f t="shared" si="43"/>
        <v>1042.72</v>
      </c>
      <c r="H406" s="15">
        <f t="shared" si="44"/>
        <v>758.14433333333329</v>
      </c>
      <c r="I406" s="15">
        <f t="shared" si="45"/>
        <v>868.93333333333328</v>
      </c>
      <c r="J406" s="10">
        <v>682</v>
      </c>
      <c r="K406" s="10">
        <v>822</v>
      </c>
      <c r="L406" s="10">
        <v>1363</v>
      </c>
      <c r="M406" s="10">
        <v>1242</v>
      </c>
      <c r="N406" s="10">
        <v>1326</v>
      </c>
      <c r="O406" s="10">
        <v>1032</v>
      </c>
      <c r="P406" s="10">
        <v>987</v>
      </c>
      <c r="Q406" s="10">
        <v>1021</v>
      </c>
      <c r="R406" s="10">
        <v>1032</v>
      </c>
      <c r="S406" s="10">
        <v>988</v>
      </c>
      <c r="T406" s="10">
        <v>925</v>
      </c>
      <c r="U406" s="10">
        <v>953</v>
      </c>
      <c r="V406" s="10">
        <v>897</v>
      </c>
      <c r="W406" s="10">
        <v>932</v>
      </c>
      <c r="X406" s="10">
        <v>1054</v>
      </c>
      <c r="Y406" s="10">
        <v>201</v>
      </c>
      <c r="Z406" s="10">
        <v>860</v>
      </c>
      <c r="AA406" s="10">
        <v>1326</v>
      </c>
      <c r="AB406" s="10">
        <v>849</v>
      </c>
      <c r="AC406" s="10">
        <v>885</v>
      </c>
      <c r="AD406" s="10">
        <v>486</v>
      </c>
      <c r="AE406" s="10">
        <v>362</v>
      </c>
      <c r="AF406" s="10">
        <v>281</v>
      </c>
      <c r="AG406" s="10">
        <v>208</v>
      </c>
      <c r="AH406" s="102">
        <f>SUM(Tableau2[[#This Row],[Td 2]:[Td 5]])</f>
        <v>1337</v>
      </c>
      <c r="AI406" s="10">
        <v>33.299999999999997</v>
      </c>
      <c r="AJ406" s="10">
        <v>100</v>
      </c>
      <c r="AK406" s="17">
        <f t="shared" si="46"/>
        <v>0</v>
      </c>
      <c r="AL406" s="17">
        <f t="shared" si="47"/>
        <v>0</v>
      </c>
      <c r="AM406" s="17">
        <f t="shared" si="48"/>
        <v>860</v>
      </c>
    </row>
    <row r="407" spans="1:39" s="3" customFormat="1" x14ac:dyDescent="0.25">
      <c r="A407" s="2" t="s">
        <v>16</v>
      </c>
      <c r="B407" s="29" t="s">
        <v>739</v>
      </c>
      <c r="C407" s="2" t="s">
        <v>37</v>
      </c>
      <c r="D407" s="2" t="s">
        <v>431</v>
      </c>
      <c r="E407" s="14">
        <v>29413</v>
      </c>
      <c r="F407" s="15">
        <f t="shared" si="42"/>
        <v>1026.5137</v>
      </c>
      <c r="G407" s="15">
        <f t="shared" si="43"/>
        <v>1176.52</v>
      </c>
      <c r="H407" s="15">
        <f t="shared" si="44"/>
        <v>855.42808333333323</v>
      </c>
      <c r="I407" s="15">
        <f t="shared" si="45"/>
        <v>980.43333333333339</v>
      </c>
      <c r="J407" s="10">
        <v>469</v>
      </c>
      <c r="K407" s="10">
        <v>131</v>
      </c>
      <c r="L407" s="10">
        <v>722</v>
      </c>
      <c r="M407" s="10">
        <v>582</v>
      </c>
      <c r="N407" s="10">
        <v>643</v>
      </c>
      <c r="O407" s="10">
        <v>694</v>
      </c>
      <c r="P407" s="10">
        <v>563</v>
      </c>
      <c r="Q407" s="10">
        <v>632</v>
      </c>
      <c r="R407" s="10">
        <v>651</v>
      </c>
      <c r="S407" s="10">
        <v>520</v>
      </c>
      <c r="T407" s="10">
        <v>596</v>
      </c>
      <c r="U407" s="10">
        <v>633</v>
      </c>
      <c r="V407" s="10">
        <v>520</v>
      </c>
      <c r="W407" s="10">
        <v>559</v>
      </c>
      <c r="X407" s="10">
        <v>797</v>
      </c>
      <c r="Y407" s="10">
        <v>167</v>
      </c>
      <c r="Z407" s="10">
        <v>652</v>
      </c>
      <c r="AA407" s="10">
        <v>647</v>
      </c>
      <c r="AB407" s="10">
        <v>611</v>
      </c>
      <c r="AC407" s="10">
        <v>220</v>
      </c>
      <c r="AD407" s="10">
        <v>143</v>
      </c>
      <c r="AE407" s="10">
        <v>127</v>
      </c>
      <c r="AF407" s="10">
        <v>63</v>
      </c>
      <c r="AG407" s="10">
        <v>71</v>
      </c>
      <c r="AH407" s="102">
        <f>SUM(Tableau2[[#This Row],[Td 2]:[Td 5]])</f>
        <v>404</v>
      </c>
      <c r="AI407" s="10">
        <v>41.7</v>
      </c>
      <c r="AJ407" s="10">
        <v>100</v>
      </c>
      <c r="AK407" s="17">
        <f t="shared" si="46"/>
        <v>161.42808333333323</v>
      </c>
      <c r="AL407" s="17">
        <f t="shared" si="47"/>
        <v>0</v>
      </c>
      <c r="AM407" s="17">
        <f t="shared" si="48"/>
        <v>652</v>
      </c>
    </row>
    <row r="408" spans="1:39" s="3" customFormat="1" x14ac:dyDescent="0.25">
      <c r="A408" s="2" t="s">
        <v>16</v>
      </c>
      <c r="B408" s="29" t="s">
        <v>739</v>
      </c>
      <c r="C408" s="2" t="s">
        <v>37</v>
      </c>
      <c r="D408" s="2" t="s">
        <v>432</v>
      </c>
      <c r="E408" s="14">
        <v>9999</v>
      </c>
      <c r="F408" s="15">
        <f t="shared" si="42"/>
        <v>348.96510000000001</v>
      </c>
      <c r="G408" s="15">
        <f t="shared" si="43"/>
        <v>399.96000000000004</v>
      </c>
      <c r="H408" s="15">
        <f t="shared" si="44"/>
        <v>290.80425000000002</v>
      </c>
      <c r="I408" s="15">
        <f t="shared" si="45"/>
        <v>333.30000000000007</v>
      </c>
      <c r="J408" s="10">
        <v>196</v>
      </c>
      <c r="K408" s="10">
        <v>57</v>
      </c>
      <c r="L408" s="10">
        <v>221</v>
      </c>
      <c r="M408" s="10">
        <v>193</v>
      </c>
      <c r="N408" s="10">
        <v>234</v>
      </c>
      <c r="O408" s="10">
        <v>227</v>
      </c>
      <c r="P408" s="10">
        <v>207</v>
      </c>
      <c r="Q408" s="10">
        <v>229</v>
      </c>
      <c r="R408" s="10">
        <v>222</v>
      </c>
      <c r="S408" s="10">
        <v>192</v>
      </c>
      <c r="T408" s="10">
        <v>207</v>
      </c>
      <c r="U408" s="10">
        <v>200</v>
      </c>
      <c r="V408" s="10">
        <v>192</v>
      </c>
      <c r="W408" s="10">
        <v>209</v>
      </c>
      <c r="X408" s="10">
        <v>215</v>
      </c>
      <c r="Y408" s="10">
        <v>77</v>
      </c>
      <c r="Z408" s="10">
        <v>191</v>
      </c>
      <c r="AA408" s="10">
        <v>210</v>
      </c>
      <c r="AB408" s="10">
        <v>160</v>
      </c>
      <c r="AC408" s="10">
        <v>140</v>
      </c>
      <c r="AD408" s="10">
        <v>58</v>
      </c>
      <c r="AE408" s="10">
        <v>47</v>
      </c>
      <c r="AF408" s="10">
        <v>39</v>
      </c>
      <c r="AG408" s="10">
        <v>54</v>
      </c>
      <c r="AH408" s="102">
        <f>SUM(Tableau2[[#This Row],[Td 2]:[Td 5]])</f>
        <v>198</v>
      </c>
      <c r="AI408" s="10">
        <v>41.7</v>
      </c>
      <c r="AJ408" s="10">
        <v>100</v>
      </c>
      <c r="AK408" s="17">
        <f t="shared" si="46"/>
        <v>63.804250000000025</v>
      </c>
      <c r="AL408" s="17">
        <f t="shared" si="47"/>
        <v>12</v>
      </c>
      <c r="AM408" s="17">
        <f t="shared" si="48"/>
        <v>191</v>
      </c>
    </row>
    <row r="409" spans="1:39" s="3" customFormat="1" x14ac:dyDescent="0.25">
      <c r="A409" s="2" t="s">
        <v>16</v>
      </c>
      <c r="B409" s="29" t="s">
        <v>739</v>
      </c>
      <c r="C409" s="2" t="s">
        <v>37</v>
      </c>
      <c r="D409" s="2" t="s">
        <v>433</v>
      </c>
      <c r="E409" s="14">
        <v>16040</v>
      </c>
      <c r="F409" s="15">
        <f t="shared" si="42"/>
        <v>559.79600000000005</v>
      </c>
      <c r="G409" s="15">
        <f t="shared" si="43"/>
        <v>641.6</v>
      </c>
      <c r="H409" s="15">
        <f t="shared" si="44"/>
        <v>466.49666666666667</v>
      </c>
      <c r="I409" s="15">
        <f t="shared" si="45"/>
        <v>534.66666666666674</v>
      </c>
      <c r="J409" s="10">
        <v>355</v>
      </c>
      <c r="K409" s="10">
        <v>265</v>
      </c>
      <c r="L409" s="10">
        <v>459</v>
      </c>
      <c r="M409" s="10">
        <v>457</v>
      </c>
      <c r="N409" s="10">
        <v>465</v>
      </c>
      <c r="O409" s="10">
        <v>406</v>
      </c>
      <c r="P409" s="10">
        <v>405</v>
      </c>
      <c r="Q409" s="10">
        <v>413</v>
      </c>
      <c r="R409" s="10">
        <v>406</v>
      </c>
      <c r="S409" s="10">
        <v>405</v>
      </c>
      <c r="T409" s="10">
        <v>413</v>
      </c>
      <c r="U409" s="10">
        <v>426</v>
      </c>
      <c r="V409" s="10">
        <v>426</v>
      </c>
      <c r="W409" s="10">
        <v>436</v>
      </c>
      <c r="X409" s="10">
        <v>363</v>
      </c>
      <c r="Y409" s="10">
        <v>33</v>
      </c>
      <c r="Z409" s="10">
        <v>333</v>
      </c>
      <c r="AA409" s="10">
        <v>440</v>
      </c>
      <c r="AB409" s="10">
        <v>330</v>
      </c>
      <c r="AC409" s="10">
        <v>88</v>
      </c>
      <c r="AD409" s="10">
        <v>63</v>
      </c>
      <c r="AE409" s="10">
        <v>53</v>
      </c>
      <c r="AF409" s="10">
        <v>22</v>
      </c>
      <c r="AG409" s="10">
        <v>29</v>
      </c>
      <c r="AH409" s="102">
        <f>SUM(Tableau2[[#This Row],[Td 2]:[Td 5]])</f>
        <v>167</v>
      </c>
      <c r="AI409" s="10">
        <v>41.7</v>
      </c>
      <c r="AJ409" s="10">
        <v>100</v>
      </c>
      <c r="AK409" s="17">
        <f t="shared" si="46"/>
        <v>60.49666666666667</v>
      </c>
      <c r="AL409" s="17">
        <f t="shared" si="47"/>
        <v>43</v>
      </c>
      <c r="AM409" s="17">
        <f t="shared" si="48"/>
        <v>333</v>
      </c>
    </row>
    <row r="410" spans="1:39" s="3" customFormat="1" x14ac:dyDescent="0.25">
      <c r="A410" s="2" t="s">
        <v>16</v>
      </c>
      <c r="B410" s="29" t="s">
        <v>739</v>
      </c>
      <c r="C410" s="2" t="s">
        <v>37</v>
      </c>
      <c r="D410" s="2" t="s">
        <v>434</v>
      </c>
      <c r="E410" s="14">
        <v>25738</v>
      </c>
      <c r="F410" s="15">
        <f t="shared" si="42"/>
        <v>898.25620000000004</v>
      </c>
      <c r="G410" s="15">
        <f t="shared" si="43"/>
        <v>1029.52</v>
      </c>
      <c r="H410" s="15">
        <f t="shared" si="44"/>
        <v>748.54683333333344</v>
      </c>
      <c r="I410" s="15">
        <f t="shared" si="45"/>
        <v>857.93333333333339</v>
      </c>
      <c r="J410" s="10">
        <v>527</v>
      </c>
      <c r="K410" s="10">
        <v>520</v>
      </c>
      <c r="L410" s="10">
        <v>704</v>
      </c>
      <c r="M410" s="10">
        <v>680</v>
      </c>
      <c r="N410" s="10">
        <v>620</v>
      </c>
      <c r="O410" s="10">
        <v>540</v>
      </c>
      <c r="P410" s="10">
        <v>584</v>
      </c>
      <c r="Q410" s="10">
        <v>581</v>
      </c>
      <c r="R410" s="10">
        <v>537</v>
      </c>
      <c r="S410" s="10">
        <v>516</v>
      </c>
      <c r="T410" s="10">
        <v>455</v>
      </c>
      <c r="U410" s="10">
        <v>540</v>
      </c>
      <c r="V410" s="10">
        <v>605</v>
      </c>
      <c r="W410" s="10">
        <v>611</v>
      </c>
      <c r="X410" s="10">
        <v>719</v>
      </c>
      <c r="Y410" s="10">
        <v>50</v>
      </c>
      <c r="Z410" s="10">
        <v>641</v>
      </c>
      <c r="AA410" s="10">
        <v>620</v>
      </c>
      <c r="AB410" s="10">
        <v>644</v>
      </c>
      <c r="AC410" s="10">
        <v>131</v>
      </c>
      <c r="AD410" s="10">
        <v>85</v>
      </c>
      <c r="AE410" s="10">
        <v>84</v>
      </c>
      <c r="AF410" s="10">
        <v>53</v>
      </c>
      <c r="AG410" s="10">
        <v>45</v>
      </c>
      <c r="AH410" s="102">
        <f>SUM(Tableau2[[#This Row],[Td 2]:[Td 5]])</f>
        <v>267</v>
      </c>
      <c r="AI410" s="10">
        <v>37.5</v>
      </c>
      <c r="AJ410" s="10">
        <v>100</v>
      </c>
      <c r="AK410" s="17">
        <f t="shared" si="46"/>
        <v>208.54683333333344</v>
      </c>
      <c r="AL410" s="17">
        <f t="shared" si="47"/>
        <v>0</v>
      </c>
      <c r="AM410" s="17">
        <f t="shared" si="48"/>
        <v>641</v>
      </c>
    </row>
    <row r="411" spans="1:39" s="3" customFormat="1" x14ac:dyDescent="0.25">
      <c r="A411" s="2" t="s">
        <v>16</v>
      </c>
      <c r="B411" s="29" t="s">
        <v>739</v>
      </c>
      <c r="C411" s="2" t="s">
        <v>37</v>
      </c>
      <c r="D411" s="2" t="s">
        <v>37</v>
      </c>
      <c r="E411" s="14">
        <v>21676</v>
      </c>
      <c r="F411" s="15">
        <f t="shared" si="42"/>
        <v>756.49239999999998</v>
      </c>
      <c r="G411" s="15">
        <f t="shared" si="43"/>
        <v>867.04</v>
      </c>
      <c r="H411" s="15">
        <f t="shared" si="44"/>
        <v>630.41033333333326</v>
      </c>
      <c r="I411" s="15">
        <f t="shared" si="45"/>
        <v>722.5333333333333</v>
      </c>
      <c r="J411" s="10">
        <v>505</v>
      </c>
      <c r="K411" s="10">
        <v>123</v>
      </c>
      <c r="L411" s="10">
        <v>644</v>
      </c>
      <c r="M411" s="10">
        <v>588</v>
      </c>
      <c r="N411" s="10">
        <v>573</v>
      </c>
      <c r="O411" s="10">
        <v>576</v>
      </c>
      <c r="P411" s="10">
        <v>1255</v>
      </c>
      <c r="Q411" s="10">
        <v>497</v>
      </c>
      <c r="R411" s="10">
        <v>575</v>
      </c>
      <c r="S411" s="10">
        <v>518</v>
      </c>
      <c r="T411" s="10">
        <v>497</v>
      </c>
      <c r="U411" s="10">
        <v>576</v>
      </c>
      <c r="V411" s="10">
        <v>526</v>
      </c>
      <c r="W411" s="10">
        <v>527</v>
      </c>
      <c r="X411" s="10">
        <v>612</v>
      </c>
      <c r="Y411" s="10">
        <v>66</v>
      </c>
      <c r="Z411" s="10">
        <v>458</v>
      </c>
      <c r="AA411" s="10">
        <v>571</v>
      </c>
      <c r="AB411" s="10">
        <v>590</v>
      </c>
      <c r="AC411" s="10">
        <v>249</v>
      </c>
      <c r="AD411" s="10">
        <v>154</v>
      </c>
      <c r="AE411" s="10">
        <v>1493</v>
      </c>
      <c r="AF411" s="10">
        <v>82</v>
      </c>
      <c r="AG411" s="10">
        <v>60</v>
      </c>
      <c r="AH411" s="102">
        <f>SUM(Tableau2[[#This Row],[Td 2]:[Td 5]])</f>
        <v>1789</v>
      </c>
      <c r="AI411" s="10">
        <v>41.7</v>
      </c>
      <c r="AJ411" s="10">
        <v>100</v>
      </c>
      <c r="AK411" s="17">
        <f t="shared" si="46"/>
        <v>54.410333333333256</v>
      </c>
      <c r="AL411" s="17">
        <f t="shared" si="47"/>
        <v>0</v>
      </c>
      <c r="AM411" s="17">
        <f t="shared" si="48"/>
        <v>458</v>
      </c>
    </row>
    <row r="412" spans="1:39" s="3" customFormat="1" x14ac:dyDescent="0.25">
      <c r="A412" s="2" t="s">
        <v>16</v>
      </c>
      <c r="B412" s="29" t="s">
        <v>739</v>
      </c>
      <c r="C412" s="2" t="s">
        <v>37</v>
      </c>
      <c r="D412" s="2" t="s">
        <v>435</v>
      </c>
      <c r="E412" s="14">
        <v>6026</v>
      </c>
      <c r="F412" s="15">
        <f t="shared" si="42"/>
        <v>210.3074</v>
      </c>
      <c r="G412" s="15">
        <f t="shared" si="43"/>
        <v>241.04</v>
      </c>
      <c r="H412" s="15">
        <f t="shared" si="44"/>
        <v>175.25616666666667</v>
      </c>
      <c r="I412" s="15">
        <f t="shared" si="45"/>
        <v>200.86666666666667</v>
      </c>
      <c r="J412" s="10">
        <v>110</v>
      </c>
      <c r="K412" s="10">
        <v>57</v>
      </c>
      <c r="L412" s="10">
        <v>166</v>
      </c>
      <c r="M412" s="10">
        <v>153</v>
      </c>
      <c r="N412" s="10">
        <v>180</v>
      </c>
      <c r="O412" s="10">
        <v>167</v>
      </c>
      <c r="P412" s="10">
        <v>153</v>
      </c>
      <c r="Q412" s="10">
        <v>180</v>
      </c>
      <c r="R412" s="10">
        <v>126</v>
      </c>
      <c r="S412" s="10">
        <v>119</v>
      </c>
      <c r="T412" s="10">
        <v>136</v>
      </c>
      <c r="U412" s="10">
        <v>147</v>
      </c>
      <c r="V412" s="10">
        <v>135</v>
      </c>
      <c r="W412" s="10">
        <v>160</v>
      </c>
      <c r="X412" s="10">
        <v>149</v>
      </c>
      <c r="Y412" s="10">
        <v>49</v>
      </c>
      <c r="Z412" s="10">
        <v>178</v>
      </c>
      <c r="AA412" s="10">
        <v>180</v>
      </c>
      <c r="AB412" s="10">
        <v>89</v>
      </c>
      <c r="AC412" s="10">
        <v>198</v>
      </c>
      <c r="AD412" s="10">
        <v>135</v>
      </c>
      <c r="AE412" s="10">
        <v>97</v>
      </c>
      <c r="AF412" s="10" t="s">
        <v>2</v>
      </c>
      <c r="AG412" s="10" t="s">
        <v>2</v>
      </c>
      <c r="AH412" s="102">
        <f>SUM(Tableau2[[#This Row],[Td 2]:[Td 5]])</f>
        <v>232</v>
      </c>
      <c r="AI412" s="10">
        <v>41.7</v>
      </c>
      <c r="AJ412" s="10">
        <v>100</v>
      </c>
      <c r="AK412" s="17">
        <f t="shared" si="46"/>
        <v>8.2561666666666724</v>
      </c>
      <c r="AL412" s="17">
        <f t="shared" si="47"/>
        <v>18</v>
      </c>
      <c r="AM412" s="17">
        <f t="shared" si="48"/>
        <v>149</v>
      </c>
    </row>
    <row r="413" spans="1:39" s="3" customFormat="1" x14ac:dyDescent="0.25">
      <c r="A413" s="2" t="s">
        <v>16</v>
      </c>
      <c r="B413" s="29" t="s">
        <v>739</v>
      </c>
      <c r="C413" s="2" t="s">
        <v>37</v>
      </c>
      <c r="D413" s="2" t="s">
        <v>436</v>
      </c>
      <c r="E413" s="14">
        <v>20704</v>
      </c>
      <c r="F413" s="15">
        <f t="shared" si="42"/>
        <v>722.56960000000004</v>
      </c>
      <c r="G413" s="15">
        <f t="shared" si="43"/>
        <v>828.16</v>
      </c>
      <c r="H413" s="15">
        <f t="shared" si="44"/>
        <v>602.14133333333336</v>
      </c>
      <c r="I413" s="15">
        <f t="shared" si="45"/>
        <v>690.13333333333333</v>
      </c>
      <c r="J413" s="10">
        <v>680</v>
      </c>
      <c r="K413" s="10">
        <v>218</v>
      </c>
      <c r="L413" s="10">
        <v>538</v>
      </c>
      <c r="M413" s="10">
        <v>487</v>
      </c>
      <c r="N413" s="10">
        <v>517</v>
      </c>
      <c r="O413" s="10">
        <v>494</v>
      </c>
      <c r="P413" s="10">
        <v>476</v>
      </c>
      <c r="Q413" s="10">
        <v>489</v>
      </c>
      <c r="R413" s="10">
        <v>494</v>
      </c>
      <c r="S413" s="10">
        <v>463</v>
      </c>
      <c r="T413" s="10">
        <v>480</v>
      </c>
      <c r="U413" s="10">
        <v>404</v>
      </c>
      <c r="V413" s="10">
        <v>298</v>
      </c>
      <c r="W413" s="10">
        <v>406</v>
      </c>
      <c r="X413" s="10">
        <v>554</v>
      </c>
      <c r="Y413" s="10">
        <v>211</v>
      </c>
      <c r="Z413" s="10">
        <v>477</v>
      </c>
      <c r="AA413" s="10">
        <v>529</v>
      </c>
      <c r="AB413" s="10">
        <v>386</v>
      </c>
      <c r="AC413" s="10">
        <v>371</v>
      </c>
      <c r="AD413" s="10">
        <v>71</v>
      </c>
      <c r="AE413" s="10">
        <v>256</v>
      </c>
      <c r="AF413" s="10">
        <v>196</v>
      </c>
      <c r="AG413" s="10">
        <v>136</v>
      </c>
      <c r="AH413" s="102">
        <f>SUM(Tableau2[[#This Row],[Td 2]:[Td 5]])</f>
        <v>659</v>
      </c>
      <c r="AI413" s="10">
        <v>33.299999999999997</v>
      </c>
      <c r="AJ413" s="10">
        <v>100</v>
      </c>
      <c r="AK413" s="17">
        <f t="shared" si="46"/>
        <v>108.14133333333336</v>
      </c>
      <c r="AL413" s="17">
        <f t="shared" si="47"/>
        <v>0</v>
      </c>
      <c r="AM413" s="17">
        <f t="shared" si="48"/>
        <v>477</v>
      </c>
    </row>
    <row r="414" spans="1:39" s="3" customFormat="1" x14ac:dyDescent="0.25">
      <c r="A414" s="2" t="s">
        <v>16</v>
      </c>
      <c r="B414" s="29" t="s">
        <v>739</v>
      </c>
      <c r="C414" s="2" t="s">
        <v>37</v>
      </c>
      <c r="D414" s="2" t="s">
        <v>437</v>
      </c>
      <c r="E414" s="14">
        <v>15361</v>
      </c>
      <c r="F414" s="15">
        <f t="shared" si="42"/>
        <v>536.09889999999996</v>
      </c>
      <c r="G414" s="15">
        <f t="shared" si="43"/>
        <v>614.44000000000005</v>
      </c>
      <c r="H414" s="15">
        <f t="shared" si="44"/>
        <v>446.74908333333326</v>
      </c>
      <c r="I414" s="15">
        <f t="shared" si="45"/>
        <v>512.03333333333342</v>
      </c>
      <c r="J414" s="10">
        <v>256</v>
      </c>
      <c r="K414" s="10">
        <v>17</v>
      </c>
      <c r="L414" s="10">
        <v>357</v>
      </c>
      <c r="M414" s="10">
        <v>258</v>
      </c>
      <c r="N414" s="10">
        <v>302</v>
      </c>
      <c r="O414" s="10">
        <v>328</v>
      </c>
      <c r="P414" s="10">
        <v>256</v>
      </c>
      <c r="Q414" s="10">
        <v>302</v>
      </c>
      <c r="R414" s="10">
        <v>335</v>
      </c>
      <c r="S414" s="10">
        <v>257</v>
      </c>
      <c r="T414" s="10">
        <v>302</v>
      </c>
      <c r="U414" s="10">
        <v>297</v>
      </c>
      <c r="V414" s="10">
        <v>234</v>
      </c>
      <c r="W414" s="10">
        <v>249</v>
      </c>
      <c r="X414" s="10">
        <v>285</v>
      </c>
      <c r="Y414" s="10">
        <v>63</v>
      </c>
      <c r="Z414" s="10">
        <v>262</v>
      </c>
      <c r="AA414" s="10">
        <v>306</v>
      </c>
      <c r="AB414" s="10">
        <v>246</v>
      </c>
      <c r="AC414" s="10">
        <v>124</v>
      </c>
      <c r="AD414" s="10">
        <v>88</v>
      </c>
      <c r="AE414" s="10">
        <v>45</v>
      </c>
      <c r="AF414" s="10" t="s">
        <v>2</v>
      </c>
      <c r="AG414" s="10" t="s">
        <v>2</v>
      </c>
      <c r="AH414" s="102">
        <f>SUM(Tableau2[[#This Row],[Td 2]:[Td 5]])</f>
        <v>133</v>
      </c>
      <c r="AI414" s="10">
        <v>37.5</v>
      </c>
      <c r="AJ414" s="10">
        <v>100</v>
      </c>
      <c r="AK414" s="17">
        <f t="shared" si="46"/>
        <v>118.74908333333326</v>
      </c>
      <c r="AL414" s="17">
        <f t="shared" si="47"/>
        <v>43</v>
      </c>
      <c r="AM414" s="17">
        <f t="shared" si="48"/>
        <v>262</v>
      </c>
    </row>
    <row r="415" spans="1:39" s="3" customFormat="1" x14ac:dyDescent="0.25">
      <c r="A415" s="2" t="s">
        <v>16</v>
      </c>
      <c r="B415" s="29" t="s">
        <v>739</v>
      </c>
      <c r="C415" s="2" t="s">
        <v>37</v>
      </c>
      <c r="D415" s="2" t="s">
        <v>438</v>
      </c>
      <c r="E415" s="14">
        <v>10430</v>
      </c>
      <c r="F415" s="15">
        <f t="shared" si="42"/>
        <v>364.00700000000001</v>
      </c>
      <c r="G415" s="15">
        <f t="shared" si="43"/>
        <v>417.2</v>
      </c>
      <c r="H415" s="15">
        <f t="shared" si="44"/>
        <v>303.33916666666664</v>
      </c>
      <c r="I415" s="15">
        <f t="shared" si="45"/>
        <v>347.66666666666663</v>
      </c>
      <c r="J415" s="10">
        <v>278</v>
      </c>
      <c r="K415" s="10">
        <v>71</v>
      </c>
      <c r="L415" s="10">
        <v>264</v>
      </c>
      <c r="M415" s="10">
        <v>275</v>
      </c>
      <c r="N415" s="10">
        <v>275</v>
      </c>
      <c r="O415" s="10">
        <v>238</v>
      </c>
      <c r="P415" s="10">
        <v>241</v>
      </c>
      <c r="Q415" s="10">
        <v>261</v>
      </c>
      <c r="R415" s="10">
        <v>243</v>
      </c>
      <c r="S415" s="10">
        <v>242</v>
      </c>
      <c r="T415" s="10">
        <v>261</v>
      </c>
      <c r="U415" s="10">
        <v>243</v>
      </c>
      <c r="V415" s="10">
        <v>246</v>
      </c>
      <c r="W415" s="10">
        <v>251</v>
      </c>
      <c r="X415" s="10">
        <v>251</v>
      </c>
      <c r="Y415" s="10">
        <v>92</v>
      </c>
      <c r="Z415" s="10">
        <v>196</v>
      </c>
      <c r="AA415" s="10">
        <v>306</v>
      </c>
      <c r="AB415" s="10">
        <v>111</v>
      </c>
      <c r="AC415" s="10">
        <v>156</v>
      </c>
      <c r="AD415" s="10">
        <v>86</v>
      </c>
      <c r="AE415" s="10">
        <v>16</v>
      </c>
      <c r="AF415" s="10">
        <v>5</v>
      </c>
      <c r="AG415" s="10">
        <v>6</v>
      </c>
      <c r="AH415" s="102">
        <f>SUM(Tableau2[[#This Row],[Td 2]:[Td 5]])</f>
        <v>113</v>
      </c>
      <c r="AI415" s="10">
        <v>33.299999999999997</v>
      </c>
      <c r="AJ415" s="10">
        <v>100</v>
      </c>
      <c r="AK415" s="17">
        <f t="shared" si="46"/>
        <v>65.339166666666642</v>
      </c>
      <c r="AL415" s="17">
        <f t="shared" si="47"/>
        <v>0</v>
      </c>
      <c r="AM415" s="17">
        <f t="shared" si="48"/>
        <v>196</v>
      </c>
    </row>
    <row r="416" spans="1:39" s="3" customFormat="1" x14ac:dyDescent="0.25">
      <c r="A416" s="2" t="s">
        <v>16</v>
      </c>
      <c r="B416" s="29" t="s">
        <v>739</v>
      </c>
      <c r="C416" s="2" t="s">
        <v>37</v>
      </c>
      <c r="D416" s="2" t="s">
        <v>439</v>
      </c>
      <c r="E416" s="14">
        <v>7830</v>
      </c>
      <c r="F416" s="15">
        <f t="shared" si="42"/>
        <v>273.267</v>
      </c>
      <c r="G416" s="15">
        <f t="shared" si="43"/>
        <v>313.2</v>
      </c>
      <c r="H416" s="15">
        <f t="shared" si="44"/>
        <v>227.7225</v>
      </c>
      <c r="I416" s="15">
        <f t="shared" si="45"/>
        <v>261</v>
      </c>
      <c r="J416" s="10">
        <v>37</v>
      </c>
      <c r="K416" s="10">
        <v>108</v>
      </c>
      <c r="L416" s="10">
        <v>222</v>
      </c>
      <c r="M416" s="10">
        <v>212</v>
      </c>
      <c r="N416" s="10">
        <v>221</v>
      </c>
      <c r="O416" s="10">
        <v>209</v>
      </c>
      <c r="P416" s="10">
        <v>211</v>
      </c>
      <c r="Q416" s="10">
        <v>191</v>
      </c>
      <c r="R416" s="10">
        <v>202</v>
      </c>
      <c r="S416" s="10">
        <v>176</v>
      </c>
      <c r="T416" s="10">
        <v>172</v>
      </c>
      <c r="U416" s="10">
        <v>172</v>
      </c>
      <c r="V416" s="10">
        <v>163</v>
      </c>
      <c r="W416" s="10">
        <v>148</v>
      </c>
      <c r="X416" s="10">
        <v>225</v>
      </c>
      <c r="Y416" s="10">
        <v>153</v>
      </c>
      <c r="Z416" s="10">
        <v>199</v>
      </c>
      <c r="AA416" s="10">
        <v>207</v>
      </c>
      <c r="AB416" s="10">
        <v>184</v>
      </c>
      <c r="AC416" s="10">
        <v>55</v>
      </c>
      <c r="AD416" s="10">
        <v>36</v>
      </c>
      <c r="AE416" s="10">
        <v>39</v>
      </c>
      <c r="AF416" s="10">
        <v>21</v>
      </c>
      <c r="AG416" s="10">
        <v>14</v>
      </c>
      <c r="AH416" s="102">
        <f>SUM(Tableau2[[#This Row],[Td 2]:[Td 5]])</f>
        <v>110</v>
      </c>
      <c r="AI416" s="10">
        <v>41.7</v>
      </c>
      <c r="AJ416" s="10">
        <v>100</v>
      </c>
      <c r="AK416" s="17">
        <f t="shared" si="46"/>
        <v>18.722499999999997</v>
      </c>
      <c r="AL416" s="17">
        <f t="shared" si="47"/>
        <v>0</v>
      </c>
      <c r="AM416" s="17">
        <f t="shared" si="48"/>
        <v>199</v>
      </c>
    </row>
    <row r="417" spans="1:39" s="3" customFormat="1" x14ac:dyDescent="0.25">
      <c r="A417" s="2" t="s">
        <v>16</v>
      </c>
      <c r="B417" s="29" t="s">
        <v>739</v>
      </c>
      <c r="C417" s="2" t="s">
        <v>37</v>
      </c>
      <c r="D417" s="2" t="s">
        <v>440</v>
      </c>
      <c r="E417" s="14">
        <v>9090</v>
      </c>
      <c r="F417" s="15">
        <f t="shared" si="42"/>
        <v>317.24099999999999</v>
      </c>
      <c r="G417" s="15">
        <f t="shared" si="43"/>
        <v>363.6</v>
      </c>
      <c r="H417" s="15">
        <f t="shared" si="44"/>
        <v>264.36750000000001</v>
      </c>
      <c r="I417" s="15">
        <f t="shared" si="45"/>
        <v>303</v>
      </c>
      <c r="J417" s="10">
        <v>159</v>
      </c>
      <c r="K417" s="10">
        <v>58</v>
      </c>
      <c r="L417" s="10">
        <v>218</v>
      </c>
      <c r="M417" s="10">
        <v>218</v>
      </c>
      <c r="N417" s="10">
        <v>196</v>
      </c>
      <c r="O417" s="10">
        <v>186</v>
      </c>
      <c r="P417" s="10">
        <v>191</v>
      </c>
      <c r="Q417" s="10">
        <v>180</v>
      </c>
      <c r="R417" s="10">
        <v>221</v>
      </c>
      <c r="S417" s="10">
        <v>212</v>
      </c>
      <c r="T417" s="10">
        <v>190</v>
      </c>
      <c r="U417" s="10">
        <v>182</v>
      </c>
      <c r="V417" s="10">
        <v>166</v>
      </c>
      <c r="W417" s="10">
        <v>129</v>
      </c>
      <c r="X417" s="10">
        <v>231</v>
      </c>
      <c r="Y417" s="10">
        <v>54</v>
      </c>
      <c r="Z417" s="10">
        <v>183</v>
      </c>
      <c r="AA417" s="10">
        <v>206</v>
      </c>
      <c r="AB417" s="10">
        <v>186</v>
      </c>
      <c r="AC417" s="10">
        <v>64</v>
      </c>
      <c r="AD417" s="10">
        <v>57</v>
      </c>
      <c r="AE417" s="10">
        <v>35</v>
      </c>
      <c r="AF417" s="10">
        <v>19</v>
      </c>
      <c r="AG417" s="10">
        <v>15</v>
      </c>
      <c r="AH417" s="102">
        <f>SUM(Tableau2[[#This Row],[Td 2]:[Td 5]])</f>
        <v>126</v>
      </c>
      <c r="AI417" s="10">
        <v>33.299999999999997</v>
      </c>
      <c r="AJ417" s="10">
        <v>100</v>
      </c>
      <c r="AK417" s="17">
        <f t="shared" si="46"/>
        <v>78.367500000000007</v>
      </c>
      <c r="AL417" s="17">
        <f t="shared" si="47"/>
        <v>0</v>
      </c>
      <c r="AM417" s="17">
        <f t="shared" si="48"/>
        <v>183</v>
      </c>
    </row>
    <row r="418" spans="1:39" s="3" customFormat="1" x14ac:dyDescent="0.25">
      <c r="A418" s="2" t="s">
        <v>16</v>
      </c>
      <c r="B418" s="29" t="s">
        <v>739</v>
      </c>
      <c r="C418" s="2" t="s">
        <v>37</v>
      </c>
      <c r="D418" s="2" t="s">
        <v>441</v>
      </c>
      <c r="E418" s="14">
        <v>9393</v>
      </c>
      <c r="F418" s="15">
        <f t="shared" si="42"/>
        <v>327.81569999999999</v>
      </c>
      <c r="G418" s="15">
        <f t="shared" si="43"/>
        <v>375.72</v>
      </c>
      <c r="H418" s="15">
        <f t="shared" si="44"/>
        <v>273.17975000000001</v>
      </c>
      <c r="I418" s="15">
        <f t="shared" si="45"/>
        <v>313.10000000000002</v>
      </c>
      <c r="J418" s="10">
        <v>178</v>
      </c>
      <c r="K418" s="10">
        <v>270</v>
      </c>
      <c r="L418" s="10">
        <v>263</v>
      </c>
      <c r="M418" s="10">
        <v>268</v>
      </c>
      <c r="N418" s="10">
        <v>257</v>
      </c>
      <c r="O418" s="10">
        <v>241</v>
      </c>
      <c r="P418" s="10">
        <v>248</v>
      </c>
      <c r="Q418" s="10">
        <v>235</v>
      </c>
      <c r="R418" s="10">
        <v>216</v>
      </c>
      <c r="S418" s="10">
        <v>217</v>
      </c>
      <c r="T418" s="10">
        <v>209</v>
      </c>
      <c r="U418" s="10">
        <v>222</v>
      </c>
      <c r="V418" s="10">
        <v>225</v>
      </c>
      <c r="W418" s="10">
        <v>220</v>
      </c>
      <c r="X418" s="10">
        <v>232</v>
      </c>
      <c r="Y418" s="10">
        <v>150</v>
      </c>
      <c r="Z418" s="10">
        <v>190</v>
      </c>
      <c r="AA418" s="10">
        <v>240</v>
      </c>
      <c r="AB418" s="10">
        <v>222</v>
      </c>
      <c r="AC418" s="10">
        <v>59</v>
      </c>
      <c r="AD418" s="10">
        <v>54</v>
      </c>
      <c r="AE418" s="10">
        <v>63</v>
      </c>
      <c r="AF418" s="10">
        <v>49</v>
      </c>
      <c r="AG418" s="10">
        <v>40</v>
      </c>
      <c r="AH418" s="102">
        <f>SUM(Tableau2[[#This Row],[Td 2]:[Td 5]])</f>
        <v>206</v>
      </c>
      <c r="AI418" s="10">
        <v>41.7</v>
      </c>
      <c r="AJ418" s="10">
        <v>100</v>
      </c>
      <c r="AK418" s="17">
        <f t="shared" si="46"/>
        <v>32.179750000000013</v>
      </c>
      <c r="AL418" s="17">
        <f t="shared" si="47"/>
        <v>9</v>
      </c>
      <c r="AM418" s="17">
        <f t="shared" si="48"/>
        <v>190</v>
      </c>
    </row>
    <row r="419" spans="1:39" s="3" customFormat="1" x14ac:dyDescent="0.25">
      <c r="A419" s="2" t="s">
        <v>16</v>
      </c>
      <c r="B419" s="29" t="s">
        <v>739</v>
      </c>
      <c r="C419" s="2" t="s">
        <v>37</v>
      </c>
      <c r="D419" s="2" t="s">
        <v>442</v>
      </c>
      <c r="E419" s="14">
        <v>12706</v>
      </c>
      <c r="F419" s="15">
        <f t="shared" si="42"/>
        <v>443.43939999999998</v>
      </c>
      <c r="G419" s="15">
        <f t="shared" si="43"/>
        <v>508.24</v>
      </c>
      <c r="H419" s="15">
        <f t="shared" si="44"/>
        <v>369.53283333333331</v>
      </c>
      <c r="I419" s="15">
        <f t="shared" si="45"/>
        <v>423.5333333333333</v>
      </c>
      <c r="J419" s="10">
        <v>173</v>
      </c>
      <c r="K419" s="10">
        <v>248</v>
      </c>
      <c r="L419" s="10">
        <v>298</v>
      </c>
      <c r="M419" s="10">
        <v>311</v>
      </c>
      <c r="N419" s="10">
        <v>295</v>
      </c>
      <c r="O419" s="10">
        <v>323</v>
      </c>
      <c r="P419" s="10">
        <v>331</v>
      </c>
      <c r="Q419" s="10">
        <v>321</v>
      </c>
      <c r="R419" s="10">
        <v>305</v>
      </c>
      <c r="S419" s="10">
        <v>314</v>
      </c>
      <c r="T419" s="10">
        <v>300</v>
      </c>
      <c r="U419" s="10">
        <v>313</v>
      </c>
      <c r="V419" s="10">
        <v>321</v>
      </c>
      <c r="W419" s="10">
        <v>310</v>
      </c>
      <c r="X419" s="10">
        <v>272</v>
      </c>
      <c r="Y419" s="10">
        <v>91</v>
      </c>
      <c r="Z419" s="10">
        <v>272</v>
      </c>
      <c r="AA419" s="10">
        <v>341</v>
      </c>
      <c r="AB419" s="10">
        <v>237</v>
      </c>
      <c r="AC419" s="10">
        <v>246</v>
      </c>
      <c r="AD419" s="10">
        <v>138</v>
      </c>
      <c r="AE419" s="10">
        <v>8</v>
      </c>
      <c r="AF419" s="10">
        <v>1</v>
      </c>
      <c r="AG419" s="10">
        <v>2</v>
      </c>
      <c r="AH419" s="102">
        <f>SUM(Tableau2[[#This Row],[Td 2]:[Td 5]])</f>
        <v>149</v>
      </c>
      <c r="AI419" s="10">
        <v>33.299999999999997</v>
      </c>
      <c r="AJ419" s="10">
        <v>100</v>
      </c>
      <c r="AK419" s="17">
        <f t="shared" si="46"/>
        <v>46.532833333333315</v>
      </c>
      <c r="AL419" s="17">
        <f t="shared" si="47"/>
        <v>51</v>
      </c>
      <c r="AM419" s="17">
        <f t="shared" si="48"/>
        <v>272</v>
      </c>
    </row>
    <row r="420" spans="1:39" s="3" customFormat="1" x14ac:dyDescent="0.25">
      <c r="A420" s="2" t="s">
        <v>16</v>
      </c>
      <c r="B420" s="29" t="s">
        <v>739</v>
      </c>
      <c r="C420" s="2" t="s">
        <v>37</v>
      </c>
      <c r="D420" s="2" t="s">
        <v>443</v>
      </c>
      <c r="E420" s="14">
        <v>13272</v>
      </c>
      <c r="F420" s="15">
        <f t="shared" si="42"/>
        <v>463.19280000000003</v>
      </c>
      <c r="G420" s="15">
        <f t="shared" si="43"/>
        <v>530.88</v>
      </c>
      <c r="H420" s="15">
        <f t="shared" si="44"/>
        <v>385.99400000000003</v>
      </c>
      <c r="I420" s="15">
        <f t="shared" si="45"/>
        <v>442.40000000000003</v>
      </c>
      <c r="J420" s="10">
        <v>272</v>
      </c>
      <c r="K420" s="10">
        <v>161</v>
      </c>
      <c r="L420" s="10">
        <v>362</v>
      </c>
      <c r="M420" s="10">
        <v>342</v>
      </c>
      <c r="N420" s="10">
        <v>360</v>
      </c>
      <c r="O420" s="10">
        <v>380</v>
      </c>
      <c r="P420" s="10">
        <v>359</v>
      </c>
      <c r="Q420" s="10">
        <v>364</v>
      </c>
      <c r="R420" s="10">
        <v>380</v>
      </c>
      <c r="S420" s="10">
        <v>359</v>
      </c>
      <c r="T420" s="10">
        <v>366</v>
      </c>
      <c r="U420" s="10">
        <v>378</v>
      </c>
      <c r="V420" s="10">
        <v>362</v>
      </c>
      <c r="W420" s="10">
        <v>363</v>
      </c>
      <c r="X420" s="10">
        <v>405</v>
      </c>
      <c r="Y420" s="10">
        <v>321</v>
      </c>
      <c r="Z420" s="10">
        <v>309</v>
      </c>
      <c r="AA420" s="10">
        <v>400</v>
      </c>
      <c r="AB420" s="10">
        <v>408</v>
      </c>
      <c r="AC420" s="10">
        <v>421</v>
      </c>
      <c r="AD420" s="10">
        <v>329</v>
      </c>
      <c r="AE420" s="10">
        <v>64</v>
      </c>
      <c r="AF420" s="10">
        <v>16</v>
      </c>
      <c r="AG420" s="10">
        <v>5</v>
      </c>
      <c r="AH420" s="102">
        <f>SUM(Tableau2[[#This Row],[Td 2]:[Td 5]])</f>
        <v>414</v>
      </c>
      <c r="AI420" s="10">
        <v>41.7</v>
      </c>
      <c r="AJ420" s="10">
        <v>100</v>
      </c>
      <c r="AK420" s="17">
        <f t="shared" si="46"/>
        <v>5.9940000000000282</v>
      </c>
      <c r="AL420" s="17">
        <f t="shared" si="47"/>
        <v>0</v>
      </c>
      <c r="AM420" s="17">
        <f t="shared" si="48"/>
        <v>309</v>
      </c>
    </row>
    <row r="421" spans="1:39" s="3" customFormat="1" x14ac:dyDescent="0.25">
      <c r="A421" s="2" t="s">
        <v>16</v>
      </c>
      <c r="B421" s="29" t="s">
        <v>739</v>
      </c>
      <c r="C421" s="2" t="s">
        <v>37</v>
      </c>
      <c r="D421" s="2" t="s">
        <v>444</v>
      </c>
      <c r="E421" s="14">
        <v>11015</v>
      </c>
      <c r="F421" s="15">
        <f t="shared" si="42"/>
        <v>384.42349999999999</v>
      </c>
      <c r="G421" s="15">
        <f t="shared" si="43"/>
        <v>440.6</v>
      </c>
      <c r="H421" s="15">
        <f t="shared" si="44"/>
        <v>320.35291666666666</v>
      </c>
      <c r="I421" s="15">
        <f t="shared" si="45"/>
        <v>367.16666666666669</v>
      </c>
      <c r="J421" s="10">
        <v>191</v>
      </c>
      <c r="K421" s="10">
        <v>71</v>
      </c>
      <c r="L421" s="10">
        <v>221</v>
      </c>
      <c r="M421" s="10">
        <v>212</v>
      </c>
      <c r="N421" s="10">
        <v>186</v>
      </c>
      <c r="O421" s="10">
        <v>226</v>
      </c>
      <c r="P421" s="10">
        <v>206</v>
      </c>
      <c r="Q421" s="10">
        <v>219</v>
      </c>
      <c r="R421" s="10">
        <v>221</v>
      </c>
      <c r="S421" s="10">
        <v>211</v>
      </c>
      <c r="T421" s="10">
        <v>199</v>
      </c>
      <c r="U421" s="10">
        <v>222</v>
      </c>
      <c r="V421" s="10">
        <v>206</v>
      </c>
      <c r="W421" s="10">
        <v>199</v>
      </c>
      <c r="X421" s="10">
        <v>198</v>
      </c>
      <c r="Y421" s="10">
        <v>32</v>
      </c>
      <c r="Z421" s="10">
        <v>181</v>
      </c>
      <c r="AA421" s="10">
        <v>189</v>
      </c>
      <c r="AB421" s="10">
        <v>72</v>
      </c>
      <c r="AC421" s="10">
        <v>94</v>
      </c>
      <c r="AD421" s="10">
        <v>56</v>
      </c>
      <c r="AE421" s="10">
        <v>55</v>
      </c>
      <c r="AF421" s="10">
        <v>47</v>
      </c>
      <c r="AG421" s="10">
        <v>21</v>
      </c>
      <c r="AH421" s="102">
        <f>SUM(Tableau2[[#This Row],[Td 2]:[Td 5]])</f>
        <v>179</v>
      </c>
      <c r="AI421" s="10">
        <v>41.7</v>
      </c>
      <c r="AJ421" s="10">
        <v>100</v>
      </c>
      <c r="AK421" s="17">
        <f t="shared" si="46"/>
        <v>94.352916666666658</v>
      </c>
      <c r="AL421" s="17">
        <f t="shared" si="47"/>
        <v>28</v>
      </c>
      <c r="AM421" s="17">
        <f t="shared" si="48"/>
        <v>181</v>
      </c>
    </row>
    <row r="422" spans="1:39" s="3" customFormat="1" x14ac:dyDescent="0.25">
      <c r="A422" s="2" t="s">
        <v>16</v>
      </c>
      <c r="B422" s="29" t="s">
        <v>739</v>
      </c>
      <c r="C422" s="2" t="s">
        <v>38</v>
      </c>
      <c r="D422" s="2" t="s">
        <v>445</v>
      </c>
      <c r="E422" s="14">
        <v>4587</v>
      </c>
      <c r="F422" s="15">
        <f t="shared" si="42"/>
        <v>160.08629999999999</v>
      </c>
      <c r="G422" s="15">
        <f t="shared" si="43"/>
        <v>183.48</v>
      </c>
      <c r="H422" s="15">
        <f t="shared" si="44"/>
        <v>133.40525</v>
      </c>
      <c r="I422" s="15">
        <f t="shared" si="45"/>
        <v>152.89999999999998</v>
      </c>
      <c r="J422" s="10">
        <v>44</v>
      </c>
      <c r="K422" s="10">
        <v>19</v>
      </c>
      <c r="L422" s="10">
        <v>132</v>
      </c>
      <c r="M422" s="10">
        <v>129</v>
      </c>
      <c r="N422" s="10">
        <v>100</v>
      </c>
      <c r="O422" s="10">
        <v>132</v>
      </c>
      <c r="P422" s="10">
        <v>130</v>
      </c>
      <c r="Q422" s="10">
        <v>100</v>
      </c>
      <c r="R422" s="10">
        <v>87</v>
      </c>
      <c r="S422" s="10">
        <v>74</v>
      </c>
      <c r="T422" s="10">
        <v>54</v>
      </c>
      <c r="U422" s="10">
        <v>100</v>
      </c>
      <c r="V422" s="10">
        <v>104</v>
      </c>
      <c r="W422" s="10">
        <v>68</v>
      </c>
      <c r="X422" s="10">
        <v>106</v>
      </c>
      <c r="Y422" s="10">
        <v>59</v>
      </c>
      <c r="Z422" s="10">
        <v>106</v>
      </c>
      <c r="AA422" s="10">
        <v>100</v>
      </c>
      <c r="AB422" s="10">
        <v>69</v>
      </c>
      <c r="AC422" s="10">
        <v>26</v>
      </c>
      <c r="AD422" s="10">
        <v>29</v>
      </c>
      <c r="AE422" s="10">
        <v>26</v>
      </c>
      <c r="AF422" s="10">
        <v>27</v>
      </c>
      <c r="AG422" s="10">
        <v>12</v>
      </c>
      <c r="AH422" s="102">
        <f>SUM(Tableau2[[#This Row],[Td 2]:[Td 5]])</f>
        <v>94</v>
      </c>
      <c r="AI422" s="10">
        <v>54.2</v>
      </c>
      <c r="AJ422" s="10">
        <v>100</v>
      </c>
      <c r="AK422" s="17">
        <f t="shared" si="46"/>
        <v>1.4052499999999952</v>
      </c>
      <c r="AL422" s="17">
        <f t="shared" si="47"/>
        <v>26</v>
      </c>
      <c r="AM422" s="17">
        <f t="shared" si="48"/>
        <v>106</v>
      </c>
    </row>
    <row r="423" spans="1:39" s="3" customFormat="1" x14ac:dyDescent="0.25">
      <c r="A423" s="2" t="s">
        <v>16</v>
      </c>
      <c r="B423" s="29" t="s">
        <v>739</v>
      </c>
      <c r="C423" s="2" t="s">
        <v>38</v>
      </c>
      <c r="D423" s="2" t="s">
        <v>446</v>
      </c>
      <c r="E423" s="14">
        <v>5365</v>
      </c>
      <c r="F423" s="15">
        <f t="shared" si="42"/>
        <v>187.23850000000002</v>
      </c>
      <c r="G423" s="15">
        <f t="shared" si="43"/>
        <v>214.6</v>
      </c>
      <c r="H423" s="15">
        <f t="shared" si="44"/>
        <v>156.03208333333333</v>
      </c>
      <c r="I423" s="15">
        <f t="shared" si="45"/>
        <v>178.83333333333331</v>
      </c>
      <c r="J423" s="10">
        <v>74</v>
      </c>
      <c r="K423" s="10">
        <v>104</v>
      </c>
      <c r="L423" s="10">
        <v>125</v>
      </c>
      <c r="M423" s="10">
        <v>95</v>
      </c>
      <c r="N423" s="10">
        <v>136</v>
      </c>
      <c r="O423" s="10">
        <v>126</v>
      </c>
      <c r="P423" s="10">
        <v>94</v>
      </c>
      <c r="Q423" s="10">
        <v>107</v>
      </c>
      <c r="R423" s="10">
        <v>77</v>
      </c>
      <c r="S423" s="10">
        <v>47</v>
      </c>
      <c r="T423" s="10">
        <v>49</v>
      </c>
      <c r="U423" s="10">
        <v>125</v>
      </c>
      <c r="V423" s="10">
        <v>93</v>
      </c>
      <c r="W423" s="10">
        <v>96</v>
      </c>
      <c r="X423" s="10">
        <v>115</v>
      </c>
      <c r="Y423" s="10">
        <v>71</v>
      </c>
      <c r="Z423" s="10">
        <v>103</v>
      </c>
      <c r="AA423" s="10">
        <v>115</v>
      </c>
      <c r="AB423" s="10">
        <v>91</v>
      </c>
      <c r="AC423" s="10">
        <v>30</v>
      </c>
      <c r="AD423" s="10">
        <v>22</v>
      </c>
      <c r="AE423" s="10">
        <v>31</v>
      </c>
      <c r="AF423" s="10">
        <v>19</v>
      </c>
      <c r="AG423" s="10">
        <v>10</v>
      </c>
      <c r="AH423" s="102">
        <f>SUM(Tableau2[[#This Row],[Td 2]:[Td 5]])</f>
        <v>82</v>
      </c>
      <c r="AI423" s="10">
        <v>66.7</v>
      </c>
      <c r="AJ423" s="10">
        <v>100</v>
      </c>
      <c r="AK423" s="17">
        <f t="shared" si="46"/>
        <v>30.032083333333333</v>
      </c>
      <c r="AL423" s="17">
        <f t="shared" si="47"/>
        <v>11</v>
      </c>
      <c r="AM423" s="17">
        <f t="shared" si="48"/>
        <v>103</v>
      </c>
    </row>
    <row r="424" spans="1:39" s="3" customFormat="1" x14ac:dyDescent="0.25">
      <c r="A424" s="2" t="s">
        <v>16</v>
      </c>
      <c r="B424" s="29" t="s">
        <v>739</v>
      </c>
      <c r="C424" s="2" t="s">
        <v>38</v>
      </c>
      <c r="D424" s="2" t="s">
        <v>447</v>
      </c>
      <c r="E424" s="14">
        <v>3098</v>
      </c>
      <c r="F424" s="15">
        <f t="shared" si="42"/>
        <v>108.1202</v>
      </c>
      <c r="G424" s="15">
        <f t="shared" si="43"/>
        <v>123.92</v>
      </c>
      <c r="H424" s="15">
        <f t="shared" si="44"/>
        <v>90.100166666666667</v>
      </c>
      <c r="I424" s="15">
        <f t="shared" si="45"/>
        <v>103.26666666666667</v>
      </c>
      <c r="J424" s="10">
        <v>28</v>
      </c>
      <c r="K424" s="10">
        <v>20</v>
      </c>
      <c r="L424" s="10">
        <v>54</v>
      </c>
      <c r="M424" s="10">
        <v>45</v>
      </c>
      <c r="N424" s="10">
        <v>63</v>
      </c>
      <c r="O424" s="10">
        <v>54</v>
      </c>
      <c r="P424" s="10">
        <v>46</v>
      </c>
      <c r="Q424" s="10">
        <v>63</v>
      </c>
      <c r="R424" s="10">
        <v>54</v>
      </c>
      <c r="S424" s="10">
        <v>55</v>
      </c>
      <c r="T424" s="10">
        <v>52</v>
      </c>
      <c r="U424" s="10">
        <v>54</v>
      </c>
      <c r="V424" s="10">
        <v>45</v>
      </c>
      <c r="W424" s="10">
        <v>52</v>
      </c>
      <c r="X424" s="10">
        <v>56</v>
      </c>
      <c r="Y424" s="10">
        <v>27</v>
      </c>
      <c r="Z424" s="10">
        <v>46</v>
      </c>
      <c r="AA424" s="10">
        <v>52</v>
      </c>
      <c r="AB424" s="10">
        <v>39</v>
      </c>
      <c r="AC424" s="10">
        <v>25</v>
      </c>
      <c r="AD424" s="10">
        <v>12</v>
      </c>
      <c r="AE424" s="10">
        <v>9</v>
      </c>
      <c r="AF424" s="10">
        <v>13</v>
      </c>
      <c r="AG424" s="10">
        <v>12</v>
      </c>
      <c r="AH424" s="102">
        <f>SUM(Tableau2[[#This Row],[Td 2]:[Td 5]])</f>
        <v>46</v>
      </c>
      <c r="AI424" s="10">
        <v>50</v>
      </c>
      <c r="AJ424" s="10">
        <v>100</v>
      </c>
      <c r="AK424" s="17">
        <f t="shared" si="46"/>
        <v>36.100166666666667</v>
      </c>
      <c r="AL424" s="17">
        <f t="shared" si="47"/>
        <v>0</v>
      </c>
      <c r="AM424" s="17">
        <f t="shared" si="48"/>
        <v>46</v>
      </c>
    </row>
    <row r="425" spans="1:39" s="3" customFormat="1" x14ac:dyDescent="0.25">
      <c r="A425" s="2" t="s">
        <v>16</v>
      </c>
      <c r="B425" s="29" t="s">
        <v>739</v>
      </c>
      <c r="C425" s="2" t="s">
        <v>38</v>
      </c>
      <c r="D425" s="2" t="s">
        <v>448</v>
      </c>
      <c r="E425" s="14">
        <v>11385</v>
      </c>
      <c r="F425" s="15">
        <f t="shared" si="42"/>
        <v>397.3365</v>
      </c>
      <c r="G425" s="15">
        <f t="shared" si="43"/>
        <v>455.40000000000003</v>
      </c>
      <c r="H425" s="15">
        <f t="shared" si="44"/>
        <v>331.11375000000004</v>
      </c>
      <c r="I425" s="15">
        <f t="shared" si="45"/>
        <v>379.5</v>
      </c>
      <c r="J425" s="10">
        <v>253</v>
      </c>
      <c r="K425" s="10">
        <v>237</v>
      </c>
      <c r="L425" s="10">
        <v>476</v>
      </c>
      <c r="M425" s="10">
        <v>416</v>
      </c>
      <c r="N425" s="10">
        <v>395</v>
      </c>
      <c r="O425" s="10">
        <v>469</v>
      </c>
      <c r="P425" s="10">
        <v>344</v>
      </c>
      <c r="Q425" s="10">
        <v>304</v>
      </c>
      <c r="R425" s="10">
        <v>426</v>
      </c>
      <c r="S425" s="10">
        <v>280</v>
      </c>
      <c r="T425" s="10">
        <v>205</v>
      </c>
      <c r="U425" s="10">
        <v>412</v>
      </c>
      <c r="V425" s="10">
        <v>282</v>
      </c>
      <c r="W425" s="10">
        <v>220</v>
      </c>
      <c r="X425" s="10">
        <v>312</v>
      </c>
      <c r="Y425" s="10">
        <v>119</v>
      </c>
      <c r="Z425" s="10">
        <v>247</v>
      </c>
      <c r="AA425" s="10">
        <v>355</v>
      </c>
      <c r="AB425" s="10">
        <v>267</v>
      </c>
      <c r="AC425" s="10">
        <v>135</v>
      </c>
      <c r="AD425" s="10">
        <v>114</v>
      </c>
      <c r="AE425" s="10">
        <v>85</v>
      </c>
      <c r="AF425" s="10">
        <v>44</v>
      </c>
      <c r="AG425" s="10">
        <v>35</v>
      </c>
      <c r="AH425" s="102">
        <f>SUM(Tableau2[[#This Row],[Td 2]:[Td 5]])</f>
        <v>278</v>
      </c>
      <c r="AI425" s="10">
        <v>50</v>
      </c>
      <c r="AJ425" s="10">
        <v>100</v>
      </c>
      <c r="AK425" s="17">
        <f t="shared" si="46"/>
        <v>0</v>
      </c>
      <c r="AL425" s="17">
        <f t="shared" si="47"/>
        <v>157</v>
      </c>
      <c r="AM425" s="17">
        <f t="shared" si="48"/>
        <v>247</v>
      </c>
    </row>
    <row r="426" spans="1:39" s="3" customFormat="1" x14ac:dyDescent="0.25">
      <c r="A426" s="2" t="s">
        <v>16</v>
      </c>
      <c r="B426" s="29" t="s">
        <v>739</v>
      </c>
      <c r="C426" s="2" t="s">
        <v>38</v>
      </c>
      <c r="D426" s="2" t="s">
        <v>449</v>
      </c>
      <c r="E426" s="14">
        <v>12657</v>
      </c>
      <c r="F426" s="15">
        <f t="shared" si="42"/>
        <v>441.72930000000002</v>
      </c>
      <c r="G426" s="15">
        <f t="shared" si="43"/>
        <v>506.28000000000003</v>
      </c>
      <c r="H426" s="15">
        <f t="shared" si="44"/>
        <v>368.10775000000001</v>
      </c>
      <c r="I426" s="15">
        <f t="shared" si="45"/>
        <v>421.90000000000003</v>
      </c>
      <c r="J426" s="10">
        <v>127</v>
      </c>
      <c r="K426" s="10">
        <v>58</v>
      </c>
      <c r="L426" s="10">
        <v>250</v>
      </c>
      <c r="M426" s="10">
        <v>233</v>
      </c>
      <c r="N426" s="10">
        <v>230</v>
      </c>
      <c r="O426" s="10">
        <v>248</v>
      </c>
      <c r="P426" s="10">
        <v>214</v>
      </c>
      <c r="Q426" s="10">
        <v>207</v>
      </c>
      <c r="R426" s="10">
        <v>239</v>
      </c>
      <c r="S426" s="10">
        <v>193</v>
      </c>
      <c r="T426" s="10">
        <v>146</v>
      </c>
      <c r="U426" s="10">
        <v>248</v>
      </c>
      <c r="V426" s="10">
        <v>203</v>
      </c>
      <c r="W426" s="10">
        <v>176</v>
      </c>
      <c r="X426" s="10">
        <v>295</v>
      </c>
      <c r="Y426" s="10">
        <v>179</v>
      </c>
      <c r="Z426" s="10">
        <v>282</v>
      </c>
      <c r="AA426" s="10">
        <v>230</v>
      </c>
      <c r="AB426" s="10">
        <v>272</v>
      </c>
      <c r="AC426" s="10">
        <v>69</v>
      </c>
      <c r="AD426" s="10">
        <v>45</v>
      </c>
      <c r="AE426" s="10">
        <v>51</v>
      </c>
      <c r="AF426" s="10">
        <v>35</v>
      </c>
      <c r="AG426" s="10">
        <v>16</v>
      </c>
      <c r="AH426" s="102">
        <f>SUM(Tableau2[[#This Row],[Td 2]:[Td 5]])</f>
        <v>147</v>
      </c>
      <c r="AI426" s="10">
        <v>44.4</v>
      </c>
      <c r="AJ426" s="10">
        <v>100</v>
      </c>
      <c r="AK426" s="17">
        <f t="shared" si="46"/>
        <v>120.10775000000001</v>
      </c>
      <c r="AL426" s="17">
        <f t="shared" si="47"/>
        <v>0</v>
      </c>
      <c r="AM426" s="17">
        <f t="shared" si="48"/>
        <v>282</v>
      </c>
    </row>
    <row r="427" spans="1:39" s="3" customFormat="1" x14ac:dyDescent="0.25">
      <c r="A427" s="2" t="s">
        <v>16</v>
      </c>
      <c r="B427" s="29" t="s">
        <v>739</v>
      </c>
      <c r="C427" s="2" t="s">
        <v>38</v>
      </c>
      <c r="D427" s="2" t="s">
        <v>450</v>
      </c>
      <c r="E427" s="14">
        <v>5033</v>
      </c>
      <c r="F427" s="15">
        <f t="shared" si="42"/>
        <v>175.65170000000001</v>
      </c>
      <c r="G427" s="15">
        <f t="shared" si="43"/>
        <v>201.32</v>
      </c>
      <c r="H427" s="15">
        <f t="shared" si="44"/>
        <v>146.37641666666667</v>
      </c>
      <c r="I427" s="15">
        <f t="shared" si="45"/>
        <v>167.76666666666668</v>
      </c>
      <c r="J427" s="10">
        <v>25</v>
      </c>
      <c r="K427" s="10">
        <v>22</v>
      </c>
      <c r="L427" s="10">
        <v>113</v>
      </c>
      <c r="M427" s="10">
        <v>106</v>
      </c>
      <c r="N427" s="10">
        <v>98</v>
      </c>
      <c r="O427" s="10">
        <v>115</v>
      </c>
      <c r="P427" s="10">
        <v>111</v>
      </c>
      <c r="Q427" s="10">
        <v>96</v>
      </c>
      <c r="R427" s="10">
        <v>115</v>
      </c>
      <c r="S427" s="10">
        <v>112</v>
      </c>
      <c r="T427" s="10">
        <v>98</v>
      </c>
      <c r="U427" s="10">
        <v>65</v>
      </c>
      <c r="V427" s="10">
        <v>58</v>
      </c>
      <c r="W427" s="10">
        <v>50</v>
      </c>
      <c r="X427" s="10">
        <v>102</v>
      </c>
      <c r="Y427" s="10">
        <v>75</v>
      </c>
      <c r="Z427" s="10">
        <v>93</v>
      </c>
      <c r="AA427" s="10">
        <v>87</v>
      </c>
      <c r="AB427" s="10">
        <v>95</v>
      </c>
      <c r="AC427" s="10">
        <v>40</v>
      </c>
      <c r="AD427" s="10">
        <v>22</v>
      </c>
      <c r="AE427" s="10">
        <v>22</v>
      </c>
      <c r="AF427" s="10">
        <v>10</v>
      </c>
      <c r="AG427" s="10">
        <v>5</v>
      </c>
      <c r="AH427" s="102">
        <f>SUM(Tableau2[[#This Row],[Td 2]:[Td 5]])</f>
        <v>59</v>
      </c>
      <c r="AI427" s="10">
        <v>50</v>
      </c>
      <c r="AJ427" s="10">
        <v>100</v>
      </c>
      <c r="AK427" s="17">
        <f t="shared" si="46"/>
        <v>31.376416666666671</v>
      </c>
      <c r="AL427" s="17">
        <f t="shared" si="47"/>
        <v>13</v>
      </c>
      <c r="AM427" s="17">
        <f t="shared" si="48"/>
        <v>93</v>
      </c>
    </row>
    <row r="428" spans="1:39" s="3" customFormat="1" x14ac:dyDescent="0.25">
      <c r="A428" s="2" t="s">
        <v>16</v>
      </c>
      <c r="B428" s="29" t="s">
        <v>739</v>
      </c>
      <c r="C428" s="2" t="s">
        <v>38</v>
      </c>
      <c r="D428" s="2" t="s">
        <v>451</v>
      </c>
      <c r="E428" s="14">
        <v>16550</v>
      </c>
      <c r="F428" s="15">
        <f t="shared" si="42"/>
        <v>577.59500000000003</v>
      </c>
      <c r="G428" s="15">
        <f t="shared" si="43"/>
        <v>662</v>
      </c>
      <c r="H428" s="15">
        <f t="shared" si="44"/>
        <v>481.32916666666665</v>
      </c>
      <c r="I428" s="15">
        <f t="shared" si="45"/>
        <v>551.66666666666663</v>
      </c>
      <c r="J428" s="10">
        <v>433</v>
      </c>
      <c r="K428" s="10">
        <v>333</v>
      </c>
      <c r="L428" s="10">
        <v>539</v>
      </c>
      <c r="M428" s="10">
        <v>447</v>
      </c>
      <c r="N428" s="10">
        <v>435</v>
      </c>
      <c r="O428" s="10">
        <v>450</v>
      </c>
      <c r="P428" s="10">
        <v>369</v>
      </c>
      <c r="Q428" s="10">
        <v>373</v>
      </c>
      <c r="R428" s="10">
        <v>453</v>
      </c>
      <c r="S428" s="10">
        <v>370</v>
      </c>
      <c r="T428" s="10">
        <v>373</v>
      </c>
      <c r="U428" s="10">
        <v>399</v>
      </c>
      <c r="V428" s="10">
        <v>319</v>
      </c>
      <c r="W428" s="10">
        <v>323</v>
      </c>
      <c r="X428" s="10">
        <v>405</v>
      </c>
      <c r="Y428" s="10">
        <v>49</v>
      </c>
      <c r="Z428" s="10">
        <v>306</v>
      </c>
      <c r="AA428" s="10">
        <v>450</v>
      </c>
      <c r="AB428" s="10">
        <v>389</v>
      </c>
      <c r="AC428" s="10">
        <v>269</v>
      </c>
      <c r="AD428" s="10">
        <v>223</v>
      </c>
      <c r="AE428" s="10">
        <v>150</v>
      </c>
      <c r="AF428" s="10">
        <v>79</v>
      </c>
      <c r="AG428" s="10">
        <v>58</v>
      </c>
      <c r="AH428" s="102">
        <f>SUM(Tableau2[[#This Row],[Td 2]:[Td 5]])</f>
        <v>510</v>
      </c>
      <c r="AI428" s="10">
        <v>50</v>
      </c>
      <c r="AJ428" s="10">
        <v>100</v>
      </c>
      <c r="AK428" s="17">
        <f t="shared" si="46"/>
        <v>31.329166666666652</v>
      </c>
      <c r="AL428" s="17">
        <f t="shared" si="47"/>
        <v>45</v>
      </c>
      <c r="AM428" s="17">
        <f t="shared" si="48"/>
        <v>306</v>
      </c>
    </row>
    <row r="429" spans="1:39" s="3" customFormat="1" x14ac:dyDescent="0.25">
      <c r="A429" s="2" t="s">
        <v>16</v>
      </c>
      <c r="B429" s="29" t="s">
        <v>739</v>
      </c>
      <c r="C429" s="2" t="s">
        <v>38</v>
      </c>
      <c r="D429" s="2" t="s">
        <v>452</v>
      </c>
      <c r="E429" s="14">
        <v>7593</v>
      </c>
      <c r="F429" s="15">
        <f t="shared" si="42"/>
        <v>264.9957</v>
      </c>
      <c r="G429" s="15">
        <f t="shared" si="43"/>
        <v>303.72000000000003</v>
      </c>
      <c r="H429" s="15">
        <f t="shared" si="44"/>
        <v>220.82975000000002</v>
      </c>
      <c r="I429" s="15">
        <f t="shared" si="45"/>
        <v>253.10000000000002</v>
      </c>
      <c r="J429" s="10">
        <v>206</v>
      </c>
      <c r="K429" s="10">
        <v>69</v>
      </c>
      <c r="L429" s="10">
        <v>329</v>
      </c>
      <c r="M429" s="10">
        <v>192</v>
      </c>
      <c r="N429" s="10">
        <v>171</v>
      </c>
      <c r="O429" s="10">
        <v>234</v>
      </c>
      <c r="P429" s="10">
        <v>199</v>
      </c>
      <c r="Q429" s="10">
        <v>189</v>
      </c>
      <c r="R429" s="10">
        <v>208</v>
      </c>
      <c r="S429" s="10">
        <v>164</v>
      </c>
      <c r="T429" s="10">
        <v>149</v>
      </c>
      <c r="U429" s="10">
        <v>201</v>
      </c>
      <c r="V429" s="10">
        <v>170</v>
      </c>
      <c r="W429" s="10">
        <v>146</v>
      </c>
      <c r="X429" s="10">
        <v>211</v>
      </c>
      <c r="Y429" s="10">
        <v>46</v>
      </c>
      <c r="Z429" s="10">
        <v>171</v>
      </c>
      <c r="AA429" s="10">
        <v>168</v>
      </c>
      <c r="AB429" s="10">
        <v>173</v>
      </c>
      <c r="AC429" s="10">
        <v>52</v>
      </c>
      <c r="AD429" s="10">
        <v>34</v>
      </c>
      <c r="AE429" s="10">
        <v>31</v>
      </c>
      <c r="AF429" s="10">
        <v>33</v>
      </c>
      <c r="AG429" s="10">
        <v>21</v>
      </c>
      <c r="AH429" s="102">
        <f>SUM(Tableau2[[#This Row],[Td 2]:[Td 5]])</f>
        <v>119</v>
      </c>
      <c r="AI429" s="10">
        <v>50</v>
      </c>
      <c r="AJ429" s="10">
        <v>100</v>
      </c>
      <c r="AK429" s="17">
        <f t="shared" si="46"/>
        <v>0</v>
      </c>
      <c r="AL429" s="17">
        <f t="shared" si="47"/>
        <v>23</v>
      </c>
      <c r="AM429" s="17">
        <f t="shared" si="48"/>
        <v>171</v>
      </c>
    </row>
    <row r="430" spans="1:39" s="3" customFormat="1" x14ac:dyDescent="0.25">
      <c r="A430" s="2" t="s">
        <v>16</v>
      </c>
      <c r="B430" s="29" t="s">
        <v>739</v>
      </c>
      <c r="C430" s="2" t="s">
        <v>38</v>
      </c>
      <c r="D430" s="2" t="s">
        <v>38</v>
      </c>
      <c r="E430" s="14">
        <v>8788</v>
      </c>
      <c r="F430" s="15">
        <f t="shared" si="42"/>
        <v>306.70120000000003</v>
      </c>
      <c r="G430" s="15">
        <f t="shared" si="43"/>
        <v>351.52</v>
      </c>
      <c r="H430" s="15">
        <f t="shared" si="44"/>
        <v>255.58433333333338</v>
      </c>
      <c r="I430" s="15">
        <f t="shared" si="45"/>
        <v>292.93333333333334</v>
      </c>
      <c r="J430" s="10">
        <v>618</v>
      </c>
      <c r="K430" s="10" t="s">
        <v>2</v>
      </c>
      <c r="L430" s="10">
        <v>529</v>
      </c>
      <c r="M430" s="10">
        <v>478</v>
      </c>
      <c r="N430" s="10">
        <v>389</v>
      </c>
      <c r="O430" s="10">
        <v>489</v>
      </c>
      <c r="P430" s="10">
        <v>445</v>
      </c>
      <c r="Q430" s="10">
        <v>343</v>
      </c>
      <c r="R430" s="10">
        <v>451</v>
      </c>
      <c r="S430" s="10">
        <v>336</v>
      </c>
      <c r="T430" s="10">
        <v>308</v>
      </c>
      <c r="U430" s="10">
        <v>447</v>
      </c>
      <c r="V430" s="10">
        <v>331</v>
      </c>
      <c r="W430" s="10">
        <v>305</v>
      </c>
      <c r="X430" s="10">
        <v>330</v>
      </c>
      <c r="Y430" s="10">
        <v>39</v>
      </c>
      <c r="Z430" s="10">
        <v>306</v>
      </c>
      <c r="AA430" s="10">
        <v>399</v>
      </c>
      <c r="AB430" s="10">
        <v>257</v>
      </c>
      <c r="AC430" s="10">
        <v>152</v>
      </c>
      <c r="AD430" s="10">
        <v>69</v>
      </c>
      <c r="AE430" s="10">
        <v>60</v>
      </c>
      <c r="AF430" s="10">
        <v>42</v>
      </c>
      <c r="AG430" s="10">
        <v>37</v>
      </c>
      <c r="AH430" s="102">
        <f>SUM(Tableau2[[#This Row],[Td 2]:[Td 5]])</f>
        <v>208</v>
      </c>
      <c r="AI430" s="10">
        <v>58.3</v>
      </c>
      <c r="AJ430" s="10">
        <v>100</v>
      </c>
      <c r="AK430" s="17">
        <f t="shared" si="46"/>
        <v>0</v>
      </c>
      <c r="AL430" s="17">
        <f t="shared" si="47"/>
        <v>159</v>
      </c>
      <c r="AM430" s="17">
        <f t="shared" si="48"/>
        <v>306</v>
      </c>
    </row>
    <row r="431" spans="1:39" s="3" customFormat="1" x14ac:dyDescent="0.25">
      <c r="A431" s="2" t="s">
        <v>16</v>
      </c>
      <c r="B431" s="29" t="s">
        <v>739</v>
      </c>
      <c r="C431" s="2" t="s">
        <v>38</v>
      </c>
      <c r="D431" s="2" t="s">
        <v>453</v>
      </c>
      <c r="E431" s="14">
        <v>9647</v>
      </c>
      <c r="F431" s="15">
        <f t="shared" si="42"/>
        <v>336.68029999999999</v>
      </c>
      <c r="G431" s="15">
        <f t="shared" si="43"/>
        <v>385.88</v>
      </c>
      <c r="H431" s="15">
        <f t="shared" si="44"/>
        <v>280.56691666666666</v>
      </c>
      <c r="I431" s="15">
        <f t="shared" si="45"/>
        <v>321.56666666666666</v>
      </c>
      <c r="J431" s="10">
        <v>87</v>
      </c>
      <c r="K431" s="10">
        <v>102</v>
      </c>
      <c r="L431" s="10">
        <v>255</v>
      </c>
      <c r="M431" s="10">
        <v>269</v>
      </c>
      <c r="N431" s="10">
        <v>272</v>
      </c>
      <c r="O431" s="10">
        <v>225</v>
      </c>
      <c r="P431" s="10">
        <v>241</v>
      </c>
      <c r="Q431" s="10">
        <v>242</v>
      </c>
      <c r="R431" s="10">
        <v>197</v>
      </c>
      <c r="S431" s="10">
        <v>211</v>
      </c>
      <c r="T431" s="10">
        <v>214</v>
      </c>
      <c r="U431" s="10">
        <v>197</v>
      </c>
      <c r="V431" s="10">
        <v>212</v>
      </c>
      <c r="W431" s="10">
        <v>214</v>
      </c>
      <c r="X431" s="10">
        <v>222</v>
      </c>
      <c r="Y431" s="10">
        <v>167</v>
      </c>
      <c r="Z431" s="10">
        <v>222</v>
      </c>
      <c r="AA431" s="10">
        <v>218</v>
      </c>
      <c r="AB431" s="10">
        <v>171</v>
      </c>
      <c r="AC431" s="10">
        <v>35</v>
      </c>
      <c r="AD431" s="10">
        <v>31</v>
      </c>
      <c r="AE431" s="10">
        <v>36</v>
      </c>
      <c r="AF431" s="10">
        <v>32</v>
      </c>
      <c r="AG431" s="10">
        <v>29</v>
      </c>
      <c r="AH431" s="102">
        <f>SUM(Tableau2[[#This Row],[Td 2]:[Td 5]])</f>
        <v>128</v>
      </c>
      <c r="AI431" s="10">
        <v>37.5</v>
      </c>
      <c r="AJ431" s="10">
        <v>100</v>
      </c>
      <c r="AK431" s="17">
        <f t="shared" si="46"/>
        <v>55.566916666666657</v>
      </c>
      <c r="AL431" s="17">
        <f t="shared" si="47"/>
        <v>3</v>
      </c>
      <c r="AM431" s="17">
        <f t="shared" si="48"/>
        <v>222</v>
      </c>
    </row>
    <row r="432" spans="1:39" s="3" customFormat="1" x14ac:dyDescent="0.25">
      <c r="A432" s="2" t="s">
        <v>16</v>
      </c>
      <c r="B432" s="29" t="s">
        <v>739</v>
      </c>
      <c r="C432" s="2" t="s">
        <v>38</v>
      </c>
      <c r="D432" s="2" t="s">
        <v>454</v>
      </c>
      <c r="E432" s="14">
        <v>5361</v>
      </c>
      <c r="F432" s="15">
        <f t="shared" si="42"/>
        <v>187.09890000000001</v>
      </c>
      <c r="G432" s="15">
        <f t="shared" si="43"/>
        <v>214.44</v>
      </c>
      <c r="H432" s="15">
        <f t="shared" si="44"/>
        <v>155.91575</v>
      </c>
      <c r="I432" s="15">
        <f t="shared" si="45"/>
        <v>178.70000000000002</v>
      </c>
      <c r="J432" s="10">
        <v>88</v>
      </c>
      <c r="K432" s="10">
        <v>16</v>
      </c>
      <c r="L432" s="10">
        <v>130</v>
      </c>
      <c r="M432" s="10">
        <v>107</v>
      </c>
      <c r="N432" s="10">
        <v>131</v>
      </c>
      <c r="O432" s="10">
        <v>114</v>
      </c>
      <c r="P432" s="10">
        <v>88</v>
      </c>
      <c r="Q432" s="10">
        <v>115</v>
      </c>
      <c r="R432" s="10">
        <v>80</v>
      </c>
      <c r="S432" s="10">
        <v>61</v>
      </c>
      <c r="T432" s="10">
        <v>81</v>
      </c>
      <c r="U432" s="10">
        <v>96</v>
      </c>
      <c r="V432" s="10">
        <v>75</v>
      </c>
      <c r="W432" s="10">
        <v>97</v>
      </c>
      <c r="X432" s="10">
        <v>121</v>
      </c>
      <c r="Y432" s="10">
        <v>8</v>
      </c>
      <c r="Z432" s="10">
        <v>121</v>
      </c>
      <c r="AA432" s="10">
        <v>131</v>
      </c>
      <c r="AB432" s="10">
        <v>121</v>
      </c>
      <c r="AC432" s="10">
        <v>44</v>
      </c>
      <c r="AD432" s="10">
        <v>22</v>
      </c>
      <c r="AE432" s="10">
        <v>11</v>
      </c>
      <c r="AF432" s="10">
        <v>11</v>
      </c>
      <c r="AG432" s="10">
        <v>4</v>
      </c>
      <c r="AH432" s="102">
        <f>SUM(Tableau2[[#This Row],[Td 2]:[Td 5]])</f>
        <v>48</v>
      </c>
      <c r="AI432" s="10">
        <v>54.2</v>
      </c>
      <c r="AJ432" s="10">
        <v>100</v>
      </c>
      <c r="AK432" s="17">
        <f t="shared" si="46"/>
        <v>41.915750000000003</v>
      </c>
      <c r="AL432" s="17">
        <f t="shared" si="47"/>
        <v>0</v>
      </c>
      <c r="AM432" s="17">
        <f t="shared" si="48"/>
        <v>121</v>
      </c>
    </row>
    <row r="433" spans="1:39" s="3" customFormat="1" x14ac:dyDescent="0.25">
      <c r="A433" s="2" t="s">
        <v>16</v>
      </c>
      <c r="B433" s="29" t="s">
        <v>739</v>
      </c>
      <c r="C433" s="2" t="s">
        <v>38</v>
      </c>
      <c r="D433" s="2" t="s">
        <v>455</v>
      </c>
      <c r="E433" s="14">
        <v>7611</v>
      </c>
      <c r="F433" s="15">
        <f t="shared" si="42"/>
        <v>265.62389999999999</v>
      </c>
      <c r="G433" s="15">
        <f t="shared" si="43"/>
        <v>304.44</v>
      </c>
      <c r="H433" s="15">
        <f t="shared" si="44"/>
        <v>221.35324999999997</v>
      </c>
      <c r="I433" s="15">
        <f t="shared" si="45"/>
        <v>253.70000000000002</v>
      </c>
      <c r="J433" s="10">
        <v>29</v>
      </c>
      <c r="K433" s="10">
        <v>27</v>
      </c>
      <c r="L433" s="10">
        <v>212</v>
      </c>
      <c r="M433" s="10">
        <v>167</v>
      </c>
      <c r="N433" s="10">
        <v>183</v>
      </c>
      <c r="O433" s="10">
        <v>194</v>
      </c>
      <c r="P433" s="10">
        <v>212</v>
      </c>
      <c r="Q433" s="10">
        <v>179</v>
      </c>
      <c r="R433" s="10">
        <v>162</v>
      </c>
      <c r="S433" s="10">
        <v>116</v>
      </c>
      <c r="T433" s="10">
        <v>150</v>
      </c>
      <c r="U433" s="10">
        <v>140</v>
      </c>
      <c r="V433" s="10">
        <v>93</v>
      </c>
      <c r="W433" s="10">
        <v>130</v>
      </c>
      <c r="X433" s="10">
        <v>109</v>
      </c>
      <c r="Y433" s="10">
        <v>46</v>
      </c>
      <c r="Z433" s="10">
        <v>109</v>
      </c>
      <c r="AA433" s="10">
        <v>181</v>
      </c>
      <c r="AB433" s="10">
        <v>104</v>
      </c>
      <c r="AC433" s="10">
        <v>16</v>
      </c>
      <c r="AD433" s="10">
        <v>11</v>
      </c>
      <c r="AE433" s="10">
        <v>14</v>
      </c>
      <c r="AF433" s="10">
        <v>8</v>
      </c>
      <c r="AG433" s="10">
        <v>2</v>
      </c>
      <c r="AH433" s="102">
        <f>SUM(Tableau2[[#This Row],[Td 2]:[Td 5]])</f>
        <v>35</v>
      </c>
      <c r="AI433" s="10">
        <v>41.7</v>
      </c>
      <c r="AJ433" s="10">
        <v>100</v>
      </c>
      <c r="AK433" s="17">
        <f t="shared" si="46"/>
        <v>27.353249999999974</v>
      </c>
      <c r="AL433" s="17">
        <f t="shared" si="47"/>
        <v>85</v>
      </c>
      <c r="AM433" s="17">
        <f t="shared" si="48"/>
        <v>109</v>
      </c>
    </row>
    <row r="434" spans="1:39" s="3" customFormat="1" x14ac:dyDescent="0.25">
      <c r="A434" s="2" t="s">
        <v>16</v>
      </c>
      <c r="B434" s="29" t="s">
        <v>739</v>
      </c>
      <c r="C434" s="2" t="s">
        <v>39</v>
      </c>
      <c r="D434" s="2" t="s">
        <v>456</v>
      </c>
      <c r="E434" s="14">
        <v>7821</v>
      </c>
      <c r="F434" s="15">
        <f t="shared" si="42"/>
        <v>272.9529</v>
      </c>
      <c r="G434" s="15">
        <f t="shared" si="43"/>
        <v>312.84000000000003</v>
      </c>
      <c r="H434" s="15">
        <f t="shared" si="44"/>
        <v>227.46075000000002</v>
      </c>
      <c r="I434" s="15">
        <f t="shared" si="45"/>
        <v>260.70000000000005</v>
      </c>
      <c r="J434" s="10">
        <v>155</v>
      </c>
      <c r="K434" s="10">
        <v>61</v>
      </c>
      <c r="L434" s="10">
        <v>242</v>
      </c>
      <c r="M434" s="10">
        <v>264</v>
      </c>
      <c r="N434" s="10">
        <v>242</v>
      </c>
      <c r="O434" s="10">
        <v>243</v>
      </c>
      <c r="P434" s="10">
        <v>221</v>
      </c>
      <c r="Q434" s="10">
        <v>259</v>
      </c>
      <c r="R434" s="10">
        <v>232</v>
      </c>
      <c r="S434" s="10">
        <v>240</v>
      </c>
      <c r="T434" s="10">
        <v>217</v>
      </c>
      <c r="U434" s="10">
        <v>216</v>
      </c>
      <c r="V434" s="10">
        <v>232</v>
      </c>
      <c r="W434" s="10">
        <v>218</v>
      </c>
      <c r="X434" s="10">
        <v>238</v>
      </c>
      <c r="Y434" s="10">
        <v>69</v>
      </c>
      <c r="Z434" s="10">
        <v>198</v>
      </c>
      <c r="AA434" s="10">
        <v>232</v>
      </c>
      <c r="AB434" s="10">
        <v>220</v>
      </c>
      <c r="AC434" s="10">
        <v>42</v>
      </c>
      <c r="AD434" s="10">
        <v>31</v>
      </c>
      <c r="AE434" s="10">
        <v>46</v>
      </c>
      <c r="AF434" s="10">
        <v>24</v>
      </c>
      <c r="AG434" s="10">
        <v>25</v>
      </c>
      <c r="AH434" s="102">
        <f>SUM(Tableau2[[#This Row],[Td 2]:[Td 5]])</f>
        <v>126</v>
      </c>
      <c r="AI434" s="10">
        <v>58.3</v>
      </c>
      <c r="AJ434" s="10">
        <v>100</v>
      </c>
      <c r="AK434" s="17">
        <f t="shared" si="46"/>
        <v>0</v>
      </c>
      <c r="AL434" s="17">
        <f t="shared" si="47"/>
        <v>5</v>
      </c>
      <c r="AM434" s="17">
        <f t="shared" si="48"/>
        <v>198</v>
      </c>
    </row>
    <row r="435" spans="1:39" s="3" customFormat="1" x14ac:dyDescent="0.25">
      <c r="A435" s="2" t="s">
        <v>16</v>
      </c>
      <c r="B435" s="29" t="s">
        <v>739</v>
      </c>
      <c r="C435" s="2" t="s">
        <v>39</v>
      </c>
      <c r="D435" s="2" t="s">
        <v>457</v>
      </c>
      <c r="E435" s="14">
        <v>17425</v>
      </c>
      <c r="F435" s="15">
        <f t="shared" si="42"/>
        <v>608.13250000000005</v>
      </c>
      <c r="G435" s="15">
        <f t="shared" si="43"/>
        <v>697</v>
      </c>
      <c r="H435" s="15">
        <f t="shared" si="44"/>
        <v>506.77708333333334</v>
      </c>
      <c r="I435" s="15">
        <f t="shared" si="45"/>
        <v>580.83333333333337</v>
      </c>
      <c r="J435" s="10">
        <v>552</v>
      </c>
      <c r="K435" s="10">
        <v>77</v>
      </c>
      <c r="L435" s="10">
        <v>553</v>
      </c>
      <c r="M435" s="10">
        <v>449</v>
      </c>
      <c r="N435" s="10">
        <v>486</v>
      </c>
      <c r="O435" s="10">
        <v>483</v>
      </c>
      <c r="P435" s="10">
        <v>465</v>
      </c>
      <c r="Q435" s="10">
        <v>508</v>
      </c>
      <c r="R435" s="10">
        <v>509</v>
      </c>
      <c r="S435" s="10">
        <v>419</v>
      </c>
      <c r="T435" s="10">
        <v>429</v>
      </c>
      <c r="U435" s="10">
        <v>547</v>
      </c>
      <c r="V435" s="10">
        <v>478</v>
      </c>
      <c r="W435" s="10">
        <v>533</v>
      </c>
      <c r="X435" s="10">
        <v>446</v>
      </c>
      <c r="Y435" s="10">
        <v>207</v>
      </c>
      <c r="Z435" s="10">
        <v>421</v>
      </c>
      <c r="AA435" s="10">
        <v>472</v>
      </c>
      <c r="AB435" s="10">
        <v>400</v>
      </c>
      <c r="AC435" s="10">
        <v>96</v>
      </c>
      <c r="AD435" s="10">
        <v>103</v>
      </c>
      <c r="AE435" s="10">
        <v>143</v>
      </c>
      <c r="AF435" s="10">
        <v>88</v>
      </c>
      <c r="AG435" s="10">
        <v>31</v>
      </c>
      <c r="AH435" s="102">
        <f>SUM(Tableau2[[#This Row],[Td 2]:[Td 5]])</f>
        <v>365</v>
      </c>
      <c r="AI435" s="10">
        <v>58.3</v>
      </c>
      <c r="AJ435" s="10">
        <v>100</v>
      </c>
      <c r="AK435" s="17">
        <f t="shared" si="46"/>
        <v>23.777083333333337</v>
      </c>
      <c r="AL435" s="17">
        <f t="shared" si="47"/>
        <v>37</v>
      </c>
      <c r="AM435" s="17">
        <f t="shared" si="48"/>
        <v>421</v>
      </c>
    </row>
    <row r="436" spans="1:39" s="3" customFormat="1" x14ac:dyDescent="0.25">
      <c r="A436" s="2" t="s">
        <v>16</v>
      </c>
      <c r="B436" s="29" t="s">
        <v>739</v>
      </c>
      <c r="C436" s="2" t="s">
        <v>39</v>
      </c>
      <c r="D436" s="2" t="s">
        <v>458</v>
      </c>
      <c r="E436" s="14">
        <v>13315</v>
      </c>
      <c r="F436" s="15">
        <f t="shared" si="42"/>
        <v>464.69350000000003</v>
      </c>
      <c r="G436" s="15">
        <f t="shared" si="43"/>
        <v>532.6</v>
      </c>
      <c r="H436" s="15">
        <f t="shared" si="44"/>
        <v>387.24458333333337</v>
      </c>
      <c r="I436" s="15">
        <f t="shared" si="45"/>
        <v>443.83333333333331</v>
      </c>
      <c r="J436" s="10">
        <v>330</v>
      </c>
      <c r="K436" s="10">
        <v>87</v>
      </c>
      <c r="L436" s="10">
        <v>344</v>
      </c>
      <c r="M436" s="10">
        <v>317</v>
      </c>
      <c r="N436" s="10">
        <v>307</v>
      </c>
      <c r="O436" s="10">
        <v>315</v>
      </c>
      <c r="P436" s="10">
        <v>294</v>
      </c>
      <c r="Q436" s="10">
        <v>310</v>
      </c>
      <c r="R436" s="10">
        <v>303</v>
      </c>
      <c r="S436" s="10">
        <v>292</v>
      </c>
      <c r="T436" s="10">
        <v>278</v>
      </c>
      <c r="U436" s="10">
        <v>332</v>
      </c>
      <c r="V436" s="10">
        <v>323</v>
      </c>
      <c r="W436" s="10">
        <v>314</v>
      </c>
      <c r="X436" s="10">
        <v>321</v>
      </c>
      <c r="Y436" s="10">
        <v>45</v>
      </c>
      <c r="Z436" s="10">
        <v>278</v>
      </c>
      <c r="AA436" s="10">
        <v>268</v>
      </c>
      <c r="AB436" s="10">
        <v>245</v>
      </c>
      <c r="AC436" s="10">
        <v>69</v>
      </c>
      <c r="AD436" s="10">
        <v>75</v>
      </c>
      <c r="AE436" s="10">
        <v>92</v>
      </c>
      <c r="AF436" s="10">
        <v>62</v>
      </c>
      <c r="AG436" s="10">
        <v>34</v>
      </c>
      <c r="AH436" s="102">
        <f>SUM(Tableau2[[#This Row],[Td 2]:[Td 5]])</f>
        <v>263</v>
      </c>
      <c r="AI436" s="10">
        <v>58.3</v>
      </c>
      <c r="AJ436" s="10">
        <v>100</v>
      </c>
      <c r="AK436" s="17">
        <f t="shared" si="46"/>
        <v>72.244583333333367</v>
      </c>
      <c r="AL436" s="17">
        <f t="shared" si="47"/>
        <v>0</v>
      </c>
      <c r="AM436" s="17">
        <f t="shared" si="48"/>
        <v>278</v>
      </c>
    </row>
    <row r="437" spans="1:39" s="3" customFormat="1" x14ac:dyDescent="0.25">
      <c r="A437" s="2" t="s">
        <v>16</v>
      </c>
      <c r="B437" s="29" t="s">
        <v>739</v>
      </c>
      <c r="C437" s="2" t="s">
        <v>39</v>
      </c>
      <c r="D437" s="2" t="s">
        <v>459</v>
      </c>
      <c r="E437" s="14">
        <v>5815</v>
      </c>
      <c r="F437" s="15">
        <f t="shared" si="42"/>
        <v>202.9435</v>
      </c>
      <c r="G437" s="15">
        <f t="shared" si="43"/>
        <v>232.6</v>
      </c>
      <c r="H437" s="15">
        <f t="shared" si="44"/>
        <v>169.11958333333334</v>
      </c>
      <c r="I437" s="15">
        <f t="shared" si="45"/>
        <v>193.83333333333331</v>
      </c>
      <c r="J437" s="10">
        <v>131</v>
      </c>
      <c r="K437" s="10">
        <v>46</v>
      </c>
      <c r="L437" s="10">
        <v>164</v>
      </c>
      <c r="M437" s="10">
        <v>158</v>
      </c>
      <c r="N437" s="10">
        <v>133</v>
      </c>
      <c r="O437" s="10">
        <v>157</v>
      </c>
      <c r="P437" s="10">
        <v>151</v>
      </c>
      <c r="Q437" s="10">
        <v>142</v>
      </c>
      <c r="R437" s="10">
        <v>159</v>
      </c>
      <c r="S437" s="10">
        <v>153</v>
      </c>
      <c r="T437" s="10">
        <v>136</v>
      </c>
      <c r="U437" s="10">
        <v>169</v>
      </c>
      <c r="V437" s="10">
        <v>181</v>
      </c>
      <c r="W437" s="10">
        <v>167</v>
      </c>
      <c r="X437" s="10">
        <v>154</v>
      </c>
      <c r="Y437" s="10">
        <v>52</v>
      </c>
      <c r="Z437" s="10">
        <v>151</v>
      </c>
      <c r="AA437" s="10">
        <v>141</v>
      </c>
      <c r="AB437" s="10">
        <v>151</v>
      </c>
      <c r="AC437" s="10">
        <v>24</v>
      </c>
      <c r="AD437" s="10">
        <v>33</v>
      </c>
      <c r="AE437" s="10">
        <v>19</v>
      </c>
      <c r="AF437" s="10">
        <v>40</v>
      </c>
      <c r="AG437" s="10">
        <v>31</v>
      </c>
      <c r="AH437" s="102">
        <f>SUM(Tableau2[[#This Row],[Td 2]:[Td 5]])</f>
        <v>123</v>
      </c>
      <c r="AI437" s="10">
        <v>58.3</v>
      </c>
      <c r="AJ437" s="10">
        <v>100</v>
      </c>
      <c r="AK437" s="17">
        <f t="shared" si="46"/>
        <v>12.119583333333338</v>
      </c>
      <c r="AL437" s="17">
        <f t="shared" si="47"/>
        <v>3</v>
      </c>
      <c r="AM437" s="17">
        <f t="shared" si="48"/>
        <v>151</v>
      </c>
    </row>
    <row r="438" spans="1:39" s="3" customFormat="1" x14ac:dyDescent="0.25">
      <c r="A438" s="2" t="s">
        <v>16</v>
      </c>
      <c r="B438" s="29" t="s">
        <v>739</v>
      </c>
      <c r="C438" s="2" t="s">
        <v>39</v>
      </c>
      <c r="D438" s="2" t="s">
        <v>460</v>
      </c>
      <c r="E438" s="14">
        <v>14434</v>
      </c>
      <c r="F438" s="15">
        <f t="shared" si="42"/>
        <v>503.7466</v>
      </c>
      <c r="G438" s="15">
        <f t="shared" si="43"/>
        <v>577.36</v>
      </c>
      <c r="H438" s="15">
        <f t="shared" si="44"/>
        <v>419.78883333333334</v>
      </c>
      <c r="I438" s="15">
        <f t="shared" si="45"/>
        <v>481.13333333333338</v>
      </c>
      <c r="J438" s="10">
        <v>383</v>
      </c>
      <c r="K438" s="10">
        <v>179</v>
      </c>
      <c r="L438" s="10">
        <v>411</v>
      </c>
      <c r="M438" s="10">
        <v>406</v>
      </c>
      <c r="N438" s="10">
        <v>412</v>
      </c>
      <c r="O438" s="10">
        <v>408</v>
      </c>
      <c r="P438" s="10">
        <v>383</v>
      </c>
      <c r="Q438" s="10">
        <v>330</v>
      </c>
      <c r="R438" s="10">
        <v>393</v>
      </c>
      <c r="S438" s="10">
        <v>339</v>
      </c>
      <c r="T438" s="10">
        <v>355</v>
      </c>
      <c r="U438" s="10">
        <v>407</v>
      </c>
      <c r="V438" s="10">
        <v>390</v>
      </c>
      <c r="W438" s="10">
        <v>378</v>
      </c>
      <c r="X438" s="10">
        <v>423</v>
      </c>
      <c r="Y438" s="10">
        <v>99</v>
      </c>
      <c r="Z438" s="10">
        <v>354</v>
      </c>
      <c r="AA438" s="10">
        <v>394</v>
      </c>
      <c r="AB438" s="10">
        <v>387</v>
      </c>
      <c r="AC438" s="10">
        <v>100</v>
      </c>
      <c r="AD438" s="10">
        <v>67</v>
      </c>
      <c r="AE438" s="10">
        <v>70</v>
      </c>
      <c r="AF438" s="10">
        <v>58</v>
      </c>
      <c r="AG438" s="10">
        <v>34</v>
      </c>
      <c r="AH438" s="102">
        <f>SUM(Tableau2[[#This Row],[Td 2]:[Td 5]])</f>
        <v>229</v>
      </c>
      <c r="AI438" s="10">
        <v>58.3</v>
      </c>
      <c r="AJ438" s="10">
        <v>100</v>
      </c>
      <c r="AK438" s="17">
        <f t="shared" si="46"/>
        <v>11.788833333333343</v>
      </c>
      <c r="AL438" s="17">
        <f t="shared" si="47"/>
        <v>0</v>
      </c>
      <c r="AM438" s="17">
        <f t="shared" si="48"/>
        <v>354</v>
      </c>
    </row>
    <row r="439" spans="1:39" s="3" customFormat="1" x14ac:dyDescent="0.25">
      <c r="A439" s="2" t="s">
        <v>16</v>
      </c>
      <c r="B439" s="29" t="s">
        <v>739</v>
      </c>
      <c r="C439" s="2" t="s">
        <v>39</v>
      </c>
      <c r="D439" s="2" t="s">
        <v>461</v>
      </c>
      <c r="E439" s="14">
        <v>6992</v>
      </c>
      <c r="F439" s="15">
        <f t="shared" si="42"/>
        <v>244.02080000000001</v>
      </c>
      <c r="G439" s="15">
        <f t="shared" si="43"/>
        <v>279.68</v>
      </c>
      <c r="H439" s="15">
        <f t="shared" si="44"/>
        <v>203.35066666666665</v>
      </c>
      <c r="I439" s="15">
        <f t="shared" si="45"/>
        <v>233.06666666666669</v>
      </c>
      <c r="J439" s="10">
        <v>154</v>
      </c>
      <c r="K439" s="10">
        <v>105</v>
      </c>
      <c r="L439" s="10">
        <v>255</v>
      </c>
      <c r="M439" s="10">
        <v>241</v>
      </c>
      <c r="N439" s="10">
        <v>221</v>
      </c>
      <c r="O439" s="10">
        <v>227</v>
      </c>
      <c r="P439" s="10">
        <v>230</v>
      </c>
      <c r="Q439" s="10">
        <v>218</v>
      </c>
      <c r="R439" s="10">
        <v>215</v>
      </c>
      <c r="S439" s="10">
        <v>220</v>
      </c>
      <c r="T439" s="10">
        <v>204</v>
      </c>
      <c r="U439" s="10">
        <v>216</v>
      </c>
      <c r="V439" s="10">
        <v>216</v>
      </c>
      <c r="W439" s="10">
        <v>222</v>
      </c>
      <c r="X439" s="10">
        <v>234</v>
      </c>
      <c r="Y439" s="10">
        <v>94</v>
      </c>
      <c r="Z439" s="10">
        <v>214</v>
      </c>
      <c r="AA439" s="10">
        <v>200</v>
      </c>
      <c r="AB439" s="10">
        <v>200</v>
      </c>
      <c r="AC439" s="10">
        <v>60</v>
      </c>
      <c r="AD439" s="10">
        <v>60</v>
      </c>
      <c r="AE439" s="10">
        <v>35</v>
      </c>
      <c r="AF439" s="10">
        <v>45</v>
      </c>
      <c r="AG439" s="10">
        <v>29</v>
      </c>
      <c r="AH439" s="102">
        <f>SUM(Tableau2[[#This Row],[Td 2]:[Td 5]])</f>
        <v>169</v>
      </c>
      <c r="AI439" s="10">
        <v>58.3</v>
      </c>
      <c r="AJ439" s="10">
        <v>100</v>
      </c>
      <c r="AK439" s="17">
        <f t="shared" si="46"/>
        <v>0</v>
      </c>
      <c r="AL439" s="17">
        <f t="shared" si="47"/>
        <v>0</v>
      </c>
      <c r="AM439" s="17">
        <f t="shared" si="48"/>
        <v>214</v>
      </c>
    </row>
    <row r="440" spans="1:39" s="3" customFormat="1" x14ac:dyDescent="0.25">
      <c r="A440" s="2" t="s">
        <v>16</v>
      </c>
      <c r="B440" s="29" t="s">
        <v>739</v>
      </c>
      <c r="C440" s="2" t="s">
        <v>39</v>
      </c>
      <c r="D440" s="2" t="s">
        <v>462</v>
      </c>
      <c r="E440" s="14">
        <v>12154</v>
      </c>
      <c r="F440" s="15">
        <f t="shared" si="42"/>
        <v>424.1746</v>
      </c>
      <c r="G440" s="15">
        <f t="shared" si="43"/>
        <v>486.16</v>
      </c>
      <c r="H440" s="15">
        <f t="shared" si="44"/>
        <v>353.47883333333334</v>
      </c>
      <c r="I440" s="15">
        <f t="shared" si="45"/>
        <v>405.13333333333333</v>
      </c>
      <c r="J440" s="10">
        <v>400</v>
      </c>
      <c r="K440" s="10">
        <v>369</v>
      </c>
      <c r="L440" s="10">
        <v>390</v>
      </c>
      <c r="M440" s="10">
        <v>380</v>
      </c>
      <c r="N440" s="10">
        <v>436</v>
      </c>
      <c r="O440" s="10">
        <v>391</v>
      </c>
      <c r="P440" s="10">
        <v>321</v>
      </c>
      <c r="Q440" s="10">
        <v>368</v>
      </c>
      <c r="R440" s="10">
        <v>371</v>
      </c>
      <c r="S440" s="10">
        <v>301</v>
      </c>
      <c r="T440" s="10">
        <v>343</v>
      </c>
      <c r="U440" s="10">
        <v>333</v>
      </c>
      <c r="V440" s="10">
        <v>314</v>
      </c>
      <c r="W440" s="10">
        <v>359</v>
      </c>
      <c r="X440" s="10">
        <v>327</v>
      </c>
      <c r="Y440" s="10">
        <v>175</v>
      </c>
      <c r="Z440" s="10">
        <v>308</v>
      </c>
      <c r="AA440" s="10">
        <v>341</v>
      </c>
      <c r="AB440" s="10">
        <v>260</v>
      </c>
      <c r="AC440" s="10">
        <v>86</v>
      </c>
      <c r="AD440" s="10">
        <v>81</v>
      </c>
      <c r="AE440" s="10">
        <v>104</v>
      </c>
      <c r="AF440" s="10">
        <v>63</v>
      </c>
      <c r="AG440" s="10">
        <v>42</v>
      </c>
      <c r="AH440" s="102">
        <f>SUM(Tableau2[[#This Row],[Td 2]:[Td 5]])</f>
        <v>290</v>
      </c>
      <c r="AI440" s="10">
        <v>66.7</v>
      </c>
      <c r="AJ440" s="10">
        <v>100</v>
      </c>
      <c r="AK440" s="17">
        <f t="shared" si="46"/>
        <v>0</v>
      </c>
      <c r="AL440" s="17">
        <f t="shared" si="47"/>
        <v>64</v>
      </c>
      <c r="AM440" s="17">
        <f t="shared" si="48"/>
        <v>308</v>
      </c>
    </row>
    <row r="441" spans="1:39" s="3" customFormat="1" x14ac:dyDescent="0.25">
      <c r="A441" s="2" t="s">
        <v>16</v>
      </c>
      <c r="B441" s="29" t="s">
        <v>739</v>
      </c>
      <c r="C441" s="2" t="s">
        <v>39</v>
      </c>
      <c r="D441" s="2" t="s">
        <v>463</v>
      </c>
      <c r="E441" s="14">
        <v>20510</v>
      </c>
      <c r="F441" s="15">
        <f t="shared" si="42"/>
        <v>715.79899999999998</v>
      </c>
      <c r="G441" s="15">
        <f t="shared" si="43"/>
        <v>820.4</v>
      </c>
      <c r="H441" s="15">
        <f t="shared" si="44"/>
        <v>596.49916666666661</v>
      </c>
      <c r="I441" s="15">
        <f t="shared" si="45"/>
        <v>683.66666666666663</v>
      </c>
      <c r="J441" s="10">
        <v>294</v>
      </c>
      <c r="K441" s="10">
        <v>138</v>
      </c>
      <c r="L441" s="10">
        <v>596</v>
      </c>
      <c r="M441" s="10">
        <v>593</v>
      </c>
      <c r="N441" s="10">
        <v>591</v>
      </c>
      <c r="O441" s="10">
        <v>580</v>
      </c>
      <c r="P441" s="10">
        <v>515</v>
      </c>
      <c r="Q441" s="10">
        <v>466</v>
      </c>
      <c r="R441" s="10">
        <v>480</v>
      </c>
      <c r="S441" s="10">
        <v>413</v>
      </c>
      <c r="T441" s="10">
        <v>438</v>
      </c>
      <c r="U441" s="10">
        <v>510</v>
      </c>
      <c r="V441" s="10">
        <v>496</v>
      </c>
      <c r="W441" s="10">
        <v>425</v>
      </c>
      <c r="X441" s="10">
        <v>500</v>
      </c>
      <c r="Y441" s="10">
        <v>127</v>
      </c>
      <c r="Z441" s="10">
        <v>453</v>
      </c>
      <c r="AA441" s="10">
        <v>526</v>
      </c>
      <c r="AB441" s="10">
        <v>463</v>
      </c>
      <c r="AC441" s="10">
        <v>154</v>
      </c>
      <c r="AD441" s="10">
        <v>111</v>
      </c>
      <c r="AE441" s="10">
        <v>114</v>
      </c>
      <c r="AF441" s="10">
        <v>57</v>
      </c>
      <c r="AG441" s="10">
        <v>31</v>
      </c>
      <c r="AH441" s="102">
        <f>SUM(Tableau2[[#This Row],[Td 2]:[Td 5]])</f>
        <v>313</v>
      </c>
      <c r="AI441" s="10">
        <v>58.3</v>
      </c>
      <c r="AJ441" s="10">
        <v>100</v>
      </c>
      <c r="AK441" s="17">
        <f t="shared" si="46"/>
        <v>16.499166666666611</v>
      </c>
      <c r="AL441" s="17">
        <f t="shared" si="47"/>
        <v>80</v>
      </c>
      <c r="AM441" s="17">
        <f t="shared" si="48"/>
        <v>453</v>
      </c>
    </row>
    <row r="442" spans="1:39" s="3" customFormat="1" x14ac:dyDescent="0.25">
      <c r="A442" s="2" t="s">
        <v>16</v>
      </c>
      <c r="B442" s="29" t="s">
        <v>739</v>
      </c>
      <c r="C442" s="2" t="s">
        <v>39</v>
      </c>
      <c r="D442" s="2" t="s">
        <v>464</v>
      </c>
      <c r="E442" s="14">
        <v>18130</v>
      </c>
      <c r="F442" s="15">
        <f t="shared" si="42"/>
        <v>632.73699999999997</v>
      </c>
      <c r="G442" s="15">
        <f t="shared" si="43"/>
        <v>725.2</v>
      </c>
      <c r="H442" s="15">
        <f t="shared" si="44"/>
        <v>527.28083333333325</v>
      </c>
      <c r="I442" s="15">
        <f t="shared" si="45"/>
        <v>604.33333333333337</v>
      </c>
      <c r="J442" s="10">
        <v>441</v>
      </c>
      <c r="K442" s="10">
        <v>446</v>
      </c>
      <c r="L442" s="10">
        <v>533</v>
      </c>
      <c r="M442" s="10">
        <v>486</v>
      </c>
      <c r="N442" s="10">
        <v>515</v>
      </c>
      <c r="O442" s="10">
        <v>492</v>
      </c>
      <c r="P442" s="10">
        <v>472</v>
      </c>
      <c r="Q442" s="10">
        <v>473</v>
      </c>
      <c r="R442" s="10">
        <v>474</v>
      </c>
      <c r="S442" s="10">
        <v>434</v>
      </c>
      <c r="T442" s="10">
        <v>445</v>
      </c>
      <c r="U442" s="10">
        <v>513</v>
      </c>
      <c r="V442" s="10">
        <v>523</v>
      </c>
      <c r="W442" s="10">
        <v>445</v>
      </c>
      <c r="X442" s="10">
        <v>528</v>
      </c>
      <c r="Y442" s="10">
        <v>148</v>
      </c>
      <c r="Z442" s="10">
        <v>488</v>
      </c>
      <c r="AA442" s="10">
        <v>504</v>
      </c>
      <c r="AB442" s="10">
        <v>520</v>
      </c>
      <c r="AC442" s="10">
        <v>106</v>
      </c>
      <c r="AD442" s="10">
        <v>116</v>
      </c>
      <c r="AE442" s="10">
        <v>122</v>
      </c>
      <c r="AF442" s="10">
        <v>78</v>
      </c>
      <c r="AG442" s="10">
        <v>85</v>
      </c>
      <c r="AH442" s="102">
        <f>SUM(Tableau2[[#This Row],[Td 2]:[Td 5]])</f>
        <v>401</v>
      </c>
      <c r="AI442" s="10">
        <v>66.7</v>
      </c>
      <c r="AJ442" s="10">
        <v>100</v>
      </c>
      <c r="AK442" s="17">
        <f t="shared" si="46"/>
        <v>35.280833333333248</v>
      </c>
      <c r="AL442" s="17">
        <f t="shared" si="47"/>
        <v>0</v>
      </c>
      <c r="AM442" s="17">
        <f t="shared" si="48"/>
        <v>488</v>
      </c>
    </row>
    <row r="443" spans="1:39" s="3" customFormat="1" x14ac:dyDescent="0.25">
      <c r="A443" s="2" t="s">
        <v>16</v>
      </c>
      <c r="B443" s="29" t="s">
        <v>739</v>
      </c>
      <c r="C443" s="2" t="s">
        <v>39</v>
      </c>
      <c r="D443" s="2" t="s">
        <v>39</v>
      </c>
      <c r="E443" s="14">
        <v>22505</v>
      </c>
      <c r="F443" s="15">
        <f t="shared" si="42"/>
        <v>785.42449999999997</v>
      </c>
      <c r="G443" s="15">
        <f t="shared" si="43"/>
        <v>900.2</v>
      </c>
      <c r="H443" s="15">
        <f t="shared" si="44"/>
        <v>654.52041666666662</v>
      </c>
      <c r="I443" s="15">
        <f t="shared" si="45"/>
        <v>750.16666666666663</v>
      </c>
      <c r="J443" s="10">
        <v>829</v>
      </c>
      <c r="K443" s="10">
        <v>298</v>
      </c>
      <c r="L443" s="10">
        <v>722</v>
      </c>
      <c r="M443" s="10">
        <v>651</v>
      </c>
      <c r="N443" s="10">
        <v>658</v>
      </c>
      <c r="O443" s="10">
        <v>712</v>
      </c>
      <c r="P443" s="10">
        <v>658</v>
      </c>
      <c r="Q443" s="10">
        <v>689</v>
      </c>
      <c r="R443" s="10">
        <v>622</v>
      </c>
      <c r="S443" s="10">
        <v>559</v>
      </c>
      <c r="T443" s="10">
        <v>637</v>
      </c>
      <c r="U443" s="10">
        <v>714</v>
      </c>
      <c r="V443" s="10">
        <v>687</v>
      </c>
      <c r="W443" s="10">
        <v>508</v>
      </c>
      <c r="X443" s="10">
        <v>685</v>
      </c>
      <c r="Y443" s="10">
        <v>179</v>
      </c>
      <c r="Z443" s="10">
        <v>690</v>
      </c>
      <c r="AA443" s="10">
        <v>701</v>
      </c>
      <c r="AB443" s="10">
        <v>631</v>
      </c>
      <c r="AC443" s="10">
        <v>187</v>
      </c>
      <c r="AD443" s="10">
        <v>223</v>
      </c>
      <c r="AE443" s="10">
        <v>159</v>
      </c>
      <c r="AF443" s="10">
        <v>144</v>
      </c>
      <c r="AG443" s="10">
        <v>114</v>
      </c>
      <c r="AH443" s="102">
        <f>SUM(Tableau2[[#This Row],[Td 2]:[Td 5]])</f>
        <v>640</v>
      </c>
      <c r="AI443" s="10">
        <v>58.3</v>
      </c>
      <c r="AJ443" s="10">
        <v>100</v>
      </c>
      <c r="AK443" s="17">
        <f t="shared" si="46"/>
        <v>0</v>
      </c>
      <c r="AL443" s="17">
        <f t="shared" si="47"/>
        <v>27</v>
      </c>
      <c r="AM443" s="17">
        <f t="shared" si="48"/>
        <v>685</v>
      </c>
    </row>
    <row r="444" spans="1:39" s="3" customFormat="1" x14ac:dyDescent="0.25">
      <c r="A444" s="2" t="s">
        <v>16</v>
      </c>
      <c r="B444" s="29" t="s">
        <v>739</v>
      </c>
      <c r="C444" s="2" t="s">
        <v>39</v>
      </c>
      <c r="D444" s="2" t="s">
        <v>465</v>
      </c>
      <c r="E444" s="14">
        <v>6180</v>
      </c>
      <c r="F444" s="15">
        <f t="shared" si="42"/>
        <v>215.68200000000002</v>
      </c>
      <c r="G444" s="15">
        <f t="shared" si="43"/>
        <v>247.20000000000002</v>
      </c>
      <c r="H444" s="15">
        <f t="shared" si="44"/>
        <v>179.73500000000001</v>
      </c>
      <c r="I444" s="15">
        <f t="shared" si="45"/>
        <v>206</v>
      </c>
      <c r="J444" s="10">
        <v>130</v>
      </c>
      <c r="K444" s="10">
        <v>45</v>
      </c>
      <c r="L444" s="10">
        <v>184</v>
      </c>
      <c r="M444" s="10">
        <v>197</v>
      </c>
      <c r="N444" s="10">
        <v>182</v>
      </c>
      <c r="O444" s="10">
        <v>183</v>
      </c>
      <c r="P444" s="10">
        <v>175</v>
      </c>
      <c r="Q444" s="10">
        <v>178</v>
      </c>
      <c r="R444" s="10">
        <v>183</v>
      </c>
      <c r="S444" s="10">
        <v>175</v>
      </c>
      <c r="T444" s="10">
        <v>175</v>
      </c>
      <c r="U444" s="10">
        <v>174</v>
      </c>
      <c r="V444" s="10">
        <v>177</v>
      </c>
      <c r="W444" s="10">
        <v>176</v>
      </c>
      <c r="X444" s="10">
        <v>201</v>
      </c>
      <c r="Y444" s="10">
        <v>91</v>
      </c>
      <c r="Z444" s="10">
        <v>161</v>
      </c>
      <c r="AA444" s="10">
        <v>204</v>
      </c>
      <c r="AB444" s="10">
        <v>185</v>
      </c>
      <c r="AC444" s="10">
        <v>34</v>
      </c>
      <c r="AD444" s="10">
        <v>45</v>
      </c>
      <c r="AE444" s="10">
        <v>55</v>
      </c>
      <c r="AF444" s="10">
        <v>29</v>
      </c>
      <c r="AG444" s="10">
        <v>15</v>
      </c>
      <c r="AH444" s="102">
        <f>SUM(Tableau2[[#This Row],[Td 2]:[Td 5]])</f>
        <v>144</v>
      </c>
      <c r="AI444" s="10">
        <v>58.3</v>
      </c>
      <c r="AJ444" s="10">
        <v>100</v>
      </c>
      <c r="AK444" s="17">
        <f t="shared" si="46"/>
        <v>0</v>
      </c>
      <c r="AL444" s="17">
        <f t="shared" si="47"/>
        <v>0</v>
      </c>
      <c r="AM444" s="17">
        <f t="shared" si="48"/>
        <v>161</v>
      </c>
    </row>
    <row r="445" spans="1:39" s="3" customFormat="1" x14ac:dyDescent="0.25">
      <c r="A445" s="2" t="s">
        <v>16</v>
      </c>
      <c r="B445" s="29" t="s">
        <v>739</v>
      </c>
      <c r="C445" s="2" t="s">
        <v>39</v>
      </c>
      <c r="D445" s="2" t="s">
        <v>466</v>
      </c>
      <c r="E445" s="14">
        <v>7536</v>
      </c>
      <c r="F445" s="15">
        <f t="shared" si="42"/>
        <v>263.00639999999999</v>
      </c>
      <c r="G445" s="15">
        <f t="shared" si="43"/>
        <v>301.44</v>
      </c>
      <c r="H445" s="15">
        <f t="shared" si="44"/>
        <v>219.17199999999997</v>
      </c>
      <c r="I445" s="15">
        <f t="shared" si="45"/>
        <v>251.20000000000002</v>
      </c>
      <c r="J445" s="10">
        <v>225</v>
      </c>
      <c r="K445" s="10">
        <v>208</v>
      </c>
      <c r="L445" s="10">
        <v>195</v>
      </c>
      <c r="M445" s="10">
        <v>195</v>
      </c>
      <c r="N445" s="10">
        <v>199</v>
      </c>
      <c r="O445" s="10">
        <v>217</v>
      </c>
      <c r="P445" s="10">
        <v>215</v>
      </c>
      <c r="Q445" s="10">
        <v>220</v>
      </c>
      <c r="R445" s="10">
        <v>182</v>
      </c>
      <c r="S445" s="10">
        <v>182</v>
      </c>
      <c r="T445" s="10">
        <v>198</v>
      </c>
      <c r="U445" s="10">
        <v>238</v>
      </c>
      <c r="V445" s="10">
        <v>168</v>
      </c>
      <c r="W445" s="10">
        <v>176</v>
      </c>
      <c r="X445" s="10">
        <v>236</v>
      </c>
      <c r="Y445" s="10">
        <v>117</v>
      </c>
      <c r="Z445" s="10">
        <v>231</v>
      </c>
      <c r="AA445" s="10">
        <v>199</v>
      </c>
      <c r="AB445" s="10">
        <v>157</v>
      </c>
      <c r="AC445" s="10">
        <v>76</v>
      </c>
      <c r="AD445" s="10">
        <v>55</v>
      </c>
      <c r="AE445" s="10">
        <v>52</v>
      </c>
      <c r="AF445" s="10">
        <v>54</v>
      </c>
      <c r="AG445" s="10">
        <v>48</v>
      </c>
      <c r="AH445" s="102">
        <f>SUM(Tableau2[[#This Row],[Td 2]:[Td 5]])</f>
        <v>209</v>
      </c>
      <c r="AI445" s="10">
        <v>62.5</v>
      </c>
      <c r="AJ445" s="10">
        <v>100</v>
      </c>
      <c r="AK445" s="17">
        <f t="shared" si="46"/>
        <v>2.1719999999999686</v>
      </c>
      <c r="AL445" s="17">
        <f t="shared" si="47"/>
        <v>0</v>
      </c>
      <c r="AM445" s="17">
        <f t="shared" si="48"/>
        <v>231</v>
      </c>
    </row>
    <row r="446" spans="1:39" s="3" customFormat="1" x14ac:dyDescent="0.25">
      <c r="A446" s="2" t="s">
        <v>16</v>
      </c>
      <c r="B446" s="29" t="s">
        <v>739</v>
      </c>
      <c r="C446" s="2" t="s">
        <v>39</v>
      </c>
      <c r="D446" s="2" t="s">
        <v>467</v>
      </c>
      <c r="E446" s="14">
        <v>13141</v>
      </c>
      <c r="F446" s="15">
        <f t="shared" si="42"/>
        <v>458.62090000000001</v>
      </c>
      <c r="G446" s="15">
        <f t="shared" si="43"/>
        <v>525.64</v>
      </c>
      <c r="H446" s="15">
        <f t="shared" si="44"/>
        <v>382.18408333333338</v>
      </c>
      <c r="I446" s="15">
        <f t="shared" si="45"/>
        <v>438.03333333333336</v>
      </c>
      <c r="J446" s="10">
        <v>354</v>
      </c>
      <c r="K446" s="10">
        <v>154</v>
      </c>
      <c r="L446" s="10">
        <v>384</v>
      </c>
      <c r="M446" s="10">
        <v>348</v>
      </c>
      <c r="N446" s="10">
        <v>330</v>
      </c>
      <c r="O446" s="10">
        <v>436</v>
      </c>
      <c r="P446" s="10">
        <v>391</v>
      </c>
      <c r="Q446" s="10">
        <v>426</v>
      </c>
      <c r="R446" s="10">
        <v>426</v>
      </c>
      <c r="S446" s="10">
        <v>409</v>
      </c>
      <c r="T446" s="10">
        <v>386</v>
      </c>
      <c r="U446" s="10">
        <v>449</v>
      </c>
      <c r="V446" s="10">
        <v>426</v>
      </c>
      <c r="W446" s="10">
        <v>354</v>
      </c>
      <c r="X446" s="10">
        <v>442</v>
      </c>
      <c r="Y446" s="10">
        <v>147</v>
      </c>
      <c r="Z446" s="10">
        <v>398</v>
      </c>
      <c r="AA446" s="10">
        <v>387</v>
      </c>
      <c r="AB446" s="10">
        <v>396</v>
      </c>
      <c r="AC446" s="10">
        <v>110</v>
      </c>
      <c r="AD446" s="10">
        <v>96</v>
      </c>
      <c r="AE446" s="10">
        <v>68</v>
      </c>
      <c r="AF446" s="10">
        <v>60</v>
      </c>
      <c r="AG446" s="10">
        <v>52</v>
      </c>
      <c r="AH446" s="102">
        <f>SUM(Tableau2[[#This Row],[Td 2]:[Td 5]])</f>
        <v>276</v>
      </c>
      <c r="AI446" s="10">
        <v>58.3</v>
      </c>
      <c r="AJ446" s="10">
        <v>100</v>
      </c>
      <c r="AK446" s="17">
        <f t="shared" si="46"/>
        <v>0</v>
      </c>
      <c r="AL446" s="17">
        <f t="shared" si="47"/>
        <v>0</v>
      </c>
      <c r="AM446" s="17">
        <f t="shared" si="48"/>
        <v>398</v>
      </c>
    </row>
    <row r="447" spans="1:39" s="3" customFormat="1" x14ac:dyDescent="0.25">
      <c r="A447" s="2" t="s">
        <v>16</v>
      </c>
      <c r="B447" s="29" t="s">
        <v>739</v>
      </c>
      <c r="C447" s="2" t="s">
        <v>39</v>
      </c>
      <c r="D447" s="2" t="s">
        <v>468</v>
      </c>
      <c r="E447" s="14">
        <v>7334</v>
      </c>
      <c r="F447" s="15">
        <f t="shared" si="42"/>
        <v>255.95660000000001</v>
      </c>
      <c r="G447" s="15">
        <f t="shared" si="43"/>
        <v>293.36</v>
      </c>
      <c r="H447" s="15">
        <f t="shared" si="44"/>
        <v>213.29716666666667</v>
      </c>
      <c r="I447" s="15">
        <f t="shared" si="45"/>
        <v>244.4666666666667</v>
      </c>
      <c r="J447" s="10">
        <v>131</v>
      </c>
      <c r="K447" s="10">
        <v>37</v>
      </c>
      <c r="L447" s="10">
        <v>187</v>
      </c>
      <c r="M447" s="10">
        <v>156</v>
      </c>
      <c r="N447" s="10">
        <v>167</v>
      </c>
      <c r="O447" s="10">
        <v>199</v>
      </c>
      <c r="P447" s="10">
        <v>168</v>
      </c>
      <c r="Q447" s="10">
        <v>202</v>
      </c>
      <c r="R447" s="10">
        <v>198</v>
      </c>
      <c r="S447" s="10">
        <v>161</v>
      </c>
      <c r="T447" s="10">
        <v>177</v>
      </c>
      <c r="U447" s="10">
        <v>198</v>
      </c>
      <c r="V447" s="10">
        <v>203</v>
      </c>
      <c r="W447" s="10">
        <v>215</v>
      </c>
      <c r="X447" s="10">
        <v>217</v>
      </c>
      <c r="Y447" s="10">
        <v>15</v>
      </c>
      <c r="Z447" s="10">
        <v>213</v>
      </c>
      <c r="AA447" s="10">
        <v>180</v>
      </c>
      <c r="AB447" s="10">
        <v>214</v>
      </c>
      <c r="AC447" s="10">
        <v>99</v>
      </c>
      <c r="AD447" s="10">
        <v>73</v>
      </c>
      <c r="AE447" s="10">
        <v>81</v>
      </c>
      <c r="AF447" s="10">
        <v>70</v>
      </c>
      <c r="AG447" s="10">
        <v>19</v>
      </c>
      <c r="AH447" s="102">
        <f>SUM(Tableau2[[#This Row],[Td 2]:[Td 5]])</f>
        <v>243</v>
      </c>
      <c r="AI447" s="10">
        <v>58.3</v>
      </c>
      <c r="AJ447" s="10">
        <v>100</v>
      </c>
      <c r="AK447" s="17">
        <f t="shared" si="46"/>
        <v>14.297166666666669</v>
      </c>
      <c r="AL447" s="17">
        <f t="shared" si="47"/>
        <v>0</v>
      </c>
      <c r="AM447" s="17">
        <f t="shared" si="48"/>
        <v>213</v>
      </c>
    </row>
    <row r="448" spans="1:39" s="3" customFormat="1" x14ac:dyDescent="0.25">
      <c r="A448" s="2" t="s">
        <v>16</v>
      </c>
      <c r="B448" s="29" t="s">
        <v>739</v>
      </c>
      <c r="C448" s="2" t="s">
        <v>39</v>
      </c>
      <c r="D448" s="2" t="s">
        <v>469</v>
      </c>
      <c r="E448" s="14">
        <v>8671</v>
      </c>
      <c r="F448" s="15">
        <f t="shared" si="42"/>
        <v>302.61790000000002</v>
      </c>
      <c r="G448" s="15">
        <f t="shared" si="43"/>
        <v>346.84000000000003</v>
      </c>
      <c r="H448" s="15">
        <f t="shared" si="44"/>
        <v>252.18158333333335</v>
      </c>
      <c r="I448" s="15">
        <f t="shared" si="45"/>
        <v>289.03333333333336</v>
      </c>
      <c r="J448" s="10">
        <v>325</v>
      </c>
      <c r="K448" s="10">
        <v>99</v>
      </c>
      <c r="L448" s="10">
        <v>330</v>
      </c>
      <c r="M448" s="10">
        <v>318</v>
      </c>
      <c r="N448" s="10">
        <v>300</v>
      </c>
      <c r="O448" s="10">
        <v>292</v>
      </c>
      <c r="P448" s="10">
        <v>266</v>
      </c>
      <c r="Q448" s="10">
        <v>264</v>
      </c>
      <c r="R448" s="10">
        <v>284</v>
      </c>
      <c r="S448" s="10">
        <v>255</v>
      </c>
      <c r="T448" s="10">
        <v>252</v>
      </c>
      <c r="U448" s="10">
        <v>318</v>
      </c>
      <c r="V448" s="10">
        <v>271</v>
      </c>
      <c r="W448" s="10">
        <v>233</v>
      </c>
      <c r="X448" s="10">
        <v>270</v>
      </c>
      <c r="Y448" s="10">
        <v>92</v>
      </c>
      <c r="Z448" s="10">
        <v>247</v>
      </c>
      <c r="AA448" s="10">
        <v>290</v>
      </c>
      <c r="AB448" s="10">
        <v>246</v>
      </c>
      <c r="AC448" s="10">
        <v>43</v>
      </c>
      <c r="AD448" s="10">
        <v>59</v>
      </c>
      <c r="AE448" s="10">
        <v>42</v>
      </c>
      <c r="AF448" s="10">
        <v>36</v>
      </c>
      <c r="AG448" s="10">
        <v>30</v>
      </c>
      <c r="AH448" s="102">
        <f>SUM(Tableau2[[#This Row],[Td 2]:[Td 5]])</f>
        <v>167</v>
      </c>
      <c r="AI448" s="10">
        <v>58.3</v>
      </c>
      <c r="AJ448" s="10">
        <v>100</v>
      </c>
      <c r="AK448" s="17">
        <f t="shared" si="46"/>
        <v>0</v>
      </c>
      <c r="AL448" s="17">
        <f t="shared" si="47"/>
        <v>22</v>
      </c>
      <c r="AM448" s="17">
        <f t="shared" si="48"/>
        <v>247</v>
      </c>
    </row>
    <row r="449" spans="1:39" s="3" customFormat="1" x14ac:dyDescent="0.25">
      <c r="A449" s="2" t="s">
        <v>16</v>
      </c>
      <c r="B449" s="29" t="s">
        <v>739</v>
      </c>
      <c r="C449" s="2" t="s">
        <v>39</v>
      </c>
      <c r="D449" s="2" t="s">
        <v>470</v>
      </c>
      <c r="E449" s="14">
        <v>8275</v>
      </c>
      <c r="F449" s="15">
        <f t="shared" si="42"/>
        <v>288.79750000000001</v>
      </c>
      <c r="G449" s="15">
        <f t="shared" si="43"/>
        <v>331</v>
      </c>
      <c r="H449" s="15">
        <f t="shared" si="44"/>
        <v>240.66458333333333</v>
      </c>
      <c r="I449" s="15">
        <f t="shared" si="45"/>
        <v>275.83333333333331</v>
      </c>
      <c r="J449" s="10">
        <v>230</v>
      </c>
      <c r="K449" s="10">
        <v>70</v>
      </c>
      <c r="L449" s="10">
        <v>212</v>
      </c>
      <c r="M449" s="10">
        <v>188</v>
      </c>
      <c r="N449" s="10">
        <v>205</v>
      </c>
      <c r="O449" s="10">
        <v>213</v>
      </c>
      <c r="P449" s="10">
        <v>189</v>
      </c>
      <c r="Q449" s="10">
        <v>184</v>
      </c>
      <c r="R449" s="10">
        <v>212</v>
      </c>
      <c r="S449" s="10">
        <v>189</v>
      </c>
      <c r="T449" s="10">
        <v>185</v>
      </c>
      <c r="U449" s="10">
        <v>215</v>
      </c>
      <c r="V449" s="10">
        <v>199</v>
      </c>
      <c r="W449" s="10">
        <v>202</v>
      </c>
      <c r="X449" s="10">
        <v>228</v>
      </c>
      <c r="Y449" s="10">
        <v>104</v>
      </c>
      <c r="Z449" s="10">
        <v>208</v>
      </c>
      <c r="AA449" s="10">
        <v>205</v>
      </c>
      <c r="AB449" s="10">
        <v>234</v>
      </c>
      <c r="AC449" s="10">
        <v>50</v>
      </c>
      <c r="AD449" s="10">
        <v>36</v>
      </c>
      <c r="AE449" s="10">
        <v>63</v>
      </c>
      <c r="AF449" s="10">
        <v>39</v>
      </c>
      <c r="AG449" s="10">
        <v>34</v>
      </c>
      <c r="AH449" s="102">
        <f>SUM(Tableau2[[#This Row],[Td 2]:[Td 5]])</f>
        <v>172</v>
      </c>
      <c r="AI449" s="10">
        <v>58.3</v>
      </c>
      <c r="AJ449" s="10">
        <v>100</v>
      </c>
      <c r="AK449" s="17">
        <f t="shared" si="46"/>
        <v>27.664583333333326</v>
      </c>
      <c r="AL449" s="17">
        <f t="shared" si="47"/>
        <v>0</v>
      </c>
      <c r="AM449" s="17">
        <f t="shared" si="48"/>
        <v>208</v>
      </c>
    </row>
    <row r="450" spans="1:39" s="3" customFormat="1" x14ac:dyDescent="0.25">
      <c r="A450" s="2" t="s">
        <v>16</v>
      </c>
      <c r="B450" s="29" t="s">
        <v>740</v>
      </c>
      <c r="C450" s="2" t="s">
        <v>40</v>
      </c>
      <c r="D450" s="2" t="s">
        <v>471</v>
      </c>
      <c r="E450" s="14">
        <v>21037</v>
      </c>
      <c r="F450" s="15">
        <f t="shared" si="42"/>
        <v>734.19129999999996</v>
      </c>
      <c r="G450" s="15">
        <f t="shared" si="43"/>
        <v>841.48</v>
      </c>
      <c r="H450" s="15">
        <f t="shared" si="44"/>
        <v>611.82608333333326</v>
      </c>
      <c r="I450" s="15">
        <f t="shared" si="45"/>
        <v>701.23333333333335</v>
      </c>
      <c r="J450" s="10">
        <v>536</v>
      </c>
      <c r="K450" s="10">
        <v>142</v>
      </c>
      <c r="L450" s="10">
        <v>608</v>
      </c>
      <c r="M450" s="10">
        <v>680</v>
      </c>
      <c r="N450" s="10">
        <v>660</v>
      </c>
      <c r="O450" s="10">
        <v>730</v>
      </c>
      <c r="P450" s="10">
        <v>648</v>
      </c>
      <c r="Q450" s="10">
        <v>628</v>
      </c>
      <c r="R450" s="10">
        <v>654</v>
      </c>
      <c r="S450" s="10">
        <v>648</v>
      </c>
      <c r="T450" s="10">
        <v>617</v>
      </c>
      <c r="U450" s="10">
        <v>530</v>
      </c>
      <c r="V450" s="10">
        <v>526</v>
      </c>
      <c r="W450" s="10">
        <v>514</v>
      </c>
      <c r="X450" s="10">
        <v>661</v>
      </c>
      <c r="Y450" s="10">
        <v>58</v>
      </c>
      <c r="Z450" s="10">
        <v>547</v>
      </c>
      <c r="AA450" s="10">
        <v>671</v>
      </c>
      <c r="AB450" s="10">
        <v>64</v>
      </c>
      <c r="AC450" s="10">
        <v>225</v>
      </c>
      <c r="AD450" s="10">
        <v>199</v>
      </c>
      <c r="AE450" s="10">
        <v>178</v>
      </c>
      <c r="AF450" s="10">
        <v>103</v>
      </c>
      <c r="AG450" s="10">
        <v>125</v>
      </c>
      <c r="AH450" s="102">
        <f>SUM(Tableau2[[#This Row],[Td 2]:[Td 5]])</f>
        <v>605</v>
      </c>
      <c r="AI450" s="10">
        <v>54.2</v>
      </c>
      <c r="AJ450" s="10">
        <v>100</v>
      </c>
      <c r="AK450" s="17">
        <f t="shared" si="46"/>
        <v>0</v>
      </c>
      <c r="AL450" s="17">
        <f t="shared" si="47"/>
        <v>69</v>
      </c>
      <c r="AM450" s="17">
        <f t="shared" si="48"/>
        <v>547</v>
      </c>
    </row>
    <row r="451" spans="1:39" s="3" customFormat="1" x14ac:dyDescent="0.25">
      <c r="A451" s="2" t="s">
        <v>16</v>
      </c>
      <c r="B451" s="29" t="s">
        <v>740</v>
      </c>
      <c r="C451" s="2" t="s">
        <v>40</v>
      </c>
      <c r="D451" s="2" t="s">
        <v>472</v>
      </c>
      <c r="E451" s="14">
        <v>10428</v>
      </c>
      <c r="F451" s="15">
        <f t="shared" si="42"/>
        <v>363.93720000000002</v>
      </c>
      <c r="G451" s="15">
        <f t="shared" si="43"/>
        <v>417.12</v>
      </c>
      <c r="H451" s="15">
        <f t="shared" si="44"/>
        <v>303.28100000000001</v>
      </c>
      <c r="I451" s="15">
        <f t="shared" si="45"/>
        <v>347.59999999999997</v>
      </c>
      <c r="J451" s="10">
        <v>648</v>
      </c>
      <c r="K451" s="10">
        <v>493</v>
      </c>
      <c r="L451" s="10">
        <v>654</v>
      </c>
      <c r="M451" s="10">
        <v>644</v>
      </c>
      <c r="N451" s="10">
        <v>625</v>
      </c>
      <c r="O451" s="10">
        <v>666</v>
      </c>
      <c r="P451" s="10">
        <v>569</v>
      </c>
      <c r="Q451" s="10">
        <v>539</v>
      </c>
      <c r="R451" s="10">
        <v>506</v>
      </c>
      <c r="S451" s="10">
        <v>437</v>
      </c>
      <c r="T451" s="10">
        <v>415</v>
      </c>
      <c r="U451" s="10">
        <v>322</v>
      </c>
      <c r="V451" s="10">
        <v>408</v>
      </c>
      <c r="W451" s="10">
        <v>441</v>
      </c>
      <c r="X451" s="10">
        <v>411</v>
      </c>
      <c r="Y451" s="10">
        <v>181</v>
      </c>
      <c r="Z451" s="10">
        <v>458</v>
      </c>
      <c r="AA451" s="10">
        <v>747</v>
      </c>
      <c r="AB451" s="10">
        <v>169</v>
      </c>
      <c r="AC451" s="10">
        <v>157</v>
      </c>
      <c r="AD451" s="10">
        <v>277</v>
      </c>
      <c r="AE451" s="10">
        <v>230</v>
      </c>
      <c r="AF451" s="10">
        <v>149</v>
      </c>
      <c r="AG451" s="10">
        <v>76</v>
      </c>
      <c r="AH451" s="102">
        <f>SUM(Tableau2[[#This Row],[Td 2]:[Td 5]])</f>
        <v>732</v>
      </c>
      <c r="AI451" s="10">
        <v>58.3</v>
      </c>
      <c r="AJ451" s="10">
        <v>100</v>
      </c>
      <c r="AK451" s="17">
        <f t="shared" si="46"/>
        <v>0</v>
      </c>
      <c r="AL451" s="17">
        <f t="shared" si="47"/>
        <v>255</v>
      </c>
      <c r="AM451" s="17">
        <f t="shared" si="48"/>
        <v>411</v>
      </c>
    </row>
    <row r="452" spans="1:39" s="3" customFormat="1" x14ac:dyDescent="0.25">
      <c r="A452" s="2" t="s">
        <v>16</v>
      </c>
      <c r="B452" s="29" t="s">
        <v>740</v>
      </c>
      <c r="C452" s="2" t="s">
        <v>40</v>
      </c>
      <c r="D452" s="2" t="s">
        <v>473</v>
      </c>
      <c r="E452" s="14">
        <v>20455</v>
      </c>
      <c r="F452" s="15">
        <f t="shared" si="42"/>
        <v>713.87950000000001</v>
      </c>
      <c r="G452" s="15">
        <f t="shared" si="43"/>
        <v>818.2</v>
      </c>
      <c r="H452" s="15">
        <f t="shared" si="44"/>
        <v>594.89958333333334</v>
      </c>
      <c r="I452" s="15">
        <f t="shared" si="45"/>
        <v>681.83333333333337</v>
      </c>
      <c r="J452" s="10">
        <v>485</v>
      </c>
      <c r="K452" s="10">
        <v>915</v>
      </c>
      <c r="L452" s="10">
        <v>1145</v>
      </c>
      <c r="M452" s="10">
        <v>1097</v>
      </c>
      <c r="N452" s="10">
        <v>1099</v>
      </c>
      <c r="O452" s="10">
        <v>1145</v>
      </c>
      <c r="P452" s="10">
        <v>1102</v>
      </c>
      <c r="Q452" s="10">
        <v>1107</v>
      </c>
      <c r="R452" s="10">
        <v>1105</v>
      </c>
      <c r="S452" s="10">
        <v>1057</v>
      </c>
      <c r="T452" s="10">
        <v>1077</v>
      </c>
      <c r="U452" s="10">
        <v>1003</v>
      </c>
      <c r="V452" s="10">
        <v>982</v>
      </c>
      <c r="W452" s="10">
        <v>971</v>
      </c>
      <c r="X452" s="10">
        <v>885</v>
      </c>
      <c r="Y452" s="10">
        <v>189</v>
      </c>
      <c r="Z452" s="10">
        <v>834</v>
      </c>
      <c r="AA452" s="10">
        <v>801</v>
      </c>
      <c r="AB452" s="10">
        <v>316</v>
      </c>
      <c r="AC452" s="10">
        <v>353</v>
      </c>
      <c r="AD452" s="10">
        <v>505</v>
      </c>
      <c r="AE452" s="10">
        <v>289</v>
      </c>
      <c r="AF452" s="10">
        <v>284</v>
      </c>
      <c r="AG452" s="10">
        <v>270</v>
      </c>
      <c r="AH452" s="102">
        <f>SUM(Tableau2[[#This Row],[Td 2]:[Td 5]])</f>
        <v>1348</v>
      </c>
      <c r="AI452" s="10">
        <v>58.3</v>
      </c>
      <c r="AJ452" s="10">
        <v>100</v>
      </c>
      <c r="AK452" s="17">
        <f t="shared" si="46"/>
        <v>0</v>
      </c>
      <c r="AL452" s="17">
        <f t="shared" si="47"/>
        <v>260</v>
      </c>
      <c r="AM452" s="17">
        <f t="shared" si="48"/>
        <v>834</v>
      </c>
    </row>
    <row r="453" spans="1:39" s="3" customFormat="1" x14ac:dyDescent="0.25">
      <c r="A453" s="2" t="s">
        <v>16</v>
      </c>
      <c r="B453" s="29" t="s">
        <v>740</v>
      </c>
      <c r="C453" s="2" t="s">
        <v>40</v>
      </c>
      <c r="D453" s="2" t="s">
        <v>474</v>
      </c>
      <c r="E453" s="14" t="s">
        <v>2</v>
      </c>
      <c r="F453" s="15" t="str">
        <f t="shared" si="42"/>
        <v/>
      </c>
      <c r="G453" s="15" t="str">
        <f t="shared" si="43"/>
        <v/>
      </c>
      <c r="H453" s="15" t="str">
        <f t="shared" si="44"/>
        <v/>
      </c>
      <c r="I453" s="15" t="str">
        <f t="shared" si="45"/>
        <v/>
      </c>
      <c r="J453" s="10">
        <v>107</v>
      </c>
      <c r="K453" s="10">
        <v>19</v>
      </c>
      <c r="L453" s="10">
        <v>145</v>
      </c>
      <c r="M453" s="10">
        <v>135</v>
      </c>
      <c r="N453" s="10">
        <v>129</v>
      </c>
      <c r="O453" s="10">
        <v>145</v>
      </c>
      <c r="P453" s="10">
        <v>135</v>
      </c>
      <c r="Q453" s="10">
        <v>145</v>
      </c>
      <c r="R453" s="10">
        <v>145</v>
      </c>
      <c r="S453" s="10">
        <v>135</v>
      </c>
      <c r="T453" s="10">
        <v>143</v>
      </c>
      <c r="U453" s="10">
        <v>145</v>
      </c>
      <c r="V453" s="10">
        <v>135</v>
      </c>
      <c r="W453" s="10">
        <v>145</v>
      </c>
      <c r="X453" s="10">
        <v>119</v>
      </c>
      <c r="Y453" s="10">
        <v>7</v>
      </c>
      <c r="Z453" s="10">
        <v>119</v>
      </c>
      <c r="AA453" s="10">
        <v>145</v>
      </c>
      <c r="AB453" s="10" t="s">
        <v>2</v>
      </c>
      <c r="AC453" s="10">
        <v>31</v>
      </c>
      <c r="AD453" s="10">
        <v>18</v>
      </c>
      <c r="AE453" s="10">
        <v>21</v>
      </c>
      <c r="AF453" s="10">
        <v>13</v>
      </c>
      <c r="AG453" s="10">
        <v>4</v>
      </c>
      <c r="AH453" s="102">
        <f>SUM(Tableau2[[#This Row],[Td 2]:[Td 5]])</f>
        <v>56</v>
      </c>
      <c r="AI453" s="10">
        <v>41.7</v>
      </c>
      <c r="AJ453" s="10">
        <v>100</v>
      </c>
      <c r="AK453" s="17">
        <f t="shared" si="46"/>
        <v>0</v>
      </c>
      <c r="AL453" s="17">
        <f t="shared" si="47"/>
        <v>26</v>
      </c>
      <c r="AM453" s="17">
        <f t="shared" si="48"/>
        <v>119</v>
      </c>
    </row>
    <row r="454" spans="1:39" s="3" customFormat="1" x14ac:dyDescent="0.25">
      <c r="A454" s="2" t="s">
        <v>16</v>
      </c>
      <c r="B454" s="29" t="s">
        <v>740</v>
      </c>
      <c r="C454" s="2" t="s">
        <v>40</v>
      </c>
      <c r="D454" s="2" t="s">
        <v>475</v>
      </c>
      <c r="E454" s="14">
        <v>18078</v>
      </c>
      <c r="F454" s="15">
        <f t="shared" ref="F454:F517" si="49">IFERROR(E454*3.49%,"")</f>
        <v>630.92219999999998</v>
      </c>
      <c r="G454" s="15">
        <f t="shared" ref="G454:G517" si="50">IFERROR(E454*4%,"")</f>
        <v>723.12</v>
      </c>
      <c r="H454" s="15">
        <f t="shared" ref="H454:H517" si="51">IFERROR((F454/12)*$C$1,"")</f>
        <v>525.76850000000002</v>
      </c>
      <c r="I454" s="15">
        <f t="shared" ref="I454:I517" si="52">IFERROR((G454/12)*$C$1,"")</f>
        <v>602.6</v>
      </c>
      <c r="J454" s="10">
        <v>311</v>
      </c>
      <c r="K454" s="10">
        <v>463</v>
      </c>
      <c r="L454" s="10">
        <v>503</v>
      </c>
      <c r="M454" s="10">
        <v>462</v>
      </c>
      <c r="N454" s="10">
        <v>446</v>
      </c>
      <c r="O454" s="10">
        <v>387</v>
      </c>
      <c r="P454" s="10">
        <v>374</v>
      </c>
      <c r="Q454" s="10">
        <v>350</v>
      </c>
      <c r="R454" s="10">
        <v>341</v>
      </c>
      <c r="S454" s="10">
        <v>415</v>
      </c>
      <c r="T454" s="10">
        <v>399</v>
      </c>
      <c r="U454" s="10">
        <v>366</v>
      </c>
      <c r="V454" s="10">
        <v>332</v>
      </c>
      <c r="W454" s="10">
        <v>323</v>
      </c>
      <c r="X454" s="10">
        <v>447</v>
      </c>
      <c r="Y454" s="10">
        <v>40</v>
      </c>
      <c r="Z454" s="10">
        <v>398</v>
      </c>
      <c r="AA454" s="10">
        <v>362</v>
      </c>
      <c r="AB454" s="10">
        <v>320</v>
      </c>
      <c r="AC454" s="10">
        <v>141</v>
      </c>
      <c r="AD454" s="10">
        <v>167</v>
      </c>
      <c r="AE454" s="10">
        <v>109</v>
      </c>
      <c r="AF454" s="10">
        <v>107</v>
      </c>
      <c r="AG454" s="10">
        <v>122</v>
      </c>
      <c r="AH454" s="102">
        <f>SUM(Tableau2[[#This Row],[Td 2]:[Td 5]])</f>
        <v>505</v>
      </c>
      <c r="AI454" s="10">
        <v>58.3</v>
      </c>
      <c r="AJ454" s="10">
        <v>100</v>
      </c>
      <c r="AK454" s="17">
        <f t="shared" ref="AK454:AK517" si="53">IFERROR(IF(H454-O454&lt;0,0,H454-O454),0)</f>
        <v>138.76850000000002</v>
      </c>
      <c r="AL454" s="17">
        <f t="shared" ref="AL454:AL517" si="54">IFERROR(IF(O454-X454&lt;0,0,O454-X454),0)</f>
        <v>0</v>
      </c>
      <c r="AM454" s="17">
        <f t="shared" ref="AM454:AM517" si="55">MIN(X454,Z454)</f>
        <v>398</v>
      </c>
    </row>
    <row r="455" spans="1:39" s="3" customFormat="1" x14ac:dyDescent="0.25">
      <c r="A455" s="2" t="s">
        <v>16</v>
      </c>
      <c r="B455" s="29" t="s">
        <v>740</v>
      </c>
      <c r="C455" s="2" t="s">
        <v>40</v>
      </c>
      <c r="D455" s="2" t="s">
        <v>330</v>
      </c>
      <c r="E455" s="14">
        <v>11322</v>
      </c>
      <c r="F455" s="15">
        <f t="shared" si="49"/>
        <v>395.13780000000003</v>
      </c>
      <c r="G455" s="15">
        <f t="shared" si="50"/>
        <v>452.88</v>
      </c>
      <c r="H455" s="15">
        <f t="shared" si="51"/>
        <v>329.28150000000005</v>
      </c>
      <c r="I455" s="15">
        <f t="shared" si="52"/>
        <v>377.40000000000003</v>
      </c>
      <c r="J455" s="10">
        <v>199</v>
      </c>
      <c r="K455" s="10">
        <v>92</v>
      </c>
      <c r="L455" s="10">
        <v>295</v>
      </c>
      <c r="M455" s="10">
        <v>261</v>
      </c>
      <c r="N455" s="10">
        <v>224</v>
      </c>
      <c r="O455" s="10">
        <v>287</v>
      </c>
      <c r="P455" s="10">
        <v>272</v>
      </c>
      <c r="Q455" s="10">
        <v>231</v>
      </c>
      <c r="R455" s="10">
        <v>295</v>
      </c>
      <c r="S455" s="10">
        <v>261</v>
      </c>
      <c r="T455" s="10">
        <v>226</v>
      </c>
      <c r="U455" s="10">
        <v>274</v>
      </c>
      <c r="V455" s="10">
        <v>213</v>
      </c>
      <c r="W455" s="10">
        <v>180</v>
      </c>
      <c r="X455" s="10">
        <v>225</v>
      </c>
      <c r="Y455" s="10">
        <v>113</v>
      </c>
      <c r="Z455" s="10">
        <v>220</v>
      </c>
      <c r="AA455" s="10">
        <v>175</v>
      </c>
      <c r="AB455" s="10">
        <v>157</v>
      </c>
      <c r="AC455" s="10">
        <v>65</v>
      </c>
      <c r="AD455" s="10">
        <v>57</v>
      </c>
      <c r="AE455" s="10">
        <v>50</v>
      </c>
      <c r="AF455" s="10">
        <v>48</v>
      </c>
      <c r="AG455" s="10">
        <v>15</v>
      </c>
      <c r="AH455" s="102">
        <f>SUM(Tableau2[[#This Row],[Td 2]:[Td 5]])</f>
        <v>170</v>
      </c>
      <c r="AI455" s="10">
        <v>50</v>
      </c>
      <c r="AJ455" s="10">
        <v>100</v>
      </c>
      <c r="AK455" s="17">
        <f t="shared" si="53"/>
        <v>42.281500000000051</v>
      </c>
      <c r="AL455" s="17">
        <f t="shared" si="54"/>
        <v>62</v>
      </c>
      <c r="AM455" s="17">
        <f t="shared" si="55"/>
        <v>220</v>
      </c>
    </row>
    <row r="456" spans="1:39" s="3" customFormat="1" x14ac:dyDescent="0.25">
      <c r="A456" s="2" t="s">
        <v>16</v>
      </c>
      <c r="B456" s="29" t="s">
        <v>740</v>
      </c>
      <c r="C456" s="2" t="s">
        <v>40</v>
      </c>
      <c r="D456" s="2" t="s">
        <v>476</v>
      </c>
      <c r="E456" s="14">
        <v>25796</v>
      </c>
      <c r="F456" s="15">
        <f t="shared" si="49"/>
        <v>900.28039999999999</v>
      </c>
      <c r="G456" s="15">
        <f t="shared" si="50"/>
        <v>1031.8399999999999</v>
      </c>
      <c r="H456" s="15">
        <f t="shared" si="51"/>
        <v>750.23366666666664</v>
      </c>
      <c r="I456" s="15">
        <f t="shared" si="52"/>
        <v>859.86666666666667</v>
      </c>
      <c r="J456" s="10">
        <v>902</v>
      </c>
      <c r="K456" s="10">
        <v>655</v>
      </c>
      <c r="L456" s="10">
        <v>862</v>
      </c>
      <c r="M456" s="10">
        <v>780</v>
      </c>
      <c r="N456" s="10">
        <v>761</v>
      </c>
      <c r="O456" s="10">
        <v>834</v>
      </c>
      <c r="P456" s="10">
        <v>817</v>
      </c>
      <c r="Q456" s="10">
        <v>783</v>
      </c>
      <c r="R456" s="10">
        <v>810</v>
      </c>
      <c r="S456" s="10">
        <v>792</v>
      </c>
      <c r="T456" s="10">
        <v>749</v>
      </c>
      <c r="U456" s="10">
        <v>708</v>
      </c>
      <c r="V456" s="10">
        <v>680</v>
      </c>
      <c r="W456" s="10">
        <v>669</v>
      </c>
      <c r="X456" s="10">
        <v>942</v>
      </c>
      <c r="Y456" s="10">
        <v>111</v>
      </c>
      <c r="Z456" s="10">
        <v>703</v>
      </c>
      <c r="AA456" s="10">
        <v>803</v>
      </c>
      <c r="AB456" s="10">
        <v>49</v>
      </c>
      <c r="AC456" s="10">
        <v>489</v>
      </c>
      <c r="AD456" s="10">
        <v>291</v>
      </c>
      <c r="AE456" s="10">
        <v>181</v>
      </c>
      <c r="AF456" s="10">
        <v>118</v>
      </c>
      <c r="AG456" s="10">
        <v>78</v>
      </c>
      <c r="AH456" s="102">
        <f>SUM(Tableau2[[#This Row],[Td 2]:[Td 5]])</f>
        <v>668</v>
      </c>
      <c r="AI456" s="10">
        <v>50</v>
      </c>
      <c r="AJ456" s="10">
        <v>100</v>
      </c>
      <c r="AK456" s="17">
        <f t="shared" si="53"/>
        <v>0</v>
      </c>
      <c r="AL456" s="17">
        <f t="shared" si="54"/>
        <v>0</v>
      </c>
      <c r="AM456" s="17">
        <f t="shared" si="55"/>
        <v>703</v>
      </c>
    </row>
    <row r="457" spans="1:39" s="3" customFormat="1" x14ac:dyDescent="0.25">
      <c r="A457" s="2" t="s">
        <v>16</v>
      </c>
      <c r="B457" s="29" t="s">
        <v>740</v>
      </c>
      <c r="C457" s="2" t="s">
        <v>40</v>
      </c>
      <c r="D457" s="2" t="s">
        <v>310</v>
      </c>
      <c r="E457" s="14">
        <v>10584</v>
      </c>
      <c r="F457" s="15">
        <f t="shared" si="49"/>
        <v>369.38159999999999</v>
      </c>
      <c r="G457" s="15">
        <f t="shared" si="50"/>
        <v>423.36</v>
      </c>
      <c r="H457" s="15">
        <f t="shared" si="51"/>
        <v>307.81799999999998</v>
      </c>
      <c r="I457" s="15">
        <f t="shared" si="52"/>
        <v>352.8</v>
      </c>
      <c r="J457" s="10">
        <v>9</v>
      </c>
      <c r="K457" s="10">
        <v>2</v>
      </c>
      <c r="L457" s="10">
        <v>8</v>
      </c>
      <c r="M457" s="10">
        <v>6</v>
      </c>
      <c r="N457" s="10">
        <v>4</v>
      </c>
      <c r="O457" s="10">
        <v>8</v>
      </c>
      <c r="P457" s="10">
        <v>6</v>
      </c>
      <c r="Q457" s="10">
        <v>4</v>
      </c>
      <c r="R457" s="10">
        <v>8</v>
      </c>
      <c r="S457" s="10">
        <v>6</v>
      </c>
      <c r="T457" s="10">
        <v>4</v>
      </c>
      <c r="U457" s="10">
        <v>8</v>
      </c>
      <c r="V457" s="10">
        <v>6</v>
      </c>
      <c r="W457" s="10">
        <v>4</v>
      </c>
      <c r="X457" s="10">
        <v>7</v>
      </c>
      <c r="Y457" s="10" t="s">
        <v>2</v>
      </c>
      <c r="Z457" s="10">
        <v>7</v>
      </c>
      <c r="AA457" s="10">
        <v>4</v>
      </c>
      <c r="AB457" s="10" t="s">
        <v>2</v>
      </c>
      <c r="AC457" s="10" t="s">
        <v>2</v>
      </c>
      <c r="AD457" s="10">
        <v>2</v>
      </c>
      <c r="AE457" s="10" t="s">
        <v>2</v>
      </c>
      <c r="AF457" s="10" t="s">
        <v>2</v>
      </c>
      <c r="AG457" s="10">
        <v>1</v>
      </c>
      <c r="AH457" s="102">
        <f>SUM(Tableau2[[#This Row],[Td 2]:[Td 5]])</f>
        <v>3</v>
      </c>
      <c r="AI457" s="10">
        <v>45.8</v>
      </c>
      <c r="AJ457" s="10">
        <v>100</v>
      </c>
      <c r="AK457" s="17">
        <f t="shared" si="53"/>
        <v>299.81799999999998</v>
      </c>
      <c r="AL457" s="17">
        <f t="shared" si="54"/>
        <v>1</v>
      </c>
      <c r="AM457" s="17">
        <f t="shared" si="55"/>
        <v>7</v>
      </c>
    </row>
    <row r="458" spans="1:39" s="3" customFormat="1" x14ac:dyDescent="0.25">
      <c r="A458" s="2" t="s">
        <v>16</v>
      </c>
      <c r="B458" s="29" t="s">
        <v>740</v>
      </c>
      <c r="C458" s="2" t="s">
        <v>40</v>
      </c>
      <c r="D458" s="2" t="s">
        <v>477</v>
      </c>
      <c r="E458" s="14">
        <v>27407</v>
      </c>
      <c r="F458" s="15">
        <f t="shared" si="49"/>
        <v>956.50430000000006</v>
      </c>
      <c r="G458" s="15">
        <f t="shared" si="50"/>
        <v>1096.28</v>
      </c>
      <c r="H458" s="15">
        <f t="shared" si="51"/>
        <v>797.08691666666664</v>
      </c>
      <c r="I458" s="15">
        <f t="shared" si="52"/>
        <v>913.56666666666672</v>
      </c>
      <c r="J458" s="10">
        <v>778</v>
      </c>
      <c r="K458" s="10">
        <v>695</v>
      </c>
      <c r="L458" s="10">
        <v>1868</v>
      </c>
      <c r="M458" s="10">
        <v>958</v>
      </c>
      <c r="N458" s="10">
        <v>929</v>
      </c>
      <c r="O458" s="10">
        <v>786</v>
      </c>
      <c r="P458" s="10">
        <v>756</v>
      </c>
      <c r="Q458" s="10">
        <v>687</v>
      </c>
      <c r="R458" s="10">
        <v>668</v>
      </c>
      <c r="S458" s="10">
        <v>665</v>
      </c>
      <c r="T458" s="10">
        <v>570</v>
      </c>
      <c r="U458" s="10">
        <v>604</v>
      </c>
      <c r="V458" s="10">
        <v>546</v>
      </c>
      <c r="W458" s="10">
        <v>449</v>
      </c>
      <c r="X458" s="10">
        <v>919</v>
      </c>
      <c r="Y458" s="10">
        <v>196</v>
      </c>
      <c r="Z458" s="10">
        <v>812</v>
      </c>
      <c r="AA458" s="10">
        <v>691</v>
      </c>
      <c r="AB458" s="10">
        <v>194</v>
      </c>
      <c r="AC458" s="10">
        <v>600</v>
      </c>
      <c r="AD458" s="10">
        <v>424</v>
      </c>
      <c r="AE458" s="10">
        <v>375</v>
      </c>
      <c r="AF458" s="10">
        <v>240</v>
      </c>
      <c r="AG458" s="10">
        <v>195</v>
      </c>
      <c r="AH458" s="102">
        <f>SUM(Tableau2[[#This Row],[Td 2]:[Td 5]])</f>
        <v>1234</v>
      </c>
      <c r="AI458" s="10">
        <v>52.8</v>
      </c>
      <c r="AJ458" s="10">
        <v>100</v>
      </c>
      <c r="AK458" s="17">
        <f t="shared" si="53"/>
        <v>11.086916666666639</v>
      </c>
      <c r="AL458" s="17">
        <f t="shared" si="54"/>
        <v>0</v>
      </c>
      <c r="AM458" s="17">
        <f t="shared" si="55"/>
        <v>812</v>
      </c>
    </row>
    <row r="459" spans="1:39" s="3" customFormat="1" x14ac:dyDescent="0.25">
      <c r="A459" s="2" t="s">
        <v>16</v>
      </c>
      <c r="B459" s="29" t="s">
        <v>740</v>
      </c>
      <c r="C459" s="2" t="s">
        <v>40</v>
      </c>
      <c r="D459" s="2" t="s">
        <v>478</v>
      </c>
      <c r="E459" s="14">
        <v>10129</v>
      </c>
      <c r="F459" s="15">
        <f t="shared" si="49"/>
        <v>353.50209999999998</v>
      </c>
      <c r="G459" s="15">
        <f t="shared" si="50"/>
        <v>405.16</v>
      </c>
      <c r="H459" s="15">
        <f t="shared" si="51"/>
        <v>294.58508333333333</v>
      </c>
      <c r="I459" s="15">
        <f t="shared" si="52"/>
        <v>337.63333333333333</v>
      </c>
      <c r="J459" s="10">
        <v>30</v>
      </c>
      <c r="K459" s="10">
        <v>15</v>
      </c>
      <c r="L459" s="10">
        <v>24</v>
      </c>
      <c r="M459" s="10">
        <v>30</v>
      </c>
      <c r="N459" s="10">
        <v>28</v>
      </c>
      <c r="O459" s="10">
        <v>30</v>
      </c>
      <c r="P459" s="10">
        <v>24</v>
      </c>
      <c r="Q459" s="10">
        <v>28</v>
      </c>
      <c r="R459" s="10">
        <v>30</v>
      </c>
      <c r="S459" s="10">
        <v>24</v>
      </c>
      <c r="T459" s="10">
        <v>28</v>
      </c>
      <c r="U459" s="10">
        <v>30</v>
      </c>
      <c r="V459" s="10">
        <v>24</v>
      </c>
      <c r="W459" s="10">
        <v>28</v>
      </c>
      <c r="X459" s="10">
        <v>19</v>
      </c>
      <c r="Y459" s="10" t="s">
        <v>2</v>
      </c>
      <c r="Z459" s="10">
        <v>19</v>
      </c>
      <c r="AA459" s="10">
        <v>18</v>
      </c>
      <c r="AB459" s="10">
        <v>8</v>
      </c>
      <c r="AC459" s="10">
        <v>40</v>
      </c>
      <c r="AD459" s="10">
        <v>16</v>
      </c>
      <c r="AE459" s="10">
        <v>7</v>
      </c>
      <c r="AF459" s="10">
        <v>10</v>
      </c>
      <c r="AG459" s="10">
        <v>11</v>
      </c>
      <c r="AH459" s="102">
        <f>SUM(Tableau2[[#This Row],[Td 2]:[Td 5]])</f>
        <v>44</v>
      </c>
      <c r="AI459" s="10">
        <v>50</v>
      </c>
      <c r="AJ459" s="10">
        <v>100</v>
      </c>
      <c r="AK459" s="17">
        <f t="shared" si="53"/>
        <v>264.58508333333333</v>
      </c>
      <c r="AL459" s="17">
        <f t="shared" si="54"/>
        <v>11</v>
      </c>
      <c r="AM459" s="17">
        <f t="shared" si="55"/>
        <v>19</v>
      </c>
    </row>
    <row r="460" spans="1:39" s="3" customFormat="1" x14ac:dyDescent="0.25">
      <c r="A460" s="2" t="s">
        <v>16</v>
      </c>
      <c r="B460" s="29" t="s">
        <v>740</v>
      </c>
      <c r="C460" s="2" t="s">
        <v>40</v>
      </c>
      <c r="D460" s="2" t="s">
        <v>479</v>
      </c>
      <c r="E460" s="14">
        <v>27666</v>
      </c>
      <c r="F460" s="15">
        <f t="shared" si="49"/>
        <v>965.54340000000002</v>
      </c>
      <c r="G460" s="15">
        <f t="shared" si="50"/>
        <v>1106.6400000000001</v>
      </c>
      <c r="H460" s="15">
        <f t="shared" si="51"/>
        <v>804.61950000000002</v>
      </c>
      <c r="I460" s="15">
        <f t="shared" si="52"/>
        <v>922.20000000000016</v>
      </c>
      <c r="J460" s="10">
        <v>761</v>
      </c>
      <c r="K460" s="10">
        <v>970</v>
      </c>
      <c r="L460" s="10">
        <v>907</v>
      </c>
      <c r="M460" s="10">
        <v>892</v>
      </c>
      <c r="N460" s="10">
        <v>862</v>
      </c>
      <c r="O460" s="10">
        <v>867</v>
      </c>
      <c r="P460" s="10">
        <v>843</v>
      </c>
      <c r="Q460" s="10">
        <v>816</v>
      </c>
      <c r="R460" s="10">
        <v>870</v>
      </c>
      <c r="S460" s="10">
        <v>848</v>
      </c>
      <c r="T460" s="10">
        <v>820</v>
      </c>
      <c r="U460" s="10">
        <v>752</v>
      </c>
      <c r="V460" s="10">
        <v>736</v>
      </c>
      <c r="W460" s="10">
        <v>688</v>
      </c>
      <c r="X460" s="10">
        <v>932</v>
      </c>
      <c r="Y460" s="10">
        <v>449</v>
      </c>
      <c r="Z460" s="10">
        <v>859</v>
      </c>
      <c r="AA460" s="10">
        <v>746</v>
      </c>
      <c r="AB460" s="10">
        <v>565</v>
      </c>
      <c r="AC460" s="10">
        <v>325</v>
      </c>
      <c r="AD460" s="10">
        <v>292</v>
      </c>
      <c r="AE460" s="10">
        <v>265</v>
      </c>
      <c r="AF460" s="10">
        <v>213</v>
      </c>
      <c r="AG460" s="10">
        <v>199</v>
      </c>
      <c r="AH460" s="102">
        <f>SUM(Tableau2[[#This Row],[Td 2]:[Td 5]])</f>
        <v>969</v>
      </c>
      <c r="AI460" s="10">
        <v>50</v>
      </c>
      <c r="AJ460" s="10">
        <v>100</v>
      </c>
      <c r="AK460" s="17">
        <f t="shared" si="53"/>
        <v>0</v>
      </c>
      <c r="AL460" s="17">
        <f t="shared" si="54"/>
        <v>0</v>
      </c>
      <c r="AM460" s="17">
        <f t="shared" si="55"/>
        <v>859</v>
      </c>
    </row>
    <row r="461" spans="1:39" s="3" customFormat="1" x14ac:dyDescent="0.25">
      <c r="A461" s="2" t="s">
        <v>16</v>
      </c>
      <c r="B461" s="29" t="s">
        <v>740</v>
      </c>
      <c r="C461" s="2" t="s">
        <v>40</v>
      </c>
      <c r="D461" s="2" t="s">
        <v>480</v>
      </c>
      <c r="E461" s="14">
        <v>15595</v>
      </c>
      <c r="F461" s="15">
        <f t="shared" si="49"/>
        <v>544.26549999999997</v>
      </c>
      <c r="G461" s="15">
        <f t="shared" si="50"/>
        <v>623.80000000000007</v>
      </c>
      <c r="H461" s="15">
        <f t="shared" si="51"/>
        <v>453.55458333333331</v>
      </c>
      <c r="I461" s="15">
        <f t="shared" si="52"/>
        <v>519.83333333333337</v>
      </c>
      <c r="J461" s="10">
        <v>656</v>
      </c>
      <c r="K461" s="10">
        <v>272</v>
      </c>
      <c r="L461" s="10">
        <v>781</v>
      </c>
      <c r="M461" s="10">
        <v>714</v>
      </c>
      <c r="N461" s="10">
        <v>746</v>
      </c>
      <c r="O461" s="10">
        <v>682</v>
      </c>
      <c r="P461" s="10">
        <v>615</v>
      </c>
      <c r="Q461" s="10">
        <v>689</v>
      </c>
      <c r="R461" s="10">
        <v>786</v>
      </c>
      <c r="S461" s="10">
        <v>729</v>
      </c>
      <c r="T461" s="10">
        <v>740</v>
      </c>
      <c r="U461" s="10">
        <v>618</v>
      </c>
      <c r="V461" s="10">
        <v>567</v>
      </c>
      <c r="W461" s="10">
        <v>570</v>
      </c>
      <c r="X461" s="10">
        <v>649</v>
      </c>
      <c r="Y461" s="10">
        <v>75</v>
      </c>
      <c r="Z461" s="10">
        <v>708</v>
      </c>
      <c r="AA461" s="10">
        <v>572</v>
      </c>
      <c r="AB461" s="10">
        <v>120</v>
      </c>
      <c r="AC461" s="10">
        <v>244</v>
      </c>
      <c r="AD461" s="10">
        <v>137</v>
      </c>
      <c r="AE461" s="10">
        <v>137</v>
      </c>
      <c r="AF461" s="10">
        <v>114</v>
      </c>
      <c r="AG461" s="10">
        <v>185</v>
      </c>
      <c r="AH461" s="102">
        <f>SUM(Tableau2[[#This Row],[Td 2]:[Td 5]])</f>
        <v>573</v>
      </c>
      <c r="AI461" s="10">
        <v>58.3</v>
      </c>
      <c r="AJ461" s="10">
        <v>100</v>
      </c>
      <c r="AK461" s="17">
        <f t="shared" si="53"/>
        <v>0</v>
      </c>
      <c r="AL461" s="17">
        <f t="shared" si="54"/>
        <v>33</v>
      </c>
      <c r="AM461" s="17">
        <f t="shared" si="55"/>
        <v>649</v>
      </c>
    </row>
    <row r="462" spans="1:39" s="3" customFormat="1" x14ac:dyDescent="0.25">
      <c r="A462" s="2" t="s">
        <v>16</v>
      </c>
      <c r="B462" s="29" t="s">
        <v>740</v>
      </c>
      <c r="C462" s="2" t="s">
        <v>40</v>
      </c>
      <c r="D462" s="2" t="s">
        <v>481</v>
      </c>
      <c r="E462" s="14">
        <v>29087</v>
      </c>
      <c r="F462" s="15">
        <f t="shared" si="49"/>
        <v>1015.1363</v>
      </c>
      <c r="G462" s="15">
        <f t="shared" si="50"/>
        <v>1163.48</v>
      </c>
      <c r="H462" s="15">
        <f t="shared" si="51"/>
        <v>845.94691666666665</v>
      </c>
      <c r="I462" s="15">
        <f t="shared" si="52"/>
        <v>969.56666666666661</v>
      </c>
      <c r="J462" s="10">
        <v>1504</v>
      </c>
      <c r="K462" s="10">
        <v>1174</v>
      </c>
      <c r="L462" s="10">
        <v>1700</v>
      </c>
      <c r="M462" s="10">
        <v>1640</v>
      </c>
      <c r="N462" s="10">
        <v>1627</v>
      </c>
      <c r="O462" s="10">
        <v>1700</v>
      </c>
      <c r="P462" s="10">
        <v>1640</v>
      </c>
      <c r="Q462" s="10">
        <v>1627</v>
      </c>
      <c r="R462" s="10">
        <v>1700</v>
      </c>
      <c r="S462" s="10">
        <v>1640</v>
      </c>
      <c r="T462" s="10">
        <v>1627</v>
      </c>
      <c r="U462" s="10">
        <v>1685</v>
      </c>
      <c r="V462" s="10">
        <v>1624</v>
      </c>
      <c r="W462" s="10">
        <v>1611</v>
      </c>
      <c r="X462" s="10">
        <v>2065</v>
      </c>
      <c r="Y462" s="10">
        <v>183</v>
      </c>
      <c r="Z462" s="10">
        <v>2035</v>
      </c>
      <c r="AA462" s="10">
        <v>1432</v>
      </c>
      <c r="AB462" s="10" t="s">
        <v>2</v>
      </c>
      <c r="AC462" s="10">
        <v>554</v>
      </c>
      <c r="AD462" s="10">
        <v>483</v>
      </c>
      <c r="AE462" s="10">
        <v>448</v>
      </c>
      <c r="AF462" s="10">
        <v>397</v>
      </c>
      <c r="AG462" s="10">
        <v>348</v>
      </c>
      <c r="AH462" s="102">
        <f>SUM(Tableau2[[#This Row],[Td 2]:[Td 5]])</f>
        <v>1676</v>
      </c>
      <c r="AI462" s="10">
        <v>47.2</v>
      </c>
      <c r="AJ462" s="10">
        <v>100</v>
      </c>
      <c r="AK462" s="17">
        <f t="shared" si="53"/>
        <v>0</v>
      </c>
      <c r="AL462" s="17">
        <f t="shared" si="54"/>
        <v>0</v>
      </c>
      <c r="AM462" s="17">
        <f t="shared" si="55"/>
        <v>2035</v>
      </c>
    </row>
    <row r="463" spans="1:39" s="3" customFormat="1" x14ac:dyDescent="0.25">
      <c r="A463" s="2" t="s">
        <v>16</v>
      </c>
      <c r="B463" s="29" t="s">
        <v>740</v>
      </c>
      <c r="C463" s="2" t="s">
        <v>40</v>
      </c>
      <c r="D463" s="2" t="s">
        <v>482</v>
      </c>
      <c r="E463" s="14">
        <v>9872</v>
      </c>
      <c r="F463" s="15">
        <f t="shared" si="49"/>
        <v>344.53280000000001</v>
      </c>
      <c r="G463" s="15">
        <f t="shared" si="50"/>
        <v>394.88</v>
      </c>
      <c r="H463" s="15">
        <f t="shared" si="51"/>
        <v>287.1106666666667</v>
      </c>
      <c r="I463" s="15">
        <f t="shared" si="52"/>
        <v>329.06666666666666</v>
      </c>
      <c r="J463" s="10">
        <v>227</v>
      </c>
      <c r="K463" s="10">
        <v>355</v>
      </c>
      <c r="L463" s="10">
        <v>260</v>
      </c>
      <c r="M463" s="10">
        <v>222</v>
      </c>
      <c r="N463" s="10">
        <v>202</v>
      </c>
      <c r="O463" s="10">
        <v>329</v>
      </c>
      <c r="P463" s="10">
        <v>292</v>
      </c>
      <c r="Q463" s="10">
        <v>269</v>
      </c>
      <c r="R463" s="10">
        <v>310</v>
      </c>
      <c r="S463" s="10">
        <v>276</v>
      </c>
      <c r="T463" s="10">
        <v>256</v>
      </c>
      <c r="U463" s="10">
        <v>272</v>
      </c>
      <c r="V463" s="10">
        <v>244</v>
      </c>
      <c r="W463" s="10">
        <v>229</v>
      </c>
      <c r="X463" s="10">
        <v>197</v>
      </c>
      <c r="Y463" s="10">
        <v>169</v>
      </c>
      <c r="Z463" s="10">
        <v>311</v>
      </c>
      <c r="AA463" s="10">
        <v>270</v>
      </c>
      <c r="AB463" s="10">
        <v>179</v>
      </c>
      <c r="AC463" s="10">
        <v>179</v>
      </c>
      <c r="AD463" s="10">
        <v>127</v>
      </c>
      <c r="AE463" s="10">
        <v>153</v>
      </c>
      <c r="AF463" s="10">
        <v>127</v>
      </c>
      <c r="AG463" s="10">
        <v>101</v>
      </c>
      <c r="AH463" s="102">
        <f>SUM(Tableau2[[#This Row],[Td 2]:[Td 5]])</f>
        <v>508</v>
      </c>
      <c r="AI463" s="10">
        <v>50</v>
      </c>
      <c r="AJ463" s="10">
        <v>100</v>
      </c>
      <c r="AK463" s="17">
        <f t="shared" si="53"/>
        <v>0</v>
      </c>
      <c r="AL463" s="17">
        <f t="shared" si="54"/>
        <v>132</v>
      </c>
      <c r="AM463" s="17">
        <f t="shared" si="55"/>
        <v>197</v>
      </c>
    </row>
    <row r="464" spans="1:39" s="3" customFormat="1" x14ac:dyDescent="0.25">
      <c r="A464" s="2" t="s">
        <v>16</v>
      </c>
      <c r="B464" s="29" t="s">
        <v>740</v>
      </c>
      <c r="C464" s="2" t="s">
        <v>40</v>
      </c>
      <c r="D464" s="2" t="s">
        <v>483</v>
      </c>
      <c r="E464" s="14">
        <v>9320</v>
      </c>
      <c r="F464" s="15">
        <f t="shared" si="49"/>
        <v>325.26800000000003</v>
      </c>
      <c r="G464" s="15">
        <f t="shared" si="50"/>
        <v>372.8</v>
      </c>
      <c r="H464" s="15">
        <f t="shared" si="51"/>
        <v>271.05666666666667</v>
      </c>
      <c r="I464" s="15">
        <f t="shared" si="52"/>
        <v>310.66666666666669</v>
      </c>
      <c r="J464" s="10">
        <v>210</v>
      </c>
      <c r="K464" s="10">
        <v>142</v>
      </c>
      <c r="L464" s="10">
        <v>307</v>
      </c>
      <c r="M464" s="10">
        <v>269</v>
      </c>
      <c r="N464" s="10">
        <v>277</v>
      </c>
      <c r="O464" s="10">
        <v>307</v>
      </c>
      <c r="P464" s="10">
        <v>269</v>
      </c>
      <c r="Q464" s="10">
        <v>277</v>
      </c>
      <c r="R464" s="10">
        <v>307</v>
      </c>
      <c r="S464" s="10">
        <v>269</v>
      </c>
      <c r="T464" s="10">
        <v>277</v>
      </c>
      <c r="U464" s="10">
        <v>270</v>
      </c>
      <c r="V464" s="10">
        <v>238</v>
      </c>
      <c r="W464" s="10">
        <v>237</v>
      </c>
      <c r="X464" s="10">
        <v>241</v>
      </c>
      <c r="Y464" s="10">
        <v>39</v>
      </c>
      <c r="Z464" s="10">
        <v>124</v>
      </c>
      <c r="AA464" s="10">
        <v>219</v>
      </c>
      <c r="AB464" s="10">
        <v>13</v>
      </c>
      <c r="AC464" s="10">
        <v>94</v>
      </c>
      <c r="AD464" s="10">
        <v>98</v>
      </c>
      <c r="AE464" s="10">
        <v>46</v>
      </c>
      <c r="AF464" s="10">
        <v>39</v>
      </c>
      <c r="AG464" s="10">
        <v>46</v>
      </c>
      <c r="AH464" s="102">
        <f>SUM(Tableau2[[#This Row],[Td 2]:[Td 5]])</f>
        <v>229</v>
      </c>
      <c r="AI464" s="10">
        <v>50</v>
      </c>
      <c r="AJ464" s="10">
        <v>100</v>
      </c>
      <c r="AK464" s="17">
        <f t="shared" si="53"/>
        <v>0</v>
      </c>
      <c r="AL464" s="17">
        <f t="shared" si="54"/>
        <v>66</v>
      </c>
      <c r="AM464" s="17">
        <f t="shared" si="55"/>
        <v>124</v>
      </c>
    </row>
    <row r="465" spans="1:39" s="3" customFormat="1" x14ac:dyDescent="0.25">
      <c r="A465" s="2" t="s">
        <v>16</v>
      </c>
      <c r="B465" s="29" t="s">
        <v>740</v>
      </c>
      <c r="C465" s="2" t="s">
        <v>40</v>
      </c>
      <c r="D465" s="2" t="s">
        <v>484</v>
      </c>
      <c r="E465" s="14">
        <v>10265</v>
      </c>
      <c r="F465" s="15">
        <f t="shared" si="49"/>
        <v>358.24849999999998</v>
      </c>
      <c r="G465" s="15">
        <f t="shared" si="50"/>
        <v>410.6</v>
      </c>
      <c r="H465" s="15">
        <f t="shared" si="51"/>
        <v>298.54041666666666</v>
      </c>
      <c r="I465" s="15">
        <f t="shared" si="52"/>
        <v>342.16666666666669</v>
      </c>
      <c r="J465" s="10">
        <v>420</v>
      </c>
      <c r="K465" s="10">
        <v>205</v>
      </c>
      <c r="L465" s="10">
        <v>447</v>
      </c>
      <c r="M465" s="10">
        <v>345</v>
      </c>
      <c r="N465" s="10">
        <v>399</v>
      </c>
      <c r="O465" s="10">
        <v>476</v>
      </c>
      <c r="P465" s="10">
        <v>368</v>
      </c>
      <c r="Q465" s="10">
        <v>425</v>
      </c>
      <c r="R465" s="10">
        <v>476</v>
      </c>
      <c r="S465" s="10">
        <v>368</v>
      </c>
      <c r="T465" s="10">
        <v>416</v>
      </c>
      <c r="U465" s="10">
        <v>425</v>
      </c>
      <c r="V465" s="10">
        <v>323</v>
      </c>
      <c r="W465" s="10">
        <v>369</v>
      </c>
      <c r="X465" s="10">
        <v>231</v>
      </c>
      <c r="Y465" s="10">
        <v>176</v>
      </c>
      <c r="Z465" s="10">
        <v>343</v>
      </c>
      <c r="AA465" s="10">
        <v>271</v>
      </c>
      <c r="AB465" s="10">
        <v>198</v>
      </c>
      <c r="AC465" s="10">
        <v>139</v>
      </c>
      <c r="AD465" s="10">
        <v>140</v>
      </c>
      <c r="AE465" s="10">
        <v>74</v>
      </c>
      <c r="AF465" s="10">
        <v>74</v>
      </c>
      <c r="AG465" s="10">
        <v>80</v>
      </c>
      <c r="AH465" s="102">
        <f>SUM(Tableau2[[#This Row],[Td 2]:[Td 5]])</f>
        <v>368</v>
      </c>
      <c r="AI465" s="10">
        <v>50</v>
      </c>
      <c r="AJ465" s="10">
        <v>100</v>
      </c>
      <c r="AK465" s="17">
        <f t="shared" si="53"/>
        <v>0</v>
      </c>
      <c r="AL465" s="17">
        <f t="shared" si="54"/>
        <v>245</v>
      </c>
      <c r="AM465" s="17">
        <f t="shared" si="55"/>
        <v>231</v>
      </c>
    </row>
    <row r="466" spans="1:39" s="3" customFormat="1" x14ac:dyDescent="0.25">
      <c r="A466" s="2" t="s">
        <v>16</v>
      </c>
      <c r="B466" s="29" t="s">
        <v>740</v>
      </c>
      <c r="C466" s="2" t="s">
        <v>40</v>
      </c>
      <c r="D466" s="2" t="s">
        <v>485</v>
      </c>
      <c r="E466" s="14">
        <v>12655</v>
      </c>
      <c r="F466" s="15">
        <f t="shared" si="49"/>
        <v>441.65949999999998</v>
      </c>
      <c r="G466" s="15">
        <f t="shared" si="50"/>
        <v>506.2</v>
      </c>
      <c r="H466" s="15">
        <f t="shared" si="51"/>
        <v>368.04958333333332</v>
      </c>
      <c r="I466" s="15">
        <f t="shared" si="52"/>
        <v>421.83333333333331</v>
      </c>
      <c r="J466" s="10">
        <v>148</v>
      </c>
      <c r="K466" s="10">
        <v>479</v>
      </c>
      <c r="L466" s="10">
        <v>492</v>
      </c>
      <c r="M466" s="10">
        <v>422</v>
      </c>
      <c r="N466" s="10">
        <v>374</v>
      </c>
      <c r="O466" s="10">
        <v>467</v>
      </c>
      <c r="P466" s="10">
        <v>447</v>
      </c>
      <c r="Q466" s="10">
        <v>374</v>
      </c>
      <c r="R466" s="10">
        <v>492</v>
      </c>
      <c r="S466" s="10">
        <v>447</v>
      </c>
      <c r="T466" s="10">
        <v>374</v>
      </c>
      <c r="U466" s="10">
        <v>492</v>
      </c>
      <c r="V466" s="10">
        <v>447</v>
      </c>
      <c r="W466" s="10">
        <v>374</v>
      </c>
      <c r="X466" s="10">
        <v>508</v>
      </c>
      <c r="Y466" s="10">
        <v>121</v>
      </c>
      <c r="Z466" s="10">
        <v>488</v>
      </c>
      <c r="AA466" s="10">
        <v>421</v>
      </c>
      <c r="AB466" s="10">
        <v>145</v>
      </c>
      <c r="AC466" s="10">
        <v>107</v>
      </c>
      <c r="AD466" s="10">
        <v>104</v>
      </c>
      <c r="AE466" s="10">
        <v>63</v>
      </c>
      <c r="AF466" s="10">
        <v>56</v>
      </c>
      <c r="AG466" s="10">
        <v>53</v>
      </c>
      <c r="AH466" s="102">
        <f>SUM(Tableau2[[#This Row],[Td 2]:[Td 5]])</f>
        <v>276</v>
      </c>
      <c r="AI466" s="10">
        <v>50</v>
      </c>
      <c r="AJ466" s="10">
        <v>100</v>
      </c>
      <c r="AK466" s="17">
        <f t="shared" si="53"/>
        <v>0</v>
      </c>
      <c r="AL466" s="17">
        <f t="shared" si="54"/>
        <v>0</v>
      </c>
      <c r="AM466" s="17">
        <f t="shared" si="55"/>
        <v>488</v>
      </c>
    </row>
    <row r="467" spans="1:39" s="3" customFormat="1" x14ac:dyDescent="0.25">
      <c r="A467" s="2" t="s">
        <v>16</v>
      </c>
      <c r="B467" s="29" t="s">
        <v>740</v>
      </c>
      <c r="C467" s="2" t="s">
        <v>40</v>
      </c>
      <c r="D467" s="2" t="s">
        <v>40</v>
      </c>
      <c r="E467" s="14">
        <v>30264</v>
      </c>
      <c r="F467" s="15">
        <f t="shared" si="49"/>
        <v>1056.2136</v>
      </c>
      <c r="G467" s="15">
        <f t="shared" si="50"/>
        <v>1210.56</v>
      </c>
      <c r="H467" s="15">
        <f t="shared" si="51"/>
        <v>880.17800000000011</v>
      </c>
      <c r="I467" s="15">
        <f t="shared" si="52"/>
        <v>1008.8</v>
      </c>
      <c r="J467" s="10">
        <v>3207</v>
      </c>
      <c r="K467" s="10">
        <v>5500</v>
      </c>
      <c r="L467" s="10">
        <v>1694</v>
      </c>
      <c r="M467" s="10">
        <v>1695</v>
      </c>
      <c r="N467" s="10">
        <v>1788</v>
      </c>
      <c r="O467" s="10">
        <v>1839</v>
      </c>
      <c r="P467" s="10">
        <v>1695</v>
      </c>
      <c r="Q467" s="10">
        <v>1788</v>
      </c>
      <c r="R467" s="10">
        <v>1839</v>
      </c>
      <c r="S467" s="10">
        <v>1695</v>
      </c>
      <c r="T467" s="10">
        <v>1788</v>
      </c>
      <c r="U467" s="10">
        <v>1831</v>
      </c>
      <c r="V467" s="10">
        <v>1516</v>
      </c>
      <c r="W467" s="10">
        <v>1609</v>
      </c>
      <c r="X467" s="10">
        <v>3341</v>
      </c>
      <c r="Y467" s="10">
        <v>840</v>
      </c>
      <c r="Z467" s="10">
        <v>3251</v>
      </c>
      <c r="AA467" s="10">
        <v>1633</v>
      </c>
      <c r="AB467" s="10">
        <v>1287</v>
      </c>
      <c r="AC467" s="10">
        <v>396</v>
      </c>
      <c r="AD467" s="10">
        <v>275</v>
      </c>
      <c r="AE467" s="10">
        <v>421</v>
      </c>
      <c r="AF467" s="10">
        <v>320</v>
      </c>
      <c r="AG467" s="10">
        <v>493</v>
      </c>
      <c r="AH467" s="102">
        <f>SUM(Tableau2[[#This Row],[Td 2]:[Td 5]])</f>
        <v>1509</v>
      </c>
      <c r="AI467" s="10">
        <v>58.3</v>
      </c>
      <c r="AJ467" s="10">
        <v>100</v>
      </c>
      <c r="AK467" s="17">
        <f t="shared" si="53"/>
        <v>0</v>
      </c>
      <c r="AL467" s="17">
        <f t="shared" si="54"/>
        <v>0</v>
      </c>
      <c r="AM467" s="17">
        <f t="shared" si="55"/>
        <v>3251</v>
      </c>
    </row>
    <row r="468" spans="1:39" s="3" customFormat="1" x14ac:dyDescent="0.25">
      <c r="A468" s="2" t="s">
        <v>16</v>
      </c>
      <c r="B468" s="29" t="s">
        <v>740</v>
      </c>
      <c r="C468" s="2" t="s">
        <v>40</v>
      </c>
      <c r="D468" s="2" t="s">
        <v>486</v>
      </c>
      <c r="E468" s="14">
        <v>15124</v>
      </c>
      <c r="F468" s="15">
        <f t="shared" si="49"/>
        <v>527.82759999999996</v>
      </c>
      <c r="G468" s="15">
        <f t="shared" si="50"/>
        <v>604.96</v>
      </c>
      <c r="H468" s="15">
        <f t="shared" si="51"/>
        <v>439.85633333333334</v>
      </c>
      <c r="I468" s="15">
        <f t="shared" si="52"/>
        <v>504.13333333333333</v>
      </c>
      <c r="J468" s="10">
        <v>638</v>
      </c>
      <c r="K468" s="10">
        <v>479</v>
      </c>
      <c r="L468" s="10">
        <v>690</v>
      </c>
      <c r="M468" s="10">
        <v>684</v>
      </c>
      <c r="N468" s="10">
        <v>656</v>
      </c>
      <c r="O468" s="10">
        <v>550</v>
      </c>
      <c r="P468" s="10">
        <v>556</v>
      </c>
      <c r="Q468" s="10">
        <v>614</v>
      </c>
      <c r="R468" s="10">
        <v>645</v>
      </c>
      <c r="S468" s="10">
        <v>633</v>
      </c>
      <c r="T468" s="10">
        <v>602</v>
      </c>
      <c r="U468" s="10">
        <v>518</v>
      </c>
      <c r="V468" s="10">
        <v>579</v>
      </c>
      <c r="W468" s="10">
        <v>566</v>
      </c>
      <c r="X468" s="10">
        <v>806</v>
      </c>
      <c r="Y468" s="10">
        <v>265</v>
      </c>
      <c r="Z468" s="10">
        <v>523</v>
      </c>
      <c r="AA468" s="10">
        <v>874</v>
      </c>
      <c r="AB468" s="10">
        <v>329</v>
      </c>
      <c r="AC468" s="10">
        <v>202</v>
      </c>
      <c r="AD468" s="10">
        <v>196</v>
      </c>
      <c r="AE468" s="10">
        <v>253</v>
      </c>
      <c r="AF468" s="10">
        <v>231</v>
      </c>
      <c r="AG468" s="10">
        <v>110</v>
      </c>
      <c r="AH468" s="102">
        <f>SUM(Tableau2[[#This Row],[Td 2]:[Td 5]])</f>
        <v>790</v>
      </c>
      <c r="AI468" s="10">
        <v>54.2</v>
      </c>
      <c r="AJ468" s="10">
        <v>100</v>
      </c>
      <c r="AK468" s="17">
        <f t="shared" si="53"/>
        <v>0</v>
      </c>
      <c r="AL468" s="17">
        <f t="shared" si="54"/>
        <v>0</v>
      </c>
      <c r="AM468" s="17">
        <f t="shared" si="55"/>
        <v>523</v>
      </c>
    </row>
    <row r="469" spans="1:39" s="3" customFormat="1" x14ac:dyDescent="0.25">
      <c r="A469" s="2" t="s">
        <v>16</v>
      </c>
      <c r="B469" s="29" t="s">
        <v>740</v>
      </c>
      <c r="C469" s="2" t="s">
        <v>40</v>
      </c>
      <c r="D469" s="2" t="s">
        <v>487</v>
      </c>
      <c r="E469" s="14">
        <v>33617</v>
      </c>
      <c r="F469" s="15">
        <f t="shared" si="49"/>
        <v>1173.2333000000001</v>
      </c>
      <c r="G469" s="15">
        <f t="shared" si="50"/>
        <v>1344.68</v>
      </c>
      <c r="H469" s="15">
        <f t="shared" si="51"/>
        <v>977.69441666666683</v>
      </c>
      <c r="I469" s="15">
        <f t="shared" si="52"/>
        <v>1120.5666666666666</v>
      </c>
      <c r="J469" s="10">
        <v>700</v>
      </c>
      <c r="K469" s="10">
        <v>524</v>
      </c>
      <c r="L469" s="10">
        <v>1325</v>
      </c>
      <c r="M469" s="10">
        <v>1240</v>
      </c>
      <c r="N469" s="10">
        <v>1186</v>
      </c>
      <c r="O469" s="10">
        <v>1358</v>
      </c>
      <c r="P469" s="10">
        <v>1221</v>
      </c>
      <c r="Q469" s="10">
        <v>1201</v>
      </c>
      <c r="R469" s="10">
        <v>1261</v>
      </c>
      <c r="S469" s="10">
        <v>1133</v>
      </c>
      <c r="T469" s="10">
        <v>1104</v>
      </c>
      <c r="U469" s="10">
        <v>1179</v>
      </c>
      <c r="V469" s="10">
        <v>1008</v>
      </c>
      <c r="W469" s="10">
        <v>983</v>
      </c>
      <c r="X469" s="10">
        <v>1050</v>
      </c>
      <c r="Y469" s="10">
        <v>340</v>
      </c>
      <c r="Z469" s="10">
        <v>1031</v>
      </c>
      <c r="AA469" s="10">
        <v>1024</v>
      </c>
      <c r="AB469" s="10">
        <v>865</v>
      </c>
      <c r="AC469" s="10">
        <v>311</v>
      </c>
      <c r="AD469" s="10">
        <v>296</v>
      </c>
      <c r="AE469" s="10">
        <v>221</v>
      </c>
      <c r="AF469" s="10">
        <v>155</v>
      </c>
      <c r="AG469" s="10">
        <v>151</v>
      </c>
      <c r="AH469" s="102">
        <f>SUM(Tableau2[[#This Row],[Td 2]:[Td 5]])</f>
        <v>823</v>
      </c>
      <c r="AI469" s="10">
        <v>52.8</v>
      </c>
      <c r="AJ469" s="10">
        <v>100</v>
      </c>
      <c r="AK469" s="17">
        <f t="shared" si="53"/>
        <v>0</v>
      </c>
      <c r="AL469" s="17">
        <f t="shared" si="54"/>
        <v>308</v>
      </c>
      <c r="AM469" s="17">
        <f t="shared" si="55"/>
        <v>1031</v>
      </c>
    </row>
    <row r="470" spans="1:39" s="3" customFormat="1" x14ac:dyDescent="0.25">
      <c r="A470" s="2" t="s">
        <v>16</v>
      </c>
      <c r="B470" s="29" t="s">
        <v>740</v>
      </c>
      <c r="C470" s="2" t="s">
        <v>40</v>
      </c>
      <c r="D470" s="2" t="s">
        <v>488</v>
      </c>
      <c r="E470" s="14">
        <v>9337</v>
      </c>
      <c r="F470" s="15">
        <f t="shared" si="49"/>
        <v>325.86130000000003</v>
      </c>
      <c r="G470" s="15">
        <f t="shared" si="50"/>
        <v>373.48</v>
      </c>
      <c r="H470" s="15">
        <f t="shared" si="51"/>
        <v>271.55108333333334</v>
      </c>
      <c r="I470" s="15">
        <f t="shared" si="52"/>
        <v>311.23333333333335</v>
      </c>
      <c r="J470" s="10">
        <v>406</v>
      </c>
      <c r="K470" s="10">
        <v>436</v>
      </c>
      <c r="L470" s="10">
        <v>456</v>
      </c>
      <c r="M470" s="10">
        <v>385</v>
      </c>
      <c r="N470" s="10">
        <v>408</v>
      </c>
      <c r="O470" s="10">
        <v>436</v>
      </c>
      <c r="P470" s="10">
        <v>401</v>
      </c>
      <c r="Q470" s="10">
        <v>377</v>
      </c>
      <c r="R470" s="10">
        <v>385</v>
      </c>
      <c r="S470" s="10">
        <v>327</v>
      </c>
      <c r="T470" s="10">
        <v>427</v>
      </c>
      <c r="U470" s="10">
        <v>398</v>
      </c>
      <c r="V470" s="10">
        <v>369</v>
      </c>
      <c r="W470" s="10">
        <v>383</v>
      </c>
      <c r="X470" s="10">
        <v>356</v>
      </c>
      <c r="Y470" s="10">
        <v>134</v>
      </c>
      <c r="Z470" s="10">
        <v>379</v>
      </c>
      <c r="AA470" s="10">
        <v>366</v>
      </c>
      <c r="AB470" s="10">
        <v>182</v>
      </c>
      <c r="AC470" s="10">
        <v>164</v>
      </c>
      <c r="AD470" s="10">
        <v>168</v>
      </c>
      <c r="AE470" s="10">
        <v>116</v>
      </c>
      <c r="AF470" s="10">
        <v>113</v>
      </c>
      <c r="AG470" s="10">
        <v>89</v>
      </c>
      <c r="AH470" s="102">
        <f>SUM(Tableau2[[#This Row],[Td 2]:[Td 5]])</f>
        <v>486</v>
      </c>
      <c r="AI470" s="10">
        <v>58.3</v>
      </c>
      <c r="AJ470" s="10">
        <v>100</v>
      </c>
      <c r="AK470" s="17">
        <f t="shared" si="53"/>
        <v>0</v>
      </c>
      <c r="AL470" s="17">
        <f t="shared" si="54"/>
        <v>80</v>
      </c>
      <c r="AM470" s="17">
        <f t="shared" si="55"/>
        <v>356</v>
      </c>
    </row>
    <row r="471" spans="1:39" s="3" customFormat="1" x14ac:dyDescent="0.25">
      <c r="A471" s="2" t="s">
        <v>16</v>
      </c>
      <c r="B471" s="29" t="s">
        <v>740</v>
      </c>
      <c r="C471" s="2" t="s">
        <v>40</v>
      </c>
      <c r="D471" s="2" t="s">
        <v>489</v>
      </c>
      <c r="E471" s="14">
        <v>26292</v>
      </c>
      <c r="F471" s="15">
        <f t="shared" si="49"/>
        <v>917.59080000000006</v>
      </c>
      <c r="G471" s="15">
        <f t="shared" si="50"/>
        <v>1051.68</v>
      </c>
      <c r="H471" s="15">
        <f t="shared" si="51"/>
        <v>764.65900000000011</v>
      </c>
      <c r="I471" s="15">
        <f t="shared" si="52"/>
        <v>876.4</v>
      </c>
      <c r="J471" s="10">
        <v>524</v>
      </c>
      <c r="K471" s="10">
        <v>480</v>
      </c>
      <c r="L471" s="10">
        <v>815</v>
      </c>
      <c r="M471" s="10">
        <v>747</v>
      </c>
      <c r="N471" s="10">
        <v>761</v>
      </c>
      <c r="O471" s="10">
        <v>815</v>
      </c>
      <c r="P471" s="10">
        <v>747</v>
      </c>
      <c r="Q471" s="10">
        <v>761</v>
      </c>
      <c r="R471" s="10">
        <v>786</v>
      </c>
      <c r="S471" s="10">
        <v>648</v>
      </c>
      <c r="T471" s="10">
        <v>661</v>
      </c>
      <c r="U471" s="10">
        <v>563</v>
      </c>
      <c r="V471" s="10">
        <v>521</v>
      </c>
      <c r="W471" s="10">
        <v>613</v>
      </c>
      <c r="X471" s="10">
        <v>692</v>
      </c>
      <c r="Y471" s="10">
        <v>26</v>
      </c>
      <c r="Z471" s="10">
        <v>534</v>
      </c>
      <c r="AA471" s="10">
        <v>662</v>
      </c>
      <c r="AB471" s="10">
        <v>241</v>
      </c>
      <c r="AC471" s="10">
        <v>227</v>
      </c>
      <c r="AD471" s="10">
        <v>224</v>
      </c>
      <c r="AE471" s="10">
        <v>172</v>
      </c>
      <c r="AF471" s="10">
        <v>117</v>
      </c>
      <c r="AG471" s="10">
        <v>85</v>
      </c>
      <c r="AH471" s="102">
        <f>SUM(Tableau2[[#This Row],[Td 2]:[Td 5]])</f>
        <v>598</v>
      </c>
      <c r="AI471" s="10">
        <v>54.2</v>
      </c>
      <c r="AJ471" s="10">
        <v>100</v>
      </c>
      <c r="AK471" s="17">
        <f t="shared" si="53"/>
        <v>0</v>
      </c>
      <c r="AL471" s="17">
        <f t="shared" si="54"/>
        <v>123</v>
      </c>
      <c r="AM471" s="17">
        <f t="shared" si="55"/>
        <v>534</v>
      </c>
    </row>
    <row r="472" spans="1:39" s="3" customFormat="1" x14ac:dyDescent="0.25">
      <c r="A472" s="2" t="s">
        <v>16</v>
      </c>
      <c r="B472" s="29" t="s">
        <v>740</v>
      </c>
      <c r="C472" s="2" t="s">
        <v>40</v>
      </c>
      <c r="D472" s="2" t="s">
        <v>490</v>
      </c>
      <c r="E472" s="14" t="s">
        <v>2</v>
      </c>
      <c r="F472" s="15" t="str">
        <f t="shared" si="49"/>
        <v/>
      </c>
      <c r="G472" s="15" t="str">
        <f t="shared" si="50"/>
        <v/>
      </c>
      <c r="H472" s="15" t="str">
        <f t="shared" si="51"/>
        <v/>
      </c>
      <c r="I472" s="15" t="str">
        <f t="shared" si="52"/>
        <v/>
      </c>
      <c r="J472" s="10">
        <v>173</v>
      </c>
      <c r="K472" s="10">
        <v>60</v>
      </c>
      <c r="L472" s="10">
        <v>338</v>
      </c>
      <c r="M472" s="10">
        <v>391</v>
      </c>
      <c r="N472" s="10">
        <v>396</v>
      </c>
      <c r="O472" s="10">
        <v>347</v>
      </c>
      <c r="P472" s="10">
        <v>391</v>
      </c>
      <c r="Q472" s="10">
        <v>427</v>
      </c>
      <c r="R472" s="10">
        <v>338</v>
      </c>
      <c r="S472" s="10">
        <v>391</v>
      </c>
      <c r="T472" s="10">
        <v>473</v>
      </c>
      <c r="U472" s="10">
        <v>341</v>
      </c>
      <c r="V472" s="10">
        <v>571</v>
      </c>
      <c r="W472" s="10">
        <v>413</v>
      </c>
      <c r="X472" s="10">
        <v>500</v>
      </c>
      <c r="Y472" s="10">
        <v>163</v>
      </c>
      <c r="Z472" s="10">
        <v>369</v>
      </c>
      <c r="AA472" s="10">
        <v>459</v>
      </c>
      <c r="AB472" s="10">
        <v>97</v>
      </c>
      <c r="AC472" s="10">
        <v>214</v>
      </c>
      <c r="AD472" s="10">
        <v>177</v>
      </c>
      <c r="AE472" s="10">
        <v>113</v>
      </c>
      <c r="AF472" s="10">
        <v>76</v>
      </c>
      <c r="AG472" s="10">
        <v>51</v>
      </c>
      <c r="AH472" s="102">
        <f>SUM(Tableau2[[#This Row],[Td 2]:[Td 5]])</f>
        <v>417</v>
      </c>
      <c r="AI472" s="10">
        <v>41.7</v>
      </c>
      <c r="AJ472" s="10">
        <v>100</v>
      </c>
      <c r="AK472" s="17">
        <f t="shared" si="53"/>
        <v>0</v>
      </c>
      <c r="AL472" s="17">
        <f t="shared" si="54"/>
        <v>0</v>
      </c>
      <c r="AM472" s="17">
        <f t="shared" si="55"/>
        <v>369</v>
      </c>
    </row>
    <row r="473" spans="1:39" s="3" customFormat="1" x14ac:dyDescent="0.25">
      <c r="A473" s="2" t="s">
        <v>16</v>
      </c>
      <c r="B473" s="29" t="s">
        <v>740</v>
      </c>
      <c r="C473" s="2" t="s">
        <v>40</v>
      </c>
      <c r="D473" s="2" t="s">
        <v>491</v>
      </c>
      <c r="E473" s="14">
        <v>12452</v>
      </c>
      <c r="F473" s="15">
        <f t="shared" si="49"/>
        <v>434.57479999999998</v>
      </c>
      <c r="G473" s="15">
        <f t="shared" si="50"/>
        <v>498.08</v>
      </c>
      <c r="H473" s="15">
        <f t="shared" si="51"/>
        <v>362.14566666666661</v>
      </c>
      <c r="I473" s="15">
        <f t="shared" si="52"/>
        <v>415.06666666666666</v>
      </c>
      <c r="J473" s="10">
        <v>449</v>
      </c>
      <c r="K473" s="10">
        <v>425</v>
      </c>
      <c r="L473" s="10">
        <v>790</v>
      </c>
      <c r="M473" s="10">
        <v>783</v>
      </c>
      <c r="N473" s="10">
        <v>760</v>
      </c>
      <c r="O473" s="10">
        <v>790</v>
      </c>
      <c r="P473" s="10">
        <v>783</v>
      </c>
      <c r="Q473" s="10">
        <v>760</v>
      </c>
      <c r="R473" s="10">
        <v>725</v>
      </c>
      <c r="S473" s="10">
        <v>720</v>
      </c>
      <c r="T473" s="10">
        <v>701</v>
      </c>
      <c r="U473" s="10">
        <v>647</v>
      </c>
      <c r="V473" s="10">
        <v>642</v>
      </c>
      <c r="W473" s="10">
        <v>625</v>
      </c>
      <c r="X473" s="10">
        <v>659</v>
      </c>
      <c r="Y473" s="10">
        <v>269</v>
      </c>
      <c r="Z473" s="10">
        <v>499</v>
      </c>
      <c r="AA473" s="10">
        <v>999</v>
      </c>
      <c r="AB473" s="10">
        <v>68</v>
      </c>
      <c r="AC473" s="10">
        <v>265</v>
      </c>
      <c r="AD473" s="10">
        <v>190</v>
      </c>
      <c r="AE473" s="10">
        <v>193</v>
      </c>
      <c r="AF473" s="10">
        <v>157</v>
      </c>
      <c r="AG473" s="10">
        <v>135</v>
      </c>
      <c r="AH473" s="102">
        <f>SUM(Tableau2[[#This Row],[Td 2]:[Td 5]])</f>
        <v>675</v>
      </c>
      <c r="AI473" s="10">
        <v>58.3</v>
      </c>
      <c r="AJ473" s="10">
        <v>100</v>
      </c>
      <c r="AK473" s="17">
        <f t="shared" si="53"/>
        <v>0</v>
      </c>
      <c r="AL473" s="17">
        <f t="shared" si="54"/>
        <v>131</v>
      </c>
      <c r="AM473" s="17">
        <f t="shared" si="55"/>
        <v>499</v>
      </c>
    </row>
    <row r="474" spans="1:39" s="3" customFormat="1" x14ac:dyDescent="0.25">
      <c r="A474" s="2" t="s">
        <v>16</v>
      </c>
      <c r="B474" s="29" t="s">
        <v>740</v>
      </c>
      <c r="C474" s="2" t="s">
        <v>40</v>
      </c>
      <c r="D474" s="2" t="s">
        <v>492</v>
      </c>
      <c r="E474" s="14">
        <v>19985</v>
      </c>
      <c r="F474" s="15">
        <f t="shared" si="49"/>
        <v>697.47649999999999</v>
      </c>
      <c r="G474" s="15">
        <f t="shared" si="50"/>
        <v>799.4</v>
      </c>
      <c r="H474" s="15">
        <f t="shared" si="51"/>
        <v>581.23041666666666</v>
      </c>
      <c r="I474" s="15">
        <f t="shared" si="52"/>
        <v>666.16666666666663</v>
      </c>
      <c r="J474" s="10">
        <v>669</v>
      </c>
      <c r="K474" s="10">
        <v>1520</v>
      </c>
      <c r="L474" s="10">
        <v>798</v>
      </c>
      <c r="M474" s="10">
        <v>781</v>
      </c>
      <c r="N474" s="10">
        <v>775</v>
      </c>
      <c r="O474" s="10">
        <v>723</v>
      </c>
      <c r="P474" s="10">
        <v>707</v>
      </c>
      <c r="Q474" s="10">
        <v>701</v>
      </c>
      <c r="R474" s="10">
        <v>713</v>
      </c>
      <c r="S474" s="10">
        <v>661</v>
      </c>
      <c r="T474" s="10">
        <v>659</v>
      </c>
      <c r="U474" s="10">
        <v>635</v>
      </c>
      <c r="V474" s="10">
        <v>598</v>
      </c>
      <c r="W474" s="10">
        <v>612</v>
      </c>
      <c r="X474" s="10">
        <v>1145</v>
      </c>
      <c r="Y474" s="10">
        <v>366</v>
      </c>
      <c r="Z474" s="10">
        <v>807</v>
      </c>
      <c r="AA474" s="10">
        <v>553</v>
      </c>
      <c r="AB474" s="10">
        <v>421</v>
      </c>
      <c r="AC474" s="10">
        <v>280</v>
      </c>
      <c r="AD474" s="10">
        <v>170</v>
      </c>
      <c r="AE474" s="10">
        <v>198</v>
      </c>
      <c r="AF474" s="10">
        <v>172</v>
      </c>
      <c r="AG474" s="10">
        <v>259</v>
      </c>
      <c r="AH474" s="102">
        <f>SUM(Tableau2[[#This Row],[Td 2]:[Td 5]])</f>
        <v>799</v>
      </c>
      <c r="AI474" s="10">
        <v>41.7</v>
      </c>
      <c r="AJ474" s="10">
        <v>100</v>
      </c>
      <c r="AK474" s="17">
        <f t="shared" si="53"/>
        <v>0</v>
      </c>
      <c r="AL474" s="17">
        <f t="shared" si="54"/>
        <v>0</v>
      </c>
      <c r="AM474" s="17">
        <f t="shared" si="55"/>
        <v>807</v>
      </c>
    </row>
    <row r="475" spans="1:39" s="3" customFormat="1" x14ac:dyDescent="0.25">
      <c r="A475" s="2" t="s">
        <v>16</v>
      </c>
      <c r="B475" s="29" t="s">
        <v>740</v>
      </c>
      <c r="C475" s="2" t="s">
        <v>40</v>
      </c>
      <c r="D475" s="2" t="s">
        <v>493</v>
      </c>
      <c r="E475" s="14">
        <v>12650</v>
      </c>
      <c r="F475" s="15">
        <f t="shared" si="49"/>
        <v>441.48500000000001</v>
      </c>
      <c r="G475" s="15">
        <f t="shared" si="50"/>
        <v>506</v>
      </c>
      <c r="H475" s="15">
        <f t="shared" si="51"/>
        <v>367.90416666666664</v>
      </c>
      <c r="I475" s="15">
        <f t="shared" si="52"/>
        <v>421.66666666666663</v>
      </c>
      <c r="J475" s="10">
        <v>234</v>
      </c>
      <c r="K475" s="10">
        <v>54</v>
      </c>
      <c r="L475" s="10">
        <v>112</v>
      </c>
      <c r="M475" s="10">
        <v>102</v>
      </c>
      <c r="N475" s="10">
        <v>96</v>
      </c>
      <c r="O475" s="10">
        <v>197</v>
      </c>
      <c r="P475" s="10">
        <v>195</v>
      </c>
      <c r="Q475" s="10">
        <v>151</v>
      </c>
      <c r="R475" s="10">
        <v>205</v>
      </c>
      <c r="S475" s="10">
        <v>193</v>
      </c>
      <c r="T475" s="10">
        <v>157</v>
      </c>
      <c r="U475" s="10">
        <v>198</v>
      </c>
      <c r="V475" s="10">
        <v>186</v>
      </c>
      <c r="W475" s="10">
        <v>159</v>
      </c>
      <c r="X475" s="10">
        <v>161</v>
      </c>
      <c r="Y475" s="10">
        <v>5</v>
      </c>
      <c r="Z475" s="10">
        <v>181</v>
      </c>
      <c r="AA475" s="10">
        <v>231</v>
      </c>
      <c r="AB475" s="10">
        <v>40</v>
      </c>
      <c r="AC475" s="10">
        <v>76</v>
      </c>
      <c r="AD475" s="10">
        <v>47</v>
      </c>
      <c r="AE475" s="10">
        <v>33</v>
      </c>
      <c r="AF475" s="10">
        <v>22</v>
      </c>
      <c r="AG475" s="10">
        <v>15</v>
      </c>
      <c r="AH475" s="102">
        <f>SUM(Tableau2[[#This Row],[Td 2]:[Td 5]])</f>
        <v>117</v>
      </c>
      <c r="AI475" s="10">
        <v>41.7</v>
      </c>
      <c r="AJ475" s="10">
        <v>100</v>
      </c>
      <c r="AK475" s="17">
        <f t="shared" si="53"/>
        <v>170.90416666666664</v>
      </c>
      <c r="AL475" s="17">
        <f t="shared" si="54"/>
        <v>36</v>
      </c>
      <c r="AM475" s="17">
        <f t="shared" si="55"/>
        <v>161</v>
      </c>
    </row>
    <row r="476" spans="1:39" s="3" customFormat="1" x14ac:dyDescent="0.25">
      <c r="A476" s="2" t="s">
        <v>16</v>
      </c>
      <c r="B476" s="29" t="s">
        <v>740</v>
      </c>
      <c r="C476" s="2" t="s">
        <v>40</v>
      </c>
      <c r="D476" s="2" t="s">
        <v>494</v>
      </c>
      <c r="E476" s="14">
        <v>11814</v>
      </c>
      <c r="F476" s="15">
        <f t="shared" si="49"/>
        <v>412.30860000000001</v>
      </c>
      <c r="G476" s="15">
        <f t="shared" si="50"/>
        <v>472.56</v>
      </c>
      <c r="H476" s="15">
        <f t="shared" si="51"/>
        <v>343.59050000000002</v>
      </c>
      <c r="I476" s="15">
        <f t="shared" si="52"/>
        <v>393.8</v>
      </c>
      <c r="J476" s="10">
        <v>248</v>
      </c>
      <c r="K476" s="10">
        <v>152</v>
      </c>
      <c r="L476" s="10">
        <v>258</v>
      </c>
      <c r="M476" s="10">
        <v>243</v>
      </c>
      <c r="N476" s="10">
        <v>241</v>
      </c>
      <c r="O476" s="10">
        <v>276</v>
      </c>
      <c r="P476" s="10">
        <v>243</v>
      </c>
      <c r="Q476" s="10">
        <v>241</v>
      </c>
      <c r="R476" s="10">
        <v>281</v>
      </c>
      <c r="S476" s="10">
        <v>233</v>
      </c>
      <c r="T476" s="10">
        <v>241</v>
      </c>
      <c r="U476" s="10">
        <v>1487</v>
      </c>
      <c r="V476" s="10">
        <v>233</v>
      </c>
      <c r="W476" s="10">
        <v>241</v>
      </c>
      <c r="X476" s="10">
        <v>303</v>
      </c>
      <c r="Y476" s="10">
        <v>116</v>
      </c>
      <c r="Z476" s="10">
        <v>254</v>
      </c>
      <c r="AA476" s="10">
        <v>270</v>
      </c>
      <c r="AB476" s="10">
        <v>162</v>
      </c>
      <c r="AC476" s="10">
        <v>112</v>
      </c>
      <c r="AD476" s="10">
        <v>76</v>
      </c>
      <c r="AE476" s="10">
        <v>47</v>
      </c>
      <c r="AF476" s="10">
        <v>40</v>
      </c>
      <c r="AG476" s="10">
        <v>32</v>
      </c>
      <c r="AH476" s="102">
        <f>SUM(Tableau2[[#This Row],[Td 2]:[Td 5]])</f>
        <v>195</v>
      </c>
      <c r="AI476" s="10">
        <v>50</v>
      </c>
      <c r="AJ476" s="10">
        <v>100</v>
      </c>
      <c r="AK476" s="17">
        <f t="shared" si="53"/>
        <v>67.59050000000002</v>
      </c>
      <c r="AL476" s="17">
        <f t="shared" si="54"/>
        <v>0</v>
      </c>
      <c r="AM476" s="17">
        <f t="shared" si="55"/>
        <v>254</v>
      </c>
    </row>
    <row r="477" spans="1:39" s="3" customFormat="1" x14ac:dyDescent="0.25">
      <c r="A477" s="2" t="s">
        <v>16</v>
      </c>
      <c r="B477" s="29" t="s">
        <v>740</v>
      </c>
      <c r="C477" s="2" t="s">
        <v>40</v>
      </c>
      <c r="D477" s="2" t="s">
        <v>495</v>
      </c>
      <c r="E477" s="14">
        <v>15716</v>
      </c>
      <c r="F477" s="15">
        <f t="shared" si="49"/>
        <v>548.48839999999996</v>
      </c>
      <c r="G477" s="15">
        <f t="shared" si="50"/>
        <v>628.64</v>
      </c>
      <c r="H477" s="15">
        <f t="shared" si="51"/>
        <v>457.07366666666667</v>
      </c>
      <c r="I477" s="15">
        <f t="shared" si="52"/>
        <v>523.86666666666667</v>
      </c>
      <c r="J477" s="10">
        <v>391</v>
      </c>
      <c r="K477" s="10">
        <v>194</v>
      </c>
      <c r="L477" s="10">
        <v>572</v>
      </c>
      <c r="M477" s="10">
        <v>487</v>
      </c>
      <c r="N477" s="10">
        <v>428</v>
      </c>
      <c r="O477" s="10">
        <v>911</v>
      </c>
      <c r="P477" s="10">
        <v>439</v>
      </c>
      <c r="Q477" s="10">
        <v>374</v>
      </c>
      <c r="R477" s="10">
        <v>515</v>
      </c>
      <c r="S477" s="10">
        <v>430</v>
      </c>
      <c r="T477" s="10">
        <v>371</v>
      </c>
      <c r="U477" s="10">
        <v>428</v>
      </c>
      <c r="V477" s="10">
        <v>339</v>
      </c>
      <c r="W477" s="10">
        <v>302</v>
      </c>
      <c r="X477" s="10">
        <v>225</v>
      </c>
      <c r="Y477" s="10">
        <v>104</v>
      </c>
      <c r="Z477" s="10">
        <v>259</v>
      </c>
      <c r="AA477" s="10">
        <v>420</v>
      </c>
      <c r="AB477" s="10">
        <v>202</v>
      </c>
      <c r="AC477" s="10">
        <v>136</v>
      </c>
      <c r="AD477" s="10">
        <v>132</v>
      </c>
      <c r="AE477" s="10">
        <v>105</v>
      </c>
      <c r="AF477" s="10">
        <v>78</v>
      </c>
      <c r="AG477" s="10">
        <v>69</v>
      </c>
      <c r="AH477" s="102">
        <f>SUM(Tableau2[[#This Row],[Td 2]:[Td 5]])</f>
        <v>384</v>
      </c>
      <c r="AI477" s="10">
        <v>54.2</v>
      </c>
      <c r="AJ477" s="10">
        <v>100</v>
      </c>
      <c r="AK477" s="17">
        <f t="shared" si="53"/>
        <v>0</v>
      </c>
      <c r="AL477" s="17">
        <f t="shared" si="54"/>
        <v>686</v>
      </c>
      <c r="AM477" s="17">
        <f t="shared" si="55"/>
        <v>225</v>
      </c>
    </row>
    <row r="478" spans="1:39" s="3" customFormat="1" x14ac:dyDescent="0.25">
      <c r="A478" s="2" t="s">
        <v>16</v>
      </c>
      <c r="B478" s="29" t="s">
        <v>739</v>
      </c>
      <c r="C478" s="2" t="s">
        <v>41</v>
      </c>
      <c r="D478" s="2" t="s">
        <v>496</v>
      </c>
      <c r="E478" s="14">
        <v>10479</v>
      </c>
      <c r="F478" s="15">
        <f t="shared" si="49"/>
        <v>365.71710000000002</v>
      </c>
      <c r="G478" s="15">
        <f t="shared" si="50"/>
        <v>419.16</v>
      </c>
      <c r="H478" s="15">
        <f t="shared" si="51"/>
        <v>304.76425</v>
      </c>
      <c r="I478" s="15">
        <f t="shared" si="52"/>
        <v>349.3</v>
      </c>
      <c r="J478" s="10">
        <v>276</v>
      </c>
      <c r="K478" s="10">
        <v>77</v>
      </c>
      <c r="L478" s="10">
        <v>370</v>
      </c>
      <c r="M478" s="10">
        <v>377</v>
      </c>
      <c r="N478" s="10">
        <v>348</v>
      </c>
      <c r="O478" s="10">
        <v>297</v>
      </c>
      <c r="P478" s="10">
        <v>295</v>
      </c>
      <c r="Q478" s="10">
        <v>287</v>
      </c>
      <c r="R478" s="10">
        <v>307</v>
      </c>
      <c r="S478" s="10">
        <v>306</v>
      </c>
      <c r="T478" s="10">
        <v>283</v>
      </c>
      <c r="U478" s="10">
        <v>257</v>
      </c>
      <c r="V478" s="10">
        <v>236</v>
      </c>
      <c r="W478" s="10">
        <v>214</v>
      </c>
      <c r="X478" s="10">
        <v>317</v>
      </c>
      <c r="Y478" s="10">
        <v>326</v>
      </c>
      <c r="Z478" s="10">
        <v>317</v>
      </c>
      <c r="AA478" s="10">
        <v>359</v>
      </c>
      <c r="AB478" s="10">
        <v>317</v>
      </c>
      <c r="AC478" s="10">
        <v>88</v>
      </c>
      <c r="AD478" s="10">
        <v>82</v>
      </c>
      <c r="AE478" s="10">
        <v>63</v>
      </c>
      <c r="AF478" s="10">
        <v>79</v>
      </c>
      <c r="AG478" s="10">
        <v>92</v>
      </c>
      <c r="AH478" s="102">
        <f>SUM(Tableau2[[#This Row],[Td 2]:[Td 5]])</f>
        <v>316</v>
      </c>
      <c r="AI478" s="10">
        <v>58.3</v>
      </c>
      <c r="AJ478" s="10">
        <v>100</v>
      </c>
      <c r="AK478" s="17">
        <f t="shared" si="53"/>
        <v>7.7642500000000041</v>
      </c>
      <c r="AL478" s="17">
        <f t="shared" si="54"/>
        <v>0</v>
      </c>
      <c r="AM478" s="17">
        <f t="shared" si="55"/>
        <v>317</v>
      </c>
    </row>
    <row r="479" spans="1:39" s="3" customFormat="1" x14ac:dyDescent="0.25">
      <c r="A479" s="2" t="s">
        <v>16</v>
      </c>
      <c r="B479" s="29" t="s">
        <v>739</v>
      </c>
      <c r="C479" s="2" t="s">
        <v>41</v>
      </c>
      <c r="D479" s="2" t="s">
        <v>497</v>
      </c>
      <c r="E479" s="14">
        <v>5453</v>
      </c>
      <c r="F479" s="15">
        <f t="shared" si="49"/>
        <v>190.30969999999999</v>
      </c>
      <c r="G479" s="15">
        <f t="shared" si="50"/>
        <v>218.12</v>
      </c>
      <c r="H479" s="15">
        <f t="shared" si="51"/>
        <v>158.59141666666665</v>
      </c>
      <c r="I479" s="15">
        <f t="shared" si="52"/>
        <v>181.76666666666665</v>
      </c>
      <c r="J479" s="10">
        <v>141</v>
      </c>
      <c r="K479" s="10">
        <v>56</v>
      </c>
      <c r="L479" s="10">
        <v>158</v>
      </c>
      <c r="M479" s="10">
        <v>133</v>
      </c>
      <c r="N479" s="10">
        <v>148</v>
      </c>
      <c r="O479" s="10">
        <v>170</v>
      </c>
      <c r="P479" s="10">
        <v>115</v>
      </c>
      <c r="Q479" s="10">
        <v>165</v>
      </c>
      <c r="R479" s="10">
        <v>162</v>
      </c>
      <c r="S479" s="10">
        <v>115</v>
      </c>
      <c r="T479" s="10">
        <v>136</v>
      </c>
      <c r="U479" s="10">
        <v>168</v>
      </c>
      <c r="V479" s="10">
        <v>158</v>
      </c>
      <c r="W479" s="10">
        <v>226</v>
      </c>
      <c r="X479" s="10">
        <v>170</v>
      </c>
      <c r="Y479" s="10">
        <v>153</v>
      </c>
      <c r="Z479" s="10">
        <v>164</v>
      </c>
      <c r="AA479" s="10">
        <v>148</v>
      </c>
      <c r="AB479" s="10">
        <v>168</v>
      </c>
      <c r="AC479" s="10">
        <v>28</v>
      </c>
      <c r="AD479" s="10">
        <v>40</v>
      </c>
      <c r="AE479" s="10">
        <v>46</v>
      </c>
      <c r="AF479" s="10">
        <v>50</v>
      </c>
      <c r="AG479" s="10">
        <v>47</v>
      </c>
      <c r="AH479" s="102">
        <f>SUM(Tableau2[[#This Row],[Td 2]:[Td 5]])</f>
        <v>183</v>
      </c>
      <c r="AI479" s="10">
        <v>58.3</v>
      </c>
      <c r="AJ479" s="10">
        <v>100</v>
      </c>
      <c r="AK479" s="17">
        <f t="shared" si="53"/>
        <v>0</v>
      </c>
      <c r="AL479" s="17">
        <f t="shared" si="54"/>
        <v>0</v>
      </c>
      <c r="AM479" s="17">
        <f t="shared" si="55"/>
        <v>164</v>
      </c>
    </row>
    <row r="480" spans="1:39" s="3" customFormat="1" x14ac:dyDescent="0.25">
      <c r="A480" s="2" t="s">
        <v>16</v>
      </c>
      <c r="B480" s="29" t="s">
        <v>739</v>
      </c>
      <c r="C480" s="2" t="s">
        <v>41</v>
      </c>
      <c r="D480" s="2" t="s">
        <v>498</v>
      </c>
      <c r="E480" s="14">
        <v>8727</v>
      </c>
      <c r="F480" s="15">
        <f t="shared" si="49"/>
        <v>304.57229999999998</v>
      </c>
      <c r="G480" s="15">
        <f t="shared" si="50"/>
        <v>349.08</v>
      </c>
      <c r="H480" s="15">
        <f t="shared" si="51"/>
        <v>253.81024999999997</v>
      </c>
      <c r="I480" s="15">
        <f t="shared" si="52"/>
        <v>290.89999999999998</v>
      </c>
      <c r="J480" s="10">
        <v>202</v>
      </c>
      <c r="K480" s="10">
        <v>73</v>
      </c>
      <c r="L480" s="10">
        <v>223</v>
      </c>
      <c r="M480" s="10">
        <v>217</v>
      </c>
      <c r="N480" s="10">
        <v>198</v>
      </c>
      <c r="O480" s="10">
        <v>216</v>
      </c>
      <c r="P480" s="10">
        <v>220</v>
      </c>
      <c r="Q480" s="10">
        <v>208</v>
      </c>
      <c r="R480" s="10">
        <v>202</v>
      </c>
      <c r="S480" s="10">
        <v>209</v>
      </c>
      <c r="T480" s="10">
        <v>198</v>
      </c>
      <c r="U480" s="10">
        <v>131</v>
      </c>
      <c r="V480" s="10">
        <v>99</v>
      </c>
      <c r="W480" s="10">
        <v>76</v>
      </c>
      <c r="X480" s="10">
        <v>218</v>
      </c>
      <c r="Y480" s="10">
        <v>88</v>
      </c>
      <c r="Z480" s="10">
        <v>187</v>
      </c>
      <c r="AA480" s="10">
        <v>194</v>
      </c>
      <c r="AB480" s="10">
        <v>186</v>
      </c>
      <c r="AC480" s="10">
        <v>30</v>
      </c>
      <c r="AD480" s="10">
        <v>51</v>
      </c>
      <c r="AE480" s="10">
        <v>47</v>
      </c>
      <c r="AF480" s="10">
        <v>20</v>
      </c>
      <c r="AG480" s="10">
        <v>19</v>
      </c>
      <c r="AH480" s="102">
        <f>SUM(Tableau2[[#This Row],[Td 2]:[Td 5]])</f>
        <v>137</v>
      </c>
      <c r="AI480" s="10">
        <v>58.3</v>
      </c>
      <c r="AJ480" s="10">
        <v>100</v>
      </c>
      <c r="AK480" s="17">
        <f t="shared" si="53"/>
        <v>37.810249999999968</v>
      </c>
      <c r="AL480" s="17">
        <f t="shared" si="54"/>
        <v>0</v>
      </c>
      <c r="AM480" s="17">
        <f t="shared" si="55"/>
        <v>187</v>
      </c>
    </row>
    <row r="481" spans="1:39" s="3" customFormat="1" x14ac:dyDescent="0.25">
      <c r="A481" s="2" t="s">
        <v>16</v>
      </c>
      <c r="B481" s="29" t="s">
        <v>739</v>
      </c>
      <c r="C481" s="2" t="s">
        <v>41</v>
      </c>
      <c r="D481" s="2" t="s">
        <v>499</v>
      </c>
      <c r="E481" s="14">
        <v>28420</v>
      </c>
      <c r="F481" s="15">
        <f t="shared" si="49"/>
        <v>991.85800000000006</v>
      </c>
      <c r="G481" s="15">
        <f t="shared" si="50"/>
        <v>1136.8</v>
      </c>
      <c r="H481" s="15">
        <f t="shared" si="51"/>
        <v>826.5483333333334</v>
      </c>
      <c r="I481" s="15">
        <f t="shared" si="52"/>
        <v>947.33333333333337</v>
      </c>
      <c r="J481" s="10">
        <v>471</v>
      </c>
      <c r="K481" s="10">
        <v>430</v>
      </c>
      <c r="L481" s="10">
        <v>846</v>
      </c>
      <c r="M481" s="10">
        <v>744</v>
      </c>
      <c r="N481" s="10">
        <v>767</v>
      </c>
      <c r="O481" s="10">
        <v>824</v>
      </c>
      <c r="P481" s="10">
        <v>763</v>
      </c>
      <c r="Q481" s="10">
        <v>802</v>
      </c>
      <c r="R481" s="10">
        <v>763</v>
      </c>
      <c r="S481" s="10">
        <v>678</v>
      </c>
      <c r="T481" s="10">
        <v>749</v>
      </c>
      <c r="U481" s="10">
        <v>810</v>
      </c>
      <c r="V481" s="10">
        <v>574</v>
      </c>
      <c r="W481" s="10">
        <v>518</v>
      </c>
      <c r="X481" s="10">
        <v>872</v>
      </c>
      <c r="Y481" s="10">
        <v>558</v>
      </c>
      <c r="Z481" s="10">
        <v>981</v>
      </c>
      <c r="AA481" s="10">
        <v>714</v>
      </c>
      <c r="AB481" s="10">
        <v>615</v>
      </c>
      <c r="AC481" s="10">
        <v>260</v>
      </c>
      <c r="AD481" s="10">
        <v>195</v>
      </c>
      <c r="AE481" s="10">
        <v>159</v>
      </c>
      <c r="AF481" s="10">
        <v>102</v>
      </c>
      <c r="AG481" s="10">
        <v>70</v>
      </c>
      <c r="AH481" s="102">
        <f>SUM(Tableau2[[#This Row],[Td 2]:[Td 5]])</f>
        <v>526</v>
      </c>
      <c r="AI481" s="10">
        <v>100</v>
      </c>
      <c r="AJ481" s="10">
        <v>100</v>
      </c>
      <c r="AK481" s="17">
        <f t="shared" si="53"/>
        <v>2.5483333333334031</v>
      </c>
      <c r="AL481" s="17">
        <f t="shared" si="54"/>
        <v>0</v>
      </c>
      <c r="AM481" s="17">
        <f t="shared" si="55"/>
        <v>872</v>
      </c>
    </row>
    <row r="482" spans="1:39" s="3" customFormat="1" x14ac:dyDescent="0.25">
      <c r="A482" s="2" t="s">
        <v>16</v>
      </c>
      <c r="B482" s="29" t="s">
        <v>739</v>
      </c>
      <c r="C482" s="2" t="s">
        <v>41</v>
      </c>
      <c r="D482" s="2" t="s">
        <v>500</v>
      </c>
      <c r="E482" s="14">
        <v>5412</v>
      </c>
      <c r="F482" s="15">
        <f t="shared" si="49"/>
        <v>188.87880000000001</v>
      </c>
      <c r="G482" s="15">
        <f t="shared" si="50"/>
        <v>216.48000000000002</v>
      </c>
      <c r="H482" s="15">
        <f t="shared" si="51"/>
        <v>157.399</v>
      </c>
      <c r="I482" s="15">
        <f t="shared" si="52"/>
        <v>180.40000000000003</v>
      </c>
      <c r="J482" s="10">
        <v>158</v>
      </c>
      <c r="K482" s="10">
        <v>21</v>
      </c>
      <c r="L482" s="10">
        <v>169</v>
      </c>
      <c r="M482" s="10">
        <v>171</v>
      </c>
      <c r="N482" s="10">
        <v>163</v>
      </c>
      <c r="O482" s="10">
        <v>164</v>
      </c>
      <c r="P482" s="10">
        <v>172</v>
      </c>
      <c r="Q482" s="10">
        <v>178</v>
      </c>
      <c r="R482" s="10">
        <v>158</v>
      </c>
      <c r="S482" s="10">
        <v>156</v>
      </c>
      <c r="T482" s="10">
        <v>152</v>
      </c>
      <c r="U482" s="10">
        <v>176</v>
      </c>
      <c r="V482" s="10">
        <v>208</v>
      </c>
      <c r="W482" s="10">
        <v>198</v>
      </c>
      <c r="X482" s="10">
        <v>162</v>
      </c>
      <c r="Y482" s="10">
        <v>138</v>
      </c>
      <c r="Z482" s="10">
        <v>155</v>
      </c>
      <c r="AA482" s="10">
        <v>166</v>
      </c>
      <c r="AB482" s="10">
        <v>162</v>
      </c>
      <c r="AC482" s="10">
        <v>23</v>
      </c>
      <c r="AD482" s="10">
        <v>33</v>
      </c>
      <c r="AE482" s="10">
        <v>41</v>
      </c>
      <c r="AF482" s="10">
        <v>35</v>
      </c>
      <c r="AG482" s="10">
        <v>33</v>
      </c>
      <c r="AH482" s="102">
        <f>SUM(Tableau2[[#This Row],[Td 2]:[Td 5]])</f>
        <v>142</v>
      </c>
      <c r="AI482" s="10">
        <v>58.3</v>
      </c>
      <c r="AJ482" s="10">
        <v>100</v>
      </c>
      <c r="AK482" s="17">
        <f t="shared" si="53"/>
        <v>0</v>
      </c>
      <c r="AL482" s="17">
        <f t="shared" si="54"/>
        <v>2</v>
      </c>
      <c r="AM482" s="17">
        <f t="shared" si="55"/>
        <v>155</v>
      </c>
    </row>
    <row r="483" spans="1:39" s="3" customFormat="1" x14ac:dyDescent="0.25">
      <c r="A483" s="2" t="s">
        <v>16</v>
      </c>
      <c r="B483" s="29" t="s">
        <v>739</v>
      </c>
      <c r="C483" s="2" t="s">
        <v>41</v>
      </c>
      <c r="D483" s="2" t="s">
        <v>501</v>
      </c>
      <c r="E483" s="14">
        <v>20917</v>
      </c>
      <c r="F483" s="15">
        <f t="shared" si="49"/>
        <v>730.00329999999997</v>
      </c>
      <c r="G483" s="15">
        <f t="shared" si="50"/>
        <v>836.68000000000006</v>
      </c>
      <c r="H483" s="15">
        <f t="shared" si="51"/>
        <v>608.33608333333336</v>
      </c>
      <c r="I483" s="15">
        <f t="shared" si="52"/>
        <v>697.23333333333346</v>
      </c>
      <c r="J483" s="10">
        <v>754</v>
      </c>
      <c r="K483" s="10">
        <v>642</v>
      </c>
      <c r="L483" s="10">
        <v>668</v>
      </c>
      <c r="M483" s="10">
        <v>629</v>
      </c>
      <c r="N483" s="10">
        <v>635</v>
      </c>
      <c r="O483" s="10">
        <v>563</v>
      </c>
      <c r="P483" s="10">
        <v>510</v>
      </c>
      <c r="Q483" s="10">
        <v>554</v>
      </c>
      <c r="R483" s="10">
        <v>627</v>
      </c>
      <c r="S483" s="10">
        <v>528</v>
      </c>
      <c r="T483" s="10">
        <v>519</v>
      </c>
      <c r="U483" s="10">
        <v>605</v>
      </c>
      <c r="V483" s="10">
        <v>472</v>
      </c>
      <c r="W483" s="10">
        <v>451</v>
      </c>
      <c r="X483" s="10">
        <v>576</v>
      </c>
      <c r="Y483" s="10">
        <v>493</v>
      </c>
      <c r="Z483" s="10">
        <v>582</v>
      </c>
      <c r="AA483" s="10">
        <v>652</v>
      </c>
      <c r="AB483" s="10">
        <v>525</v>
      </c>
      <c r="AC483" s="10">
        <v>140</v>
      </c>
      <c r="AD483" s="10">
        <v>103</v>
      </c>
      <c r="AE483" s="10">
        <v>164</v>
      </c>
      <c r="AF483" s="10">
        <v>182</v>
      </c>
      <c r="AG483" s="10">
        <v>171</v>
      </c>
      <c r="AH483" s="102">
        <f>SUM(Tableau2[[#This Row],[Td 2]:[Td 5]])</f>
        <v>620</v>
      </c>
      <c r="AI483" s="10">
        <v>58.3</v>
      </c>
      <c r="AJ483" s="10">
        <v>100</v>
      </c>
      <c r="AK483" s="17">
        <f t="shared" si="53"/>
        <v>45.336083333333363</v>
      </c>
      <c r="AL483" s="17">
        <f t="shared" si="54"/>
        <v>0</v>
      </c>
      <c r="AM483" s="17">
        <f t="shared" si="55"/>
        <v>576</v>
      </c>
    </row>
    <row r="484" spans="1:39" s="3" customFormat="1" x14ac:dyDescent="0.25">
      <c r="A484" s="2" t="s">
        <v>16</v>
      </c>
      <c r="B484" s="29" t="s">
        <v>739</v>
      </c>
      <c r="C484" s="2" t="s">
        <v>41</v>
      </c>
      <c r="D484" s="2" t="s">
        <v>417</v>
      </c>
      <c r="E484" s="14">
        <v>17316</v>
      </c>
      <c r="F484" s="15">
        <f t="shared" si="49"/>
        <v>604.32839999999999</v>
      </c>
      <c r="G484" s="15">
        <f t="shared" si="50"/>
        <v>692.64</v>
      </c>
      <c r="H484" s="15">
        <f t="shared" si="51"/>
        <v>503.60700000000003</v>
      </c>
      <c r="I484" s="15">
        <f t="shared" si="52"/>
        <v>577.20000000000005</v>
      </c>
      <c r="J484" s="10">
        <v>490</v>
      </c>
      <c r="K484" s="10">
        <v>119</v>
      </c>
      <c r="L484" s="10">
        <v>448</v>
      </c>
      <c r="M484" s="10">
        <v>454</v>
      </c>
      <c r="N484" s="10">
        <v>419</v>
      </c>
      <c r="O484" s="10">
        <v>516</v>
      </c>
      <c r="P484" s="10">
        <v>909</v>
      </c>
      <c r="Q484" s="10">
        <v>513</v>
      </c>
      <c r="R484" s="10">
        <v>495</v>
      </c>
      <c r="S484" s="10">
        <v>454</v>
      </c>
      <c r="T484" s="10">
        <v>416</v>
      </c>
      <c r="U484" s="10">
        <v>472</v>
      </c>
      <c r="V484" s="10">
        <v>434</v>
      </c>
      <c r="W484" s="10">
        <v>397</v>
      </c>
      <c r="X484" s="10">
        <v>506</v>
      </c>
      <c r="Y484" s="10">
        <v>430</v>
      </c>
      <c r="Z484" s="10">
        <v>478</v>
      </c>
      <c r="AA484" s="10">
        <v>499</v>
      </c>
      <c r="AB484" s="10">
        <v>431</v>
      </c>
      <c r="AC484" s="10">
        <v>196</v>
      </c>
      <c r="AD484" s="10">
        <v>141</v>
      </c>
      <c r="AE484" s="10">
        <v>149</v>
      </c>
      <c r="AF484" s="10">
        <v>122</v>
      </c>
      <c r="AG484" s="10">
        <v>92</v>
      </c>
      <c r="AH484" s="102">
        <f>SUM(Tableau2[[#This Row],[Td 2]:[Td 5]])</f>
        <v>504</v>
      </c>
      <c r="AI484" s="10">
        <v>58.3</v>
      </c>
      <c r="AJ484" s="10">
        <v>100</v>
      </c>
      <c r="AK484" s="17">
        <f t="shared" si="53"/>
        <v>0</v>
      </c>
      <c r="AL484" s="17">
        <f t="shared" si="54"/>
        <v>10</v>
      </c>
      <c r="AM484" s="17">
        <f t="shared" si="55"/>
        <v>478</v>
      </c>
    </row>
    <row r="485" spans="1:39" s="3" customFormat="1" x14ac:dyDescent="0.25">
      <c r="A485" s="2" t="s">
        <v>16</v>
      </c>
      <c r="B485" s="29" t="s">
        <v>739</v>
      </c>
      <c r="C485" s="2" t="s">
        <v>41</v>
      </c>
      <c r="D485" s="2" t="s">
        <v>502</v>
      </c>
      <c r="E485" s="14">
        <v>20932</v>
      </c>
      <c r="F485" s="15">
        <f t="shared" si="49"/>
        <v>730.52679999999998</v>
      </c>
      <c r="G485" s="15">
        <f t="shared" si="50"/>
        <v>837.28</v>
      </c>
      <c r="H485" s="15">
        <f t="shared" si="51"/>
        <v>608.77233333333334</v>
      </c>
      <c r="I485" s="15">
        <f t="shared" si="52"/>
        <v>697.73333333333323</v>
      </c>
      <c r="J485" s="10">
        <v>405</v>
      </c>
      <c r="K485" s="10">
        <v>581</v>
      </c>
      <c r="L485" s="10">
        <v>586</v>
      </c>
      <c r="M485" s="10">
        <v>588</v>
      </c>
      <c r="N485" s="10">
        <v>562</v>
      </c>
      <c r="O485" s="10">
        <v>598</v>
      </c>
      <c r="P485" s="10">
        <v>497</v>
      </c>
      <c r="Q485" s="10">
        <v>489</v>
      </c>
      <c r="R485" s="10">
        <v>549</v>
      </c>
      <c r="S485" s="10">
        <v>473</v>
      </c>
      <c r="T485" s="10">
        <v>448</v>
      </c>
      <c r="U485" s="10">
        <v>567</v>
      </c>
      <c r="V485" s="10">
        <v>606</v>
      </c>
      <c r="W485" s="10">
        <v>553</v>
      </c>
      <c r="X485" s="10">
        <v>594</v>
      </c>
      <c r="Y485" s="10">
        <v>445</v>
      </c>
      <c r="Z485" s="10">
        <v>544</v>
      </c>
      <c r="AA485" s="10">
        <v>563</v>
      </c>
      <c r="AB485" s="10">
        <v>599</v>
      </c>
      <c r="AC485" s="10">
        <v>114</v>
      </c>
      <c r="AD485" s="10">
        <v>127</v>
      </c>
      <c r="AE485" s="10">
        <v>204</v>
      </c>
      <c r="AF485" s="10">
        <v>83</v>
      </c>
      <c r="AG485" s="10">
        <v>79</v>
      </c>
      <c r="AH485" s="102">
        <f>SUM(Tableau2[[#This Row],[Td 2]:[Td 5]])</f>
        <v>493</v>
      </c>
      <c r="AI485" s="10">
        <v>100</v>
      </c>
      <c r="AJ485" s="10">
        <v>100</v>
      </c>
      <c r="AK485" s="17">
        <f t="shared" si="53"/>
        <v>10.772333333333336</v>
      </c>
      <c r="AL485" s="17">
        <f t="shared" si="54"/>
        <v>4</v>
      </c>
      <c r="AM485" s="17">
        <f t="shared" si="55"/>
        <v>544</v>
      </c>
    </row>
    <row r="486" spans="1:39" s="3" customFormat="1" x14ac:dyDescent="0.25">
      <c r="A486" s="2" t="s">
        <v>16</v>
      </c>
      <c r="B486" s="29" t="s">
        <v>739</v>
      </c>
      <c r="C486" s="2" t="s">
        <v>41</v>
      </c>
      <c r="D486" s="2" t="s">
        <v>503</v>
      </c>
      <c r="E486" s="14">
        <v>24403</v>
      </c>
      <c r="F486" s="15">
        <f t="shared" si="49"/>
        <v>851.66470000000004</v>
      </c>
      <c r="G486" s="15">
        <f t="shared" si="50"/>
        <v>976.12</v>
      </c>
      <c r="H486" s="15">
        <f t="shared" si="51"/>
        <v>709.72058333333337</v>
      </c>
      <c r="I486" s="15">
        <f t="shared" si="52"/>
        <v>813.43333333333339</v>
      </c>
      <c r="J486" s="10">
        <v>617</v>
      </c>
      <c r="K486" s="10">
        <v>72</v>
      </c>
      <c r="L486" s="10">
        <v>910</v>
      </c>
      <c r="M486" s="10">
        <v>856</v>
      </c>
      <c r="N486" s="10">
        <v>824</v>
      </c>
      <c r="O486" s="10">
        <v>885</v>
      </c>
      <c r="P486" s="10">
        <v>863</v>
      </c>
      <c r="Q486" s="10">
        <v>737</v>
      </c>
      <c r="R486" s="10">
        <v>877</v>
      </c>
      <c r="S486" s="10">
        <v>846</v>
      </c>
      <c r="T486" s="10">
        <v>806</v>
      </c>
      <c r="U486" s="10">
        <v>964</v>
      </c>
      <c r="V486" s="10">
        <v>893</v>
      </c>
      <c r="W486" s="10">
        <v>569</v>
      </c>
      <c r="X486" s="10">
        <v>594</v>
      </c>
      <c r="Y486" s="10">
        <v>660</v>
      </c>
      <c r="Z486" s="10">
        <v>650</v>
      </c>
      <c r="AA486" s="10">
        <v>837</v>
      </c>
      <c r="AB486" s="10">
        <v>703</v>
      </c>
      <c r="AC486" s="10">
        <v>161</v>
      </c>
      <c r="AD486" s="10">
        <v>165</v>
      </c>
      <c r="AE486" s="10">
        <v>206</v>
      </c>
      <c r="AF486" s="10">
        <v>87</v>
      </c>
      <c r="AG486" s="10">
        <v>75</v>
      </c>
      <c r="AH486" s="102">
        <f>SUM(Tableau2[[#This Row],[Td 2]:[Td 5]])</f>
        <v>533</v>
      </c>
      <c r="AI486" s="10">
        <v>44.4</v>
      </c>
      <c r="AJ486" s="10">
        <v>100</v>
      </c>
      <c r="AK486" s="17">
        <f t="shared" si="53"/>
        <v>0</v>
      </c>
      <c r="AL486" s="17">
        <f t="shared" si="54"/>
        <v>291</v>
      </c>
      <c r="AM486" s="17">
        <f t="shared" si="55"/>
        <v>594</v>
      </c>
    </row>
    <row r="487" spans="1:39" s="3" customFormat="1" x14ac:dyDescent="0.25">
      <c r="A487" s="2" t="s">
        <v>16</v>
      </c>
      <c r="B487" s="29" t="s">
        <v>739</v>
      </c>
      <c r="C487" s="2" t="s">
        <v>41</v>
      </c>
      <c r="D487" s="2" t="s">
        <v>504</v>
      </c>
      <c r="E487" s="14">
        <v>19959</v>
      </c>
      <c r="F487" s="15">
        <f t="shared" si="49"/>
        <v>696.56910000000005</v>
      </c>
      <c r="G487" s="15">
        <f t="shared" si="50"/>
        <v>798.36</v>
      </c>
      <c r="H487" s="15">
        <f t="shared" si="51"/>
        <v>580.47424999999998</v>
      </c>
      <c r="I487" s="15">
        <f t="shared" si="52"/>
        <v>665.3</v>
      </c>
      <c r="J487" s="10">
        <v>379</v>
      </c>
      <c r="K487" s="10">
        <v>185</v>
      </c>
      <c r="L487" s="10">
        <v>603</v>
      </c>
      <c r="M487" s="10">
        <v>529</v>
      </c>
      <c r="N487" s="10">
        <v>2323</v>
      </c>
      <c r="O487" s="10">
        <v>552</v>
      </c>
      <c r="P487" s="10">
        <v>482</v>
      </c>
      <c r="Q487" s="10">
        <v>516</v>
      </c>
      <c r="R487" s="10">
        <v>552</v>
      </c>
      <c r="S487" s="10">
        <v>482</v>
      </c>
      <c r="T487" s="10">
        <v>516</v>
      </c>
      <c r="U487" s="10">
        <v>444</v>
      </c>
      <c r="V487" s="10">
        <v>328</v>
      </c>
      <c r="W487" s="10">
        <v>328</v>
      </c>
      <c r="X487" s="10">
        <v>585</v>
      </c>
      <c r="Y487" s="10">
        <v>500</v>
      </c>
      <c r="Z487" s="10">
        <v>548</v>
      </c>
      <c r="AA487" s="10">
        <v>566</v>
      </c>
      <c r="AB487" s="10">
        <v>586</v>
      </c>
      <c r="AC487" s="10">
        <v>142</v>
      </c>
      <c r="AD487" s="10">
        <v>123</v>
      </c>
      <c r="AE487" s="10">
        <v>103</v>
      </c>
      <c r="AF487" s="10">
        <v>106</v>
      </c>
      <c r="AG487" s="10">
        <v>72</v>
      </c>
      <c r="AH487" s="102">
        <f>SUM(Tableau2[[#This Row],[Td 2]:[Td 5]])</f>
        <v>404</v>
      </c>
      <c r="AI487" s="10">
        <v>58.3</v>
      </c>
      <c r="AJ487" s="10">
        <v>100</v>
      </c>
      <c r="AK487" s="17">
        <f t="shared" si="53"/>
        <v>28.474249999999984</v>
      </c>
      <c r="AL487" s="17">
        <f t="shared" si="54"/>
        <v>0</v>
      </c>
      <c r="AM487" s="17">
        <f t="shared" si="55"/>
        <v>548</v>
      </c>
    </row>
    <row r="488" spans="1:39" s="3" customFormat="1" x14ac:dyDescent="0.25">
      <c r="A488" s="2" t="s">
        <v>16</v>
      </c>
      <c r="B488" s="29" t="s">
        <v>739</v>
      </c>
      <c r="C488" s="2" t="s">
        <v>41</v>
      </c>
      <c r="D488" s="2" t="s">
        <v>505</v>
      </c>
      <c r="E488" s="14">
        <v>9563</v>
      </c>
      <c r="F488" s="15">
        <f t="shared" si="49"/>
        <v>333.74869999999999</v>
      </c>
      <c r="G488" s="15">
        <f t="shared" si="50"/>
        <v>382.52</v>
      </c>
      <c r="H488" s="15">
        <f t="shared" si="51"/>
        <v>278.12391666666667</v>
      </c>
      <c r="I488" s="15">
        <f t="shared" si="52"/>
        <v>318.76666666666665</v>
      </c>
      <c r="J488" s="10">
        <v>259</v>
      </c>
      <c r="K488" s="10">
        <v>168</v>
      </c>
      <c r="L488" s="10">
        <v>295</v>
      </c>
      <c r="M488" s="10">
        <v>300</v>
      </c>
      <c r="N488" s="10">
        <v>309</v>
      </c>
      <c r="O488" s="10">
        <v>293</v>
      </c>
      <c r="P488" s="10">
        <v>292</v>
      </c>
      <c r="Q488" s="10">
        <v>329</v>
      </c>
      <c r="R488" s="10">
        <v>292</v>
      </c>
      <c r="S488" s="10">
        <v>276</v>
      </c>
      <c r="T488" s="10">
        <v>287</v>
      </c>
      <c r="U488" s="10">
        <v>295</v>
      </c>
      <c r="V488" s="10">
        <v>302</v>
      </c>
      <c r="W488" s="10">
        <v>306</v>
      </c>
      <c r="X488" s="10">
        <v>311</v>
      </c>
      <c r="Y488" s="10">
        <v>264</v>
      </c>
      <c r="Z488" s="10">
        <v>288</v>
      </c>
      <c r="AA488" s="10">
        <v>309</v>
      </c>
      <c r="AB488" s="10">
        <v>311</v>
      </c>
      <c r="AC488" s="10">
        <v>57</v>
      </c>
      <c r="AD488" s="10">
        <v>51</v>
      </c>
      <c r="AE488" s="10">
        <v>65</v>
      </c>
      <c r="AF488" s="10">
        <v>77</v>
      </c>
      <c r="AG488" s="10">
        <v>115</v>
      </c>
      <c r="AH488" s="102">
        <f>SUM(Tableau2[[#This Row],[Td 2]:[Td 5]])</f>
        <v>308</v>
      </c>
      <c r="AI488" s="10">
        <v>58.3</v>
      </c>
      <c r="AJ488" s="10">
        <v>100</v>
      </c>
      <c r="AK488" s="17">
        <f t="shared" si="53"/>
        <v>0</v>
      </c>
      <c r="AL488" s="17">
        <f t="shared" si="54"/>
        <v>0</v>
      </c>
      <c r="AM488" s="17">
        <f t="shared" si="55"/>
        <v>288</v>
      </c>
    </row>
    <row r="489" spans="1:39" s="3" customFormat="1" x14ac:dyDescent="0.25">
      <c r="A489" s="2" t="s">
        <v>16</v>
      </c>
      <c r="B489" s="29" t="s">
        <v>739</v>
      </c>
      <c r="C489" s="2" t="s">
        <v>41</v>
      </c>
      <c r="D489" s="2" t="s">
        <v>506</v>
      </c>
      <c r="E489" s="14">
        <v>18975</v>
      </c>
      <c r="F489" s="15">
        <f t="shared" si="49"/>
        <v>662.22749999999996</v>
      </c>
      <c r="G489" s="15">
        <f t="shared" si="50"/>
        <v>759</v>
      </c>
      <c r="H489" s="15">
        <f t="shared" si="51"/>
        <v>551.85624999999993</v>
      </c>
      <c r="I489" s="15">
        <f t="shared" si="52"/>
        <v>632.5</v>
      </c>
      <c r="J489" s="10">
        <v>400</v>
      </c>
      <c r="K489" s="10">
        <v>301</v>
      </c>
      <c r="L489" s="10">
        <v>595</v>
      </c>
      <c r="M489" s="10">
        <v>523</v>
      </c>
      <c r="N489" s="10">
        <v>562</v>
      </c>
      <c r="O489" s="10">
        <v>512</v>
      </c>
      <c r="P489" s="10">
        <v>487</v>
      </c>
      <c r="Q489" s="10">
        <v>492</v>
      </c>
      <c r="R489" s="10">
        <v>514</v>
      </c>
      <c r="S489" s="10">
        <v>489</v>
      </c>
      <c r="T489" s="10">
        <v>500</v>
      </c>
      <c r="U489" s="10">
        <v>433</v>
      </c>
      <c r="V489" s="10">
        <v>430</v>
      </c>
      <c r="W489" s="10">
        <v>450</v>
      </c>
      <c r="X489" s="10">
        <v>553</v>
      </c>
      <c r="Y489" s="10">
        <v>409</v>
      </c>
      <c r="Z489" s="10">
        <v>477</v>
      </c>
      <c r="AA489" s="10">
        <v>566</v>
      </c>
      <c r="AB489" s="10">
        <v>543</v>
      </c>
      <c r="AC489" s="10">
        <v>295</v>
      </c>
      <c r="AD489" s="10">
        <v>218</v>
      </c>
      <c r="AE489" s="10">
        <v>204</v>
      </c>
      <c r="AF489" s="10">
        <v>158</v>
      </c>
      <c r="AG489" s="10">
        <v>154</v>
      </c>
      <c r="AH489" s="102">
        <f>SUM(Tableau2[[#This Row],[Td 2]:[Td 5]])</f>
        <v>734</v>
      </c>
      <c r="AI489" s="10">
        <v>50</v>
      </c>
      <c r="AJ489" s="10">
        <v>100</v>
      </c>
      <c r="AK489" s="17">
        <f t="shared" si="53"/>
        <v>39.856249999999932</v>
      </c>
      <c r="AL489" s="17">
        <f t="shared" si="54"/>
        <v>0</v>
      </c>
      <c r="AM489" s="17">
        <f t="shared" si="55"/>
        <v>477</v>
      </c>
    </row>
    <row r="490" spans="1:39" s="3" customFormat="1" x14ac:dyDescent="0.25">
      <c r="A490" s="2" t="s">
        <v>16</v>
      </c>
      <c r="B490" s="29" t="s">
        <v>739</v>
      </c>
      <c r="C490" s="2" t="s">
        <v>41</v>
      </c>
      <c r="D490" s="2" t="s">
        <v>507</v>
      </c>
      <c r="E490" s="14">
        <v>21401</v>
      </c>
      <c r="F490" s="15">
        <f t="shared" si="49"/>
        <v>746.89490000000001</v>
      </c>
      <c r="G490" s="15">
        <f t="shared" si="50"/>
        <v>856.04</v>
      </c>
      <c r="H490" s="15">
        <f t="shared" si="51"/>
        <v>622.41241666666667</v>
      </c>
      <c r="I490" s="15">
        <f t="shared" si="52"/>
        <v>713.36666666666656</v>
      </c>
      <c r="J490" s="10">
        <v>468</v>
      </c>
      <c r="K490" s="10">
        <v>571</v>
      </c>
      <c r="L490" s="10">
        <v>666</v>
      </c>
      <c r="M490" s="10">
        <v>633</v>
      </c>
      <c r="N490" s="10">
        <v>714</v>
      </c>
      <c r="O490" s="10">
        <v>629</v>
      </c>
      <c r="P490" s="10">
        <v>565</v>
      </c>
      <c r="Q490" s="10">
        <v>751</v>
      </c>
      <c r="R490" s="10">
        <v>629</v>
      </c>
      <c r="S490" s="10">
        <v>552</v>
      </c>
      <c r="T490" s="10">
        <v>635</v>
      </c>
      <c r="U490" s="10">
        <v>545</v>
      </c>
      <c r="V490" s="10">
        <v>451</v>
      </c>
      <c r="W490" s="10">
        <v>572</v>
      </c>
      <c r="X490" s="10">
        <v>700</v>
      </c>
      <c r="Y490" s="10">
        <v>814</v>
      </c>
      <c r="Z490" s="10">
        <v>659</v>
      </c>
      <c r="AA490" s="10">
        <v>714</v>
      </c>
      <c r="AB490" s="10">
        <v>726</v>
      </c>
      <c r="AC490" s="10">
        <v>199</v>
      </c>
      <c r="AD490" s="10">
        <v>240</v>
      </c>
      <c r="AE490" s="10">
        <v>152</v>
      </c>
      <c r="AF490" s="10">
        <v>129</v>
      </c>
      <c r="AG490" s="10">
        <v>111</v>
      </c>
      <c r="AH490" s="102">
        <f>SUM(Tableau2[[#This Row],[Td 2]:[Td 5]])</f>
        <v>632</v>
      </c>
      <c r="AI490" s="10">
        <v>62.5</v>
      </c>
      <c r="AJ490" s="10">
        <v>100</v>
      </c>
      <c r="AK490" s="17">
        <f t="shared" si="53"/>
        <v>0</v>
      </c>
      <c r="AL490" s="17">
        <f t="shared" si="54"/>
        <v>0</v>
      </c>
      <c r="AM490" s="17">
        <f t="shared" si="55"/>
        <v>659</v>
      </c>
    </row>
    <row r="491" spans="1:39" s="3" customFormat="1" x14ac:dyDescent="0.25">
      <c r="A491" s="2" t="s">
        <v>16</v>
      </c>
      <c r="B491" s="29" t="s">
        <v>739</v>
      </c>
      <c r="C491" s="2" t="s">
        <v>41</v>
      </c>
      <c r="D491" s="2" t="s">
        <v>508</v>
      </c>
      <c r="E491" s="14">
        <v>11676</v>
      </c>
      <c r="F491" s="15">
        <f t="shared" si="49"/>
        <v>407.49240000000003</v>
      </c>
      <c r="G491" s="15">
        <f t="shared" si="50"/>
        <v>467.04</v>
      </c>
      <c r="H491" s="15">
        <f t="shared" si="51"/>
        <v>339.577</v>
      </c>
      <c r="I491" s="15">
        <f t="shared" si="52"/>
        <v>389.20000000000005</v>
      </c>
      <c r="J491" s="10">
        <v>292</v>
      </c>
      <c r="K491" s="10">
        <v>52</v>
      </c>
      <c r="L491" s="10">
        <v>375</v>
      </c>
      <c r="M491" s="10">
        <v>345</v>
      </c>
      <c r="N491" s="10">
        <v>379</v>
      </c>
      <c r="O491" s="10">
        <v>367</v>
      </c>
      <c r="P491" s="10">
        <v>336</v>
      </c>
      <c r="Q491" s="10">
        <v>363</v>
      </c>
      <c r="R491" s="10">
        <v>344</v>
      </c>
      <c r="S491" s="10">
        <v>311</v>
      </c>
      <c r="T491" s="10">
        <v>326</v>
      </c>
      <c r="U491" s="10">
        <v>288</v>
      </c>
      <c r="V491" s="10">
        <v>227</v>
      </c>
      <c r="W491" s="10">
        <v>226</v>
      </c>
      <c r="X491" s="10">
        <v>385</v>
      </c>
      <c r="Y491" s="10">
        <v>227</v>
      </c>
      <c r="Z491" s="10">
        <v>355</v>
      </c>
      <c r="AA491" s="10">
        <v>399</v>
      </c>
      <c r="AB491" s="10">
        <v>388</v>
      </c>
      <c r="AC491" s="10">
        <v>75</v>
      </c>
      <c r="AD491" s="10">
        <v>101</v>
      </c>
      <c r="AE491" s="10">
        <v>101</v>
      </c>
      <c r="AF491" s="10">
        <v>65</v>
      </c>
      <c r="AG491" s="10">
        <v>40</v>
      </c>
      <c r="AH491" s="102">
        <f>SUM(Tableau2[[#This Row],[Td 2]:[Td 5]])</f>
        <v>307</v>
      </c>
      <c r="AI491" s="10">
        <v>58.3</v>
      </c>
      <c r="AJ491" s="10">
        <v>100</v>
      </c>
      <c r="AK491" s="17">
        <f t="shared" si="53"/>
        <v>0</v>
      </c>
      <c r="AL491" s="17">
        <f t="shared" si="54"/>
        <v>0</v>
      </c>
      <c r="AM491" s="17">
        <f t="shared" si="55"/>
        <v>355</v>
      </c>
    </row>
    <row r="492" spans="1:39" s="3" customFormat="1" x14ac:dyDescent="0.25">
      <c r="A492" s="2" t="s">
        <v>16</v>
      </c>
      <c r="B492" s="29" t="s">
        <v>739</v>
      </c>
      <c r="C492" s="2" t="s">
        <v>41</v>
      </c>
      <c r="D492" s="2" t="s">
        <v>509</v>
      </c>
      <c r="E492" s="14">
        <v>39506</v>
      </c>
      <c r="F492" s="15">
        <f t="shared" si="49"/>
        <v>1378.7593999999999</v>
      </c>
      <c r="G492" s="15">
        <f t="shared" si="50"/>
        <v>1580.24</v>
      </c>
      <c r="H492" s="15">
        <f t="shared" si="51"/>
        <v>1148.9661666666666</v>
      </c>
      <c r="I492" s="15">
        <f t="shared" si="52"/>
        <v>1316.8666666666668</v>
      </c>
      <c r="J492" s="10">
        <v>704</v>
      </c>
      <c r="K492" s="10">
        <v>916</v>
      </c>
      <c r="L492" s="10">
        <v>1353</v>
      </c>
      <c r="M492" s="10">
        <v>1278</v>
      </c>
      <c r="N492" s="10">
        <v>1385</v>
      </c>
      <c r="O492" s="10">
        <v>1239</v>
      </c>
      <c r="P492" s="10">
        <v>1064</v>
      </c>
      <c r="Q492" s="10">
        <v>1164</v>
      </c>
      <c r="R492" s="10">
        <v>1270</v>
      </c>
      <c r="S492" s="10">
        <v>1071</v>
      </c>
      <c r="T492" s="10">
        <v>1198</v>
      </c>
      <c r="U492" s="10">
        <v>1004</v>
      </c>
      <c r="V492" s="10">
        <v>903</v>
      </c>
      <c r="W492" s="10">
        <v>964</v>
      </c>
      <c r="X492" s="10">
        <v>1181</v>
      </c>
      <c r="Y492" s="10">
        <v>830</v>
      </c>
      <c r="Z492" s="10">
        <v>1072</v>
      </c>
      <c r="AA492" s="10">
        <v>1332</v>
      </c>
      <c r="AB492" s="10">
        <v>1201</v>
      </c>
      <c r="AC492" s="10">
        <v>551</v>
      </c>
      <c r="AD492" s="10">
        <v>547</v>
      </c>
      <c r="AE492" s="10">
        <v>456</v>
      </c>
      <c r="AF492" s="10">
        <v>380</v>
      </c>
      <c r="AG492" s="10">
        <v>301</v>
      </c>
      <c r="AH492" s="102">
        <f>SUM(Tableau2[[#This Row],[Td 2]:[Td 5]])</f>
        <v>1684</v>
      </c>
      <c r="AI492" s="10">
        <v>66.7</v>
      </c>
      <c r="AJ492" s="10">
        <v>100</v>
      </c>
      <c r="AK492" s="17">
        <f t="shared" si="53"/>
        <v>0</v>
      </c>
      <c r="AL492" s="17">
        <f t="shared" si="54"/>
        <v>58</v>
      </c>
      <c r="AM492" s="17">
        <f t="shared" si="55"/>
        <v>1072</v>
      </c>
    </row>
    <row r="493" spans="1:39" s="3" customFormat="1" x14ac:dyDescent="0.25">
      <c r="A493" s="2" t="s">
        <v>16</v>
      </c>
      <c r="B493" s="29" t="s">
        <v>739</v>
      </c>
      <c r="C493" s="2" t="s">
        <v>41</v>
      </c>
      <c r="D493" s="2" t="s">
        <v>510</v>
      </c>
      <c r="E493" s="14">
        <v>11135</v>
      </c>
      <c r="F493" s="15">
        <f t="shared" si="49"/>
        <v>388.61149999999998</v>
      </c>
      <c r="G493" s="15">
        <f t="shared" si="50"/>
        <v>445.40000000000003</v>
      </c>
      <c r="H493" s="15">
        <f t="shared" si="51"/>
        <v>323.84291666666661</v>
      </c>
      <c r="I493" s="15">
        <f t="shared" si="52"/>
        <v>371.16666666666669</v>
      </c>
      <c r="J493" s="10">
        <v>295</v>
      </c>
      <c r="K493" s="10">
        <v>116</v>
      </c>
      <c r="L493" s="10">
        <v>333</v>
      </c>
      <c r="M493" s="10">
        <v>337</v>
      </c>
      <c r="N493" s="10">
        <v>359</v>
      </c>
      <c r="O493" s="10">
        <v>323</v>
      </c>
      <c r="P493" s="10">
        <v>303</v>
      </c>
      <c r="Q493" s="10">
        <v>328</v>
      </c>
      <c r="R493" s="10">
        <v>311</v>
      </c>
      <c r="S493" s="10">
        <v>296</v>
      </c>
      <c r="T493" s="10">
        <v>306</v>
      </c>
      <c r="U493" s="10">
        <v>308</v>
      </c>
      <c r="V493" s="10">
        <v>309</v>
      </c>
      <c r="W493" s="10">
        <v>313</v>
      </c>
      <c r="X493" s="10">
        <v>333</v>
      </c>
      <c r="Y493" s="10">
        <v>308</v>
      </c>
      <c r="Z493" s="10">
        <v>319</v>
      </c>
      <c r="AA493" s="10">
        <v>368</v>
      </c>
      <c r="AB493" s="10">
        <v>331</v>
      </c>
      <c r="AC493" s="10">
        <v>80</v>
      </c>
      <c r="AD493" s="10">
        <v>93</v>
      </c>
      <c r="AE493" s="10">
        <v>120</v>
      </c>
      <c r="AF493" s="10">
        <v>78</v>
      </c>
      <c r="AG493" s="10">
        <v>61</v>
      </c>
      <c r="AH493" s="102">
        <f>SUM(Tableau2[[#This Row],[Td 2]:[Td 5]])</f>
        <v>352</v>
      </c>
      <c r="AI493" s="10">
        <v>58.3</v>
      </c>
      <c r="AJ493" s="10">
        <v>100</v>
      </c>
      <c r="AK493" s="17">
        <f t="shared" si="53"/>
        <v>0.84291666666661058</v>
      </c>
      <c r="AL493" s="17">
        <f t="shared" si="54"/>
        <v>0</v>
      </c>
      <c r="AM493" s="17">
        <f t="shared" si="55"/>
        <v>319</v>
      </c>
    </row>
    <row r="494" spans="1:39" s="3" customFormat="1" x14ac:dyDescent="0.25">
      <c r="A494" s="2" t="s">
        <v>16</v>
      </c>
      <c r="B494" s="29" t="s">
        <v>739</v>
      </c>
      <c r="C494" s="2" t="s">
        <v>41</v>
      </c>
      <c r="D494" s="2" t="s">
        <v>511</v>
      </c>
      <c r="E494" s="14">
        <v>13001</v>
      </c>
      <c r="F494" s="15">
        <f t="shared" si="49"/>
        <v>453.73489999999998</v>
      </c>
      <c r="G494" s="15">
        <f t="shared" si="50"/>
        <v>520.04</v>
      </c>
      <c r="H494" s="15">
        <f t="shared" si="51"/>
        <v>378.11241666666666</v>
      </c>
      <c r="I494" s="15">
        <f t="shared" si="52"/>
        <v>433.36666666666667</v>
      </c>
      <c r="J494" s="10">
        <v>252</v>
      </c>
      <c r="K494" s="10">
        <v>22</v>
      </c>
      <c r="L494" s="10">
        <v>407</v>
      </c>
      <c r="M494" s="10">
        <v>391</v>
      </c>
      <c r="N494" s="10">
        <v>397</v>
      </c>
      <c r="O494" s="10">
        <v>326</v>
      </c>
      <c r="P494" s="10">
        <v>303</v>
      </c>
      <c r="Q494" s="10">
        <v>316</v>
      </c>
      <c r="R494" s="10">
        <v>360</v>
      </c>
      <c r="S494" s="10">
        <v>343</v>
      </c>
      <c r="T494" s="10">
        <v>358</v>
      </c>
      <c r="U494" s="10">
        <v>338</v>
      </c>
      <c r="V494" s="10">
        <v>227</v>
      </c>
      <c r="W494" s="10">
        <v>235</v>
      </c>
      <c r="X494" s="10">
        <v>407</v>
      </c>
      <c r="Y494" s="10">
        <v>356</v>
      </c>
      <c r="Z494" s="10">
        <v>378</v>
      </c>
      <c r="AA494" s="10">
        <v>397</v>
      </c>
      <c r="AB494" s="10">
        <v>407</v>
      </c>
      <c r="AC494" s="10">
        <v>64</v>
      </c>
      <c r="AD494" s="10">
        <v>105</v>
      </c>
      <c r="AE494" s="10">
        <v>104</v>
      </c>
      <c r="AF494" s="10">
        <v>90</v>
      </c>
      <c r="AG494" s="10">
        <v>85</v>
      </c>
      <c r="AH494" s="102">
        <f>SUM(Tableau2[[#This Row],[Td 2]:[Td 5]])</f>
        <v>384</v>
      </c>
      <c r="AI494" s="10">
        <v>58.3</v>
      </c>
      <c r="AJ494" s="10">
        <v>100</v>
      </c>
      <c r="AK494" s="17">
        <f t="shared" si="53"/>
        <v>52.112416666666661</v>
      </c>
      <c r="AL494" s="17">
        <f t="shared" si="54"/>
        <v>0</v>
      </c>
      <c r="AM494" s="17">
        <f t="shared" si="55"/>
        <v>378</v>
      </c>
    </row>
    <row r="495" spans="1:39" s="3" customFormat="1" x14ac:dyDescent="0.25">
      <c r="A495" s="2" t="s">
        <v>16</v>
      </c>
      <c r="B495" s="29" t="s">
        <v>739</v>
      </c>
      <c r="C495" s="2" t="s">
        <v>41</v>
      </c>
      <c r="D495" s="2" t="s">
        <v>512</v>
      </c>
      <c r="E495" s="14">
        <v>6792</v>
      </c>
      <c r="F495" s="15">
        <f t="shared" si="49"/>
        <v>237.04079999999999</v>
      </c>
      <c r="G495" s="15">
        <f t="shared" si="50"/>
        <v>271.68</v>
      </c>
      <c r="H495" s="15">
        <f t="shared" si="51"/>
        <v>197.53399999999999</v>
      </c>
      <c r="I495" s="15">
        <f t="shared" si="52"/>
        <v>226.4</v>
      </c>
      <c r="J495" s="10">
        <v>196</v>
      </c>
      <c r="K495" s="10">
        <v>123</v>
      </c>
      <c r="L495" s="10">
        <v>234</v>
      </c>
      <c r="M495" s="10">
        <v>230</v>
      </c>
      <c r="N495" s="10">
        <v>232</v>
      </c>
      <c r="O495" s="10">
        <v>214</v>
      </c>
      <c r="P495" s="10">
        <v>209</v>
      </c>
      <c r="Q495" s="10">
        <v>221</v>
      </c>
      <c r="R495" s="10">
        <v>193</v>
      </c>
      <c r="S495" s="10">
        <v>192</v>
      </c>
      <c r="T495" s="10">
        <v>205</v>
      </c>
      <c r="U495" s="10">
        <v>214</v>
      </c>
      <c r="V495" s="10">
        <v>211</v>
      </c>
      <c r="W495" s="10">
        <v>231</v>
      </c>
      <c r="X495" s="10">
        <v>252</v>
      </c>
      <c r="Y495" s="10">
        <v>164</v>
      </c>
      <c r="Z495" s="10">
        <v>232</v>
      </c>
      <c r="AA495" s="10">
        <v>245</v>
      </c>
      <c r="AB495" s="10">
        <v>247</v>
      </c>
      <c r="AC495" s="10">
        <v>81</v>
      </c>
      <c r="AD495" s="10">
        <v>74</v>
      </c>
      <c r="AE495" s="10">
        <v>62</v>
      </c>
      <c r="AF495" s="10">
        <v>65</v>
      </c>
      <c r="AG495" s="10">
        <v>74</v>
      </c>
      <c r="AH495" s="102">
        <f>SUM(Tableau2[[#This Row],[Td 2]:[Td 5]])</f>
        <v>275</v>
      </c>
      <c r="AI495" s="10">
        <v>58.3</v>
      </c>
      <c r="AJ495" s="10">
        <v>100</v>
      </c>
      <c r="AK495" s="17">
        <f t="shared" si="53"/>
        <v>0</v>
      </c>
      <c r="AL495" s="17">
        <f t="shared" si="54"/>
        <v>0</v>
      </c>
      <c r="AM495" s="17">
        <f t="shared" si="55"/>
        <v>232</v>
      </c>
    </row>
    <row r="496" spans="1:39" s="3" customFormat="1" x14ac:dyDescent="0.25">
      <c r="A496" s="2" t="s">
        <v>16</v>
      </c>
      <c r="B496" s="29" t="s">
        <v>739</v>
      </c>
      <c r="C496" s="2" t="s">
        <v>41</v>
      </c>
      <c r="D496" s="2" t="s">
        <v>513</v>
      </c>
      <c r="E496" s="14">
        <v>5308</v>
      </c>
      <c r="F496" s="15">
        <f t="shared" si="49"/>
        <v>185.2492</v>
      </c>
      <c r="G496" s="15">
        <f t="shared" si="50"/>
        <v>212.32</v>
      </c>
      <c r="H496" s="15">
        <f t="shared" si="51"/>
        <v>154.37433333333334</v>
      </c>
      <c r="I496" s="15">
        <f t="shared" si="52"/>
        <v>176.93333333333331</v>
      </c>
      <c r="J496" s="10">
        <v>187</v>
      </c>
      <c r="K496" s="10">
        <v>55</v>
      </c>
      <c r="L496" s="10">
        <v>166</v>
      </c>
      <c r="M496" s="10">
        <v>176</v>
      </c>
      <c r="N496" s="10">
        <v>183</v>
      </c>
      <c r="O496" s="10">
        <v>150</v>
      </c>
      <c r="P496" s="10">
        <v>167</v>
      </c>
      <c r="Q496" s="10">
        <v>165</v>
      </c>
      <c r="R496" s="10">
        <v>158</v>
      </c>
      <c r="S496" s="10">
        <v>165</v>
      </c>
      <c r="T496" s="10">
        <v>178</v>
      </c>
      <c r="U496" s="10">
        <v>155</v>
      </c>
      <c r="V496" s="10">
        <v>187</v>
      </c>
      <c r="W496" s="10">
        <v>215</v>
      </c>
      <c r="X496" s="10">
        <v>177</v>
      </c>
      <c r="Y496" s="10">
        <v>123</v>
      </c>
      <c r="Z496" s="10">
        <v>169</v>
      </c>
      <c r="AA496" s="10">
        <v>186</v>
      </c>
      <c r="AB496" s="10">
        <v>177</v>
      </c>
      <c r="AC496" s="10">
        <v>29</v>
      </c>
      <c r="AD496" s="10">
        <v>44</v>
      </c>
      <c r="AE496" s="10">
        <v>31</v>
      </c>
      <c r="AF496" s="10">
        <v>27</v>
      </c>
      <c r="AG496" s="10">
        <v>18</v>
      </c>
      <c r="AH496" s="102">
        <f>SUM(Tableau2[[#This Row],[Td 2]:[Td 5]])</f>
        <v>120</v>
      </c>
      <c r="AI496" s="10">
        <v>58.3</v>
      </c>
      <c r="AJ496" s="10">
        <v>100</v>
      </c>
      <c r="AK496" s="17">
        <f t="shared" si="53"/>
        <v>4.3743333333333396</v>
      </c>
      <c r="AL496" s="17">
        <f t="shared" si="54"/>
        <v>0</v>
      </c>
      <c r="AM496" s="17">
        <f t="shared" si="55"/>
        <v>169</v>
      </c>
    </row>
    <row r="497" spans="1:39" s="3" customFormat="1" x14ac:dyDescent="0.25">
      <c r="A497" s="2" t="s">
        <v>16</v>
      </c>
      <c r="B497" s="29" t="s">
        <v>739</v>
      </c>
      <c r="C497" s="2" t="s">
        <v>41</v>
      </c>
      <c r="D497" s="2" t="s">
        <v>514</v>
      </c>
      <c r="E497" s="14">
        <v>12054</v>
      </c>
      <c r="F497" s="15">
        <f t="shared" si="49"/>
        <v>420.68459999999999</v>
      </c>
      <c r="G497" s="15">
        <f t="shared" si="50"/>
        <v>482.16</v>
      </c>
      <c r="H497" s="15">
        <f t="shared" si="51"/>
        <v>350.57049999999998</v>
      </c>
      <c r="I497" s="15">
        <f t="shared" si="52"/>
        <v>401.8</v>
      </c>
      <c r="J497" s="10">
        <v>343</v>
      </c>
      <c r="K497" s="10">
        <v>72</v>
      </c>
      <c r="L497" s="10">
        <v>357</v>
      </c>
      <c r="M497" s="10">
        <v>281</v>
      </c>
      <c r="N497" s="10">
        <v>403</v>
      </c>
      <c r="O497" s="10">
        <v>344</v>
      </c>
      <c r="P497" s="10">
        <v>267</v>
      </c>
      <c r="Q497" s="10">
        <v>364</v>
      </c>
      <c r="R497" s="10">
        <v>324</v>
      </c>
      <c r="S497" s="10">
        <v>243</v>
      </c>
      <c r="T497" s="10">
        <v>345</v>
      </c>
      <c r="U497" s="10">
        <v>315</v>
      </c>
      <c r="V497" s="10">
        <v>263</v>
      </c>
      <c r="W497" s="10">
        <v>304</v>
      </c>
      <c r="X497" s="10">
        <v>352</v>
      </c>
      <c r="Y497" s="10">
        <v>289</v>
      </c>
      <c r="Z497" s="10">
        <v>374</v>
      </c>
      <c r="AA497" s="10">
        <v>329</v>
      </c>
      <c r="AB497" s="10">
        <v>309</v>
      </c>
      <c r="AC497" s="10">
        <v>97</v>
      </c>
      <c r="AD497" s="10">
        <v>129</v>
      </c>
      <c r="AE497" s="10">
        <v>138</v>
      </c>
      <c r="AF497" s="10">
        <v>250</v>
      </c>
      <c r="AG497" s="10">
        <v>57</v>
      </c>
      <c r="AH497" s="102">
        <f>SUM(Tableau2[[#This Row],[Td 2]:[Td 5]])</f>
        <v>574</v>
      </c>
      <c r="AI497" s="10">
        <v>58.3</v>
      </c>
      <c r="AJ497" s="10">
        <v>100</v>
      </c>
      <c r="AK497" s="17">
        <f t="shared" si="53"/>
        <v>6.5704999999999814</v>
      </c>
      <c r="AL497" s="17">
        <f t="shared" si="54"/>
        <v>0</v>
      </c>
      <c r="AM497" s="17">
        <f t="shared" si="55"/>
        <v>352</v>
      </c>
    </row>
    <row r="498" spans="1:39" s="3" customFormat="1" x14ac:dyDescent="0.25">
      <c r="A498" s="2" t="s">
        <v>16</v>
      </c>
      <c r="B498" s="29" t="s">
        <v>739</v>
      </c>
      <c r="C498" s="2" t="s">
        <v>41</v>
      </c>
      <c r="D498" s="2" t="s">
        <v>515</v>
      </c>
      <c r="E498" s="14">
        <v>11108</v>
      </c>
      <c r="F498" s="15">
        <f t="shared" si="49"/>
        <v>387.66919999999999</v>
      </c>
      <c r="G498" s="15">
        <f t="shared" si="50"/>
        <v>444.32</v>
      </c>
      <c r="H498" s="15">
        <f t="shared" si="51"/>
        <v>323.05766666666665</v>
      </c>
      <c r="I498" s="15">
        <f t="shared" si="52"/>
        <v>370.26666666666665</v>
      </c>
      <c r="J498" s="10">
        <v>251</v>
      </c>
      <c r="K498" s="10">
        <v>89</v>
      </c>
      <c r="L498" s="10">
        <v>389</v>
      </c>
      <c r="M498" s="10">
        <v>421</v>
      </c>
      <c r="N498" s="10">
        <v>363</v>
      </c>
      <c r="O498" s="10">
        <v>405</v>
      </c>
      <c r="P498" s="10">
        <v>466</v>
      </c>
      <c r="Q498" s="10">
        <v>431</v>
      </c>
      <c r="R498" s="10">
        <v>395</v>
      </c>
      <c r="S498" s="10">
        <v>411</v>
      </c>
      <c r="T498" s="10">
        <v>358</v>
      </c>
      <c r="U498" s="10">
        <v>308</v>
      </c>
      <c r="V498" s="10">
        <v>215</v>
      </c>
      <c r="W498" s="10">
        <v>87</v>
      </c>
      <c r="X498" s="10">
        <v>409</v>
      </c>
      <c r="Y498" s="10">
        <v>198</v>
      </c>
      <c r="Z498" s="10">
        <v>409</v>
      </c>
      <c r="AA498" s="10">
        <v>347</v>
      </c>
      <c r="AB498" s="10">
        <v>384</v>
      </c>
      <c r="AC498" s="10">
        <v>116</v>
      </c>
      <c r="AD498" s="10">
        <v>72</v>
      </c>
      <c r="AE498" s="10">
        <v>77</v>
      </c>
      <c r="AF498" s="10">
        <v>78</v>
      </c>
      <c r="AG498" s="10">
        <v>66</v>
      </c>
      <c r="AH498" s="102">
        <f>SUM(Tableau2[[#This Row],[Td 2]:[Td 5]])</f>
        <v>293</v>
      </c>
      <c r="AI498" s="10">
        <v>58.3</v>
      </c>
      <c r="AJ498" s="10">
        <v>100</v>
      </c>
      <c r="AK498" s="17">
        <f t="shared" si="53"/>
        <v>0</v>
      </c>
      <c r="AL498" s="17">
        <f t="shared" si="54"/>
        <v>0</v>
      </c>
      <c r="AM498" s="17">
        <f t="shared" si="55"/>
        <v>409</v>
      </c>
    </row>
    <row r="499" spans="1:39" s="3" customFormat="1" x14ac:dyDescent="0.25">
      <c r="A499" s="2" t="s">
        <v>16</v>
      </c>
      <c r="B499" s="29" t="s">
        <v>739</v>
      </c>
      <c r="C499" s="2" t="s">
        <v>42</v>
      </c>
      <c r="D499" s="2" t="s">
        <v>516</v>
      </c>
      <c r="E499" s="14">
        <v>37491</v>
      </c>
      <c r="F499" s="15">
        <f t="shared" si="49"/>
        <v>1308.4358999999999</v>
      </c>
      <c r="G499" s="15">
        <f t="shared" si="50"/>
        <v>1499.64</v>
      </c>
      <c r="H499" s="15">
        <f t="shared" si="51"/>
        <v>1090.3632499999999</v>
      </c>
      <c r="I499" s="15">
        <f t="shared" si="52"/>
        <v>1249.7</v>
      </c>
      <c r="J499" s="10">
        <v>680</v>
      </c>
      <c r="K499" s="10">
        <v>88</v>
      </c>
      <c r="L499" s="10">
        <v>905</v>
      </c>
      <c r="M499" s="10">
        <v>994</v>
      </c>
      <c r="N499" s="10">
        <v>919</v>
      </c>
      <c r="O499" s="10">
        <v>982</v>
      </c>
      <c r="P499" s="10">
        <v>874</v>
      </c>
      <c r="Q499" s="10">
        <v>789</v>
      </c>
      <c r="R499" s="10">
        <v>1011</v>
      </c>
      <c r="S499" s="10">
        <v>882</v>
      </c>
      <c r="T499" s="10">
        <v>801</v>
      </c>
      <c r="U499" s="10">
        <v>1059</v>
      </c>
      <c r="V499" s="10">
        <v>979</v>
      </c>
      <c r="W499" s="10">
        <v>873</v>
      </c>
      <c r="X499" s="10">
        <v>1026</v>
      </c>
      <c r="Y499" s="10">
        <v>23</v>
      </c>
      <c r="Z499" s="10">
        <v>1041</v>
      </c>
      <c r="AA499" s="10">
        <v>922</v>
      </c>
      <c r="AB499" s="10">
        <v>542</v>
      </c>
      <c r="AC499" s="10">
        <v>460</v>
      </c>
      <c r="AD499" s="10">
        <v>293</v>
      </c>
      <c r="AE499" s="10">
        <v>240</v>
      </c>
      <c r="AF499" s="10">
        <v>64</v>
      </c>
      <c r="AG499" s="10">
        <v>42</v>
      </c>
      <c r="AH499" s="102">
        <f>SUM(Tableau2[[#This Row],[Td 2]:[Td 5]])</f>
        <v>639</v>
      </c>
      <c r="AI499" s="10">
        <v>50</v>
      </c>
      <c r="AJ499" s="10">
        <v>100</v>
      </c>
      <c r="AK499" s="17">
        <f t="shared" si="53"/>
        <v>108.36324999999988</v>
      </c>
      <c r="AL499" s="17">
        <f t="shared" si="54"/>
        <v>0</v>
      </c>
      <c r="AM499" s="17">
        <f t="shared" si="55"/>
        <v>1026</v>
      </c>
    </row>
    <row r="500" spans="1:39" s="3" customFormat="1" x14ac:dyDescent="0.25">
      <c r="A500" s="2" t="s">
        <v>16</v>
      </c>
      <c r="B500" s="29" t="s">
        <v>739</v>
      </c>
      <c r="C500" s="2" t="s">
        <v>42</v>
      </c>
      <c r="D500" s="2" t="s">
        <v>517</v>
      </c>
      <c r="E500" s="14">
        <v>9904</v>
      </c>
      <c r="F500" s="15">
        <f t="shared" si="49"/>
        <v>345.64960000000002</v>
      </c>
      <c r="G500" s="15">
        <f t="shared" si="50"/>
        <v>396.16</v>
      </c>
      <c r="H500" s="15">
        <f t="shared" si="51"/>
        <v>288.04133333333334</v>
      </c>
      <c r="I500" s="15">
        <f t="shared" si="52"/>
        <v>330.13333333333333</v>
      </c>
      <c r="J500" s="10">
        <v>272</v>
      </c>
      <c r="K500" s="10">
        <v>79</v>
      </c>
      <c r="L500" s="10">
        <v>209</v>
      </c>
      <c r="M500" s="10">
        <v>201</v>
      </c>
      <c r="N500" s="10">
        <v>171</v>
      </c>
      <c r="O500" s="10">
        <v>212</v>
      </c>
      <c r="P500" s="10">
        <v>194</v>
      </c>
      <c r="Q500" s="10">
        <v>182</v>
      </c>
      <c r="R500" s="10">
        <v>212</v>
      </c>
      <c r="S500" s="10">
        <v>194</v>
      </c>
      <c r="T500" s="10">
        <v>182</v>
      </c>
      <c r="U500" s="10">
        <v>217</v>
      </c>
      <c r="V500" s="10">
        <v>201</v>
      </c>
      <c r="W500" s="10">
        <v>173</v>
      </c>
      <c r="X500" s="10">
        <v>148</v>
      </c>
      <c r="Y500" s="10">
        <v>18</v>
      </c>
      <c r="Z500" s="10">
        <v>163</v>
      </c>
      <c r="AA500" s="10">
        <v>196</v>
      </c>
      <c r="AB500" s="10">
        <v>66</v>
      </c>
      <c r="AC500" s="10">
        <v>91</v>
      </c>
      <c r="AD500" s="10">
        <v>49</v>
      </c>
      <c r="AE500" s="10">
        <v>18</v>
      </c>
      <c r="AF500" s="10">
        <v>16</v>
      </c>
      <c r="AG500" s="10">
        <v>6</v>
      </c>
      <c r="AH500" s="102">
        <f>SUM(Tableau2[[#This Row],[Td 2]:[Td 5]])</f>
        <v>89</v>
      </c>
      <c r="AI500" s="10">
        <v>33.299999999999997</v>
      </c>
      <c r="AJ500" s="10">
        <v>100</v>
      </c>
      <c r="AK500" s="17">
        <f t="shared" si="53"/>
        <v>76.041333333333341</v>
      </c>
      <c r="AL500" s="17">
        <f t="shared" si="54"/>
        <v>64</v>
      </c>
      <c r="AM500" s="17">
        <f t="shared" si="55"/>
        <v>148</v>
      </c>
    </row>
    <row r="501" spans="1:39" s="3" customFormat="1" x14ac:dyDescent="0.25">
      <c r="A501" s="2" t="s">
        <v>16</v>
      </c>
      <c r="B501" s="29" t="s">
        <v>739</v>
      </c>
      <c r="C501" s="2" t="s">
        <v>42</v>
      </c>
      <c r="D501" s="2" t="s">
        <v>518</v>
      </c>
      <c r="E501" s="14">
        <v>7168</v>
      </c>
      <c r="F501" s="15">
        <f t="shared" si="49"/>
        <v>250.16320000000002</v>
      </c>
      <c r="G501" s="15">
        <f t="shared" si="50"/>
        <v>286.72000000000003</v>
      </c>
      <c r="H501" s="15">
        <f t="shared" si="51"/>
        <v>208.46933333333337</v>
      </c>
      <c r="I501" s="15">
        <f t="shared" si="52"/>
        <v>238.93333333333334</v>
      </c>
      <c r="J501" s="10">
        <v>12</v>
      </c>
      <c r="K501" s="10">
        <v>4</v>
      </c>
      <c r="L501" s="10">
        <v>28</v>
      </c>
      <c r="M501" s="10">
        <v>23</v>
      </c>
      <c r="N501" s="10">
        <v>32</v>
      </c>
      <c r="O501" s="10">
        <v>23</v>
      </c>
      <c r="P501" s="10">
        <v>22</v>
      </c>
      <c r="Q501" s="10">
        <v>23</v>
      </c>
      <c r="R501" s="10">
        <v>27</v>
      </c>
      <c r="S501" s="10">
        <v>22</v>
      </c>
      <c r="T501" s="10">
        <v>23</v>
      </c>
      <c r="U501" s="10">
        <v>20</v>
      </c>
      <c r="V501" s="10">
        <v>19</v>
      </c>
      <c r="W501" s="10">
        <v>18</v>
      </c>
      <c r="X501" s="10">
        <v>19</v>
      </c>
      <c r="Y501" s="10" t="s">
        <v>2</v>
      </c>
      <c r="Z501" s="10">
        <v>19</v>
      </c>
      <c r="AA501" s="10">
        <v>17</v>
      </c>
      <c r="AB501" s="10">
        <v>1</v>
      </c>
      <c r="AC501" s="10" t="s">
        <v>2</v>
      </c>
      <c r="AD501" s="10" t="s">
        <v>2</v>
      </c>
      <c r="AE501" s="10" t="s">
        <v>2</v>
      </c>
      <c r="AF501" s="10" t="s">
        <v>2</v>
      </c>
      <c r="AG501" s="10" t="s">
        <v>2</v>
      </c>
      <c r="AH501" s="102">
        <f>SUM(Tableau2[[#This Row],[Td 2]:[Td 5]])</f>
        <v>0</v>
      </c>
      <c r="AI501" s="10">
        <v>58.3</v>
      </c>
      <c r="AJ501" s="10">
        <v>100</v>
      </c>
      <c r="AK501" s="17">
        <f t="shared" si="53"/>
        <v>185.46933333333337</v>
      </c>
      <c r="AL501" s="17">
        <f t="shared" si="54"/>
        <v>4</v>
      </c>
      <c r="AM501" s="17">
        <f t="shared" si="55"/>
        <v>19</v>
      </c>
    </row>
    <row r="502" spans="1:39" s="3" customFormat="1" x14ac:dyDescent="0.25">
      <c r="A502" s="2" t="s">
        <v>16</v>
      </c>
      <c r="B502" s="29" t="s">
        <v>739</v>
      </c>
      <c r="C502" s="2" t="s">
        <v>42</v>
      </c>
      <c r="D502" s="2" t="s">
        <v>519</v>
      </c>
      <c r="E502" s="14">
        <v>9202</v>
      </c>
      <c r="F502" s="15">
        <f t="shared" si="49"/>
        <v>321.14980000000003</v>
      </c>
      <c r="G502" s="15">
        <f t="shared" si="50"/>
        <v>368.08</v>
      </c>
      <c r="H502" s="15">
        <f t="shared" si="51"/>
        <v>267.62483333333336</v>
      </c>
      <c r="I502" s="15">
        <f t="shared" si="52"/>
        <v>306.73333333333335</v>
      </c>
      <c r="J502" s="10">
        <v>35</v>
      </c>
      <c r="K502" s="10">
        <v>10</v>
      </c>
      <c r="L502" s="10">
        <v>97</v>
      </c>
      <c r="M502" s="10">
        <v>86</v>
      </c>
      <c r="N502" s="10">
        <v>76</v>
      </c>
      <c r="O502" s="10">
        <v>97</v>
      </c>
      <c r="P502" s="10">
        <v>64</v>
      </c>
      <c r="Q502" s="10">
        <v>63</v>
      </c>
      <c r="R502" s="10">
        <v>98</v>
      </c>
      <c r="S502" s="10">
        <v>73</v>
      </c>
      <c r="T502" s="10">
        <v>72</v>
      </c>
      <c r="U502" s="10">
        <v>92</v>
      </c>
      <c r="V502" s="10">
        <v>85</v>
      </c>
      <c r="W502" s="10">
        <v>78</v>
      </c>
      <c r="X502" s="10">
        <v>92</v>
      </c>
      <c r="Y502" s="10">
        <v>23</v>
      </c>
      <c r="Z502" s="10">
        <v>108</v>
      </c>
      <c r="AA502" s="10">
        <v>76</v>
      </c>
      <c r="AB502" s="10">
        <v>72</v>
      </c>
      <c r="AC502" s="10">
        <v>8</v>
      </c>
      <c r="AD502" s="10">
        <v>1</v>
      </c>
      <c r="AE502" s="10">
        <v>4</v>
      </c>
      <c r="AF502" s="10">
        <v>3</v>
      </c>
      <c r="AG502" s="10">
        <v>4</v>
      </c>
      <c r="AH502" s="102">
        <f>SUM(Tableau2[[#This Row],[Td 2]:[Td 5]])</f>
        <v>12</v>
      </c>
      <c r="AI502" s="10">
        <v>33.299999999999997</v>
      </c>
      <c r="AJ502" s="10">
        <v>100</v>
      </c>
      <c r="AK502" s="17">
        <f t="shared" si="53"/>
        <v>170.62483333333336</v>
      </c>
      <c r="AL502" s="17">
        <f t="shared" si="54"/>
        <v>5</v>
      </c>
      <c r="AM502" s="17">
        <f t="shared" si="55"/>
        <v>92</v>
      </c>
    </row>
    <row r="503" spans="1:39" s="3" customFormat="1" x14ac:dyDescent="0.25">
      <c r="A503" s="2" t="s">
        <v>16</v>
      </c>
      <c r="B503" s="29" t="s">
        <v>739</v>
      </c>
      <c r="C503" s="2" t="s">
        <v>42</v>
      </c>
      <c r="D503" s="2" t="s">
        <v>520</v>
      </c>
      <c r="E503" s="14">
        <v>16087</v>
      </c>
      <c r="F503" s="15">
        <f t="shared" si="49"/>
        <v>561.43629999999996</v>
      </c>
      <c r="G503" s="15">
        <f t="shared" si="50"/>
        <v>643.48</v>
      </c>
      <c r="H503" s="15">
        <f t="shared" si="51"/>
        <v>467.86358333333334</v>
      </c>
      <c r="I503" s="15">
        <f t="shared" si="52"/>
        <v>536.23333333333335</v>
      </c>
      <c r="J503" s="10">
        <v>299</v>
      </c>
      <c r="K503" s="10">
        <v>399</v>
      </c>
      <c r="L503" s="10">
        <v>794</v>
      </c>
      <c r="M503" s="10">
        <v>788</v>
      </c>
      <c r="N503" s="10">
        <v>744</v>
      </c>
      <c r="O503" s="10">
        <v>753</v>
      </c>
      <c r="P503" s="10">
        <v>703</v>
      </c>
      <c r="Q503" s="10">
        <v>703</v>
      </c>
      <c r="R503" s="10">
        <v>881</v>
      </c>
      <c r="S503" s="10">
        <v>811</v>
      </c>
      <c r="T503" s="10">
        <v>801</v>
      </c>
      <c r="U503" s="10">
        <v>683</v>
      </c>
      <c r="V503" s="10">
        <v>650</v>
      </c>
      <c r="W503" s="10">
        <v>621</v>
      </c>
      <c r="X503" s="10">
        <v>757</v>
      </c>
      <c r="Y503" s="10">
        <v>95</v>
      </c>
      <c r="Z503" s="10">
        <v>620</v>
      </c>
      <c r="AA503" s="10">
        <v>789</v>
      </c>
      <c r="AB503" s="10">
        <v>208</v>
      </c>
      <c r="AC503" s="10">
        <v>326</v>
      </c>
      <c r="AD503" s="10">
        <v>252</v>
      </c>
      <c r="AE503" s="10">
        <v>153</v>
      </c>
      <c r="AF503" s="10">
        <v>111</v>
      </c>
      <c r="AG503" s="10">
        <v>82</v>
      </c>
      <c r="AH503" s="102">
        <f>SUM(Tableau2[[#This Row],[Td 2]:[Td 5]])</f>
        <v>598</v>
      </c>
      <c r="AI503" s="10">
        <v>66.7</v>
      </c>
      <c r="AJ503" s="10">
        <v>100</v>
      </c>
      <c r="AK503" s="17">
        <f t="shared" si="53"/>
        <v>0</v>
      </c>
      <c r="AL503" s="17">
        <f t="shared" si="54"/>
        <v>0</v>
      </c>
      <c r="AM503" s="17">
        <f t="shared" si="55"/>
        <v>620</v>
      </c>
    </row>
    <row r="504" spans="1:39" s="3" customFormat="1" x14ac:dyDescent="0.25">
      <c r="A504" s="2" t="s">
        <v>16</v>
      </c>
      <c r="B504" s="29" t="s">
        <v>739</v>
      </c>
      <c r="C504" s="2" t="s">
        <v>42</v>
      </c>
      <c r="D504" s="2" t="s">
        <v>93</v>
      </c>
      <c r="E504" s="14">
        <v>9336</v>
      </c>
      <c r="F504" s="15">
        <f t="shared" si="49"/>
        <v>325.82639999999998</v>
      </c>
      <c r="G504" s="15">
        <f t="shared" si="50"/>
        <v>373.44</v>
      </c>
      <c r="H504" s="15">
        <f t="shared" si="51"/>
        <v>271.52199999999999</v>
      </c>
      <c r="I504" s="15">
        <f t="shared" si="52"/>
        <v>311.2</v>
      </c>
      <c r="J504" s="10">
        <v>147</v>
      </c>
      <c r="K504" s="10">
        <v>311</v>
      </c>
      <c r="L504" s="10">
        <v>181</v>
      </c>
      <c r="M504" s="10">
        <v>177</v>
      </c>
      <c r="N504" s="10">
        <v>183</v>
      </c>
      <c r="O504" s="10">
        <v>181</v>
      </c>
      <c r="P504" s="10">
        <v>177</v>
      </c>
      <c r="Q504" s="10">
        <v>173</v>
      </c>
      <c r="R504" s="10">
        <v>182</v>
      </c>
      <c r="S504" s="10">
        <v>177</v>
      </c>
      <c r="T504" s="10">
        <v>154</v>
      </c>
      <c r="U504" s="10">
        <v>167</v>
      </c>
      <c r="V504" s="10">
        <v>159</v>
      </c>
      <c r="W504" s="10">
        <v>163</v>
      </c>
      <c r="X504" s="10">
        <v>199</v>
      </c>
      <c r="Y504" s="10">
        <v>7</v>
      </c>
      <c r="Z504" s="10">
        <v>197</v>
      </c>
      <c r="AA504" s="10">
        <v>174</v>
      </c>
      <c r="AB504" s="10">
        <v>85</v>
      </c>
      <c r="AC504" s="10">
        <v>259</v>
      </c>
      <c r="AD504" s="10">
        <v>186</v>
      </c>
      <c r="AE504" s="10">
        <v>10</v>
      </c>
      <c r="AF504" s="10" t="s">
        <v>2</v>
      </c>
      <c r="AG504" s="10">
        <v>2</v>
      </c>
      <c r="AH504" s="102">
        <f>SUM(Tableau2[[#This Row],[Td 2]:[Td 5]])</f>
        <v>198</v>
      </c>
      <c r="AI504" s="10">
        <v>50</v>
      </c>
      <c r="AJ504" s="10">
        <v>100</v>
      </c>
      <c r="AK504" s="17">
        <f t="shared" si="53"/>
        <v>90.521999999999991</v>
      </c>
      <c r="AL504" s="17">
        <f t="shared" si="54"/>
        <v>0</v>
      </c>
      <c r="AM504" s="17">
        <f t="shared" si="55"/>
        <v>197</v>
      </c>
    </row>
    <row r="505" spans="1:39" s="3" customFormat="1" x14ac:dyDescent="0.25">
      <c r="A505" s="2" t="s">
        <v>16</v>
      </c>
      <c r="B505" s="29" t="s">
        <v>739</v>
      </c>
      <c r="C505" s="2" t="s">
        <v>42</v>
      </c>
      <c r="D505" s="2" t="s">
        <v>521</v>
      </c>
      <c r="E505" s="14">
        <v>13224</v>
      </c>
      <c r="F505" s="15">
        <f t="shared" si="49"/>
        <v>461.51760000000002</v>
      </c>
      <c r="G505" s="15">
        <f t="shared" si="50"/>
        <v>528.96</v>
      </c>
      <c r="H505" s="15">
        <f t="shared" si="51"/>
        <v>384.59800000000001</v>
      </c>
      <c r="I505" s="15">
        <f t="shared" si="52"/>
        <v>440.80000000000007</v>
      </c>
      <c r="J505" s="10" t="s">
        <v>2</v>
      </c>
      <c r="K505" s="10">
        <v>10</v>
      </c>
      <c r="L505" s="10">
        <v>60</v>
      </c>
      <c r="M505" s="10">
        <v>58</v>
      </c>
      <c r="N505" s="10">
        <v>43</v>
      </c>
      <c r="O505" s="10">
        <v>60</v>
      </c>
      <c r="P505" s="10">
        <v>58</v>
      </c>
      <c r="Q505" s="10">
        <v>43</v>
      </c>
      <c r="R505" s="10">
        <v>60</v>
      </c>
      <c r="S505" s="10">
        <v>58</v>
      </c>
      <c r="T505" s="10">
        <v>43</v>
      </c>
      <c r="U505" s="10">
        <v>60</v>
      </c>
      <c r="V505" s="10">
        <v>58</v>
      </c>
      <c r="W505" s="10">
        <v>43</v>
      </c>
      <c r="X505" s="10">
        <v>54</v>
      </c>
      <c r="Y505" s="10">
        <v>7</v>
      </c>
      <c r="Z505" s="10">
        <v>54</v>
      </c>
      <c r="AA505" s="10">
        <v>43</v>
      </c>
      <c r="AB505" s="10">
        <v>54</v>
      </c>
      <c r="AC505" s="10">
        <v>23</v>
      </c>
      <c r="AD505" s="10">
        <v>14</v>
      </c>
      <c r="AE505" s="10">
        <v>12</v>
      </c>
      <c r="AF505" s="10">
        <v>9</v>
      </c>
      <c r="AG505" s="10">
        <v>6</v>
      </c>
      <c r="AH505" s="102">
        <f>SUM(Tableau2[[#This Row],[Td 2]:[Td 5]])</f>
        <v>41</v>
      </c>
      <c r="AI505" s="10">
        <v>33.299999999999997</v>
      </c>
      <c r="AJ505" s="10">
        <v>100</v>
      </c>
      <c r="AK505" s="17">
        <f t="shared" si="53"/>
        <v>324.59800000000001</v>
      </c>
      <c r="AL505" s="17">
        <f t="shared" si="54"/>
        <v>6</v>
      </c>
      <c r="AM505" s="17">
        <f t="shared" si="55"/>
        <v>54</v>
      </c>
    </row>
    <row r="506" spans="1:39" s="3" customFormat="1" x14ac:dyDescent="0.25">
      <c r="A506" s="2" t="s">
        <v>16</v>
      </c>
      <c r="B506" s="29" t="s">
        <v>739</v>
      </c>
      <c r="C506" s="2" t="s">
        <v>42</v>
      </c>
      <c r="D506" s="2" t="s">
        <v>522</v>
      </c>
      <c r="E506" s="14">
        <v>11620</v>
      </c>
      <c r="F506" s="15">
        <f t="shared" si="49"/>
        <v>405.53800000000001</v>
      </c>
      <c r="G506" s="15">
        <f t="shared" si="50"/>
        <v>464.8</v>
      </c>
      <c r="H506" s="15">
        <f t="shared" si="51"/>
        <v>337.94833333333338</v>
      </c>
      <c r="I506" s="15">
        <f t="shared" si="52"/>
        <v>387.33333333333337</v>
      </c>
      <c r="J506" s="10" t="s">
        <v>2</v>
      </c>
      <c r="K506" s="10" t="s">
        <v>2</v>
      </c>
      <c r="L506" s="10" t="s">
        <v>2</v>
      </c>
      <c r="M506" s="10" t="s">
        <v>2</v>
      </c>
      <c r="N506" s="10" t="s">
        <v>2</v>
      </c>
      <c r="O506" s="10" t="s">
        <v>2</v>
      </c>
      <c r="P506" s="10" t="s">
        <v>2</v>
      </c>
      <c r="Q506" s="10" t="s">
        <v>2</v>
      </c>
      <c r="R506" s="10" t="s">
        <v>2</v>
      </c>
      <c r="S506" s="10" t="s">
        <v>2</v>
      </c>
      <c r="T506" s="10" t="s">
        <v>2</v>
      </c>
      <c r="U506" s="10" t="s">
        <v>2</v>
      </c>
      <c r="V506" s="10" t="s">
        <v>2</v>
      </c>
      <c r="W506" s="10" t="s">
        <v>2</v>
      </c>
      <c r="X506" s="10" t="s">
        <v>2</v>
      </c>
      <c r="Y506" s="10" t="s">
        <v>2</v>
      </c>
      <c r="Z506" s="10" t="s">
        <v>2</v>
      </c>
      <c r="AA506" s="10" t="s">
        <v>2</v>
      </c>
      <c r="AB506" s="10" t="s">
        <v>2</v>
      </c>
      <c r="AC506" s="10" t="s">
        <v>2</v>
      </c>
      <c r="AD506" s="10" t="s">
        <v>2</v>
      </c>
      <c r="AE506" s="10" t="s">
        <v>2</v>
      </c>
      <c r="AF506" s="10" t="s">
        <v>2</v>
      </c>
      <c r="AG506" s="10" t="s">
        <v>2</v>
      </c>
      <c r="AH506" s="102">
        <f>SUM(Tableau2[[#This Row],[Td 2]:[Td 5]])</f>
        <v>0</v>
      </c>
      <c r="AI506" s="10" t="s">
        <v>2</v>
      </c>
      <c r="AJ506" s="10">
        <v>100</v>
      </c>
      <c r="AK506" s="17">
        <f t="shared" si="53"/>
        <v>0</v>
      </c>
      <c r="AL506" s="17">
        <f t="shared" si="54"/>
        <v>0</v>
      </c>
      <c r="AM506" s="17">
        <f t="shared" si="55"/>
        <v>0</v>
      </c>
    </row>
    <row r="507" spans="1:39" s="3" customFormat="1" x14ac:dyDescent="0.25">
      <c r="A507" s="2" t="s">
        <v>16</v>
      </c>
      <c r="B507" s="29" t="s">
        <v>739</v>
      </c>
      <c r="C507" s="2" t="s">
        <v>42</v>
      </c>
      <c r="D507" s="2" t="s">
        <v>422</v>
      </c>
      <c r="E507" s="14">
        <v>11451</v>
      </c>
      <c r="F507" s="15">
        <f t="shared" si="49"/>
        <v>399.63990000000001</v>
      </c>
      <c r="G507" s="15">
        <f t="shared" si="50"/>
        <v>458.04</v>
      </c>
      <c r="H507" s="15">
        <f t="shared" si="51"/>
        <v>333.03325000000001</v>
      </c>
      <c r="I507" s="15">
        <f t="shared" si="52"/>
        <v>381.70000000000005</v>
      </c>
      <c r="J507" s="10">
        <v>77</v>
      </c>
      <c r="K507" s="10">
        <v>47</v>
      </c>
      <c r="L507" s="10">
        <v>251</v>
      </c>
      <c r="M507" s="10">
        <v>230</v>
      </c>
      <c r="N507" s="10">
        <v>225</v>
      </c>
      <c r="O507" s="10">
        <v>251</v>
      </c>
      <c r="P507" s="10">
        <v>228</v>
      </c>
      <c r="Q507" s="10">
        <v>208</v>
      </c>
      <c r="R507" s="10">
        <v>220</v>
      </c>
      <c r="S507" s="10">
        <v>181</v>
      </c>
      <c r="T507" s="10">
        <v>203</v>
      </c>
      <c r="U507" s="10">
        <v>235</v>
      </c>
      <c r="V507" s="10">
        <v>216</v>
      </c>
      <c r="W507" s="10">
        <v>216</v>
      </c>
      <c r="X507" s="10">
        <v>283</v>
      </c>
      <c r="Y507" s="10">
        <v>12</v>
      </c>
      <c r="Z507" s="10">
        <v>172</v>
      </c>
      <c r="AA507" s="10">
        <v>252</v>
      </c>
      <c r="AB507" s="10">
        <v>124</v>
      </c>
      <c r="AC507" s="10">
        <v>18</v>
      </c>
      <c r="AD507" s="10">
        <v>9</v>
      </c>
      <c r="AE507" s="10">
        <v>7</v>
      </c>
      <c r="AF507" s="10">
        <v>10</v>
      </c>
      <c r="AG507" s="10">
        <v>14</v>
      </c>
      <c r="AH507" s="102">
        <f>SUM(Tableau2[[#This Row],[Td 2]:[Td 5]])</f>
        <v>40</v>
      </c>
      <c r="AI507" s="10">
        <v>33.299999999999997</v>
      </c>
      <c r="AJ507" s="10">
        <v>100</v>
      </c>
      <c r="AK507" s="17">
        <f t="shared" si="53"/>
        <v>82.03325000000001</v>
      </c>
      <c r="AL507" s="17">
        <f t="shared" si="54"/>
        <v>0</v>
      </c>
      <c r="AM507" s="17">
        <f t="shared" si="55"/>
        <v>172</v>
      </c>
    </row>
    <row r="508" spans="1:39" s="3" customFormat="1" x14ac:dyDescent="0.25">
      <c r="A508" s="2" t="s">
        <v>16</v>
      </c>
      <c r="B508" s="29" t="s">
        <v>739</v>
      </c>
      <c r="C508" s="2" t="s">
        <v>42</v>
      </c>
      <c r="D508" s="2" t="s">
        <v>523</v>
      </c>
      <c r="E508" s="14">
        <v>11474</v>
      </c>
      <c r="F508" s="15">
        <f t="shared" si="49"/>
        <v>400.44260000000003</v>
      </c>
      <c r="G508" s="15">
        <f t="shared" si="50"/>
        <v>458.96000000000004</v>
      </c>
      <c r="H508" s="15">
        <f t="shared" si="51"/>
        <v>333.7021666666667</v>
      </c>
      <c r="I508" s="15">
        <f t="shared" si="52"/>
        <v>382.4666666666667</v>
      </c>
      <c r="J508" s="10">
        <v>200</v>
      </c>
      <c r="K508" s="10">
        <v>34</v>
      </c>
      <c r="L508" s="10">
        <v>371</v>
      </c>
      <c r="M508" s="10">
        <v>345</v>
      </c>
      <c r="N508" s="10">
        <v>367</v>
      </c>
      <c r="O508" s="10">
        <v>308</v>
      </c>
      <c r="P508" s="10">
        <v>276</v>
      </c>
      <c r="Q508" s="10">
        <v>292</v>
      </c>
      <c r="R508" s="10">
        <v>308</v>
      </c>
      <c r="S508" s="10">
        <v>276</v>
      </c>
      <c r="T508" s="10">
        <v>292</v>
      </c>
      <c r="U508" s="10">
        <v>324</v>
      </c>
      <c r="V508" s="10">
        <v>286</v>
      </c>
      <c r="W508" s="10">
        <v>306</v>
      </c>
      <c r="X508" s="10">
        <v>299</v>
      </c>
      <c r="Y508" s="10">
        <v>33</v>
      </c>
      <c r="Z508" s="10">
        <v>240</v>
      </c>
      <c r="AA508" s="10">
        <v>346</v>
      </c>
      <c r="AB508" s="10">
        <v>130</v>
      </c>
      <c r="AC508" s="10">
        <v>210</v>
      </c>
      <c r="AD508" s="10">
        <v>104</v>
      </c>
      <c r="AE508" s="10">
        <v>8</v>
      </c>
      <c r="AF508" s="10">
        <v>7</v>
      </c>
      <c r="AG508" s="10" t="s">
        <v>2</v>
      </c>
      <c r="AH508" s="102">
        <f>SUM(Tableau2[[#This Row],[Td 2]:[Td 5]])</f>
        <v>119</v>
      </c>
      <c r="AI508" s="10">
        <v>50</v>
      </c>
      <c r="AJ508" s="10">
        <v>100</v>
      </c>
      <c r="AK508" s="17">
        <f t="shared" si="53"/>
        <v>25.702166666666699</v>
      </c>
      <c r="AL508" s="17">
        <f t="shared" si="54"/>
        <v>9</v>
      </c>
      <c r="AM508" s="17">
        <f t="shared" si="55"/>
        <v>240</v>
      </c>
    </row>
    <row r="509" spans="1:39" s="3" customFormat="1" x14ac:dyDescent="0.25">
      <c r="A509" s="2" t="s">
        <v>16</v>
      </c>
      <c r="B509" s="29" t="s">
        <v>739</v>
      </c>
      <c r="C509" s="2" t="s">
        <v>42</v>
      </c>
      <c r="D509" s="2" t="s">
        <v>524</v>
      </c>
      <c r="E509" s="14">
        <v>12246</v>
      </c>
      <c r="F509" s="15">
        <f t="shared" si="49"/>
        <v>427.3854</v>
      </c>
      <c r="G509" s="15">
        <f t="shared" si="50"/>
        <v>489.84000000000003</v>
      </c>
      <c r="H509" s="15">
        <f t="shared" si="51"/>
        <v>356.15450000000004</v>
      </c>
      <c r="I509" s="15">
        <f t="shared" si="52"/>
        <v>408.2</v>
      </c>
      <c r="J509" s="10">
        <v>104</v>
      </c>
      <c r="K509" s="10">
        <v>136</v>
      </c>
      <c r="L509" s="10">
        <v>312</v>
      </c>
      <c r="M509" s="10">
        <v>284</v>
      </c>
      <c r="N509" s="10">
        <v>233</v>
      </c>
      <c r="O509" s="10">
        <v>257</v>
      </c>
      <c r="P509" s="10">
        <v>248</v>
      </c>
      <c r="Q509" s="10">
        <v>265</v>
      </c>
      <c r="R509" s="10">
        <v>290</v>
      </c>
      <c r="S509" s="10">
        <v>248</v>
      </c>
      <c r="T509" s="10">
        <v>233</v>
      </c>
      <c r="U509" s="10">
        <v>252</v>
      </c>
      <c r="V509" s="10">
        <v>185</v>
      </c>
      <c r="W509" s="10">
        <v>176</v>
      </c>
      <c r="X509" s="10">
        <v>221</v>
      </c>
      <c r="Y509" s="10">
        <v>37</v>
      </c>
      <c r="Z509" s="10">
        <v>221</v>
      </c>
      <c r="AA509" s="10">
        <v>233</v>
      </c>
      <c r="AB509" s="10">
        <v>63</v>
      </c>
      <c r="AC509" s="10">
        <v>522</v>
      </c>
      <c r="AD509" s="10">
        <v>303</v>
      </c>
      <c r="AE509" s="10">
        <v>4</v>
      </c>
      <c r="AF509" s="10" t="s">
        <v>2</v>
      </c>
      <c r="AG509" s="10" t="s">
        <v>2</v>
      </c>
      <c r="AH509" s="102">
        <f>SUM(Tableau2[[#This Row],[Td 2]:[Td 5]])</f>
        <v>307</v>
      </c>
      <c r="AI509" s="10">
        <v>50</v>
      </c>
      <c r="AJ509" s="10">
        <v>100</v>
      </c>
      <c r="AK509" s="17">
        <f t="shared" si="53"/>
        <v>99.154500000000041</v>
      </c>
      <c r="AL509" s="17">
        <f t="shared" si="54"/>
        <v>36</v>
      </c>
      <c r="AM509" s="17">
        <f t="shared" si="55"/>
        <v>221</v>
      </c>
    </row>
    <row r="510" spans="1:39" s="3" customFormat="1" x14ac:dyDescent="0.25">
      <c r="A510" s="2" t="s">
        <v>16</v>
      </c>
      <c r="B510" s="29" t="s">
        <v>739</v>
      </c>
      <c r="C510" s="2" t="s">
        <v>42</v>
      </c>
      <c r="D510" s="2" t="s">
        <v>525</v>
      </c>
      <c r="E510" s="14">
        <v>31433</v>
      </c>
      <c r="F510" s="15">
        <f t="shared" si="49"/>
        <v>1097.0117</v>
      </c>
      <c r="G510" s="15">
        <f t="shared" si="50"/>
        <v>1257.32</v>
      </c>
      <c r="H510" s="15">
        <f t="shared" si="51"/>
        <v>914.17641666666668</v>
      </c>
      <c r="I510" s="15">
        <f t="shared" si="52"/>
        <v>1047.7666666666667</v>
      </c>
      <c r="J510" s="10">
        <v>641</v>
      </c>
      <c r="K510" s="10">
        <v>341</v>
      </c>
      <c r="L510" s="10">
        <v>1066</v>
      </c>
      <c r="M510" s="10">
        <v>892</v>
      </c>
      <c r="N510" s="10">
        <v>829</v>
      </c>
      <c r="O510" s="10">
        <v>962</v>
      </c>
      <c r="P510" s="10">
        <v>892</v>
      </c>
      <c r="Q510" s="10">
        <v>829</v>
      </c>
      <c r="R510" s="10">
        <v>1066</v>
      </c>
      <c r="S510" s="10">
        <v>852</v>
      </c>
      <c r="T510" s="10">
        <v>829</v>
      </c>
      <c r="U510" s="10">
        <v>1065</v>
      </c>
      <c r="V510" s="10">
        <v>892</v>
      </c>
      <c r="W510" s="10">
        <v>829</v>
      </c>
      <c r="X510" s="10">
        <v>797</v>
      </c>
      <c r="Y510" s="10">
        <v>124</v>
      </c>
      <c r="Z510" s="10">
        <v>741</v>
      </c>
      <c r="AA510" s="10">
        <v>1194</v>
      </c>
      <c r="AB510" s="10">
        <v>444</v>
      </c>
      <c r="AC510" s="10">
        <v>629</v>
      </c>
      <c r="AD510" s="10">
        <v>395</v>
      </c>
      <c r="AE510" s="10">
        <v>208</v>
      </c>
      <c r="AF510" s="10">
        <v>90</v>
      </c>
      <c r="AG510" s="10">
        <v>65</v>
      </c>
      <c r="AH510" s="102">
        <f>SUM(Tableau2[[#This Row],[Td 2]:[Td 5]])</f>
        <v>758</v>
      </c>
      <c r="AI510" s="10">
        <v>54.2</v>
      </c>
      <c r="AJ510" s="10">
        <v>100</v>
      </c>
      <c r="AK510" s="17">
        <f t="shared" si="53"/>
        <v>0</v>
      </c>
      <c r="AL510" s="17">
        <f t="shared" si="54"/>
        <v>165</v>
      </c>
      <c r="AM510" s="17">
        <f t="shared" si="55"/>
        <v>741</v>
      </c>
    </row>
    <row r="511" spans="1:39" s="3" customFormat="1" x14ac:dyDescent="0.25">
      <c r="A511" s="2" t="s">
        <v>16</v>
      </c>
      <c r="B511" s="29" t="s">
        <v>739</v>
      </c>
      <c r="C511" s="2" t="s">
        <v>42</v>
      </c>
      <c r="D511" s="2" t="s">
        <v>526</v>
      </c>
      <c r="E511" s="14">
        <v>11813</v>
      </c>
      <c r="F511" s="15">
        <f t="shared" si="49"/>
        <v>412.27370000000002</v>
      </c>
      <c r="G511" s="15">
        <f t="shared" si="50"/>
        <v>472.52</v>
      </c>
      <c r="H511" s="15">
        <f t="shared" si="51"/>
        <v>343.56141666666667</v>
      </c>
      <c r="I511" s="15">
        <f t="shared" si="52"/>
        <v>393.76666666666665</v>
      </c>
      <c r="J511" s="10">
        <v>249</v>
      </c>
      <c r="K511" s="10">
        <v>35</v>
      </c>
      <c r="L511" s="10">
        <v>136</v>
      </c>
      <c r="M511" s="10">
        <v>129</v>
      </c>
      <c r="N511" s="10">
        <v>149</v>
      </c>
      <c r="O511" s="10">
        <v>146</v>
      </c>
      <c r="P511" s="10">
        <v>138</v>
      </c>
      <c r="Q511" s="10">
        <v>156</v>
      </c>
      <c r="R511" s="10">
        <v>146</v>
      </c>
      <c r="S511" s="10">
        <v>138</v>
      </c>
      <c r="T511" s="10">
        <v>156</v>
      </c>
      <c r="U511" s="10">
        <v>146</v>
      </c>
      <c r="V511" s="10">
        <v>138</v>
      </c>
      <c r="W511" s="10">
        <v>156</v>
      </c>
      <c r="X511" s="10">
        <v>76</v>
      </c>
      <c r="Y511" s="10" t="s">
        <v>2</v>
      </c>
      <c r="Z511" s="10">
        <v>68</v>
      </c>
      <c r="AA511" s="10">
        <v>157</v>
      </c>
      <c r="AB511" s="10">
        <v>10</v>
      </c>
      <c r="AC511" s="10">
        <v>36</v>
      </c>
      <c r="AD511" s="10">
        <v>27</v>
      </c>
      <c r="AE511" s="10">
        <v>14</v>
      </c>
      <c r="AF511" s="10">
        <v>4</v>
      </c>
      <c r="AG511" s="10">
        <v>6</v>
      </c>
      <c r="AH511" s="102">
        <f>SUM(Tableau2[[#This Row],[Td 2]:[Td 5]])</f>
        <v>51</v>
      </c>
      <c r="AI511" s="10">
        <v>33.299999999999997</v>
      </c>
      <c r="AJ511" s="10">
        <v>100</v>
      </c>
      <c r="AK511" s="17">
        <f t="shared" si="53"/>
        <v>197.56141666666667</v>
      </c>
      <c r="AL511" s="17">
        <f t="shared" si="54"/>
        <v>70</v>
      </c>
      <c r="AM511" s="17">
        <f t="shared" si="55"/>
        <v>68</v>
      </c>
    </row>
    <row r="512" spans="1:39" s="3" customFormat="1" x14ac:dyDescent="0.25">
      <c r="A512" s="2" t="s">
        <v>16</v>
      </c>
      <c r="B512" s="29" t="s">
        <v>739</v>
      </c>
      <c r="C512" s="2" t="s">
        <v>42</v>
      </c>
      <c r="D512" s="2" t="s">
        <v>527</v>
      </c>
      <c r="E512" s="14">
        <v>28212</v>
      </c>
      <c r="F512" s="15">
        <f t="shared" si="49"/>
        <v>984.59879999999998</v>
      </c>
      <c r="G512" s="15">
        <f t="shared" si="50"/>
        <v>1128.48</v>
      </c>
      <c r="H512" s="15">
        <f t="shared" si="51"/>
        <v>820.49899999999991</v>
      </c>
      <c r="I512" s="15">
        <f t="shared" si="52"/>
        <v>940.40000000000009</v>
      </c>
      <c r="J512" s="10">
        <v>1085</v>
      </c>
      <c r="K512" s="10">
        <v>760</v>
      </c>
      <c r="L512" s="10">
        <v>1269</v>
      </c>
      <c r="M512" s="10">
        <v>1213</v>
      </c>
      <c r="N512" s="10">
        <v>1200</v>
      </c>
      <c r="O512" s="10">
        <v>1152</v>
      </c>
      <c r="P512" s="10">
        <v>1050</v>
      </c>
      <c r="Q512" s="10">
        <v>1080</v>
      </c>
      <c r="R512" s="10">
        <v>1152</v>
      </c>
      <c r="S512" s="10">
        <v>1112</v>
      </c>
      <c r="T512" s="10">
        <v>1083</v>
      </c>
      <c r="U512" s="10">
        <v>1197</v>
      </c>
      <c r="V512" s="10">
        <v>1163</v>
      </c>
      <c r="W512" s="10">
        <v>1134</v>
      </c>
      <c r="X512" s="10">
        <v>924</v>
      </c>
      <c r="Y512" s="10">
        <v>211</v>
      </c>
      <c r="Z512" s="10">
        <v>930</v>
      </c>
      <c r="AA512" s="10">
        <v>1206</v>
      </c>
      <c r="AB512" s="10">
        <v>449</v>
      </c>
      <c r="AC512" s="10">
        <v>528</v>
      </c>
      <c r="AD512" s="10">
        <v>478</v>
      </c>
      <c r="AE512" s="10">
        <v>216</v>
      </c>
      <c r="AF512" s="10">
        <v>136</v>
      </c>
      <c r="AG512" s="10">
        <v>77</v>
      </c>
      <c r="AH512" s="102">
        <f>SUM(Tableau2[[#This Row],[Td 2]:[Td 5]])</f>
        <v>907</v>
      </c>
      <c r="AI512" s="10">
        <v>58.3</v>
      </c>
      <c r="AJ512" s="10">
        <v>100</v>
      </c>
      <c r="AK512" s="17">
        <f t="shared" si="53"/>
        <v>0</v>
      </c>
      <c r="AL512" s="17">
        <f t="shared" si="54"/>
        <v>228</v>
      </c>
      <c r="AM512" s="17">
        <f t="shared" si="55"/>
        <v>924</v>
      </c>
    </row>
    <row r="513" spans="1:39" s="3" customFormat="1" x14ac:dyDescent="0.25">
      <c r="A513" s="2" t="s">
        <v>16</v>
      </c>
      <c r="B513" s="29" t="s">
        <v>739</v>
      </c>
      <c r="C513" s="2" t="s">
        <v>42</v>
      </c>
      <c r="D513" s="2" t="s">
        <v>528</v>
      </c>
      <c r="E513" s="14">
        <v>13457</v>
      </c>
      <c r="F513" s="15">
        <f t="shared" si="49"/>
        <v>469.64929999999998</v>
      </c>
      <c r="G513" s="15">
        <f t="shared" si="50"/>
        <v>538.28</v>
      </c>
      <c r="H513" s="15">
        <f t="shared" si="51"/>
        <v>391.37441666666666</v>
      </c>
      <c r="I513" s="15">
        <f t="shared" si="52"/>
        <v>448.56666666666661</v>
      </c>
      <c r="J513" s="10">
        <v>391</v>
      </c>
      <c r="K513" s="10">
        <v>123</v>
      </c>
      <c r="L513" s="10">
        <v>460</v>
      </c>
      <c r="M513" s="10">
        <v>422</v>
      </c>
      <c r="N513" s="10">
        <v>376</v>
      </c>
      <c r="O513" s="10">
        <v>364</v>
      </c>
      <c r="P513" s="10">
        <v>283</v>
      </c>
      <c r="Q513" s="10">
        <v>247</v>
      </c>
      <c r="R513" s="10">
        <v>433</v>
      </c>
      <c r="S513" s="10">
        <v>382</v>
      </c>
      <c r="T513" s="10">
        <v>339</v>
      </c>
      <c r="U513" s="10">
        <v>397</v>
      </c>
      <c r="V513" s="10">
        <v>348</v>
      </c>
      <c r="W513" s="10">
        <v>306</v>
      </c>
      <c r="X513" s="10">
        <v>427</v>
      </c>
      <c r="Y513" s="10">
        <v>8</v>
      </c>
      <c r="Z513" s="10">
        <v>427</v>
      </c>
      <c r="AA513" s="10">
        <v>334</v>
      </c>
      <c r="AB513" s="10">
        <v>110</v>
      </c>
      <c r="AC513" s="10">
        <v>568</v>
      </c>
      <c r="AD513" s="10">
        <v>397</v>
      </c>
      <c r="AE513" s="10">
        <v>27</v>
      </c>
      <c r="AF513" s="10">
        <v>37</v>
      </c>
      <c r="AG513" s="10">
        <v>18</v>
      </c>
      <c r="AH513" s="102">
        <f>SUM(Tableau2[[#This Row],[Td 2]:[Td 5]])</f>
        <v>479</v>
      </c>
      <c r="AI513" s="10">
        <v>66.7</v>
      </c>
      <c r="AJ513" s="10">
        <v>100</v>
      </c>
      <c r="AK513" s="17">
        <f t="shared" si="53"/>
        <v>27.374416666666662</v>
      </c>
      <c r="AL513" s="17">
        <f t="shared" si="54"/>
        <v>0</v>
      </c>
      <c r="AM513" s="17">
        <f t="shared" si="55"/>
        <v>427</v>
      </c>
    </row>
    <row r="514" spans="1:39" s="3" customFormat="1" x14ac:dyDescent="0.25">
      <c r="A514" s="2" t="s">
        <v>16</v>
      </c>
      <c r="B514" s="29" t="s">
        <v>739</v>
      </c>
      <c r="C514" s="2" t="s">
        <v>42</v>
      </c>
      <c r="D514" s="2" t="s">
        <v>529</v>
      </c>
      <c r="E514" s="14">
        <v>9074</v>
      </c>
      <c r="F514" s="15">
        <f t="shared" si="49"/>
        <v>316.68259999999998</v>
      </c>
      <c r="G514" s="15">
        <f t="shared" si="50"/>
        <v>362.96</v>
      </c>
      <c r="H514" s="15">
        <f t="shared" si="51"/>
        <v>263.90216666666663</v>
      </c>
      <c r="I514" s="15">
        <f t="shared" si="52"/>
        <v>302.46666666666664</v>
      </c>
      <c r="J514" s="10">
        <v>463</v>
      </c>
      <c r="K514" s="10">
        <v>310</v>
      </c>
      <c r="L514" s="10">
        <v>287</v>
      </c>
      <c r="M514" s="10">
        <v>288</v>
      </c>
      <c r="N514" s="10">
        <v>296</v>
      </c>
      <c r="O514" s="10">
        <v>223</v>
      </c>
      <c r="P514" s="10">
        <v>222</v>
      </c>
      <c r="Q514" s="10">
        <v>211</v>
      </c>
      <c r="R514" s="10">
        <v>252</v>
      </c>
      <c r="S514" s="10">
        <v>249</v>
      </c>
      <c r="T514" s="10">
        <v>251</v>
      </c>
      <c r="U514" s="10">
        <v>221</v>
      </c>
      <c r="V514" s="10">
        <v>216</v>
      </c>
      <c r="W514" s="10">
        <v>222</v>
      </c>
      <c r="X514" s="10">
        <v>231</v>
      </c>
      <c r="Y514" s="10">
        <v>15</v>
      </c>
      <c r="Z514" s="10">
        <v>172</v>
      </c>
      <c r="AA514" s="10">
        <v>230</v>
      </c>
      <c r="AB514" s="10">
        <v>174</v>
      </c>
      <c r="AC514" s="10">
        <v>61</v>
      </c>
      <c r="AD514" s="10">
        <v>43</v>
      </c>
      <c r="AE514" s="10">
        <v>41</v>
      </c>
      <c r="AF514" s="10">
        <v>29</v>
      </c>
      <c r="AG514" s="10">
        <v>21</v>
      </c>
      <c r="AH514" s="102">
        <f>SUM(Tableau2[[#This Row],[Td 2]:[Td 5]])</f>
        <v>134</v>
      </c>
      <c r="AI514" s="10">
        <v>58.3</v>
      </c>
      <c r="AJ514" s="10">
        <v>100</v>
      </c>
      <c r="AK514" s="17">
        <f t="shared" si="53"/>
        <v>40.902166666666631</v>
      </c>
      <c r="AL514" s="17">
        <f t="shared" si="54"/>
        <v>0</v>
      </c>
      <c r="AM514" s="17">
        <f t="shared" si="55"/>
        <v>172</v>
      </c>
    </row>
    <row r="515" spans="1:39" s="3" customFormat="1" x14ac:dyDescent="0.25">
      <c r="A515" s="2" t="s">
        <v>16</v>
      </c>
      <c r="B515" s="29" t="s">
        <v>739</v>
      </c>
      <c r="C515" s="2" t="s">
        <v>42</v>
      </c>
      <c r="D515" s="2" t="s">
        <v>530</v>
      </c>
      <c r="E515" s="14">
        <v>22296</v>
      </c>
      <c r="F515" s="15">
        <f t="shared" si="49"/>
        <v>778.13040000000001</v>
      </c>
      <c r="G515" s="15">
        <f t="shared" si="50"/>
        <v>891.84</v>
      </c>
      <c r="H515" s="15">
        <f t="shared" si="51"/>
        <v>648.44200000000001</v>
      </c>
      <c r="I515" s="15">
        <f t="shared" si="52"/>
        <v>743.2</v>
      </c>
      <c r="J515" s="10">
        <v>208</v>
      </c>
      <c r="K515" s="10">
        <v>42</v>
      </c>
      <c r="L515" s="10">
        <v>256</v>
      </c>
      <c r="M515" s="10">
        <v>247</v>
      </c>
      <c r="N515" s="10">
        <v>268</v>
      </c>
      <c r="O515" s="10">
        <v>349</v>
      </c>
      <c r="P515" s="10">
        <v>251</v>
      </c>
      <c r="Q515" s="10">
        <v>262</v>
      </c>
      <c r="R515" s="10">
        <v>308</v>
      </c>
      <c r="S515" s="10">
        <v>278</v>
      </c>
      <c r="T515" s="10">
        <v>269</v>
      </c>
      <c r="U515" s="10">
        <v>247</v>
      </c>
      <c r="V515" s="10">
        <v>166</v>
      </c>
      <c r="W515" s="10">
        <v>211</v>
      </c>
      <c r="X515" s="10">
        <v>334</v>
      </c>
      <c r="Y515" s="10">
        <v>10</v>
      </c>
      <c r="Z515" s="10">
        <v>267</v>
      </c>
      <c r="AA515" s="10">
        <v>457</v>
      </c>
      <c r="AB515" s="10">
        <v>208</v>
      </c>
      <c r="AC515" s="10">
        <v>155</v>
      </c>
      <c r="AD515" s="10">
        <v>82</v>
      </c>
      <c r="AE515" s="10">
        <v>3</v>
      </c>
      <c r="AF515" s="10">
        <v>3</v>
      </c>
      <c r="AG515" s="10">
        <v>4</v>
      </c>
      <c r="AH515" s="102">
        <f>SUM(Tableau2[[#This Row],[Td 2]:[Td 5]])</f>
        <v>92</v>
      </c>
      <c r="AI515" s="10">
        <v>66.7</v>
      </c>
      <c r="AJ515" s="10">
        <v>100</v>
      </c>
      <c r="AK515" s="17">
        <f t="shared" si="53"/>
        <v>299.44200000000001</v>
      </c>
      <c r="AL515" s="17">
        <f t="shared" si="54"/>
        <v>15</v>
      </c>
      <c r="AM515" s="17">
        <f t="shared" si="55"/>
        <v>267</v>
      </c>
    </row>
    <row r="516" spans="1:39" s="3" customFormat="1" x14ac:dyDescent="0.25">
      <c r="A516" s="2" t="s">
        <v>16</v>
      </c>
      <c r="B516" s="29" t="s">
        <v>739</v>
      </c>
      <c r="C516" s="2" t="s">
        <v>42</v>
      </c>
      <c r="D516" s="2" t="s">
        <v>531</v>
      </c>
      <c r="E516" s="14">
        <v>14194</v>
      </c>
      <c r="F516" s="15">
        <f t="shared" si="49"/>
        <v>495.37060000000002</v>
      </c>
      <c r="G516" s="15">
        <f t="shared" si="50"/>
        <v>567.76</v>
      </c>
      <c r="H516" s="15">
        <f t="shared" si="51"/>
        <v>412.80883333333338</v>
      </c>
      <c r="I516" s="15">
        <f t="shared" si="52"/>
        <v>473.13333333333333</v>
      </c>
      <c r="J516" s="10">
        <v>333</v>
      </c>
      <c r="K516" s="10">
        <v>78</v>
      </c>
      <c r="L516" s="10">
        <v>338</v>
      </c>
      <c r="M516" s="10">
        <v>296</v>
      </c>
      <c r="N516" s="10">
        <v>321</v>
      </c>
      <c r="O516" s="10">
        <v>344</v>
      </c>
      <c r="P516" s="10">
        <v>306</v>
      </c>
      <c r="Q516" s="10">
        <v>259</v>
      </c>
      <c r="R516" s="10">
        <v>357</v>
      </c>
      <c r="S516" s="10">
        <v>359</v>
      </c>
      <c r="T516" s="10">
        <v>347</v>
      </c>
      <c r="U516" s="10">
        <v>461</v>
      </c>
      <c r="V516" s="10">
        <v>325</v>
      </c>
      <c r="W516" s="10">
        <v>326</v>
      </c>
      <c r="X516" s="10">
        <v>360</v>
      </c>
      <c r="Y516" s="10">
        <v>23</v>
      </c>
      <c r="Z516" s="10">
        <v>317</v>
      </c>
      <c r="AA516" s="10">
        <v>402</v>
      </c>
      <c r="AB516" s="10">
        <v>150</v>
      </c>
      <c r="AC516" s="10">
        <v>287</v>
      </c>
      <c r="AD516" s="10">
        <v>231</v>
      </c>
      <c r="AE516" s="10">
        <v>38</v>
      </c>
      <c r="AF516" s="10">
        <v>39</v>
      </c>
      <c r="AG516" s="10">
        <v>21</v>
      </c>
      <c r="AH516" s="102">
        <f>SUM(Tableau2[[#This Row],[Td 2]:[Td 5]])</f>
        <v>329</v>
      </c>
      <c r="AI516" s="10">
        <v>50</v>
      </c>
      <c r="AJ516" s="10">
        <v>100</v>
      </c>
      <c r="AK516" s="17">
        <f t="shared" si="53"/>
        <v>68.808833333333382</v>
      </c>
      <c r="AL516" s="17">
        <f t="shared" si="54"/>
        <v>0</v>
      </c>
      <c r="AM516" s="17">
        <f t="shared" si="55"/>
        <v>317</v>
      </c>
    </row>
    <row r="517" spans="1:39" s="3" customFormat="1" x14ac:dyDescent="0.25">
      <c r="A517" s="2" t="s">
        <v>16</v>
      </c>
      <c r="B517" s="29" t="s">
        <v>739</v>
      </c>
      <c r="C517" s="2" t="s">
        <v>42</v>
      </c>
      <c r="D517" s="2" t="s">
        <v>42</v>
      </c>
      <c r="E517" s="14">
        <v>19517</v>
      </c>
      <c r="F517" s="15">
        <f t="shared" si="49"/>
        <v>681.14329999999995</v>
      </c>
      <c r="G517" s="15">
        <f t="shared" si="50"/>
        <v>780.68000000000006</v>
      </c>
      <c r="H517" s="15">
        <f t="shared" si="51"/>
        <v>567.61941666666667</v>
      </c>
      <c r="I517" s="15">
        <f t="shared" si="52"/>
        <v>650.56666666666672</v>
      </c>
      <c r="J517" s="10">
        <v>490</v>
      </c>
      <c r="K517" s="10">
        <v>293</v>
      </c>
      <c r="L517" s="10">
        <v>373</v>
      </c>
      <c r="M517" s="10">
        <v>573</v>
      </c>
      <c r="N517" s="10">
        <v>368</v>
      </c>
      <c r="O517" s="10">
        <v>373</v>
      </c>
      <c r="P517" s="10">
        <v>573</v>
      </c>
      <c r="Q517" s="10">
        <v>362</v>
      </c>
      <c r="R517" s="10">
        <v>373</v>
      </c>
      <c r="S517" s="10">
        <v>573</v>
      </c>
      <c r="T517" s="10">
        <v>368</v>
      </c>
      <c r="U517" s="10">
        <v>373</v>
      </c>
      <c r="V517" s="10">
        <v>573</v>
      </c>
      <c r="W517" s="10">
        <v>372</v>
      </c>
      <c r="X517" s="10">
        <v>302</v>
      </c>
      <c r="Y517" s="10">
        <v>56</v>
      </c>
      <c r="Z517" s="10">
        <v>257</v>
      </c>
      <c r="AA517" s="10">
        <v>368</v>
      </c>
      <c r="AB517" s="10">
        <v>260</v>
      </c>
      <c r="AC517" s="10">
        <v>213</v>
      </c>
      <c r="AD517" s="10">
        <v>168</v>
      </c>
      <c r="AE517" s="10">
        <v>112</v>
      </c>
      <c r="AF517" s="10">
        <v>95</v>
      </c>
      <c r="AG517" s="10">
        <v>54</v>
      </c>
      <c r="AH517" s="102">
        <f>SUM(Tableau2[[#This Row],[Td 2]:[Td 5]])</f>
        <v>429</v>
      </c>
      <c r="AI517" s="10">
        <v>29.2</v>
      </c>
      <c r="AJ517" s="10">
        <v>100</v>
      </c>
      <c r="AK517" s="17">
        <f t="shared" si="53"/>
        <v>194.61941666666667</v>
      </c>
      <c r="AL517" s="17">
        <f t="shared" si="54"/>
        <v>71</v>
      </c>
      <c r="AM517" s="17">
        <f t="shared" si="55"/>
        <v>257</v>
      </c>
    </row>
    <row r="518" spans="1:39" s="3" customFormat="1" x14ac:dyDescent="0.25">
      <c r="A518" s="2" t="s">
        <v>16</v>
      </c>
      <c r="B518" s="29" t="s">
        <v>739</v>
      </c>
      <c r="C518" s="2" t="s">
        <v>42</v>
      </c>
      <c r="D518" s="2" t="s">
        <v>532</v>
      </c>
      <c r="E518" s="14">
        <v>18243</v>
      </c>
      <c r="F518" s="15">
        <f t="shared" ref="F518:F581" si="56">IFERROR(E518*3.49%,"")</f>
        <v>636.6807</v>
      </c>
      <c r="G518" s="15">
        <f t="shared" ref="G518:G581" si="57">IFERROR(E518*4%,"")</f>
        <v>729.72</v>
      </c>
      <c r="H518" s="15">
        <f t="shared" ref="H518:H581" si="58">IFERROR((F518/12)*$C$1,"")</f>
        <v>530.56725000000006</v>
      </c>
      <c r="I518" s="15">
        <f t="shared" ref="I518:I581" si="59">IFERROR((G518/12)*$C$1,"")</f>
        <v>608.1</v>
      </c>
      <c r="J518" s="10">
        <v>435</v>
      </c>
      <c r="K518" s="10">
        <v>177</v>
      </c>
      <c r="L518" s="10">
        <v>322</v>
      </c>
      <c r="M518" s="10">
        <v>327</v>
      </c>
      <c r="N518" s="10">
        <v>320</v>
      </c>
      <c r="O518" s="10">
        <v>330</v>
      </c>
      <c r="P518" s="10">
        <v>303</v>
      </c>
      <c r="Q518" s="10">
        <v>285</v>
      </c>
      <c r="R518" s="10">
        <v>324</v>
      </c>
      <c r="S518" s="10">
        <v>282</v>
      </c>
      <c r="T518" s="10">
        <v>272</v>
      </c>
      <c r="U518" s="10">
        <v>337</v>
      </c>
      <c r="V518" s="10">
        <v>307</v>
      </c>
      <c r="W518" s="10">
        <v>282</v>
      </c>
      <c r="X518" s="10">
        <v>304</v>
      </c>
      <c r="Y518" s="10">
        <v>224</v>
      </c>
      <c r="Z518" s="10">
        <v>234</v>
      </c>
      <c r="AA518" s="10">
        <v>325</v>
      </c>
      <c r="AB518" s="10">
        <v>303</v>
      </c>
      <c r="AC518" s="10">
        <v>186</v>
      </c>
      <c r="AD518" s="10">
        <v>83</v>
      </c>
      <c r="AE518" s="10">
        <v>20</v>
      </c>
      <c r="AF518" s="10">
        <v>13</v>
      </c>
      <c r="AG518" s="10">
        <v>8</v>
      </c>
      <c r="AH518" s="102">
        <f>SUM(Tableau2[[#This Row],[Td 2]:[Td 5]])</f>
        <v>124</v>
      </c>
      <c r="AI518" s="10">
        <v>62.5</v>
      </c>
      <c r="AJ518" s="10">
        <v>100</v>
      </c>
      <c r="AK518" s="17">
        <f t="shared" ref="AK518:AK581" si="60">IFERROR(IF(H518-O518&lt;0,0,H518-O518),0)</f>
        <v>200.56725000000006</v>
      </c>
      <c r="AL518" s="17">
        <f t="shared" ref="AL518:AL581" si="61">IFERROR(IF(O518-X518&lt;0,0,O518-X518),0)</f>
        <v>26</v>
      </c>
      <c r="AM518" s="17">
        <f t="shared" ref="AM518:AM581" si="62">MIN(X518,Z518)</f>
        <v>234</v>
      </c>
    </row>
    <row r="519" spans="1:39" s="3" customFormat="1" x14ac:dyDescent="0.25">
      <c r="A519" s="2" t="s">
        <v>16</v>
      </c>
      <c r="B519" s="29" t="s">
        <v>739</v>
      </c>
      <c r="C519" s="2" t="s">
        <v>42</v>
      </c>
      <c r="D519" s="2" t="s">
        <v>533</v>
      </c>
      <c r="E519" s="14">
        <v>23544</v>
      </c>
      <c r="F519" s="15">
        <f t="shared" si="56"/>
        <v>821.68560000000002</v>
      </c>
      <c r="G519" s="15">
        <f t="shared" si="57"/>
        <v>941.76</v>
      </c>
      <c r="H519" s="15">
        <f t="shared" si="58"/>
        <v>684.73799999999994</v>
      </c>
      <c r="I519" s="15">
        <f t="shared" si="59"/>
        <v>784.80000000000007</v>
      </c>
      <c r="J519" s="10">
        <v>1107</v>
      </c>
      <c r="K519" s="10">
        <v>553</v>
      </c>
      <c r="L519" s="10">
        <v>429</v>
      </c>
      <c r="M519" s="10">
        <v>484</v>
      </c>
      <c r="N519" s="10">
        <v>449</v>
      </c>
      <c r="O519" s="10">
        <v>439</v>
      </c>
      <c r="P519" s="10">
        <v>530</v>
      </c>
      <c r="Q519" s="10">
        <v>493</v>
      </c>
      <c r="R519" s="10">
        <v>439</v>
      </c>
      <c r="S519" s="10">
        <v>524</v>
      </c>
      <c r="T519" s="10">
        <v>493</v>
      </c>
      <c r="U519" s="10">
        <v>439</v>
      </c>
      <c r="V519" s="10">
        <v>529</v>
      </c>
      <c r="W519" s="10">
        <v>493</v>
      </c>
      <c r="X519" s="10">
        <v>619</v>
      </c>
      <c r="Y519" s="10">
        <v>32</v>
      </c>
      <c r="Z519" s="10">
        <v>577</v>
      </c>
      <c r="AA519" s="10">
        <v>612</v>
      </c>
      <c r="AB519" s="10">
        <v>362</v>
      </c>
      <c r="AC519" s="10">
        <v>279</v>
      </c>
      <c r="AD519" s="10">
        <v>209</v>
      </c>
      <c r="AE519" s="10">
        <v>90</v>
      </c>
      <c r="AF519" s="10">
        <v>54</v>
      </c>
      <c r="AG519" s="10">
        <v>21</v>
      </c>
      <c r="AH519" s="102">
        <f>SUM(Tableau2[[#This Row],[Td 2]:[Td 5]])</f>
        <v>374</v>
      </c>
      <c r="AI519" s="10">
        <v>58.3</v>
      </c>
      <c r="AJ519" s="10">
        <v>100</v>
      </c>
      <c r="AK519" s="17">
        <f t="shared" si="60"/>
        <v>245.73799999999994</v>
      </c>
      <c r="AL519" s="17">
        <f t="shared" si="61"/>
        <v>0</v>
      </c>
      <c r="AM519" s="17">
        <f t="shared" si="62"/>
        <v>577</v>
      </c>
    </row>
    <row r="520" spans="1:39" s="3" customFormat="1" x14ac:dyDescent="0.25">
      <c r="A520" s="2" t="s">
        <v>16</v>
      </c>
      <c r="B520" s="29" t="s">
        <v>739</v>
      </c>
      <c r="C520" s="2" t="s">
        <v>42</v>
      </c>
      <c r="D520" s="2" t="s">
        <v>534</v>
      </c>
      <c r="E520" s="14">
        <v>14898</v>
      </c>
      <c r="F520" s="15">
        <f t="shared" si="56"/>
        <v>519.9402</v>
      </c>
      <c r="G520" s="15">
        <f t="shared" si="57"/>
        <v>595.91999999999996</v>
      </c>
      <c r="H520" s="15">
        <f t="shared" si="58"/>
        <v>433.2835</v>
      </c>
      <c r="I520" s="15">
        <f t="shared" si="59"/>
        <v>496.59999999999997</v>
      </c>
      <c r="J520" s="10">
        <v>228</v>
      </c>
      <c r="K520" s="10">
        <v>185</v>
      </c>
      <c r="L520" s="10">
        <v>352</v>
      </c>
      <c r="M520" s="10">
        <v>344</v>
      </c>
      <c r="N520" s="10">
        <v>286</v>
      </c>
      <c r="O520" s="10">
        <v>347</v>
      </c>
      <c r="P520" s="10">
        <v>321</v>
      </c>
      <c r="Q520" s="10">
        <v>277</v>
      </c>
      <c r="R520" s="10">
        <v>364</v>
      </c>
      <c r="S520" s="10">
        <v>347</v>
      </c>
      <c r="T520" s="10">
        <v>270</v>
      </c>
      <c r="U520" s="10">
        <v>1029</v>
      </c>
      <c r="V520" s="10">
        <v>326</v>
      </c>
      <c r="W520" s="10">
        <v>260</v>
      </c>
      <c r="X520" s="10">
        <v>263</v>
      </c>
      <c r="Y520" s="10" t="s">
        <v>2</v>
      </c>
      <c r="Z520" s="10">
        <v>239</v>
      </c>
      <c r="AA520" s="10">
        <v>280</v>
      </c>
      <c r="AB520" s="10">
        <v>94</v>
      </c>
      <c r="AC520" s="10">
        <v>330</v>
      </c>
      <c r="AD520" s="10">
        <v>233</v>
      </c>
      <c r="AE520" s="10">
        <v>27</v>
      </c>
      <c r="AF520" s="10" t="s">
        <v>2</v>
      </c>
      <c r="AG520" s="10" t="s">
        <v>2</v>
      </c>
      <c r="AH520" s="102">
        <f>SUM(Tableau2[[#This Row],[Td 2]:[Td 5]])</f>
        <v>260</v>
      </c>
      <c r="AI520" s="10">
        <v>58.3</v>
      </c>
      <c r="AJ520" s="10">
        <v>100</v>
      </c>
      <c r="AK520" s="17">
        <f t="shared" si="60"/>
        <v>86.283500000000004</v>
      </c>
      <c r="AL520" s="17">
        <f t="shared" si="61"/>
        <v>84</v>
      </c>
      <c r="AM520" s="17">
        <f t="shared" si="62"/>
        <v>239</v>
      </c>
    </row>
    <row r="521" spans="1:39" s="3" customFormat="1" x14ac:dyDescent="0.25">
      <c r="A521" s="2" t="s">
        <v>16</v>
      </c>
      <c r="B521" s="29" t="s">
        <v>740</v>
      </c>
      <c r="C521" s="2" t="s">
        <v>43</v>
      </c>
      <c r="D521" s="2" t="s">
        <v>535</v>
      </c>
      <c r="E521" s="14">
        <v>15298</v>
      </c>
      <c r="F521" s="15">
        <f t="shared" si="56"/>
        <v>533.90020000000004</v>
      </c>
      <c r="G521" s="15">
        <f t="shared" si="57"/>
        <v>611.91999999999996</v>
      </c>
      <c r="H521" s="15">
        <f t="shared" si="58"/>
        <v>444.91683333333333</v>
      </c>
      <c r="I521" s="15">
        <f t="shared" si="59"/>
        <v>509.93333333333334</v>
      </c>
      <c r="J521" s="10">
        <v>392</v>
      </c>
      <c r="K521" s="10">
        <v>308</v>
      </c>
      <c r="L521" s="10">
        <v>422</v>
      </c>
      <c r="M521" s="10">
        <v>380</v>
      </c>
      <c r="N521" s="10">
        <v>393</v>
      </c>
      <c r="O521" s="10">
        <v>557</v>
      </c>
      <c r="P521" s="10">
        <v>520</v>
      </c>
      <c r="Q521" s="10">
        <v>519</v>
      </c>
      <c r="R521" s="10">
        <v>547</v>
      </c>
      <c r="S521" s="10">
        <v>506</v>
      </c>
      <c r="T521" s="10">
        <v>529</v>
      </c>
      <c r="U521" s="10">
        <v>498</v>
      </c>
      <c r="V521" s="10">
        <v>411</v>
      </c>
      <c r="W521" s="10">
        <v>431</v>
      </c>
      <c r="X521" s="10">
        <v>432</v>
      </c>
      <c r="Y521" s="10">
        <v>597</v>
      </c>
      <c r="Z521" s="10">
        <v>515</v>
      </c>
      <c r="AA521" s="10">
        <v>519</v>
      </c>
      <c r="AB521" s="10">
        <v>514</v>
      </c>
      <c r="AC521" s="10">
        <v>248</v>
      </c>
      <c r="AD521" s="10">
        <v>220</v>
      </c>
      <c r="AE521" s="10">
        <v>181</v>
      </c>
      <c r="AF521" s="10">
        <v>118</v>
      </c>
      <c r="AG521" s="10">
        <v>88</v>
      </c>
      <c r="AH521" s="102">
        <f>SUM(Tableau2[[#This Row],[Td 2]:[Td 5]])</f>
        <v>607</v>
      </c>
      <c r="AI521" s="10">
        <v>50</v>
      </c>
      <c r="AJ521" s="10">
        <v>100</v>
      </c>
      <c r="AK521" s="17">
        <f t="shared" si="60"/>
        <v>0</v>
      </c>
      <c r="AL521" s="17">
        <f t="shared" si="61"/>
        <v>125</v>
      </c>
      <c r="AM521" s="17">
        <f t="shared" si="62"/>
        <v>432</v>
      </c>
    </row>
    <row r="522" spans="1:39" s="3" customFormat="1" x14ac:dyDescent="0.25">
      <c r="A522" s="2" t="s">
        <v>16</v>
      </c>
      <c r="B522" s="29" t="s">
        <v>740</v>
      </c>
      <c r="C522" s="2" t="s">
        <v>43</v>
      </c>
      <c r="D522" s="2" t="s">
        <v>536</v>
      </c>
      <c r="E522" s="14">
        <v>22757</v>
      </c>
      <c r="F522" s="15">
        <f t="shared" si="56"/>
        <v>794.21929999999998</v>
      </c>
      <c r="G522" s="15">
        <f t="shared" si="57"/>
        <v>910.28</v>
      </c>
      <c r="H522" s="15">
        <f t="shared" si="58"/>
        <v>661.84941666666657</v>
      </c>
      <c r="I522" s="15">
        <f t="shared" si="59"/>
        <v>758.56666666666672</v>
      </c>
      <c r="J522" s="10">
        <v>610</v>
      </c>
      <c r="K522" s="10">
        <v>1094</v>
      </c>
      <c r="L522" s="10">
        <v>756</v>
      </c>
      <c r="M522" s="10">
        <v>639</v>
      </c>
      <c r="N522" s="10">
        <v>643</v>
      </c>
      <c r="O522" s="10">
        <v>756</v>
      </c>
      <c r="P522" s="10">
        <v>639</v>
      </c>
      <c r="Q522" s="10">
        <v>639</v>
      </c>
      <c r="R522" s="10">
        <v>733</v>
      </c>
      <c r="S522" s="10">
        <v>623</v>
      </c>
      <c r="T522" s="10">
        <v>643</v>
      </c>
      <c r="U522" s="10">
        <v>553</v>
      </c>
      <c r="V522" s="10">
        <v>492</v>
      </c>
      <c r="W522" s="10">
        <v>479</v>
      </c>
      <c r="X522" s="10">
        <v>619</v>
      </c>
      <c r="Y522" s="10">
        <v>438</v>
      </c>
      <c r="Z522" s="10">
        <v>583</v>
      </c>
      <c r="AA522" s="10">
        <v>581</v>
      </c>
      <c r="AB522" s="10">
        <v>482</v>
      </c>
      <c r="AC522" s="10">
        <v>475</v>
      </c>
      <c r="AD522" s="10">
        <v>326</v>
      </c>
      <c r="AE522" s="10">
        <v>194</v>
      </c>
      <c r="AF522" s="10">
        <v>136</v>
      </c>
      <c r="AG522" s="10">
        <v>66</v>
      </c>
      <c r="AH522" s="102">
        <f>SUM(Tableau2[[#This Row],[Td 2]:[Td 5]])</f>
        <v>722</v>
      </c>
      <c r="AI522" s="10">
        <v>45.8</v>
      </c>
      <c r="AJ522" s="10">
        <v>100</v>
      </c>
      <c r="AK522" s="17">
        <f t="shared" si="60"/>
        <v>0</v>
      </c>
      <c r="AL522" s="17">
        <f t="shared" si="61"/>
        <v>137</v>
      </c>
      <c r="AM522" s="17">
        <f t="shared" si="62"/>
        <v>583</v>
      </c>
    </row>
    <row r="523" spans="1:39" s="3" customFormat="1" x14ac:dyDescent="0.25">
      <c r="A523" s="2" t="s">
        <v>16</v>
      </c>
      <c r="B523" s="29" t="s">
        <v>740</v>
      </c>
      <c r="C523" s="2" t="s">
        <v>43</v>
      </c>
      <c r="D523" s="2" t="s">
        <v>537</v>
      </c>
      <c r="E523" s="14">
        <v>21033</v>
      </c>
      <c r="F523" s="15">
        <f t="shared" si="56"/>
        <v>734.05169999999998</v>
      </c>
      <c r="G523" s="15">
        <f t="shared" si="57"/>
        <v>841.32</v>
      </c>
      <c r="H523" s="15">
        <f t="shared" si="58"/>
        <v>611.70974999999999</v>
      </c>
      <c r="I523" s="15">
        <f t="shared" si="59"/>
        <v>701.1</v>
      </c>
      <c r="J523" s="10">
        <v>391</v>
      </c>
      <c r="K523" s="10">
        <v>132</v>
      </c>
      <c r="L523" s="10">
        <v>406</v>
      </c>
      <c r="M523" s="10">
        <v>357</v>
      </c>
      <c r="N523" s="10">
        <v>341</v>
      </c>
      <c r="O523" s="10">
        <v>410</v>
      </c>
      <c r="P523" s="10">
        <v>393</v>
      </c>
      <c r="Q523" s="10">
        <v>353</v>
      </c>
      <c r="R523" s="10">
        <v>410</v>
      </c>
      <c r="S523" s="10">
        <v>393</v>
      </c>
      <c r="T523" s="10">
        <v>331</v>
      </c>
      <c r="U523" s="10">
        <v>387</v>
      </c>
      <c r="V523" s="10">
        <v>362</v>
      </c>
      <c r="W523" s="10">
        <v>330</v>
      </c>
      <c r="X523" s="10">
        <v>423</v>
      </c>
      <c r="Y523" s="10">
        <v>162</v>
      </c>
      <c r="Z523" s="10">
        <v>322</v>
      </c>
      <c r="AA523" s="10">
        <v>398</v>
      </c>
      <c r="AB523" s="10">
        <v>306</v>
      </c>
      <c r="AC523" s="10">
        <v>100</v>
      </c>
      <c r="AD523" s="10">
        <v>58</v>
      </c>
      <c r="AE523" s="10">
        <v>41</v>
      </c>
      <c r="AF523" s="10">
        <v>38</v>
      </c>
      <c r="AG523" s="10">
        <v>40</v>
      </c>
      <c r="AH523" s="102">
        <f>SUM(Tableau2[[#This Row],[Td 2]:[Td 5]])</f>
        <v>177</v>
      </c>
      <c r="AI523" s="10">
        <v>58.3</v>
      </c>
      <c r="AJ523" s="10">
        <v>100</v>
      </c>
      <c r="AK523" s="17">
        <f t="shared" si="60"/>
        <v>201.70974999999999</v>
      </c>
      <c r="AL523" s="17">
        <f t="shared" si="61"/>
        <v>0</v>
      </c>
      <c r="AM523" s="17">
        <f t="shared" si="62"/>
        <v>322</v>
      </c>
    </row>
    <row r="524" spans="1:39" s="3" customFormat="1" x14ac:dyDescent="0.25">
      <c r="A524" s="2" t="s">
        <v>16</v>
      </c>
      <c r="B524" s="29" t="s">
        <v>740</v>
      </c>
      <c r="C524" s="2" t="s">
        <v>43</v>
      </c>
      <c r="D524" s="2" t="s">
        <v>538</v>
      </c>
      <c r="E524" s="14">
        <v>27151</v>
      </c>
      <c r="F524" s="15">
        <f t="shared" si="56"/>
        <v>947.56989999999996</v>
      </c>
      <c r="G524" s="15">
        <f t="shared" si="57"/>
        <v>1086.04</v>
      </c>
      <c r="H524" s="15">
        <f t="shared" si="58"/>
        <v>789.6415833333333</v>
      </c>
      <c r="I524" s="15">
        <f t="shared" si="59"/>
        <v>905.0333333333333</v>
      </c>
      <c r="J524" s="10">
        <v>2368</v>
      </c>
      <c r="K524" s="10">
        <v>3273</v>
      </c>
      <c r="L524" s="10">
        <v>793</v>
      </c>
      <c r="M524" s="10">
        <v>769</v>
      </c>
      <c r="N524" s="10">
        <v>750</v>
      </c>
      <c r="O524" s="10">
        <v>793</v>
      </c>
      <c r="P524" s="10">
        <v>769</v>
      </c>
      <c r="Q524" s="10">
        <v>750</v>
      </c>
      <c r="R524" s="10">
        <v>793</v>
      </c>
      <c r="S524" s="10">
        <v>769</v>
      </c>
      <c r="T524" s="10">
        <v>750</v>
      </c>
      <c r="U524" s="10">
        <v>683</v>
      </c>
      <c r="V524" s="10">
        <v>660</v>
      </c>
      <c r="W524" s="10">
        <v>639</v>
      </c>
      <c r="X524" s="10">
        <v>1104</v>
      </c>
      <c r="Y524" s="10">
        <v>881</v>
      </c>
      <c r="Z524" s="10">
        <v>821</v>
      </c>
      <c r="AA524" s="10">
        <v>750</v>
      </c>
      <c r="AB524" s="10">
        <v>796</v>
      </c>
      <c r="AC524" s="10">
        <v>550</v>
      </c>
      <c r="AD524" s="10">
        <v>362</v>
      </c>
      <c r="AE524" s="10">
        <v>369</v>
      </c>
      <c r="AF524" s="10">
        <v>291</v>
      </c>
      <c r="AG524" s="10">
        <v>238</v>
      </c>
      <c r="AH524" s="102">
        <f>SUM(Tableau2[[#This Row],[Td 2]:[Td 5]])</f>
        <v>1260</v>
      </c>
      <c r="AI524" s="10">
        <v>58.3</v>
      </c>
      <c r="AJ524" s="10">
        <v>100</v>
      </c>
      <c r="AK524" s="17">
        <f t="shared" si="60"/>
        <v>0</v>
      </c>
      <c r="AL524" s="17">
        <f t="shared" si="61"/>
        <v>0</v>
      </c>
      <c r="AM524" s="17">
        <f t="shared" si="62"/>
        <v>821</v>
      </c>
    </row>
    <row r="525" spans="1:39" s="3" customFormat="1" x14ac:dyDescent="0.25">
      <c r="A525" s="2" t="s">
        <v>16</v>
      </c>
      <c r="B525" s="29" t="s">
        <v>740</v>
      </c>
      <c r="C525" s="2" t="s">
        <v>43</v>
      </c>
      <c r="D525" s="2" t="s">
        <v>539</v>
      </c>
      <c r="E525" s="14">
        <v>21033</v>
      </c>
      <c r="F525" s="15">
        <f t="shared" si="56"/>
        <v>734.05169999999998</v>
      </c>
      <c r="G525" s="15">
        <f t="shared" si="57"/>
        <v>841.32</v>
      </c>
      <c r="H525" s="15">
        <f t="shared" si="58"/>
        <v>611.70974999999999</v>
      </c>
      <c r="I525" s="15">
        <f t="shared" si="59"/>
        <v>701.1</v>
      </c>
      <c r="J525" s="10">
        <v>941</v>
      </c>
      <c r="K525" s="10">
        <v>503</v>
      </c>
      <c r="L525" s="10">
        <v>666</v>
      </c>
      <c r="M525" s="10">
        <v>661</v>
      </c>
      <c r="N525" s="10">
        <v>648</v>
      </c>
      <c r="O525" s="10">
        <v>711</v>
      </c>
      <c r="P525" s="10">
        <v>710</v>
      </c>
      <c r="Q525" s="10">
        <v>697</v>
      </c>
      <c r="R525" s="10">
        <v>665</v>
      </c>
      <c r="S525" s="10">
        <v>661</v>
      </c>
      <c r="T525" s="10">
        <v>648</v>
      </c>
      <c r="U525" s="10">
        <v>653</v>
      </c>
      <c r="V525" s="10">
        <v>652</v>
      </c>
      <c r="W525" s="10">
        <v>643</v>
      </c>
      <c r="X525" s="10">
        <v>808</v>
      </c>
      <c r="Y525" s="10">
        <v>333</v>
      </c>
      <c r="Z525" s="10">
        <v>625</v>
      </c>
      <c r="AA525" s="10">
        <v>581</v>
      </c>
      <c r="AB525" s="10">
        <v>117</v>
      </c>
      <c r="AC525" s="10">
        <v>237</v>
      </c>
      <c r="AD525" s="10">
        <v>228</v>
      </c>
      <c r="AE525" s="10">
        <v>190</v>
      </c>
      <c r="AF525" s="10">
        <v>161</v>
      </c>
      <c r="AG525" s="10">
        <v>129</v>
      </c>
      <c r="AH525" s="102">
        <f>SUM(Tableau2[[#This Row],[Td 2]:[Td 5]])</f>
        <v>708</v>
      </c>
      <c r="AI525" s="10">
        <v>58.3</v>
      </c>
      <c r="AJ525" s="10">
        <v>100</v>
      </c>
      <c r="AK525" s="17">
        <f t="shared" si="60"/>
        <v>0</v>
      </c>
      <c r="AL525" s="17">
        <f t="shared" si="61"/>
        <v>0</v>
      </c>
      <c r="AM525" s="17">
        <f t="shared" si="62"/>
        <v>625</v>
      </c>
    </row>
    <row r="526" spans="1:39" s="3" customFormat="1" x14ac:dyDescent="0.25">
      <c r="A526" s="2" t="s">
        <v>16</v>
      </c>
      <c r="B526" s="29" t="s">
        <v>740</v>
      </c>
      <c r="C526" s="2" t="s">
        <v>43</v>
      </c>
      <c r="D526" s="2" t="s">
        <v>540</v>
      </c>
      <c r="E526" s="14">
        <v>18365</v>
      </c>
      <c r="F526" s="15">
        <f t="shared" si="56"/>
        <v>640.93849999999998</v>
      </c>
      <c r="G526" s="15">
        <f t="shared" si="57"/>
        <v>734.6</v>
      </c>
      <c r="H526" s="15">
        <f t="shared" si="58"/>
        <v>534.11541666666665</v>
      </c>
      <c r="I526" s="15">
        <f t="shared" si="59"/>
        <v>612.16666666666674</v>
      </c>
      <c r="J526" s="10">
        <v>338</v>
      </c>
      <c r="K526" s="10">
        <v>332</v>
      </c>
      <c r="L526" s="10">
        <v>410</v>
      </c>
      <c r="M526" s="10">
        <v>369</v>
      </c>
      <c r="N526" s="10">
        <v>344</v>
      </c>
      <c r="O526" s="10">
        <v>427</v>
      </c>
      <c r="P526" s="10">
        <v>410</v>
      </c>
      <c r="Q526" s="10">
        <v>376</v>
      </c>
      <c r="R526" s="10">
        <v>431</v>
      </c>
      <c r="S526" s="10">
        <v>385</v>
      </c>
      <c r="T526" s="10">
        <v>357</v>
      </c>
      <c r="U526" s="10">
        <v>243</v>
      </c>
      <c r="V526" s="10">
        <v>218</v>
      </c>
      <c r="W526" s="10">
        <v>212</v>
      </c>
      <c r="X526" s="10">
        <v>422</v>
      </c>
      <c r="Y526" s="10">
        <v>331</v>
      </c>
      <c r="Z526" s="10">
        <v>338</v>
      </c>
      <c r="AA526" s="10">
        <v>217</v>
      </c>
      <c r="AB526" s="10">
        <v>198</v>
      </c>
      <c r="AC526" s="10">
        <v>209</v>
      </c>
      <c r="AD526" s="10">
        <v>147</v>
      </c>
      <c r="AE526" s="10">
        <v>53</v>
      </c>
      <c r="AF526" s="10">
        <v>70</v>
      </c>
      <c r="AG526" s="10">
        <v>43</v>
      </c>
      <c r="AH526" s="102">
        <f>SUM(Tableau2[[#This Row],[Td 2]:[Td 5]])</f>
        <v>313</v>
      </c>
      <c r="AI526" s="10">
        <v>58.3</v>
      </c>
      <c r="AJ526" s="10">
        <v>100</v>
      </c>
      <c r="AK526" s="17">
        <f t="shared" si="60"/>
        <v>107.11541666666665</v>
      </c>
      <c r="AL526" s="17">
        <f t="shared" si="61"/>
        <v>5</v>
      </c>
      <c r="AM526" s="17">
        <f t="shared" si="62"/>
        <v>338</v>
      </c>
    </row>
    <row r="527" spans="1:39" s="3" customFormat="1" x14ac:dyDescent="0.25">
      <c r="A527" s="2" t="s">
        <v>16</v>
      </c>
      <c r="B527" s="29" t="s">
        <v>740</v>
      </c>
      <c r="C527" s="2" t="s">
        <v>43</v>
      </c>
      <c r="D527" s="2" t="s">
        <v>541</v>
      </c>
      <c r="E527" s="14">
        <v>40454</v>
      </c>
      <c r="F527" s="15">
        <f t="shared" si="56"/>
        <v>1411.8446000000001</v>
      </c>
      <c r="G527" s="15">
        <f t="shared" si="57"/>
        <v>1618.16</v>
      </c>
      <c r="H527" s="15">
        <f t="shared" si="58"/>
        <v>1176.5371666666667</v>
      </c>
      <c r="I527" s="15">
        <f t="shared" si="59"/>
        <v>1348.4666666666667</v>
      </c>
      <c r="J527" s="10">
        <v>766</v>
      </c>
      <c r="K527" s="10">
        <v>909</v>
      </c>
      <c r="L527" s="10">
        <v>1392</v>
      </c>
      <c r="M527" s="10">
        <v>1258</v>
      </c>
      <c r="N527" s="10">
        <v>1185</v>
      </c>
      <c r="O527" s="10">
        <v>1386</v>
      </c>
      <c r="P527" s="10">
        <v>1256</v>
      </c>
      <c r="Q527" s="10">
        <v>1163</v>
      </c>
      <c r="R527" s="10">
        <v>1392</v>
      </c>
      <c r="S527" s="10">
        <v>1258</v>
      </c>
      <c r="T527" s="10">
        <v>1185</v>
      </c>
      <c r="U527" s="10">
        <v>1185</v>
      </c>
      <c r="V527" s="10">
        <v>1063</v>
      </c>
      <c r="W527" s="10">
        <v>993</v>
      </c>
      <c r="X527" s="10">
        <v>883</v>
      </c>
      <c r="Y527" s="10">
        <v>826</v>
      </c>
      <c r="Z527" s="10">
        <v>910</v>
      </c>
      <c r="AA527" s="10">
        <v>1249</v>
      </c>
      <c r="AB527" s="10">
        <v>903</v>
      </c>
      <c r="AC527" s="10">
        <v>419</v>
      </c>
      <c r="AD527" s="10">
        <v>152</v>
      </c>
      <c r="AE527" s="10">
        <v>217</v>
      </c>
      <c r="AF527" s="10">
        <v>168</v>
      </c>
      <c r="AG527" s="10">
        <v>175</v>
      </c>
      <c r="AH527" s="102">
        <f>SUM(Tableau2[[#This Row],[Td 2]:[Td 5]])</f>
        <v>712</v>
      </c>
      <c r="AI527" s="10">
        <v>44.4</v>
      </c>
      <c r="AJ527" s="10">
        <v>100</v>
      </c>
      <c r="AK527" s="17">
        <f t="shared" si="60"/>
        <v>0</v>
      </c>
      <c r="AL527" s="17">
        <f t="shared" si="61"/>
        <v>503</v>
      </c>
      <c r="AM527" s="17">
        <f t="shared" si="62"/>
        <v>883</v>
      </c>
    </row>
    <row r="528" spans="1:39" s="3" customFormat="1" x14ac:dyDescent="0.25">
      <c r="A528" s="2" t="s">
        <v>16</v>
      </c>
      <c r="B528" s="29" t="s">
        <v>740</v>
      </c>
      <c r="C528" s="2" t="s">
        <v>43</v>
      </c>
      <c r="D528" s="2" t="s">
        <v>542</v>
      </c>
      <c r="E528" s="14">
        <v>20107</v>
      </c>
      <c r="F528" s="15">
        <f t="shared" si="56"/>
        <v>701.73429999999996</v>
      </c>
      <c r="G528" s="15">
        <f t="shared" si="57"/>
        <v>804.28</v>
      </c>
      <c r="H528" s="15">
        <f t="shared" si="58"/>
        <v>584.77858333333324</v>
      </c>
      <c r="I528" s="15">
        <f t="shared" si="59"/>
        <v>670.23333333333323</v>
      </c>
      <c r="J528" s="10">
        <v>392</v>
      </c>
      <c r="K528" s="10">
        <v>611</v>
      </c>
      <c r="L528" s="10">
        <v>546</v>
      </c>
      <c r="M528" s="10">
        <v>566</v>
      </c>
      <c r="N528" s="10">
        <v>559</v>
      </c>
      <c r="O528" s="10">
        <v>546</v>
      </c>
      <c r="P528" s="10">
        <v>536</v>
      </c>
      <c r="Q528" s="10">
        <v>559</v>
      </c>
      <c r="R528" s="10">
        <v>576</v>
      </c>
      <c r="S528" s="10">
        <v>536</v>
      </c>
      <c r="T528" s="10">
        <v>559</v>
      </c>
      <c r="U528" s="10">
        <v>183</v>
      </c>
      <c r="V528" s="10">
        <v>176</v>
      </c>
      <c r="W528" s="10">
        <v>172</v>
      </c>
      <c r="X528" s="10">
        <v>548</v>
      </c>
      <c r="Y528" s="10">
        <v>570</v>
      </c>
      <c r="Z528" s="10">
        <v>550</v>
      </c>
      <c r="AA528" s="10">
        <v>385</v>
      </c>
      <c r="AB528" s="10">
        <v>380</v>
      </c>
      <c r="AC528" s="10">
        <v>282</v>
      </c>
      <c r="AD528" s="10">
        <v>272</v>
      </c>
      <c r="AE528" s="10">
        <v>276</v>
      </c>
      <c r="AF528" s="10">
        <v>242</v>
      </c>
      <c r="AG528" s="10">
        <v>248</v>
      </c>
      <c r="AH528" s="102">
        <f>SUM(Tableau2[[#This Row],[Td 2]:[Td 5]])</f>
        <v>1038</v>
      </c>
      <c r="AI528" s="10">
        <v>58.3</v>
      </c>
      <c r="AJ528" s="10">
        <v>100</v>
      </c>
      <c r="AK528" s="17">
        <f t="shared" si="60"/>
        <v>38.778583333333245</v>
      </c>
      <c r="AL528" s="17">
        <f t="shared" si="61"/>
        <v>0</v>
      </c>
      <c r="AM528" s="17">
        <f t="shared" si="62"/>
        <v>548</v>
      </c>
    </row>
    <row r="529" spans="1:39" s="3" customFormat="1" x14ac:dyDescent="0.25">
      <c r="A529" s="2" t="s">
        <v>16</v>
      </c>
      <c r="B529" s="29" t="s">
        <v>740</v>
      </c>
      <c r="C529" s="2" t="s">
        <v>43</v>
      </c>
      <c r="D529" s="2" t="s">
        <v>543</v>
      </c>
      <c r="E529" s="14">
        <v>52118</v>
      </c>
      <c r="F529" s="15">
        <f t="shared" si="56"/>
        <v>1818.9182000000001</v>
      </c>
      <c r="G529" s="15">
        <f t="shared" si="57"/>
        <v>2084.7200000000003</v>
      </c>
      <c r="H529" s="15">
        <f t="shared" si="58"/>
        <v>1515.7651666666666</v>
      </c>
      <c r="I529" s="15">
        <f t="shared" si="59"/>
        <v>1737.2666666666669</v>
      </c>
      <c r="J529" s="10">
        <v>700</v>
      </c>
      <c r="K529" s="10">
        <v>1514</v>
      </c>
      <c r="L529" s="10">
        <v>1601</v>
      </c>
      <c r="M529" s="10">
        <v>1421</v>
      </c>
      <c r="N529" s="10">
        <v>1532</v>
      </c>
      <c r="O529" s="10">
        <v>1601</v>
      </c>
      <c r="P529" s="10">
        <v>1421</v>
      </c>
      <c r="Q529" s="10">
        <v>1532</v>
      </c>
      <c r="R529" s="10">
        <v>1461</v>
      </c>
      <c r="S529" s="10">
        <v>1290</v>
      </c>
      <c r="T529" s="10">
        <v>1394</v>
      </c>
      <c r="U529" s="10">
        <v>1337</v>
      </c>
      <c r="V529" s="10">
        <v>1164</v>
      </c>
      <c r="W529" s="10">
        <v>1352</v>
      </c>
      <c r="X529" s="10">
        <v>1715</v>
      </c>
      <c r="Y529" s="10">
        <v>1541</v>
      </c>
      <c r="Z529" s="10">
        <v>1223</v>
      </c>
      <c r="AA529" s="10">
        <v>1512</v>
      </c>
      <c r="AB529" s="10">
        <v>1417</v>
      </c>
      <c r="AC529" s="10">
        <v>411</v>
      </c>
      <c r="AD529" s="10">
        <v>306</v>
      </c>
      <c r="AE529" s="10">
        <v>227</v>
      </c>
      <c r="AF529" s="10">
        <v>198</v>
      </c>
      <c r="AG529" s="10">
        <v>206</v>
      </c>
      <c r="AH529" s="102">
        <f>SUM(Tableau2[[#This Row],[Td 2]:[Td 5]])</f>
        <v>937</v>
      </c>
      <c r="AI529" s="10">
        <v>54.2</v>
      </c>
      <c r="AJ529" s="10">
        <v>100</v>
      </c>
      <c r="AK529" s="17">
        <f t="shared" si="60"/>
        <v>0</v>
      </c>
      <c r="AL529" s="17">
        <f t="shared" si="61"/>
        <v>0</v>
      </c>
      <c r="AM529" s="17">
        <f t="shared" si="62"/>
        <v>1223</v>
      </c>
    </row>
    <row r="530" spans="1:39" s="3" customFormat="1" x14ac:dyDescent="0.25">
      <c r="A530" s="2" t="s">
        <v>16</v>
      </c>
      <c r="B530" s="29" t="s">
        <v>740</v>
      </c>
      <c r="C530" s="2" t="s">
        <v>43</v>
      </c>
      <c r="D530" s="2" t="s">
        <v>544</v>
      </c>
      <c r="E530" s="14">
        <v>14943</v>
      </c>
      <c r="F530" s="15">
        <f t="shared" si="56"/>
        <v>521.51070000000004</v>
      </c>
      <c r="G530" s="15">
        <f t="shared" si="57"/>
        <v>597.72</v>
      </c>
      <c r="H530" s="15">
        <f t="shared" si="58"/>
        <v>434.59225000000004</v>
      </c>
      <c r="I530" s="15">
        <f t="shared" si="59"/>
        <v>498.1</v>
      </c>
      <c r="J530" s="10">
        <v>524</v>
      </c>
      <c r="K530" s="10">
        <v>505</v>
      </c>
      <c r="L530" s="10">
        <v>447</v>
      </c>
      <c r="M530" s="10">
        <v>444</v>
      </c>
      <c r="N530" s="10">
        <v>439</v>
      </c>
      <c r="O530" s="10">
        <v>437</v>
      </c>
      <c r="P530" s="10">
        <v>444</v>
      </c>
      <c r="Q530" s="10">
        <v>439</v>
      </c>
      <c r="R530" s="10">
        <v>447</v>
      </c>
      <c r="S530" s="10">
        <v>444</v>
      </c>
      <c r="T530" s="10">
        <v>439</v>
      </c>
      <c r="U530" s="10">
        <v>404</v>
      </c>
      <c r="V530" s="10">
        <v>401</v>
      </c>
      <c r="W530" s="10">
        <v>396</v>
      </c>
      <c r="X530" s="10">
        <v>510</v>
      </c>
      <c r="Y530" s="10">
        <v>564</v>
      </c>
      <c r="Z530" s="10">
        <v>474</v>
      </c>
      <c r="AA530" s="10">
        <v>439</v>
      </c>
      <c r="AB530" s="10">
        <v>474</v>
      </c>
      <c r="AC530" s="10">
        <v>214</v>
      </c>
      <c r="AD530" s="10">
        <v>223</v>
      </c>
      <c r="AE530" s="10">
        <v>199</v>
      </c>
      <c r="AF530" s="10">
        <v>183</v>
      </c>
      <c r="AG530" s="10">
        <v>160</v>
      </c>
      <c r="AH530" s="102">
        <f>SUM(Tableau2[[#This Row],[Td 2]:[Td 5]])</f>
        <v>765</v>
      </c>
      <c r="AI530" s="10">
        <v>58.3</v>
      </c>
      <c r="AJ530" s="10">
        <v>100</v>
      </c>
      <c r="AK530" s="17">
        <f t="shared" si="60"/>
        <v>0</v>
      </c>
      <c r="AL530" s="17">
        <f t="shared" si="61"/>
        <v>0</v>
      </c>
      <c r="AM530" s="17">
        <f t="shared" si="62"/>
        <v>474</v>
      </c>
    </row>
    <row r="531" spans="1:39" s="3" customFormat="1" x14ac:dyDescent="0.25">
      <c r="A531" s="2" t="s">
        <v>16</v>
      </c>
      <c r="B531" s="29" t="s">
        <v>740</v>
      </c>
      <c r="C531" s="2" t="s">
        <v>43</v>
      </c>
      <c r="D531" s="2" t="s">
        <v>545</v>
      </c>
      <c r="E531" s="14">
        <v>19899</v>
      </c>
      <c r="F531" s="15">
        <f t="shared" si="56"/>
        <v>694.4751</v>
      </c>
      <c r="G531" s="15">
        <f t="shared" si="57"/>
        <v>795.96</v>
      </c>
      <c r="H531" s="15">
        <f t="shared" si="58"/>
        <v>578.72924999999998</v>
      </c>
      <c r="I531" s="15">
        <f t="shared" si="59"/>
        <v>663.3</v>
      </c>
      <c r="J531" s="10">
        <v>667</v>
      </c>
      <c r="K531" s="10">
        <v>520</v>
      </c>
      <c r="L531" s="10">
        <v>808</v>
      </c>
      <c r="M531" s="10">
        <v>805</v>
      </c>
      <c r="N531" s="10">
        <v>803</v>
      </c>
      <c r="O531" s="10">
        <v>856</v>
      </c>
      <c r="P531" s="10">
        <v>847</v>
      </c>
      <c r="Q531" s="10">
        <v>830</v>
      </c>
      <c r="R531" s="10">
        <v>856</v>
      </c>
      <c r="S531" s="10">
        <v>847</v>
      </c>
      <c r="T531" s="10">
        <v>830</v>
      </c>
      <c r="U531" s="10">
        <v>747</v>
      </c>
      <c r="V531" s="10">
        <v>741</v>
      </c>
      <c r="W531" s="10">
        <v>726</v>
      </c>
      <c r="X531" s="10">
        <v>720</v>
      </c>
      <c r="Y531" s="10">
        <v>716</v>
      </c>
      <c r="Z531" s="10">
        <v>811</v>
      </c>
      <c r="AA531" s="10">
        <v>727</v>
      </c>
      <c r="AB531" s="10">
        <v>324</v>
      </c>
      <c r="AC531" s="10">
        <v>279</v>
      </c>
      <c r="AD531" s="10">
        <v>220</v>
      </c>
      <c r="AE531" s="10">
        <v>237</v>
      </c>
      <c r="AF531" s="10">
        <v>142</v>
      </c>
      <c r="AG531" s="10">
        <v>106</v>
      </c>
      <c r="AH531" s="102">
        <f>SUM(Tableau2[[#This Row],[Td 2]:[Td 5]])</f>
        <v>705</v>
      </c>
      <c r="AI531" s="10">
        <v>58.3</v>
      </c>
      <c r="AJ531" s="10">
        <v>100</v>
      </c>
      <c r="AK531" s="17">
        <f t="shared" si="60"/>
        <v>0</v>
      </c>
      <c r="AL531" s="17">
        <f t="shared" si="61"/>
        <v>136</v>
      </c>
      <c r="AM531" s="17">
        <f t="shared" si="62"/>
        <v>720</v>
      </c>
    </row>
    <row r="532" spans="1:39" s="3" customFormat="1" x14ac:dyDescent="0.25">
      <c r="A532" s="2" t="s">
        <v>16</v>
      </c>
      <c r="B532" s="29" t="s">
        <v>740</v>
      </c>
      <c r="C532" s="2" t="s">
        <v>43</v>
      </c>
      <c r="D532" s="2" t="s">
        <v>546</v>
      </c>
      <c r="E532" s="14">
        <v>27622</v>
      </c>
      <c r="F532" s="15">
        <f t="shared" si="56"/>
        <v>964.00779999999997</v>
      </c>
      <c r="G532" s="15">
        <f t="shared" si="57"/>
        <v>1104.8800000000001</v>
      </c>
      <c r="H532" s="15">
        <f t="shared" si="58"/>
        <v>803.33983333333333</v>
      </c>
      <c r="I532" s="15">
        <f t="shared" si="59"/>
        <v>920.73333333333335</v>
      </c>
      <c r="J532" s="10">
        <v>790</v>
      </c>
      <c r="K532" s="10">
        <v>880</v>
      </c>
      <c r="L532" s="10">
        <v>687</v>
      </c>
      <c r="M532" s="10">
        <v>658</v>
      </c>
      <c r="N532" s="10">
        <v>640</v>
      </c>
      <c r="O532" s="10">
        <v>688</v>
      </c>
      <c r="P532" s="10">
        <v>658</v>
      </c>
      <c r="Q532" s="10">
        <v>640</v>
      </c>
      <c r="R532" s="10">
        <v>688</v>
      </c>
      <c r="S532" s="10">
        <v>658</v>
      </c>
      <c r="T532" s="10">
        <v>640</v>
      </c>
      <c r="U532" s="10">
        <v>688</v>
      </c>
      <c r="V532" s="10">
        <v>658</v>
      </c>
      <c r="W532" s="10">
        <v>640</v>
      </c>
      <c r="X532" s="10">
        <v>473</v>
      </c>
      <c r="Y532" s="10">
        <v>86</v>
      </c>
      <c r="Z532" s="10">
        <v>433</v>
      </c>
      <c r="AA532" s="10">
        <v>716</v>
      </c>
      <c r="AB532" s="10">
        <v>379</v>
      </c>
      <c r="AC532" s="10">
        <v>265</v>
      </c>
      <c r="AD532" s="10">
        <v>233</v>
      </c>
      <c r="AE532" s="10">
        <v>320</v>
      </c>
      <c r="AF532" s="10">
        <v>255</v>
      </c>
      <c r="AG532" s="10">
        <v>376</v>
      </c>
      <c r="AH532" s="102">
        <f>SUM(Tableau2[[#This Row],[Td 2]:[Td 5]])</f>
        <v>1184</v>
      </c>
      <c r="AI532" s="10">
        <v>55.6</v>
      </c>
      <c r="AJ532" s="10">
        <v>100</v>
      </c>
      <c r="AK532" s="17">
        <f t="shared" si="60"/>
        <v>115.33983333333333</v>
      </c>
      <c r="AL532" s="17">
        <f t="shared" si="61"/>
        <v>215</v>
      </c>
      <c r="AM532" s="17">
        <f t="shared" si="62"/>
        <v>433</v>
      </c>
    </row>
    <row r="533" spans="1:39" s="3" customFormat="1" x14ac:dyDescent="0.25">
      <c r="A533" s="2" t="s">
        <v>16</v>
      </c>
      <c r="B533" s="29" t="s">
        <v>740</v>
      </c>
      <c r="C533" s="2" t="s">
        <v>43</v>
      </c>
      <c r="D533" s="2" t="s">
        <v>547</v>
      </c>
      <c r="E533" s="14">
        <v>7997</v>
      </c>
      <c r="F533" s="15">
        <f t="shared" si="56"/>
        <v>279.09530000000001</v>
      </c>
      <c r="G533" s="15">
        <f t="shared" si="57"/>
        <v>319.88</v>
      </c>
      <c r="H533" s="15">
        <f t="shared" si="58"/>
        <v>232.57941666666667</v>
      </c>
      <c r="I533" s="15">
        <f t="shared" si="59"/>
        <v>266.56666666666666</v>
      </c>
      <c r="J533" s="10">
        <v>206</v>
      </c>
      <c r="K533" s="10">
        <v>278</v>
      </c>
      <c r="L533" s="10">
        <v>387</v>
      </c>
      <c r="M533" s="10">
        <v>387</v>
      </c>
      <c r="N533" s="10">
        <v>388</v>
      </c>
      <c r="O533" s="10">
        <v>384</v>
      </c>
      <c r="P533" s="10">
        <v>390</v>
      </c>
      <c r="Q533" s="10">
        <v>388</v>
      </c>
      <c r="R533" s="10">
        <v>384</v>
      </c>
      <c r="S533" s="10">
        <v>390</v>
      </c>
      <c r="T533" s="10">
        <v>388</v>
      </c>
      <c r="U533" s="10">
        <v>273</v>
      </c>
      <c r="V533" s="10">
        <v>289</v>
      </c>
      <c r="W533" s="10">
        <v>271</v>
      </c>
      <c r="X533" s="10">
        <v>153</v>
      </c>
      <c r="Y533" s="10">
        <v>106</v>
      </c>
      <c r="Z533" s="10">
        <v>215</v>
      </c>
      <c r="AA533" s="10">
        <v>370</v>
      </c>
      <c r="AB533" s="10">
        <v>165</v>
      </c>
      <c r="AC533" s="10">
        <v>172</v>
      </c>
      <c r="AD533" s="10">
        <v>176</v>
      </c>
      <c r="AE533" s="10">
        <v>122</v>
      </c>
      <c r="AF533" s="10">
        <v>61</v>
      </c>
      <c r="AG533" s="10">
        <v>38</v>
      </c>
      <c r="AH533" s="102">
        <f>SUM(Tableau2[[#This Row],[Td 2]:[Td 5]])</f>
        <v>397</v>
      </c>
      <c r="AI533" s="10">
        <v>58.3</v>
      </c>
      <c r="AJ533" s="10">
        <v>100</v>
      </c>
      <c r="AK533" s="17">
        <f t="shared" si="60"/>
        <v>0</v>
      </c>
      <c r="AL533" s="17">
        <f t="shared" si="61"/>
        <v>231</v>
      </c>
      <c r="AM533" s="17">
        <f t="shared" si="62"/>
        <v>153</v>
      </c>
    </row>
    <row r="534" spans="1:39" s="3" customFormat="1" x14ac:dyDescent="0.25">
      <c r="A534" s="2" t="s">
        <v>16</v>
      </c>
      <c r="B534" s="29" t="s">
        <v>740</v>
      </c>
      <c r="C534" s="2" t="s">
        <v>43</v>
      </c>
      <c r="D534" s="2" t="s">
        <v>548</v>
      </c>
      <c r="E534" s="14">
        <v>36832</v>
      </c>
      <c r="F534" s="15">
        <f t="shared" si="56"/>
        <v>1285.4367999999999</v>
      </c>
      <c r="G534" s="15">
        <f t="shared" si="57"/>
        <v>1473.28</v>
      </c>
      <c r="H534" s="15">
        <f t="shared" si="58"/>
        <v>1071.1973333333333</v>
      </c>
      <c r="I534" s="15">
        <f t="shared" si="59"/>
        <v>1227.7333333333333</v>
      </c>
      <c r="J534" s="10">
        <v>1108</v>
      </c>
      <c r="K534" s="10">
        <v>834</v>
      </c>
      <c r="L534" s="10">
        <v>1480</v>
      </c>
      <c r="M534" s="10">
        <v>1444</v>
      </c>
      <c r="N534" s="10">
        <v>1415</v>
      </c>
      <c r="O534" s="10">
        <v>1480</v>
      </c>
      <c r="P534" s="10">
        <v>1444</v>
      </c>
      <c r="Q534" s="10">
        <v>1415</v>
      </c>
      <c r="R534" s="10">
        <v>1480</v>
      </c>
      <c r="S534" s="10">
        <v>2128</v>
      </c>
      <c r="T534" s="10">
        <v>1415</v>
      </c>
      <c r="U534" s="10">
        <v>1480</v>
      </c>
      <c r="V534" s="10">
        <v>1441</v>
      </c>
      <c r="W534" s="10">
        <v>1415</v>
      </c>
      <c r="X534" s="10">
        <v>697</v>
      </c>
      <c r="Y534" s="10">
        <v>1319</v>
      </c>
      <c r="Z534" s="10">
        <v>1275</v>
      </c>
      <c r="AA534" s="10">
        <v>1415</v>
      </c>
      <c r="AB534" s="10">
        <v>1045</v>
      </c>
      <c r="AC534" s="10">
        <v>438</v>
      </c>
      <c r="AD534" s="10">
        <v>402</v>
      </c>
      <c r="AE534" s="10">
        <v>392</v>
      </c>
      <c r="AF534" s="10">
        <v>269</v>
      </c>
      <c r="AG534" s="10">
        <v>183</v>
      </c>
      <c r="AH534" s="102">
        <f>SUM(Tableau2[[#This Row],[Td 2]:[Td 5]])</f>
        <v>1246</v>
      </c>
      <c r="AI534" s="10">
        <v>44.4</v>
      </c>
      <c r="AJ534" s="10">
        <v>100</v>
      </c>
      <c r="AK534" s="17">
        <f t="shared" si="60"/>
        <v>0</v>
      </c>
      <c r="AL534" s="17">
        <f t="shared" si="61"/>
        <v>783</v>
      </c>
      <c r="AM534" s="17">
        <f t="shared" si="62"/>
        <v>697</v>
      </c>
    </row>
    <row r="535" spans="1:39" s="3" customFormat="1" x14ac:dyDescent="0.25">
      <c r="A535" s="2" t="s">
        <v>16</v>
      </c>
      <c r="B535" s="29" t="s">
        <v>740</v>
      </c>
      <c r="C535" s="2" t="s">
        <v>43</v>
      </c>
      <c r="D535" s="2" t="s">
        <v>549</v>
      </c>
      <c r="E535" s="14">
        <v>21662</v>
      </c>
      <c r="F535" s="15">
        <f t="shared" si="56"/>
        <v>756.00379999999996</v>
      </c>
      <c r="G535" s="15">
        <f t="shared" si="57"/>
        <v>866.48</v>
      </c>
      <c r="H535" s="15">
        <f t="shared" si="58"/>
        <v>630.00316666666663</v>
      </c>
      <c r="I535" s="15">
        <f t="shared" si="59"/>
        <v>722.06666666666661</v>
      </c>
      <c r="J535" s="10">
        <v>597</v>
      </c>
      <c r="K535" s="10">
        <v>679</v>
      </c>
      <c r="L535" s="10">
        <v>647</v>
      </c>
      <c r="M535" s="10">
        <v>628</v>
      </c>
      <c r="N535" s="10">
        <v>626</v>
      </c>
      <c r="O535" s="10">
        <v>642</v>
      </c>
      <c r="P535" s="10">
        <v>595</v>
      </c>
      <c r="Q535" s="10">
        <v>622</v>
      </c>
      <c r="R535" s="10">
        <v>640</v>
      </c>
      <c r="S535" s="10">
        <v>626</v>
      </c>
      <c r="T535" s="10">
        <v>621</v>
      </c>
      <c r="U535" s="10">
        <v>519</v>
      </c>
      <c r="V535" s="10">
        <v>510</v>
      </c>
      <c r="W535" s="10">
        <v>517</v>
      </c>
      <c r="X535" s="10">
        <v>713</v>
      </c>
      <c r="Y535" s="10">
        <v>720</v>
      </c>
      <c r="Z535" s="10">
        <v>631</v>
      </c>
      <c r="AA535" s="10">
        <v>630</v>
      </c>
      <c r="AB535" s="10">
        <v>563</v>
      </c>
      <c r="AC535" s="10">
        <v>185</v>
      </c>
      <c r="AD535" s="10">
        <v>146</v>
      </c>
      <c r="AE535" s="10">
        <v>107</v>
      </c>
      <c r="AF535" s="10">
        <v>121</v>
      </c>
      <c r="AG535" s="10">
        <v>114</v>
      </c>
      <c r="AH535" s="102">
        <f>SUM(Tableau2[[#This Row],[Td 2]:[Td 5]])</f>
        <v>488</v>
      </c>
      <c r="AI535" s="10">
        <v>58.3</v>
      </c>
      <c r="AJ535" s="10">
        <v>100</v>
      </c>
      <c r="AK535" s="17">
        <f t="shared" si="60"/>
        <v>0</v>
      </c>
      <c r="AL535" s="17">
        <f t="shared" si="61"/>
        <v>0</v>
      </c>
      <c r="AM535" s="17">
        <f t="shared" si="62"/>
        <v>631</v>
      </c>
    </row>
    <row r="536" spans="1:39" s="3" customFormat="1" x14ac:dyDescent="0.25">
      <c r="A536" s="2" t="s">
        <v>16</v>
      </c>
      <c r="B536" s="29" t="s">
        <v>740</v>
      </c>
      <c r="C536" s="2" t="s">
        <v>43</v>
      </c>
      <c r="D536" s="2" t="s">
        <v>550</v>
      </c>
      <c r="E536" s="14">
        <v>9069</v>
      </c>
      <c r="F536" s="15">
        <f t="shared" si="56"/>
        <v>316.50810000000001</v>
      </c>
      <c r="G536" s="15">
        <f t="shared" si="57"/>
        <v>362.76</v>
      </c>
      <c r="H536" s="15">
        <f t="shared" si="58"/>
        <v>263.75675000000001</v>
      </c>
      <c r="I536" s="15">
        <f t="shared" si="59"/>
        <v>302.3</v>
      </c>
      <c r="J536" s="10">
        <v>250</v>
      </c>
      <c r="K536" s="10">
        <v>250</v>
      </c>
      <c r="L536" s="10">
        <v>335</v>
      </c>
      <c r="M536" s="10">
        <v>431</v>
      </c>
      <c r="N536" s="10">
        <v>325</v>
      </c>
      <c r="O536" s="10">
        <v>345</v>
      </c>
      <c r="P536" s="10">
        <v>429</v>
      </c>
      <c r="Q536" s="10">
        <v>326</v>
      </c>
      <c r="R536" s="10">
        <v>345</v>
      </c>
      <c r="S536" s="10">
        <v>429</v>
      </c>
      <c r="T536" s="10">
        <v>326</v>
      </c>
      <c r="U536" s="10">
        <v>286</v>
      </c>
      <c r="V536" s="10">
        <v>359</v>
      </c>
      <c r="W536" s="10">
        <v>269</v>
      </c>
      <c r="X536" s="10">
        <v>417</v>
      </c>
      <c r="Y536" s="10">
        <v>424</v>
      </c>
      <c r="Z536" s="10">
        <v>344</v>
      </c>
      <c r="AA536" s="10">
        <v>326</v>
      </c>
      <c r="AB536" s="10">
        <v>330</v>
      </c>
      <c r="AC536" s="10">
        <v>82</v>
      </c>
      <c r="AD536" s="10">
        <v>71</v>
      </c>
      <c r="AE536" s="10">
        <v>55</v>
      </c>
      <c r="AF536" s="10">
        <v>34</v>
      </c>
      <c r="AG536" s="10">
        <v>6</v>
      </c>
      <c r="AH536" s="102">
        <f>SUM(Tableau2[[#This Row],[Td 2]:[Td 5]])</f>
        <v>166</v>
      </c>
      <c r="AI536" s="10">
        <v>50</v>
      </c>
      <c r="AJ536" s="10">
        <v>100</v>
      </c>
      <c r="AK536" s="17">
        <f t="shared" si="60"/>
        <v>0</v>
      </c>
      <c r="AL536" s="17">
        <f t="shared" si="61"/>
        <v>0</v>
      </c>
      <c r="AM536" s="17">
        <f t="shared" si="62"/>
        <v>344</v>
      </c>
    </row>
    <row r="537" spans="1:39" s="3" customFormat="1" x14ac:dyDescent="0.25">
      <c r="A537" s="2" t="s">
        <v>16</v>
      </c>
      <c r="B537" s="29" t="s">
        <v>740</v>
      </c>
      <c r="C537" s="2" t="s">
        <v>43</v>
      </c>
      <c r="D537" s="2" t="s">
        <v>551</v>
      </c>
      <c r="E537" s="14">
        <v>12844</v>
      </c>
      <c r="F537" s="15">
        <f t="shared" si="56"/>
        <v>448.25560000000002</v>
      </c>
      <c r="G537" s="15">
        <f t="shared" si="57"/>
        <v>513.76</v>
      </c>
      <c r="H537" s="15">
        <f t="shared" si="58"/>
        <v>373.54633333333334</v>
      </c>
      <c r="I537" s="15">
        <f t="shared" si="59"/>
        <v>428.13333333333333</v>
      </c>
      <c r="J537" s="10">
        <v>362</v>
      </c>
      <c r="K537" s="10">
        <v>247</v>
      </c>
      <c r="L537" s="10">
        <v>413</v>
      </c>
      <c r="M537" s="10">
        <v>408</v>
      </c>
      <c r="N537" s="10">
        <v>403</v>
      </c>
      <c r="O537" s="10">
        <v>412</v>
      </c>
      <c r="P537" s="10">
        <v>408</v>
      </c>
      <c r="Q537" s="10">
        <v>403</v>
      </c>
      <c r="R537" s="10">
        <v>412</v>
      </c>
      <c r="S537" s="10">
        <v>408</v>
      </c>
      <c r="T537" s="10">
        <v>403</v>
      </c>
      <c r="U537" s="10">
        <v>366</v>
      </c>
      <c r="V537" s="10">
        <v>366</v>
      </c>
      <c r="W537" s="10">
        <v>361</v>
      </c>
      <c r="X537" s="10">
        <v>375</v>
      </c>
      <c r="Y537" s="10">
        <v>403</v>
      </c>
      <c r="Z537" s="10">
        <v>338</v>
      </c>
      <c r="AA537" s="10">
        <v>486</v>
      </c>
      <c r="AB537" s="10">
        <v>347</v>
      </c>
      <c r="AC537" s="10">
        <v>113</v>
      </c>
      <c r="AD537" s="10">
        <v>126</v>
      </c>
      <c r="AE537" s="10">
        <v>104</v>
      </c>
      <c r="AF537" s="10">
        <v>103</v>
      </c>
      <c r="AG537" s="10">
        <v>97</v>
      </c>
      <c r="AH537" s="102">
        <f>SUM(Tableau2[[#This Row],[Td 2]:[Td 5]])</f>
        <v>430</v>
      </c>
      <c r="AI537" s="10">
        <v>50</v>
      </c>
      <c r="AJ537" s="10">
        <v>100</v>
      </c>
      <c r="AK537" s="17">
        <f t="shared" si="60"/>
        <v>0</v>
      </c>
      <c r="AL537" s="17">
        <f t="shared" si="61"/>
        <v>37</v>
      </c>
      <c r="AM537" s="17">
        <f t="shared" si="62"/>
        <v>338</v>
      </c>
    </row>
    <row r="538" spans="1:39" s="3" customFormat="1" x14ac:dyDescent="0.25">
      <c r="A538" s="2" t="s">
        <v>16</v>
      </c>
      <c r="B538" s="29" t="s">
        <v>740</v>
      </c>
      <c r="C538" s="2" t="s">
        <v>43</v>
      </c>
      <c r="D538" s="2" t="s">
        <v>552</v>
      </c>
      <c r="E538" s="14">
        <v>14319</v>
      </c>
      <c r="F538" s="15">
        <f t="shared" si="56"/>
        <v>499.73309999999998</v>
      </c>
      <c r="G538" s="15">
        <f t="shared" si="57"/>
        <v>572.76</v>
      </c>
      <c r="H538" s="15">
        <f t="shared" si="58"/>
        <v>416.44425000000001</v>
      </c>
      <c r="I538" s="15">
        <f t="shared" si="59"/>
        <v>477.29999999999995</v>
      </c>
      <c r="J538" s="10">
        <v>344</v>
      </c>
      <c r="K538" s="10">
        <v>305</v>
      </c>
      <c r="L538" s="10">
        <v>298</v>
      </c>
      <c r="M538" s="10">
        <v>237</v>
      </c>
      <c r="N538" s="10">
        <v>286</v>
      </c>
      <c r="O538" s="10">
        <v>298</v>
      </c>
      <c r="P538" s="10">
        <v>237</v>
      </c>
      <c r="Q538" s="10">
        <v>286</v>
      </c>
      <c r="R538" s="10">
        <v>299</v>
      </c>
      <c r="S538" s="10">
        <v>237</v>
      </c>
      <c r="T538" s="10">
        <v>286</v>
      </c>
      <c r="U538" s="10">
        <v>203</v>
      </c>
      <c r="V538" s="10">
        <v>185</v>
      </c>
      <c r="W538" s="10">
        <v>195</v>
      </c>
      <c r="X538" s="10">
        <v>397</v>
      </c>
      <c r="Y538" s="10">
        <v>316</v>
      </c>
      <c r="Z538" s="10">
        <v>414</v>
      </c>
      <c r="AA538" s="10">
        <v>233</v>
      </c>
      <c r="AB538" s="10">
        <v>333</v>
      </c>
      <c r="AC538" s="10">
        <v>90</v>
      </c>
      <c r="AD538" s="10">
        <v>86</v>
      </c>
      <c r="AE538" s="10">
        <v>73</v>
      </c>
      <c r="AF538" s="10">
        <v>75</v>
      </c>
      <c r="AG538" s="10">
        <v>156</v>
      </c>
      <c r="AH538" s="102">
        <f>SUM(Tableau2[[#This Row],[Td 2]:[Td 5]])</f>
        <v>390</v>
      </c>
      <c r="AI538" s="10">
        <v>58.3</v>
      </c>
      <c r="AJ538" s="10">
        <v>100</v>
      </c>
      <c r="AK538" s="17">
        <f t="shared" si="60"/>
        <v>118.44425000000001</v>
      </c>
      <c r="AL538" s="17">
        <f t="shared" si="61"/>
        <v>0</v>
      </c>
      <c r="AM538" s="17">
        <f t="shared" si="62"/>
        <v>397</v>
      </c>
    </row>
    <row r="539" spans="1:39" s="3" customFormat="1" x14ac:dyDescent="0.25">
      <c r="A539" s="2" t="s">
        <v>16</v>
      </c>
      <c r="B539" s="29" t="s">
        <v>740</v>
      </c>
      <c r="C539" s="2" t="s">
        <v>43</v>
      </c>
      <c r="D539" s="2" t="s">
        <v>553</v>
      </c>
      <c r="E539" s="14">
        <v>18459</v>
      </c>
      <c r="F539" s="15">
        <f t="shared" si="56"/>
        <v>644.21910000000003</v>
      </c>
      <c r="G539" s="15">
        <f t="shared" si="57"/>
        <v>738.36</v>
      </c>
      <c r="H539" s="15">
        <f t="shared" si="58"/>
        <v>536.84924999999998</v>
      </c>
      <c r="I539" s="15">
        <f t="shared" si="59"/>
        <v>615.29999999999995</v>
      </c>
      <c r="J539" s="10">
        <v>426</v>
      </c>
      <c r="K539" s="10">
        <v>581</v>
      </c>
      <c r="L539" s="10">
        <v>567</v>
      </c>
      <c r="M539" s="10">
        <v>545</v>
      </c>
      <c r="N539" s="10">
        <v>554</v>
      </c>
      <c r="O539" s="10">
        <v>567</v>
      </c>
      <c r="P539" s="10">
        <v>545</v>
      </c>
      <c r="Q539" s="10">
        <v>554</v>
      </c>
      <c r="R539" s="10">
        <v>567</v>
      </c>
      <c r="S539" s="10">
        <v>545</v>
      </c>
      <c r="T539" s="10">
        <v>554</v>
      </c>
      <c r="U539" s="10">
        <v>429</v>
      </c>
      <c r="V539" s="10">
        <v>408</v>
      </c>
      <c r="W539" s="10">
        <v>422</v>
      </c>
      <c r="X539" s="10">
        <v>531</v>
      </c>
      <c r="Y539" s="10">
        <v>488</v>
      </c>
      <c r="Z539" s="10">
        <v>535</v>
      </c>
      <c r="AA539" s="10">
        <v>554</v>
      </c>
      <c r="AB539" s="10">
        <v>547</v>
      </c>
      <c r="AC539" s="10">
        <v>433</v>
      </c>
      <c r="AD539" s="10">
        <v>347</v>
      </c>
      <c r="AE539" s="10">
        <v>275</v>
      </c>
      <c r="AF539" s="10">
        <v>231</v>
      </c>
      <c r="AG539" s="10">
        <v>183</v>
      </c>
      <c r="AH539" s="102">
        <f>SUM(Tableau2[[#This Row],[Td 2]:[Td 5]])</f>
        <v>1036</v>
      </c>
      <c r="AI539" s="10">
        <v>58.3</v>
      </c>
      <c r="AJ539" s="10">
        <v>100</v>
      </c>
      <c r="AK539" s="17">
        <f t="shared" si="60"/>
        <v>0</v>
      </c>
      <c r="AL539" s="17">
        <f t="shared" si="61"/>
        <v>36</v>
      </c>
      <c r="AM539" s="17">
        <f t="shared" si="62"/>
        <v>531</v>
      </c>
    </row>
    <row r="540" spans="1:39" s="3" customFormat="1" x14ac:dyDescent="0.25">
      <c r="A540" s="2" t="s">
        <v>16</v>
      </c>
      <c r="B540" s="29" t="s">
        <v>740</v>
      </c>
      <c r="C540" s="2" t="s">
        <v>43</v>
      </c>
      <c r="D540" s="2" t="s">
        <v>554</v>
      </c>
      <c r="E540" s="14">
        <v>9127</v>
      </c>
      <c r="F540" s="15">
        <f t="shared" si="56"/>
        <v>318.53230000000002</v>
      </c>
      <c r="G540" s="15">
        <f t="shared" si="57"/>
        <v>365.08</v>
      </c>
      <c r="H540" s="15">
        <f t="shared" si="58"/>
        <v>265.44358333333332</v>
      </c>
      <c r="I540" s="15">
        <f t="shared" si="59"/>
        <v>304.23333333333335</v>
      </c>
      <c r="J540" s="10">
        <v>223</v>
      </c>
      <c r="K540" s="10">
        <v>131</v>
      </c>
      <c r="L540" s="10">
        <v>271</v>
      </c>
      <c r="M540" s="10">
        <v>257</v>
      </c>
      <c r="N540" s="10">
        <v>259</v>
      </c>
      <c r="O540" s="10">
        <v>271</v>
      </c>
      <c r="P540" s="10">
        <v>257</v>
      </c>
      <c r="Q540" s="10">
        <v>260</v>
      </c>
      <c r="R540" s="10">
        <v>271</v>
      </c>
      <c r="S540" s="10">
        <v>257</v>
      </c>
      <c r="T540" s="10">
        <v>260</v>
      </c>
      <c r="U540" s="10">
        <v>271</v>
      </c>
      <c r="V540" s="10">
        <v>257</v>
      </c>
      <c r="W540" s="10">
        <v>260</v>
      </c>
      <c r="X540" s="10">
        <v>195</v>
      </c>
      <c r="Y540" s="10">
        <v>176</v>
      </c>
      <c r="Z540" s="10">
        <v>188</v>
      </c>
      <c r="AA540" s="10">
        <v>259</v>
      </c>
      <c r="AB540" s="10">
        <v>221</v>
      </c>
      <c r="AC540" s="10">
        <v>37</v>
      </c>
      <c r="AD540" s="10">
        <v>21</v>
      </c>
      <c r="AE540" s="10">
        <v>10</v>
      </c>
      <c r="AF540" s="10">
        <v>6</v>
      </c>
      <c r="AG540" s="10" t="s">
        <v>2</v>
      </c>
      <c r="AH540" s="102">
        <f>SUM(Tableau2[[#This Row],[Td 2]:[Td 5]])</f>
        <v>37</v>
      </c>
      <c r="AI540" s="10">
        <v>58.3</v>
      </c>
      <c r="AJ540" s="10">
        <v>100</v>
      </c>
      <c r="AK540" s="17">
        <f t="shared" si="60"/>
        <v>0</v>
      </c>
      <c r="AL540" s="17">
        <f t="shared" si="61"/>
        <v>76</v>
      </c>
      <c r="AM540" s="17">
        <f t="shared" si="62"/>
        <v>188</v>
      </c>
    </row>
    <row r="541" spans="1:39" s="3" customFormat="1" x14ac:dyDescent="0.25">
      <c r="A541" s="2" t="s">
        <v>16</v>
      </c>
      <c r="B541" s="29" t="s">
        <v>740</v>
      </c>
      <c r="C541" s="2" t="s">
        <v>43</v>
      </c>
      <c r="D541" s="2" t="s">
        <v>555</v>
      </c>
      <c r="E541" s="14">
        <v>9821</v>
      </c>
      <c r="F541" s="15">
        <f t="shared" si="56"/>
        <v>342.75290000000001</v>
      </c>
      <c r="G541" s="15">
        <f t="shared" si="57"/>
        <v>392.84000000000003</v>
      </c>
      <c r="H541" s="15">
        <f t="shared" si="58"/>
        <v>285.6274166666667</v>
      </c>
      <c r="I541" s="15">
        <f t="shared" si="59"/>
        <v>327.36666666666673</v>
      </c>
      <c r="J541" s="10">
        <v>320</v>
      </c>
      <c r="K541" s="10">
        <v>395</v>
      </c>
      <c r="L541" s="10">
        <v>407</v>
      </c>
      <c r="M541" s="10">
        <v>395</v>
      </c>
      <c r="N541" s="10">
        <v>385</v>
      </c>
      <c r="O541" s="10">
        <v>407</v>
      </c>
      <c r="P541" s="10">
        <v>395</v>
      </c>
      <c r="Q541" s="10">
        <v>385</v>
      </c>
      <c r="R541" s="10">
        <v>407</v>
      </c>
      <c r="S541" s="10">
        <v>395</v>
      </c>
      <c r="T541" s="10">
        <v>385</v>
      </c>
      <c r="U541" s="10">
        <v>404</v>
      </c>
      <c r="V541" s="10">
        <v>395</v>
      </c>
      <c r="W541" s="10">
        <v>385</v>
      </c>
      <c r="X541" s="10">
        <v>402</v>
      </c>
      <c r="Y541" s="10">
        <v>313</v>
      </c>
      <c r="Z541" s="10">
        <v>336</v>
      </c>
      <c r="AA541" s="10">
        <v>375</v>
      </c>
      <c r="AB541" s="10">
        <v>371</v>
      </c>
      <c r="AC541" s="10">
        <v>215</v>
      </c>
      <c r="AD541" s="10">
        <v>171</v>
      </c>
      <c r="AE541" s="10">
        <v>191</v>
      </c>
      <c r="AF541" s="10">
        <v>210</v>
      </c>
      <c r="AG541" s="10">
        <v>142</v>
      </c>
      <c r="AH541" s="102">
        <f>SUM(Tableau2[[#This Row],[Td 2]:[Td 5]])</f>
        <v>714</v>
      </c>
      <c r="AI541" s="10">
        <v>58.3</v>
      </c>
      <c r="AJ541" s="10">
        <v>100</v>
      </c>
      <c r="AK541" s="17">
        <f t="shared" si="60"/>
        <v>0</v>
      </c>
      <c r="AL541" s="17">
        <f t="shared" si="61"/>
        <v>5</v>
      </c>
      <c r="AM541" s="17">
        <f t="shared" si="62"/>
        <v>336</v>
      </c>
    </row>
    <row r="542" spans="1:39" s="3" customFormat="1" x14ac:dyDescent="0.25">
      <c r="A542" s="2" t="s">
        <v>16</v>
      </c>
      <c r="B542" s="29" t="s">
        <v>740</v>
      </c>
      <c r="C542" s="2" t="s">
        <v>43</v>
      </c>
      <c r="D542" s="2" t="s">
        <v>556</v>
      </c>
      <c r="E542" s="14">
        <v>46059</v>
      </c>
      <c r="F542" s="15">
        <f t="shared" si="56"/>
        <v>1607.4591</v>
      </c>
      <c r="G542" s="15">
        <f t="shared" si="57"/>
        <v>1842.3600000000001</v>
      </c>
      <c r="H542" s="15">
        <f t="shared" si="58"/>
        <v>1339.54925</v>
      </c>
      <c r="I542" s="15">
        <f t="shared" si="59"/>
        <v>1535.3</v>
      </c>
      <c r="J542" s="10">
        <v>587</v>
      </c>
      <c r="K542" s="10">
        <v>483</v>
      </c>
      <c r="L542" s="10">
        <v>742</v>
      </c>
      <c r="M542" s="10">
        <v>675</v>
      </c>
      <c r="N542" s="10">
        <v>635</v>
      </c>
      <c r="O542" s="10">
        <v>780</v>
      </c>
      <c r="P542" s="10">
        <v>631</v>
      </c>
      <c r="Q542" s="10">
        <v>995</v>
      </c>
      <c r="R542" s="10">
        <v>692</v>
      </c>
      <c r="S542" s="10">
        <v>651</v>
      </c>
      <c r="T542" s="10">
        <v>623</v>
      </c>
      <c r="U542" s="10">
        <v>654</v>
      </c>
      <c r="V542" s="10">
        <v>621</v>
      </c>
      <c r="W542" s="10">
        <v>598</v>
      </c>
      <c r="X542" s="10">
        <v>263</v>
      </c>
      <c r="Y542" s="10">
        <v>248</v>
      </c>
      <c r="Z542" s="10">
        <v>480</v>
      </c>
      <c r="AA542" s="10">
        <v>629</v>
      </c>
      <c r="AB542" s="10">
        <v>373</v>
      </c>
      <c r="AC542" s="10">
        <v>150</v>
      </c>
      <c r="AD542" s="10">
        <v>191</v>
      </c>
      <c r="AE542" s="10">
        <v>145</v>
      </c>
      <c r="AF542" s="10">
        <v>127</v>
      </c>
      <c r="AG542" s="10">
        <v>185</v>
      </c>
      <c r="AH542" s="102">
        <f>SUM(Tableau2[[#This Row],[Td 2]:[Td 5]])</f>
        <v>648</v>
      </c>
      <c r="AI542" s="10">
        <v>54.2</v>
      </c>
      <c r="AJ542" s="10">
        <v>100</v>
      </c>
      <c r="AK542" s="17">
        <f t="shared" si="60"/>
        <v>559.54925000000003</v>
      </c>
      <c r="AL542" s="17">
        <f t="shared" si="61"/>
        <v>517</v>
      </c>
      <c r="AM542" s="17">
        <f t="shared" si="62"/>
        <v>263</v>
      </c>
    </row>
    <row r="543" spans="1:39" s="3" customFormat="1" x14ac:dyDescent="0.25">
      <c r="A543" s="2" t="s">
        <v>16</v>
      </c>
      <c r="B543" s="29" t="s">
        <v>740</v>
      </c>
      <c r="C543" s="2" t="s">
        <v>43</v>
      </c>
      <c r="D543" s="2" t="s">
        <v>557</v>
      </c>
      <c r="E543" s="14">
        <v>18788</v>
      </c>
      <c r="F543" s="15">
        <f t="shared" si="56"/>
        <v>655.70119999999997</v>
      </c>
      <c r="G543" s="15">
        <f t="shared" si="57"/>
        <v>751.52</v>
      </c>
      <c r="H543" s="15">
        <f t="shared" si="58"/>
        <v>546.41766666666661</v>
      </c>
      <c r="I543" s="15">
        <f t="shared" si="59"/>
        <v>626.26666666666665</v>
      </c>
      <c r="J543" s="10">
        <v>288</v>
      </c>
      <c r="K543" s="10">
        <v>23</v>
      </c>
      <c r="L543" s="10">
        <v>454</v>
      </c>
      <c r="M543" s="10">
        <v>440</v>
      </c>
      <c r="N543" s="10">
        <v>446</v>
      </c>
      <c r="O543" s="10">
        <v>479</v>
      </c>
      <c r="P543" s="10">
        <v>461</v>
      </c>
      <c r="Q543" s="10">
        <v>467</v>
      </c>
      <c r="R543" s="10">
        <v>479</v>
      </c>
      <c r="S543" s="10">
        <v>461</v>
      </c>
      <c r="T543" s="10">
        <v>467</v>
      </c>
      <c r="U543" s="10">
        <v>341</v>
      </c>
      <c r="V543" s="10">
        <v>324</v>
      </c>
      <c r="W543" s="10">
        <v>329</v>
      </c>
      <c r="X543" s="10">
        <v>460</v>
      </c>
      <c r="Y543" s="10">
        <v>400</v>
      </c>
      <c r="Z543" s="10">
        <v>495</v>
      </c>
      <c r="AA543" s="10">
        <v>449</v>
      </c>
      <c r="AB543" s="10">
        <v>374</v>
      </c>
      <c r="AC543" s="10">
        <v>70</v>
      </c>
      <c r="AD543" s="10">
        <v>182</v>
      </c>
      <c r="AE543" s="10">
        <v>398</v>
      </c>
      <c r="AF543" s="10">
        <v>381</v>
      </c>
      <c r="AG543" s="10">
        <v>92</v>
      </c>
      <c r="AH543" s="102">
        <f>SUM(Tableau2[[#This Row],[Td 2]:[Td 5]])</f>
        <v>1053</v>
      </c>
      <c r="AI543" s="10">
        <v>58.3</v>
      </c>
      <c r="AJ543" s="10">
        <v>100</v>
      </c>
      <c r="AK543" s="17">
        <f t="shared" si="60"/>
        <v>67.417666666666605</v>
      </c>
      <c r="AL543" s="17">
        <f t="shared" si="61"/>
        <v>19</v>
      </c>
      <c r="AM543" s="17">
        <f t="shared" si="62"/>
        <v>460</v>
      </c>
    </row>
    <row r="544" spans="1:39" s="3" customFormat="1" x14ac:dyDescent="0.25">
      <c r="A544" s="2" t="s">
        <v>16</v>
      </c>
      <c r="B544" s="29" t="s">
        <v>740</v>
      </c>
      <c r="C544" s="2" t="s">
        <v>43</v>
      </c>
      <c r="D544" s="2" t="s">
        <v>558</v>
      </c>
      <c r="E544" s="14">
        <v>18475</v>
      </c>
      <c r="F544" s="15">
        <f t="shared" si="56"/>
        <v>644.77750000000003</v>
      </c>
      <c r="G544" s="15">
        <f t="shared" si="57"/>
        <v>739</v>
      </c>
      <c r="H544" s="15">
        <f t="shared" si="58"/>
        <v>537.3145833333333</v>
      </c>
      <c r="I544" s="15">
        <f t="shared" si="59"/>
        <v>615.83333333333337</v>
      </c>
      <c r="J544" s="10">
        <v>466</v>
      </c>
      <c r="K544" s="10">
        <v>284</v>
      </c>
      <c r="L544" s="10">
        <v>633</v>
      </c>
      <c r="M544" s="10">
        <v>465</v>
      </c>
      <c r="N544" s="10">
        <v>607</v>
      </c>
      <c r="O544" s="10">
        <v>633</v>
      </c>
      <c r="P544" s="10">
        <v>465</v>
      </c>
      <c r="Q544" s="10">
        <v>588</v>
      </c>
      <c r="R544" s="10">
        <v>633</v>
      </c>
      <c r="S544" s="10">
        <v>466</v>
      </c>
      <c r="T544" s="10">
        <v>588</v>
      </c>
      <c r="U544" s="10">
        <v>573</v>
      </c>
      <c r="V544" s="10">
        <v>413</v>
      </c>
      <c r="W544" s="10">
        <v>531</v>
      </c>
      <c r="X544" s="10">
        <v>242</v>
      </c>
      <c r="Y544" s="10">
        <v>357</v>
      </c>
      <c r="Z544" s="10">
        <v>351</v>
      </c>
      <c r="AA544" s="10">
        <v>607</v>
      </c>
      <c r="AB544" s="10">
        <v>259</v>
      </c>
      <c r="AC544" s="10">
        <v>117</v>
      </c>
      <c r="AD544" s="10">
        <v>69</v>
      </c>
      <c r="AE544" s="10">
        <v>50</v>
      </c>
      <c r="AF544" s="10">
        <v>32</v>
      </c>
      <c r="AG544" s="10">
        <v>21</v>
      </c>
      <c r="AH544" s="102">
        <f>SUM(Tableau2[[#This Row],[Td 2]:[Td 5]])</f>
        <v>172</v>
      </c>
      <c r="AI544" s="10">
        <v>58.3</v>
      </c>
      <c r="AJ544" s="10">
        <v>100</v>
      </c>
      <c r="AK544" s="17">
        <f t="shared" si="60"/>
        <v>0</v>
      </c>
      <c r="AL544" s="17">
        <f t="shared" si="61"/>
        <v>391</v>
      </c>
      <c r="AM544" s="17">
        <f t="shared" si="62"/>
        <v>242</v>
      </c>
    </row>
    <row r="545" spans="1:39" s="3" customFormat="1" x14ac:dyDescent="0.25">
      <c r="A545" s="2" t="s">
        <v>16</v>
      </c>
      <c r="B545" s="29" t="s">
        <v>740</v>
      </c>
      <c r="C545" s="2" t="s">
        <v>44</v>
      </c>
      <c r="D545" s="2" t="s">
        <v>559</v>
      </c>
      <c r="E545" s="14">
        <v>19174</v>
      </c>
      <c r="F545" s="15">
        <f t="shared" si="56"/>
        <v>669.17259999999999</v>
      </c>
      <c r="G545" s="15">
        <f t="shared" si="57"/>
        <v>766.96</v>
      </c>
      <c r="H545" s="15">
        <f t="shared" si="58"/>
        <v>557.6438333333333</v>
      </c>
      <c r="I545" s="15">
        <f t="shared" si="59"/>
        <v>639.13333333333333</v>
      </c>
      <c r="J545" s="10" t="s">
        <v>2</v>
      </c>
      <c r="K545" s="10" t="s">
        <v>2</v>
      </c>
      <c r="L545" s="10" t="s">
        <v>2</v>
      </c>
      <c r="M545" s="10" t="s">
        <v>2</v>
      </c>
      <c r="N545" s="10" t="s">
        <v>2</v>
      </c>
      <c r="O545" s="10" t="s">
        <v>2</v>
      </c>
      <c r="P545" s="10" t="s">
        <v>2</v>
      </c>
      <c r="Q545" s="10" t="s">
        <v>2</v>
      </c>
      <c r="R545" s="10" t="s">
        <v>2</v>
      </c>
      <c r="S545" s="10" t="s">
        <v>2</v>
      </c>
      <c r="T545" s="10" t="s">
        <v>2</v>
      </c>
      <c r="U545" s="10" t="s">
        <v>2</v>
      </c>
      <c r="V545" s="10" t="s">
        <v>2</v>
      </c>
      <c r="W545" s="10" t="s">
        <v>2</v>
      </c>
      <c r="X545" s="10" t="s">
        <v>2</v>
      </c>
      <c r="Y545" s="10" t="s">
        <v>2</v>
      </c>
      <c r="Z545" s="10" t="s">
        <v>2</v>
      </c>
      <c r="AA545" s="10" t="s">
        <v>2</v>
      </c>
      <c r="AB545" s="10" t="s">
        <v>2</v>
      </c>
      <c r="AC545" s="10" t="s">
        <v>2</v>
      </c>
      <c r="AD545" s="10" t="s">
        <v>2</v>
      </c>
      <c r="AE545" s="10" t="s">
        <v>2</v>
      </c>
      <c r="AF545" s="10" t="s">
        <v>2</v>
      </c>
      <c r="AG545" s="10" t="s">
        <v>2</v>
      </c>
      <c r="AH545" s="102">
        <f>SUM(Tableau2[[#This Row],[Td 2]:[Td 5]])</f>
        <v>0</v>
      </c>
      <c r="AI545" s="10">
        <v>8.3000000000000007</v>
      </c>
      <c r="AJ545" s="10">
        <v>100</v>
      </c>
      <c r="AK545" s="17">
        <f t="shared" si="60"/>
        <v>0</v>
      </c>
      <c r="AL545" s="17">
        <f t="shared" si="61"/>
        <v>0</v>
      </c>
      <c r="AM545" s="17">
        <f t="shared" si="62"/>
        <v>0</v>
      </c>
    </row>
    <row r="546" spans="1:39" s="3" customFormat="1" x14ac:dyDescent="0.25">
      <c r="A546" s="2" t="s">
        <v>16</v>
      </c>
      <c r="B546" s="29" t="s">
        <v>740</v>
      </c>
      <c r="C546" s="2" t="s">
        <v>44</v>
      </c>
      <c r="D546" s="2" t="s">
        <v>560</v>
      </c>
      <c r="E546" s="14">
        <v>30664</v>
      </c>
      <c r="F546" s="15">
        <f t="shared" si="56"/>
        <v>1070.1736000000001</v>
      </c>
      <c r="G546" s="15">
        <f t="shared" si="57"/>
        <v>1226.56</v>
      </c>
      <c r="H546" s="15">
        <f t="shared" si="58"/>
        <v>891.81133333333332</v>
      </c>
      <c r="I546" s="15">
        <f t="shared" si="59"/>
        <v>1022.1333333333332</v>
      </c>
      <c r="J546" s="10">
        <v>3921</v>
      </c>
      <c r="K546" s="10">
        <v>2597</v>
      </c>
      <c r="L546" s="10">
        <v>2730</v>
      </c>
      <c r="M546" s="10">
        <v>2641</v>
      </c>
      <c r="N546" s="10">
        <v>2576</v>
      </c>
      <c r="O546" s="10">
        <v>2709</v>
      </c>
      <c r="P546" s="10">
        <v>2576</v>
      </c>
      <c r="Q546" s="10">
        <v>2543</v>
      </c>
      <c r="R546" s="10">
        <v>2643</v>
      </c>
      <c r="S546" s="10">
        <v>2463</v>
      </c>
      <c r="T546" s="10">
        <v>2497</v>
      </c>
      <c r="U546" s="10">
        <v>2516</v>
      </c>
      <c r="V546" s="10">
        <v>2443</v>
      </c>
      <c r="W546" s="10">
        <v>2454</v>
      </c>
      <c r="X546" s="10">
        <v>2628</v>
      </c>
      <c r="Y546" s="10">
        <v>1498</v>
      </c>
      <c r="Z546" s="10">
        <v>2443</v>
      </c>
      <c r="AA546" s="10">
        <v>2338</v>
      </c>
      <c r="AB546" s="10">
        <v>1502</v>
      </c>
      <c r="AC546" s="10">
        <v>989</v>
      </c>
      <c r="AD546" s="10">
        <v>616</v>
      </c>
      <c r="AE546" s="10">
        <v>677</v>
      </c>
      <c r="AF546" s="10">
        <v>602</v>
      </c>
      <c r="AG546" s="10">
        <v>603</v>
      </c>
      <c r="AH546" s="102">
        <f>SUM(Tableau2[[#This Row],[Td 2]:[Td 5]])</f>
        <v>2498</v>
      </c>
      <c r="AI546" s="10">
        <v>58.3</v>
      </c>
      <c r="AJ546" s="10">
        <v>100</v>
      </c>
      <c r="AK546" s="17">
        <f t="shared" si="60"/>
        <v>0</v>
      </c>
      <c r="AL546" s="17">
        <f t="shared" si="61"/>
        <v>81</v>
      </c>
      <c r="AM546" s="17">
        <f t="shared" si="62"/>
        <v>2443</v>
      </c>
    </row>
    <row r="547" spans="1:39" s="3" customFormat="1" x14ac:dyDescent="0.25">
      <c r="A547" s="2" t="s">
        <v>16</v>
      </c>
      <c r="B547" s="29" t="s">
        <v>740</v>
      </c>
      <c r="C547" s="2" t="s">
        <v>44</v>
      </c>
      <c r="D547" s="2" t="s">
        <v>561</v>
      </c>
      <c r="E547" s="14">
        <v>9523</v>
      </c>
      <c r="F547" s="15">
        <f t="shared" si="56"/>
        <v>332.35270000000003</v>
      </c>
      <c r="G547" s="15">
        <f t="shared" si="57"/>
        <v>380.92</v>
      </c>
      <c r="H547" s="15">
        <f t="shared" si="58"/>
        <v>276.96058333333337</v>
      </c>
      <c r="I547" s="15">
        <f t="shared" si="59"/>
        <v>317.43333333333334</v>
      </c>
      <c r="J547" s="10" t="s">
        <v>2</v>
      </c>
      <c r="K547" s="10" t="s">
        <v>2</v>
      </c>
      <c r="L547" s="10" t="s">
        <v>2</v>
      </c>
      <c r="M547" s="10" t="s">
        <v>2</v>
      </c>
      <c r="N547" s="10" t="s">
        <v>2</v>
      </c>
      <c r="O547" s="10" t="s">
        <v>2</v>
      </c>
      <c r="P547" s="10" t="s">
        <v>2</v>
      </c>
      <c r="Q547" s="10" t="s">
        <v>2</v>
      </c>
      <c r="R547" s="10" t="s">
        <v>2</v>
      </c>
      <c r="S547" s="10" t="s">
        <v>2</v>
      </c>
      <c r="T547" s="10" t="s">
        <v>2</v>
      </c>
      <c r="U547" s="10" t="s">
        <v>2</v>
      </c>
      <c r="V547" s="10" t="s">
        <v>2</v>
      </c>
      <c r="W547" s="10" t="s">
        <v>2</v>
      </c>
      <c r="X547" s="10" t="s">
        <v>2</v>
      </c>
      <c r="Y547" s="10" t="s">
        <v>2</v>
      </c>
      <c r="Z547" s="10" t="s">
        <v>2</v>
      </c>
      <c r="AA547" s="10" t="s">
        <v>2</v>
      </c>
      <c r="AB547" s="10" t="s">
        <v>2</v>
      </c>
      <c r="AC547" s="10" t="s">
        <v>2</v>
      </c>
      <c r="AD547" s="10" t="s">
        <v>2</v>
      </c>
      <c r="AE547" s="10" t="s">
        <v>2</v>
      </c>
      <c r="AF547" s="10" t="s">
        <v>2</v>
      </c>
      <c r="AG547" s="10" t="s">
        <v>2</v>
      </c>
      <c r="AH547" s="102">
        <f>SUM(Tableau2[[#This Row],[Td 2]:[Td 5]])</f>
        <v>0</v>
      </c>
      <c r="AI547" s="10">
        <v>16.7</v>
      </c>
      <c r="AJ547" s="10">
        <v>100</v>
      </c>
      <c r="AK547" s="17">
        <f t="shared" si="60"/>
        <v>0</v>
      </c>
      <c r="AL547" s="17">
        <f t="shared" si="61"/>
        <v>0</v>
      </c>
      <c r="AM547" s="17">
        <f t="shared" si="62"/>
        <v>0</v>
      </c>
    </row>
    <row r="548" spans="1:39" s="3" customFormat="1" x14ac:dyDescent="0.25">
      <c r="A548" s="2" t="s">
        <v>16</v>
      </c>
      <c r="B548" s="29" t="s">
        <v>740</v>
      </c>
      <c r="C548" s="2" t="s">
        <v>44</v>
      </c>
      <c r="D548" s="2" t="s">
        <v>346</v>
      </c>
      <c r="E548" s="14">
        <v>9556</v>
      </c>
      <c r="F548" s="15">
        <f t="shared" si="56"/>
        <v>333.50440000000003</v>
      </c>
      <c r="G548" s="15">
        <f t="shared" si="57"/>
        <v>382.24</v>
      </c>
      <c r="H548" s="15">
        <f t="shared" si="58"/>
        <v>277.92033333333336</v>
      </c>
      <c r="I548" s="15">
        <f t="shared" si="59"/>
        <v>318.53333333333336</v>
      </c>
      <c r="J548" s="10">
        <v>642</v>
      </c>
      <c r="K548" s="10">
        <v>394</v>
      </c>
      <c r="L548" s="10">
        <v>640</v>
      </c>
      <c r="M548" s="10">
        <v>477</v>
      </c>
      <c r="N548" s="10">
        <v>578</v>
      </c>
      <c r="O548" s="10">
        <v>640</v>
      </c>
      <c r="P548" s="10">
        <v>477</v>
      </c>
      <c r="Q548" s="10">
        <v>578</v>
      </c>
      <c r="R548" s="10">
        <v>640</v>
      </c>
      <c r="S548" s="10">
        <v>487</v>
      </c>
      <c r="T548" s="10">
        <v>578</v>
      </c>
      <c r="U548" s="10">
        <v>631</v>
      </c>
      <c r="V548" s="10">
        <v>477</v>
      </c>
      <c r="W548" s="10">
        <v>587</v>
      </c>
      <c r="X548" s="10">
        <v>380</v>
      </c>
      <c r="Y548" s="10">
        <v>148</v>
      </c>
      <c r="Z548" s="10">
        <v>380</v>
      </c>
      <c r="AA548" s="10">
        <v>578</v>
      </c>
      <c r="AB548" s="10">
        <v>416</v>
      </c>
      <c r="AC548" s="10">
        <v>2243</v>
      </c>
      <c r="AD548" s="10">
        <v>257</v>
      </c>
      <c r="AE548" s="10">
        <v>140</v>
      </c>
      <c r="AF548" s="10">
        <v>68</v>
      </c>
      <c r="AG548" s="10">
        <v>85</v>
      </c>
      <c r="AH548" s="102">
        <f>SUM(Tableau2[[#This Row],[Td 2]:[Td 5]])</f>
        <v>550</v>
      </c>
      <c r="AI548" s="10">
        <v>50</v>
      </c>
      <c r="AJ548" s="10">
        <v>100</v>
      </c>
      <c r="AK548" s="17">
        <f t="shared" si="60"/>
        <v>0</v>
      </c>
      <c r="AL548" s="17">
        <f t="shared" si="61"/>
        <v>260</v>
      </c>
      <c r="AM548" s="17">
        <f t="shared" si="62"/>
        <v>380</v>
      </c>
    </row>
    <row r="549" spans="1:39" s="3" customFormat="1" x14ac:dyDescent="0.25">
      <c r="A549" s="2" t="s">
        <v>16</v>
      </c>
      <c r="B549" s="29" t="s">
        <v>740</v>
      </c>
      <c r="C549" s="2" t="s">
        <v>44</v>
      </c>
      <c r="D549" s="2" t="s">
        <v>562</v>
      </c>
      <c r="E549" s="14">
        <v>13564</v>
      </c>
      <c r="F549" s="15">
        <f t="shared" si="56"/>
        <v>473.3836</v>
      </c>
      <c r="G549" s="15">
        <f t="shared" si="57"/>
        <v>542.56000000000006</v>
      </c>
      <c r="H549" s="15">
        <f t="shared" si="58"/>
        <v>394.48633333333333</v>
      </c>
      <c r="I549" s="15">
        <f t="shared" si="59"/>
        <v>452.13333333333338</v>
      </c>
      <c r="J549" s="10" t="s">
        <v>2</v>
      </c>
      <c r="K549" s="10" t="s">
        <v>2</v>
      </c>
      <c r="L549" s="10" t="s">
        <v>2</v>
      </c>
      <c r="M549" s="10" t="s">
        <v>2</v>
      </c>
      <c r="N549" s="10" t="s">
        <v>2</v>
      </c>
      <c r="O549" s="10" t="s">
        <v>2</v>
      </c>
      <c r="P549" s="10" t="s">
        <v>2</v>
      </c>
      <c r="Q549" s="10" t="s">
        <v>2</v>
      </c>
      <c r="R549" s="10" t="s">
        <v>2</v>
      </c>
      <c r="S549" s="10" t="s">
        <v>2</v>
      </c>
      <c r="T549" s="10" t="s">
        <v>2</v>
      </c>
      <c r="U549" s="10" t="s">
        <v>2</v>
      </c>
      <c r="V549" s="10" t="s">
        <v>2</v>
      </c>
      <c r="W549" s="10" t="s">
        <v>2</v>
      </c>
      <c r="X549" s="10" t="s">
        <v>2</v>
      </c>
      <c r="Y549" s="10" t="s">
        <v>2</v>
      </c>
      <c r="Z549" s="10" t="s">
        <v>2</v>
      </c>
      <c r="AA549" s="10" t="s">
        <v>2</v>
      </c>
      <c r="AB549" s="10" t="s">
        <v>2</v>
      </c>
      <c r="AC549" s="10" t="s">
        <v>2</v>
      </c>
      <c r="AD549" s="10" t="s">
        <v>2</v>
      </c>
      <c r="AE549" s="10" t="s">
        <v>2</v>
      </c>
      <c r="AF549" s="10" t="s">
        <v>2</v>
      </c>
      <c r="AG549" s="10" t="s">
        <v>2</v>
      </c>
      <c r="AH549" s="102">
        <f>SUM(Tableau2[[#This Row],[Td 2]:[Td 5]])</f>
        <v>0</v>
      </c>
      <c r="AI549" s="10">
        <v>16.7</v>
      </c>
      <c r="AJ549" s="10">
        <v>100</v>
      </c>
      <c r="AK549" s="17">
        <f t="shared" si="60"/>
        <v>0</v>
      </c>
      <c r="AL549" s="17">
        <f t="shared" si="61"/>
        <v>0</v>
      </c>
      <c r="AM549" s="17">
        <f t="shared" si="62"/>
        <v>0</v>
      </c>
    </row>
    <row r="550" spans="1:39" s="3" customFormat="1" x14ac:dyDescent="0.25">
      <c r="A550" s="2" t="s">
        <v>16</v>
      </c>
      <c r="B550" s="29" t="s">
        <v>740</v>
      </c>
      <c r="C550" s="2" t="s">
        <v>44</v>
      </c>
      <c r="D550" s="2" t="s">
        <v>563</v>
      </c>
      <c r="E550" s="14">
        <v>98712</v>
      </c>
      <c r="F550" s="15">
        <f t="shared" si="56"/>
        <v>3445.0488</v>
      </c>
      <c r="G550" s="15">
        <f t="shared" si="57"/>
        <v>3948.48</v>
      </c>
      <c r="H550" s="15">
        <f t="shared" si="58"/>
        <v>2870.8739999999998</v>
      </c>
      <c r="I550" s="15">
        <f t="shared" si="59"/>
        <v>3290.4</v>
      </c>
      <c r="J550" s="10">
        <v>5216</v>
      </c>
      <c r="K550" s="10">
        <v>2146</v>
      </c>
      <c r="L550" s="10">
        <v>4153</v>
      </c>
      <c r="M550" s="10">
        <v>3362</v>
      </c>
      <c r="N550" s="10">
        <v>3782</v>
      </c>
      <c r="O550" s="10">
        <v>4133</v>
      </c>
      <c r="P550" s="10">
        <v>3362</v>
      </c>
      <c r="Q550" s="10">
        <v>3592</v>
      </c>
      <c r="R550" s="10">
        <v>4127</v>
      </c>
      <c r="S550" s="10">
        <v>3171</v>
      </c>
      <c r="T550" s="10">
        <v>3770</v>
      </c>
      <c r="U550" s="10">
        <v>4127</v>
      </c>
      <c r="V550" s="10">
        <v>3461</v>
      </c>
      <c r="W550" s="10">
        <v>3782</v>
      </c>
      <c r="X550" s="10">
        <v>4474</v>
      </c>
      <c r="Y550" s="10">
        <v>527</v>
      </c>
      <c r="Z550" s="10">
        <v>4474</v>
      </c>
      <c r="AA550" s="10">
        <v>3782</v>
      </c>
      <c r="AB550" s="10">
        <v>4452</v>
      </c>
      <c r="AC550" s="10">
        <v>1440</v>
      </c>
      <c r="AD550" s="10">
        <v>891</v>
      </c>
      <c r="AE550" s="10">
        <v>913</v>
      </c>
      <c r="AF550" s="10">
        <v>680</v>
      </c>
      <c r="AG550" s="10">
        <v>616</v>
      </c>
      <c r="AH550" s="102">
        <f>SUM(Tableau2[[#This Row],[Td 2]:[Td 5]])</f>
        <v>3100</v>
      </c>
      <c r="AI550" s="10">
        <v>41.7</v>
      </c>
      <c r="AJ550" s="10">
        <v>100</v>
      </c>
      <c r="AK550" s="17">
        <f t="shared" si="60"/>
        <v>0</v>
      </c>
      <c r="AL550" s="17">
        <f t="shared" si="61"/>
        <v>0</v>
      </c>
      <c r="AM550" s="17">
        <f t="shared" si="62"/>
        <v>4474</v>
      </c>
    </row>
    <row r="551" spans="1:39" s="3" customFormat="1" x14ac:dyDescent="0.25">
      <c r="A551" s="2" t="s">
        <v>16</v>
      </c>
      <c r="B551" s="29" t="s">
        <v>740</v>
      </c>
      <c r="C551" s="2" t="s">
        <v>44</v>
      </c>
      <c r="D551" s="2" t="s">
        <v>564</v>
      </c>
      <c r="E551" s="14">
        <v>38657</v>
      </c>
      <c r="F551" s="15">
        <f t="shared" si="56"/>
        <v>1349.1293000000001</v>
      </c>
      <c r="G551" s="15">
        <f t="shared" si="57"/>
        <v>1546.28</v>
      </c>
      <c r="H551" s="15">
        <f t="shared" si="58"/>
        <v>1124.2744166666666</v>
      </c>
      <c r="I551" s="15">
        <f t="shared" si="59"/>
        <v>1288.5666666666666</v>
      </c>
      <c r="J551" s="10">
        <v>1798</v>
      </c>
      <c r="K551" s="10">
        <v>647</v>
      </c>
      <c r="L551" s="10">
        <v>1444</v>
      </c>
      <c r="M551" s="10">
        <v>1399</v>
      </c>
      <c r="N551" s="10">
        <v>1448</v>
      </c>
      <c r="O551" s="10">
        <v>1374</v>
      </c>
      <c r="P551" s="10">
        <v>1399</v>
      </c>
      <c r="Q551" s="10">
        <v>1438</v>
      </c>
      <c r="R551" s="10">
        <v>1444</v>
      </c>
      <c r="S551" s="10">
        <v>1399</v>
      </c>
      <c r="T551" s="10">
        <v>1428</v>
      </c>
      <c r="U551" s="10">
        <v>1258</v>
      </c>
      <c r="V551" s="10">
        <v>1210</v>
      </c>
      <c r="W551" s="10">
        <v>1261</v>
      </c>
      <c r="X551" s="10">
        <v>2139</v>
      </c>
      <c r="Y551" s="10">
        <v>1392</v>
      </c>
      <c r="Z551" s="10">
        <v>2051</v>
      </c>
      <c r="AA551" s="10">
        <v>1536</v>
      </c>
      <c r="AB551" s="10">
        <v>1379</v>
      </c>
      <c r="AC551" s="10">
        <v>388</v>
      </c>
      <c r="AD551" s="10">
        <v>374</v>
      </c>
      <c r="AE551" s="10">
        <v>301</v>
      </c>
      <c r="AF551" s="10">
        <v>279</v>
      </c>
      <c r="AG551" s="10">
        <v>200</v>
      </c>
      <c r="AH551" s="102">
        <f>SUM(Tableau2[[#This Row],[Td 2]:[Td 5]])</f>
        <v>1154</v>
      </c>
      <c r="AI551" s="10">
        <v>58.3</v>
      </c>
      <c r="AJ551" s="10">
        <v>100</v>
      </c>
      <c r="AK551" s="17">
        <f t="shared" si="60"/>
        <v>0</v>
      </c>
      <c r="AL551" s="17">
        <f t="shared" si="61"/>
        <v>0</v>
      </c>
      <c r="AM551" s="17">
        <f t="shared" si="62"/>
        <v>2051</v>
      </c>
    </row>
    <row r="552" spans="1:39" s="3" customFormat="1" x14ac:dyDescent="0.25">
      <c r="A552" s="2" t="s">
        <v>16</v>
      </c>
      <c r="B552" s="29" t="s">
        <v>740</v>
      </c>
      <c r="C552" s="2" t="s">
        <v>44</v>
      </c>
      <c r="D552" s="2" t="s">
        <v>565</v>
      </c>
      <c r="E552" s="14">
        <v>34121</v>
      </c>
      <c r="F552" s="15">
        <f t="shared" si="56"/>
        <v>1190.8229000000001</v>
      </c>
      <c r="G552" s="15">
        <f t="shared" si="57"/>
        <v>1364.84</v>
      </c>
      <c r="H552" s="15">
        <f t="shared" si="58"/>
        <v>992.35241666666684</v>
      </c>
      <c r="I552" s="15">
        <f t="shared" si="59"/>
        <v>1137.3666666666666</v>
      </c>
      <c r="J552" s="10">
        <v>1886</v>
      </c>
      <c r="K552" s="10">
        <v>783</v>
      </c>
      <c r="L552" s="10">
        <v>1729</v>
      </c>
      <c r="M552" s="10">
        <v>1686</v>
      </c>
      <c r="N552" s="10">
        <v>1648</v>
      </c>
      <c r="O552" s="10">
        <v>1729</v>
      </c>
      <c r="P552" s="10">
        <v>1686</v>
      </c>
      <c r="Q552" s="10">
        <v>1648</v>
      </c>
      <c r="R552" s="10">
        <v>1729</v>
      </c>
      <c r="S552" s="10">
        <v>1686</v>
      </c>
      <c r="T552" s="10">
        <v>1655</v>
      </c>
      <c r="U552" s="10">
        <v>1731</v>
      </c>
      <c r="V552" s="10">
        <v>1690</v>
      </c>
      <c r="W552" s="10">
        <v>1664</v>
      </c>
      <c r="X552" s="10">
        <v>1466</v>
      </c>
      <c r="Y552" s="10">
        <v>826</v>
      </c>
      <c r="Z552" s="10">
        <v>1466</v>
      </c>
      <c r="AA552" s="10">
        <v>1648</v>
      </c>
      <c r="AB552" s="10">
        <v>1466</v>
      </c>
      <c r="AC552" s="10">
        <v>588</v>
      </c>
      <c r="AD552" s="10">
        <v>486</v>
      </c>
      <c r="AE552" s="10">
        <v>420</v>
      </c>
      <c r="AF552" s="10">
        <v>267</v>
      </c>
      <c r="AG552" s="10">
        <v>279</v>
      </c>
      <c r="AH552" s="102">
        <f>SUM(Tableau2[[#This Row],[Td 2]:[Td 5]])</f>
        <v>1452</v>
      </c>
      <c r="AI552" s="10">
        <v>41.7</v>
      </c>
      <c r="AJ552" s="10">
        <v>100</v>
      </c>
      <c r="AK552" s="17">
        <f t="shared" si="60"/>
        <v>0</v>
      </c>
      <c r="AL552" s="17">
        <f t="shared" si="61"/>
        <v>263</v>
      </c>
      <c r="AM552" s="17">
        <f t="shared" si="62"/>
        <v>1466</v>
      </c>
    </row>
    <row r="553" spans="1:39" s="3" customFormat="1" x14ac:dyDescent="0.25">
      <c r="A553" s="2" t="s">
        <v>16</v>
      </c>
      <c r="B553" s="29" t="s">
        <v>740</v>
      </c>
      <c r="C553" s="2" t="s">
        <v>44</v>
      </c>
      <c r="D553" s="2" t="s">
        <v>566</v>
      </c>
      <c r="E553" s="14">
        <v>51512</v>
      </c>
      <c r="F553" s="15">
        <f t="shared" si="56"/>
        <v>1797.7688000000001</v>
      </c>
      <c r="G553" s="15">
        <f t="shared" si="57"/>
        <v>2060.48</v>
      </c>
      <c r="H553" s="15">
        <f t="shared" si="58"/>
        <v>1498.1406666666667</v>
      </c>
      <c r="I553" s="15">
        <f t="shared" si="59"/>
        <v>1717.0666666666668</v>
      </c>
      <c r="J553" s="10">
        <v>1769</v>
      </c>
      <c r="K553" s="10">
        <v>423</v>
      </c>
      <c r="L553" s="10">
        <v>1528</v>
      </c>
      <c r="M553" s="10">
        <v>1519</v>
      </c>
      <c r="N553" s="10">
        <v>1511</v>
      </c>
      <c r="O553" s="10">
        <v>1528</v>
      </c>
      <c r="P553" s="10">
        <v>1529</v>
      </c>
      <c r="Q553" s="10">
        <v>1515</v>
      </c>
      <c r="R553" s="10">
        <v>1528</v>
      </c>
      <c r="S553" s="10">
        <v>1529</v>
      </c>
      <c r="T553" s="10">
        <v>1511</v>
      </c>
      <c r="U553" s="10">
        <v>1472</v>
      </c>
      <c r="V553" s="10">
        <v>1452</v>
      </c>
      <c r="W553" s="10">
        <v>1362</v>
      </c>
      <c r="X553" s="10">
        <v>1085</v>
      </c>
      <c r="Y553" s="10">
        <v>658</v>
      </c>
      <c r="Z553" s="10">
        <v>1085</v>
      </c>
      <c r="AA553" s="10">
        <v>1511</v>
      </c>
      <c r="AB553" s="10">
        <v>1201</v>
      </c>
      <c r="AC553" s="10">
        <v>613</v>
      </c>
      <c r="AD553" s="10">
        <v>669</v>
      </c>
      <c r="AE553" s="10">
        <v>432</v>
      </c>
      <c r="AF553" s="10">
        <v>361</v>
      </c>
      <c r="AG553" s="10">
        <v>296</v>
      </c>
      <c r="AH553" s="102">
        <f>SUM(Tableau2[[#This Row],[Td 2]:[Td 5]])</f>
        <v>1758</v>
      </c>
      <c r="AI553" s="10">
        <v>50</v>
      </c>
      <c r="AJ553" s="10">
        <v>100</v>
      </c>
      <c r="AK553" s="17">
        <f t="shared" si="60"/>
        <v>0</v>
      </c>
      <c r="AL553" s="17">
        <f t="shared" si="61"/>
        <v>443</v>
      </c>
      <c r="AM553" s="17">
        <f t="shared" si="62"/>
        <v>1085</v>
      </c>
    </row>
    <row r="554" spans="1:39" s="3" customFormat="1" x14ac:dyDescent="0.25">
      <c r="A554" s="2" t="s">
        <v>16</v>
      </c>
      <c r="B554" s="29" t="s">
        <v>740</v>
      </c>
      <c r="C554" s="2" t="s">
        <v>44</v>
      </c>
      <c r="D554" s="2" t="s">
        <v>567</v>
      </c>
      <c r="E554" s="14">
        <v>12085</v>
      </c>
      <c r="F554" s="15">
        <f t="shared" si="56"/>
        <v>421.76650000000001</v>
      </c>
      <c r="G554" s="15">
        <f t="shared" si="57"/>
        <v>483.40000000000003</v>
      </c>
      <c r="H554" s="15">
        <f t="shared" si="58"/>
        <v>351.47208333333333</v>
      </c>
      <c r="I554" s="15">
        <f t="shared" si="59"/>
        <v>402.83333333333337</v>
      </c>
      <c r="J554" s="10">
        <v>1828</v>
      </c>
      <c r="K554" s="10">
        <v>1221</v>
      </c>
      <c r="L554" s="10">
        <v>2044</v>
      </c>
      <c r="M554" s="10">
        <v>2225</v>
      </c>
      <c r="N554" s="10">
        <v>5708</v>
      </c>
      <c r="O554" s="10">
        <v>1575</v>
      </c>
      <c r="P554" s="10">
        <v>1363</v>
      </c>
      <c r="Q554" s="10">
        <v>4020</v>
      </c>
      <c r="R554" s="10">
        <v>1575</v>
      </c>
      <c r="S554" s="10">
        <v>1557</v>
      </c>
      <c r="T554" s="10">
        <v>4169</v>
      </c>
      <c r="U554" s="10">
        <v>1463</v>
      </c>
      <c r="V554" s="10">
        <v>1262</v>
      </c>
      <c r="W554" s="10">
        <v>4348</v>
      </c>
      <c r="X554" s="10">
        <v>1303</v>
      </c>
      <c r="Y554" s="10">
        <v>6410</v>
      </c>
      <c r="Z554" s="10">
        <v>1313</v>
      </c>
      <c r="AA554" s="10">
        <v>1511</v>
      </c>
      <c r="AB554" s="10">
        <v>1145</v>
      </c>
      <c r="AC554" s="10">
        <v>1108</v>
      </c>
      <c r="AD554" s="10">
        <v>817</v>
      </c>
      <c r="AE554" s="10">
        <v>369</v>
      </c>
      <c r="AF554" s="10">
        <v>183</v>
      </c>
      <c r="AG554" s="10">
        <v>123</v>
      </c>
      <c r="AH554" s="102">
        <f>SUM(Tableau2[[#This Row],[Td 2]:[Td 5]])</f>
        <v>1492</v>
      </c>
      <c r="AI554" s="10">
        <v>58.3</v>
      </c>
      <c r="AJ554" s="10">
        <v>100</v>
      </c>
      <c r="AK554" s="17">
        <f t="shared" si="60"/>
        <v>0</v>
      </c>
      <c r="AL554" s="17">
        <f t="shared" si="61"/>
        <v>272</v>
      </c>
      <c r="AM554" s="17">
        <f t="shared" si="62"/>
        <v>1303</v>
      </c>
    </row>
    <row r="555" spans="1:39" s="3" customFormat="1" x14ac:dyDescent="0.25">
      <c r="A555" s="2" t="s">
        <v>16</v>
      </c>
      <c r="B555" s="29" t="s">
        <v>740</v>
      </c>
      <c r="C555" s="2" t="s">
        <v>44</v>
      </c>
      <c r="D555" s="2" t="s">
        <v>568</v>
      </c>
      <c r="E555" s="14">
        <v>59729</v>
      </c>
      <c r="F555" s="15">
        <f t="shared" si="56"/>
        <v>2084.5421000000001</v>
      </c>
      <c r="G555" s="15">
        <f t="shared" si="57"/>
        <v>2389.16</v>
      </c>
      <c r="H555" s="15">
        <f t="shared" si="58"/>
        <v>1737.1184166666669</v>
      </c>
      <c r="I555" s="15">
        <f t="shared" si="59"/>
        <v>1990.9666666666667</v>
      </c>
      <c r="J555" s="10">
        <v>2030</v>
      </c>
      <c r="K555" s="10">
        <v>2630</v>
      </c>
      <c r="L555" s="10">
        <v>3640</v>
      </c>
      <c r="M555" s="10">
        <v>3473</v>
      </c>
      <c r="N555" s="10">
        <v>3516</v>
      </c>
      <c r="O555" s="10">
        <v>3542</v>
      </c>
      <c r="P555" s="10">
        <v>3488</v>
      </c>
      <c r="Q555" s="10">
        <v>3509</v>
      </c>
      <c r="R555" s="10">
        <v>3559</v>
      </c>
      <c r="S555" s="10">
        <v>3473</v>
      </c>
      <c r="T555" s="10">
        <v>3509</v>
      </c>
      <c r="U555" s="10">
        <v>3567</v>
      </c>
      <c r="V555" s="10">
        <v>3473</v>
      </c>
      <c r="W555" s="10">
        <v>3486</v>
      </c>
      <c r="X555" s="10">
        <v>3413</v>
      </c>
      <c r="Y555" s="10">
        <v>980</v>
      </c>
      <c r="Z555" s="10">
        <v>3168</v>
      </c>
      <c r="AA555" s="10">
        <v>3516</v>
      </c>
      <c r="AB555" s="10">
        <v>1191</v>
      </c>
      <c r="AC555" s="10">
        <v>645</v>
      </c>
      <c r="AD555" s="10">
        <v>568</v>
      </c>
      <c r="AE555" s="10">
        <v>510</v>
      </c>
      <c r="AF555" s="10">
        <v>437</v>
      </c>
      <c r="AG555" s="10">
        <v>396</v>
      </c>
      <c r="AH555" s="102">
        <f>SUM(Tableau2[[#This Row],[Td 2]:[Td 5]])</f>
        <v>1911</v>
      </c>
      <c r="AI555" s="10">
        <v>58.3</v>
      </c>
      <c r="AJ555" s="10">
        <v>100</v>
      </c>
      <c r="AK555" s="17">
        <f t="shared" si="60"/>
        <v>0</v>
      </c>
      <c r="AL555" s="17">
        <f t="shared" si="61"/>
        <v>129</v>
      </c>
      <c r="AM555" s="17">
        <f t="shared" si="62"/>
        <v>3168</v>
      </c>
    </row>
    <row r="556" spans="1:39" s="3" customFormat="1" x14ac:dyDescent="0.25">
      <c r="A556" s="2" t="s">
        <v>16</v>
      </c>
      <c r="B556" s="29" t="s">
        <v>739</v>
      </c>
      <c r="C556" s="2" t="s">
        <v>45</v>
      </c>
      <c r="D556" s="2" t="s">
        <v>569</v>
      </c>
      <c r="E556" s="14">
        <v>3593</v>
      </c>
      <c r="F556" s="15">
        <f t="shared" si="56"/>
        <v>125.39570000000001</v>
      </c>
      <c r="G556" s="15">
        <f t="shared" si="57"/>
        <v>143.72</v>
      </c>
      <c r="H556" s="15">
        <f t="shared" si="58"/>
        <v>104.49641666666666</v>
      </c>
      <c r="I556" s="15">
        <f t="shared" si="59"/>
        <v>119.76666666666667</v>
      </c>
      <c r="J556" s="10" t="s">
        <v>2</v>
      </c>
      <c r="K556" s="10" t="s">
        <v>2</v>
      </c>
      <c r="L556" s="10" t="s">
        <v>2</v>
      </c>
      <c r="M556" s="10" t="s">
        <v>2</v>
      </c>
      <c r="N556" s="10" t="s">
        <v>2</v>
      </c>
      <c r="O556" s="10" t="s">
        <v>2</v>
      </c>
      <c r="P556" s="10" t="s">
        <v>2</v>
      </c>
      <c r="Q556" s="10" t="s">
        <v>2</v>
      </c>
      <c r="R556" s="10" t="s">
        <v>2</v>
      </c>
      <c r="S556" s="10" t="s">
        <v>2</v>
      </c>
      <c r="T556" s="10" t="s">
        <v>2</v>
      </c>
      <c r="U556" s="10" t="s">
        <v>2</v>
      </c>
      <c r="V556" s="10" t="s">
        <v>2</v>
      </c>
      <c r="W556" s="10" t="s">
        <v>2</v>
      </c>
      <c r="X556" s="10" t="s">
        <v>2</v>
      </c>
      <c r="Y556" s="10" t="s">
        <v>2</v>
      </c>
      <c r="Z556" s="10" t="s">
        <v>2</v>
      </c>
      <c r="AA556" s="10" t="s">
        <v>2</v>
      </c>
      <c r="AB556" s="10" t="s">
        <v>2</v>
      </c>
      <c r="AC556" s="10" t="s">
        <v>2</v>
      </c>
      <c r="AD556" s="10" t="s">
        <v>2</v>
      </c>
      <c r="AE556" s="10" t="s">
        <v>2</v>
      </c>
      <c r="AF556" s="10" t="s">
        <v>2</v>
      </c>
      <c r="AG556" s="10" t="s">
        <v>2</v>
      </c>
      <c r="AH556" s="102">
        <f>SUM(Tableau2[[#This Row],[Td 2]:[Td 5]])</f>
        <v>0</v>
      </c>
      <c r="AI556" s="10" t="s">
        <v>2</v>
      </c>
      <c r="AJ556" s="10">
        <v>100</v>
      </c>
      <c r="AK556" s="17">
        <f t="shared" si="60"/>
        <v>0</v>
      </c>
      <c r="AL556" s="17">
        <f t="shared" si="61"/>
        <v>0</v>
      </c>
      <c r="AM556" s="17">
        <f t="shared" si="62"/>
        <v>0</v>
      </c>
    </row>
    <row r="557" spans="1:39" s="3" customFormat="1" x14ac:dyDescent="0.25">
      <c r="A557" s="2" t="s">
        <v>16</v>
      </c>
      <c r="B557" s="29" t="s">
        <v>739</v>
      </c>
      <c r="C557" s="2" t="s">
        <v>45</v>
      </c>
      <c r="D557" s="2" t="s">
        <v>570</v>
      </c>
      <c r="E557" s="14">
        <v>9826</v>
      </c>
      <c r="F557" s="15">
        <f t="shared" si="56"/>
        <v>342.92739999999998</v>
      </c>
      <c r="G557" s="15">
        <f t="shared" si="57"/>
        <v>393.04</v>
      </c>
      <c r="H557" s="15">
        <f t="shared" si="58"/>
        <v>285.77283333333332</v>
      </c>
      <c r="I557" s="15">
        <f t="shared" si="59"/>
        <v>327.53333333333336</v>
      </c>
      <c r="J557" s="10" t="s">
        <v>2</v>
      </c>
      <c r="K557" s="10" t="s">
        <v>2</v>
      </c>
      <c r="L557" s="10" t="s">
        <v>2</v>
      </c>
      <c r="M557" s="10" t="s">
        <v>2</v>
      </c>
      <c r="N557" s="10" t="s">
        <v>2</v>
      </c>
      <c r="O557" s="10" t="s">
        <v>2</v>
      </c>
      <c r="P557" s="10" t="s">
        <v>2</v>
      </c>
      <c r="Q557" s="10" t="s">
        <v>2</v>
      </c>
      <c r="R557" s="10" t="s">
        <v>2</v>
      </c>
      <c r="S557" s="10" t="s">
        <v>2</v>
      </c>
      <c r="T557" s="10" t="s">
        <v>2</v>
      </c>
      <c r="U557" s="10" t="s">
        <v>2</v>
      </c>
      <c r="V557" s="10" t="s">
        <v>2</v>
      </c>
      <c r="W557" s="10" t="s">
        <v>2</v>
      </c>
      <c r="X557" s="10" t="s">
        <v>2</v>
      </c>
      <c r="Y557" s="10" t="s">
        <v>2</v>
      </c>
      <c r="Z557" s="10" t="s">
        <v>2</v>
      </c>
      <c r="AA557" s="10" t="s">
        <v>2</v>
      </c>
      <c r="AB557" s="10" t="s">
        <v>2</v>
      </c>
      <c r="AC557" s="10" t="s">
        <v>2</v>
      </c>
      <c r="AD557" s="10" t="s">
        <v>2</v>
      </c>
      <c r="AE557" s="10" t="s">
        <v>2</v>
      </c>
      <c r="AF557" s="10" t="s">
        <v>2</v>
      </c>
      <c r="AG557" s="10" t="s">
        <v>2</v>
      </c>
      <c r="AH557" s="102">
        <f>SUM(Tableau2[[#This Row],[Td 2]:[Td 5]])</f>
        <v>0</v>
      </c>
      <c r="AI557" s="10" t="s">
        <v>2</v>
      </c>
      <c r="AJ557" s="10">
        <v>100</v>
      </c>
      <c r="AK557" s="17">
        <f t="shared" si="60"/>
        <v>0</v>
      </c>
      <c r="AL557" s="17">
        <f t="shared" si="61"/>
        <v>0</v>
      </c>
      <c r="AM557" s="17">
        <f t="shared" si="62"/>
        <v>0</v>
      </c>
    </row>
    <row r="558" spans="1:39" s="3" customFormat="1" x14ac:dyDescent="0.25">
      <c r="A558" s="2" t="s">
        <v>16</v>
      </c>
      <c r="B558" s="29" t="s">
        <v>739</v>
      </c>
      <c r="C558" s="2" t="s">
        <v>45</v>
      </c>
      <c r="D558" s="2" t="s">
        <v>571</v>
      </c>
      <c r="E558" s="14">
        <v>4308</v>
      </c>
      <c r="F558" s="15">
        <f t="shared" si="56"/>
        <v>150.3492</v>
      </c>
      <c r="G558" s="15">
        <f t="shared" si="57"/>
        <v>172.32</v>
      </c>
      <c r="H558" s="15">
        <f t="shared" si="58"/>
        <v>125.291</v>
      </c>
      <c r="I558" s="15">
        <f t="shared" si="59"/>
        <v>143.6</v>
      </c>
      <c r="J558" s="10" t="s">
        <v>2</v>
      </c>
      <c r="K558" s="10" t="s">
        <v>2</v>
      </c>
      <c r="L558" s="10" t="s">
        <v>2</v>
      </c>
      <c r="M558" s="10" t="s">
        <v>2</v>
      </c>
      <c r="N558" s="10" t="s">
        <v>2</v>
      </c>
      <c r="O558" s="10" t="s">
        <v>2</v>
      </c>
      <c r="P558" s="10" t="s">
        <v>2</v>
      </c>
      <c r="Q558" s="10" t="s">
        <v>2</v>
      </c>
      <c r="R558" s="10" t="s">
        <v>2</v>
      </c>
      <c r="S558" s="10" t="s">
        <v>2</v>
      </c>
      <c r="T558" s="10" t="s">
        <v>2</v>
      </c>
      <c r="U558" s="10" t="s">
        <v>2</v>
      </c>
      <c r="V558" s="10" t="s">
        <v>2</v>
      </c>
      <c r="W558" s="10" t="s">
        <v>2</v>
      </c>
      <c r="X558" s="10" t="s">
        <v>2</v>
      </c>
      <c r="Y558" s="10" t="s">
        <v>2</v>
      </c>
      <c r="Z558" s="10" t="s">
        <v>2</v>
      </c>
      <c r="AA558" s="10" t="s">
        <v>2</v>
      </c>
      <c r="AB558" s="10" t="s">
        <v>2</v>
      </c>
      <c r="AC558" s="10" t="s">
        <v>2</v>
      </c>
      <c r="AD558" s="10" t="s">
        <v>2</v>
      </c>
      <c r="AE558" s="10" t="s">
        <v>2</v>
      </c>
      <c r="AF558" s="10" t="s">
        <v>2</v>
      </c>
      <c r="AG558" s="10" t="s">
        <v>2</v>
      </c>
      <c r="AH558" s="102">
        <f>SUM(Tableau2[[#This Row],[Td 2]:[Td 5]])</f>
        <v>0</v>
      </c>
      <c r="AI558" s="10" t="s">
        <v>2</v>
      </c>
      <c r="AJ558" s="10">
        <v>100</v>
      </c>
      <c r="AK558" s="17">
        <f t="shared" si="60"/>
        <v>0</v>
      </c>
      <c r="AL558" s="17">
        <f t="shared" si="61"/>
        <v>0</v>
      </c>
      <c r="AM558" s="17">
        <f t="shared" si="62"/>
        <v>0</v>
      </c>
    </row>
    <row r="559" spans="1:39" s="3" customFormat="1" x14ac:dyDescent="0.25">
      <c r="A559" s="2" t="s">
        <v>16</v>
      </c>
      <c r="B559" s="29" t="s">
        <v>739</v>
      </c>
      <c r="C559" s="2" t="s">
        <v>45</v>
      </c>
      <c r="D559" s="2" t="s">
        <v>572</v>
      </c>
      <c r="E559" s="14">
        <v>26421</v>
      </c>
      <c r="F559" s="15">
        <f t="shared" si="56"/>
        <v>922.09289999999999</v>
      </c>
      <c r="G559" s="15">
        <f t="shared" si="57"/>
        <v>1056.8399999999999</v>
      </c>
      <c r="H559" s="15">
        <f t="shared" si="58"/>
        <v>768.41075000000001</v>
      </c>
      <c r="I559" s="15">
        <f t="shared" si="59"/>
        <v>880.69999999999993</v>
      </c>
      <c r="J559" s="10">
        <v>580</v>
      </c>
      <c r="K559" s="10">
        <v>843</v>
      </c>
      <c r="L559" s="10">
        <v>835</v>
      </c>
      <c r="M559" s="10">
        <v>764</v>
      </c>
      <c r="N559" s="10">
        <v>745</v>
      </c>
      <c r="O559" s="10">
        <v>982</v>
      </c>
      <c r="P559" s="10">
        <v>885</v>
      </c>
      <c r="Q559" s="10">
        <v>998</v>
      </c>
      <c r="R559" s="10">
        <v>890</v>
      </c>
      <c r="S559" s="10">
        <v>680</v>
      </c>
      <c r="T559" s="10">
        <v>659</v>
      </c>
      <c r="U559" s="10">
        <v>834</v>
      </c>
      <c r="V559" s="10">
        <v>634</v>
      </c>
      <c r="W559" s="10">
        <v>630</v>
      </c>
      <c r="X559" s="10">
        <v>750</v>
      </c>
      <c r="Y559" s="10">
        <v>139</v>
      </c>
      <c r="Z559" s="10">
        <v>816</v>
      </c>
      <c r="AA559" s="10">
        <v>1068</v>
      </c>
      <c r="AB559" s="10">
        <v>600</v>
      </c>
      <c r="AC559" s="10">
        <v>303</v>
      </c>
      <c r="AD559" s="10">
        <v>257</v>
      </c>
      <c r="AE559" s="10">
        <v>291</v>
      </c>
      <c r="AF559" s="10">
        <v>151</v>
      </c>
      <c r="AG559" s="10">
        <v>164</v>
      </c>
      <c r="AH559" s="102">
        <f>SUM(Tableau2[[#This Row],[Td 2]:[Td 5]])</f>
        <v>863</v>
      </c>
      <c r="AI559" s="10">
        <v>75</v>
      </c>
      <c r="AJ559" s="10">
        <v>100</v>
      </c>
      <c r="AK559" s="17">
        <f t="shared" si="60"/>
        <v>0</v>
      </c>
      <c r="AL559" s="17">
        <f t="shared" si="61"/>
        <v>232</v>
      </c>
      <c r="AM559" s="17">
        <f t="shared" si="62"/>
        <v>750</v>
      </c>
    </row>
    <row r="560" spans="1:39" s="3" customFormat="1" x14ac:dyDescent="0.25">
      <c r="A560" s="2" t="s">
        <v>16</v>
      </c>
      <c r="B560" s="29" t="s">
        <v>739</v>
      </c>
      <c r="C560" s="2" t="s">
        <v>45</v>
      </c>
      <c r="D560" s="2" t="s">
        <v>573</v>
      </c>
      <c r="E560" s="14">
        <v>12220</v>
      </c>
      <c r="F560" s="15">
        <f t="shared" si="56"/>
        <v>426.47800000000001</v>
      </c>
      <c r="G560" s="15">
        <f t="shared" si="57"/>
        <v>488.8</v>
      </c>
      <c r="H560" s="15">
        <f t="shared" si="58"/>
        <v>355.39833333333331</v>
      </c>
      <c r="I560" s="15">
        <f t="shared" si="59"/>
        <v>407.33333333333337</v>
      </c>
      <c r="J560" s="10">
        <v>228</v>
      </c>
      <c r="K560" s="10">
        <v>16</v>
      </c>
      <c r="L560" s="10">
        <v>72</v>
      </c>
      <c r="M560" s="10">
        <v>68</v>
      </c>
      <c r="N560" s="10">
        <v>41</v>
      </c>
      <c r="O560" s="10">
        <v>188</v>
      </c>
      <c r="P560" s="10">
        <v>141</v>
      </c>
      <c r="Q560" s="10">
        <v>114</v>
      </c>
      <c r="R560" s="10">
        <v>204</v>
      </c>
      <c r="S560" s="10">
        <v>157</v>
      </c>
      <c r="T560" s="10">
        <v>118</v>
      </c>
      <c r="U560" s="10">
        <v>94</v>
      </c>
      <c r="V560" s="10">
        <v>98</v>
      </c>
      <c r="W560" s="10">
        <v>94</v>
      </c>
      <c r="X560" s="10">
        <v>121</v>
      </c>
      <c r="Y560" s="10">
        <v>21</v>
      </c>
      <c r="Z560" s="10">
        <v>97</v>
      </c>
      <c r="AA560" s="10">
        <v>107</v>
      </c>
      <c r="AB560" s="10">
        <v>52</v>
      </c>
      <c r="AC560" s="10">
        <v>19</v>
      </c>
      <c r="AD560" s="10">
        <v>9</v>
      </c>
      <c r="AE560" s="10">
        <v>3</v>
      </c>
      <c r="AF560" s="10">
        <v>5</v>
      </c>
      <c r="AG560" s="10">
        <v>3</v>
      </c>
      <c r="AH560" s="102">
        <f>SUM(Tableau2[[#This Row],[Td 2]:[Td 5]])</f>
        <v>20</v>
      </c>
      <c r="AI560" s="10">
        <v>41.7</v>
      </c>
      <c r="AJ560" s="10">
        <v>100</v>
      </c>
      <c r="AK560" s="17">
        <f t="shared" si="60"/>
        <v>167.39833333333331</v>
      </c>
      <c r="AL560" s="17">
        <f t="shared" si="61"/>
        <v>67</v>
      </c>
      <c r="AM560" s="17">
        <f t="shared" si="62"/>
        <v>97</v>
      </c>
    </row>
    <row r="561" spans="1:39" s="3" customFormat="1" x14ac:dyDescent="0.25">
      <c r="A561" s="2" t="s">
        <v>16</v>
      </c>
      <c r="B561" s="29" t="s">
        <v>739</v>
      </c>
      <c r="C561" s="2" t="s">
        <v>45</v>
      </c>
      <c r="D561" s="2" t="s">
        <v>574</v>
      </c>
      <c r="E561" s="14">
        <v>5067</v>
      </c>
      <c r="F561" s="15">
        <f t="shared" si="56"/>
        <v>176.8383</v>
      </c>
      <c r="G561" s="15">
        <f t="shared" si="57"/>
        <v>202.68</v>
      </c>
      <c r="H561" s="15">
        <f t="shared" si="58"/>
        <v>147.36525</v>
      </c>
      <c r="I561" s="15">
        <f t="shared" si="59"/>
        <v>168.9</v>
      </c>
      <c r="J561" s="10" t="s">
        <v>2</v>
      </c>
      <c r="K561" s="10" t="s">
        <v>2</v>
      </c>
      <c r="L561" s="10" t="s">
        <v>2</v>
      </c>
      <c r="M561" s="10" t="s">
        <v>2</v>
      </c>
      <c r="N561" s="10" t="s">
        <v>2</v>
      </c>
      <c r="O561" s="10" t="s">
        <v>2</v>
      </c>
      <c r="P561" s="10" t="s">
        <v>2</v>
      </c>
      <c r="Q561" s="10" t="s">
        <v>2</v>
      </c>
      <c r="R561" s="10" t="s">
        <v>2</v>
      </c>
      <c r="S561" s="10" t="s">
        <v>2</v>
      </c>
      <c r="T561" s="10" t="s">
        <v>2</v>
      </c>
      <c r="U561" s="10" t="s">
        <v>2</v>
      </c>
      <c r="V561" s="10" t="s">
        <v>2</v>
      </c>
      <c r="W561" s="10" t="s">
        <v>2</v>
      </c>
      <c r="X561" s="10" t="s">
        <v>2</v>
      </c>
      <c r="Y561" s="10" t="s">
        <v>2</v>
      </c>
      <c r="Z561" s="10" t="s">
        <v>2</v>
      </c>
      <c r="AA561" s="10" t="s">
        <v>2</v>
      </c>
      <c r="AB561" s="10" t="s">
        <v>2</v>
      </c>
      <c r="AC561" s="10" t="s">
        <v>2</v>
      </c>
      <c r="AD561" s="10" t="s">
        <v>2</v>
      </c>
      <c r="AE561" s="10" t="s">
        <v>2</v>
      </c>
      <c r="AF561" s="10" t="s">
        <v>2</v>
      </c>
      <c r="AG561" s="10" t="s">
        <v>2</v>
      </c>
      <c r="AH561" s="102">
        <f>SUM(Tableau2[[#This Row],[Td 2]:[Td 5]])</f>
        <v>0</v>
      </c>
      <c r="AI561" s="10" t="s">
        <v>2</v>
      </c>
      <c r="AJ561" s="10">
        <v>100</v>
      </c>
      <c r="AK561" s="17">
        <f t="shared" si="60"/>
        <v>0</v>
      </c>
      <c r="AL561" s="17">
        <f t="shared" si="61"/>
        <v>0</v>
      </c>
      <c r="AM561" s="17">
        <f t="shared" si="62"/>
        <v>0</v>
      </c>
    </row>
    <row r="562" spans="1:39" s="3" customFormat="1" x14ac:dyDescent="0.25">
      <c r="A562" s="2" t="s">
        <v>16</v>
      </c>
      <c r="B562" s="29" t="s">
        <v>739</v>
      </c>
      <c r="C562" s="2" t="s">
        <v>45</v>
      </c>
      <c r="D562" s="2" t="s">
        <v>575</v>
      </c>
      <c r="E562" s="14">
        <v>4694</v>
      </c>
      <c r="F562" s="15">
        <f t="shared" si="56"/>
        <v>163.82060000000001</v>
      </c>
      <c r="G562" s="15">
        <f t="shared" si="57"/>
        <v>187.76</v>
      </c>
      <c r="H562" s="15">
        <f t="shared" si="58"/>
        <v>136.51716666666667</v>
      </c>
      <c r="I562" s="15">
        <f t="shared" si="59"/>
        <v>156.46666666666667</v>
      </c>
      <c r="J562" s="10">
        <v>25</v>
      </c>
      <c r="K562" s="10" t="s">
        <v>2</v>
      </c>
      <c r="L562" s="10">
        <v>20</v>
      </c>
      <c r="M562" s="10">
        <v>26</v>
      </c>
      <c r="N562" s="10">
        <v>20</v>
      </c>
      <c r="O562" s="10">
        <v>30</v>
      </c>
      <c r="P562" s="10">
        <v>34</v>
      </c>
      <c r="Q562" s="10">
        <v>32</v>
      </c>
      <c r="R562" s="10">
        <v>30</v>
      </c>
      <c r="S562" s="10">
        <v>34</v>
      </c>
      <c r="T562" s="10">
        <v>32</v>
      </c>
      <c r="U562" s="10">
        <v>25</v>
      </c>
      <c r="V562" s="10">
        <v>28</v>
      </c>
      <c r="W562" s="10">
        <v>26</v>
      </c>
      <c r="X562" s="10">
        <v>20</v>
      </c>
      <c r="Y562" s="10">
        <v>8</v>
      </c>
      <c r="Z562" s="10">
        <v>15</v>
      </c>
      <c r="AA562" s="10">
        <v>26</v>
      </c>
      <c r="AB562" s="10">
        <v>17</v>
      </c>
      <c r="AC562" s="10" t="s">
        <v>2</v>
      </c>
      <c r="AD562" s="10" t="s">
        <v>2</v>
      </c>
      <c r="AE562" s="10" t="s">
        <v>2</v>
      </c>
      <c r="AF562" s="10" t="s">
        <v>2</v>
      </c>
      <c r="AG562" s="10" t="s">
        <v>2</v>
      </c>
      <c r="AH562" s="102">
        <f>SUM(Tableau2[[#This Row],[Td 2]:[Td 5]])</f>
        <v>0</v>
      </c>
      <c r="AI562" s="10">
        <v>25</v>
      </c>
      <c r="AJ562" s="10">
        <v>100</v>
      </c>
      <c r="AK562" s="17">
        <f t="shared" si="60"/>
        <v>106.51716666666667</v>
      </c>
      <c r="AL562" s="17">
        <f t="shared" si="61"/>
        <v>10</v>
      </c>
      <c r="AM562" s="17">
        <f t="shared" si="62"/>
        <v>15</v>
      </c>
    </row>
    <row r="563" spans="1:39" s="3" customFormat="1" x14ac:dyDescent="0.25">
      <c r="A563" s="2" t="s">
        <v>16</v>
      </c>
      <c r="B563" s="29" t="s">
        <v>739</v>
      </c>
      <c r="C563" s="2" t="s">
        <v>45</v>
      </c>
      <c r="D563" s="2" t="s">
        <v>576</v>
      </c>
      <c r="E563" s="14">
        <v>5193</v>
      </c>
      <c r="F563" s="15">
        <f t="shared" si="56"/>
        <v>181.23570000000001</v>
      </c>
      <c r="G563" s="15">
        <f t="shared" si="57"/>
        <v>207.72</v>
      </c>
      <c r="H563" s="15">
        <f t="shared" si="58"/>
        <v>151.02975000000001</v>
      </c>
      <c r="I563" s="15">
        <f t="shared" si="59"/>
        <v>173.1</v>
      </c>
      <c r="J563" s="10" t="s">
        <v>2</v>
      </c>
      <c r="K563" s="10" t="s">
        <v>2</v>
      </c>
      <c r="L563" s="10" t="s">
        <v>2</v>
      </c>
      <c r="M563" s="10" t="s">
        <v>2</v>
      </c>
      <c r="N563" s="10" t="s">
        <v>2</v>
      </c>
      <c r="O563" s="10" t="s">
        <v>2</v>
      </c>
      <c r="P563" s="10" t="s">
        <v>2</v>
      </c>
      <c r="Q563" s="10" t="s">
        <v>2</v>
      </c>
      <c r="R563" s="10" t="s">
        <v>2</v>
      </c>
      <c r="S563" s="10" t="s">
        <v>2</v>
      </c>
      <c r="T563" s="10" t="s">
        <v>2</v>
      </c>
      <c r="U563" s="10" t="s">
        <v>2</v>
      </c>
      <c r="V563" s="10" t="s">
        <v>2</v>
      </c>
      <c r="W563" s="10" t="s">
        <v>2</v>
      </c>
      <c r="X563" s="10" t="s">
        <v>2</v>
      </c>
      <c r="Y563" s="10" t="s">
        <v>2</v>
      </c>
      <c r="Z563" s="10" t="s">
        <v>2</v>
      </c>
      <c r="AA563" s="10" t="s">
        <v>2</v>
      </c>
      <c r="AB563" s="10" t="s">
        <v>2</v>
      </c>
      <c r="AC563" s="10" t="s">
        <v>2</v>
      </c>
      <c r="AD563" s="10" t="s">
        <v>2</v>
      </c>
      <c r="AE563" s="10" t="s">
        <v>2</v>
      </c>
      <c r="AF563" s="10" t="s">
        <v>2</v>
      </c>
      <c r="AG563" s="10" t="s">
        <v>2</v>
      </c>
      <c r="AH563" s="102">
        <f>SUM(Tableau2[[#This Row],[Td 2]:[Td 5]])</f>
        <v>0</v>
      </c>
      <c r="AI563" s="10" t="s">
        <v>2</v>
      </c>
      <c r="AJ563" s="10">
        <v>100</v>
      </c>
      <c r="AK563" s="17">
        <f t="shared" si="60"/>
        <v>0</v>
      </c>
      <c r="AL563" s="17">
        <f t="shared" si="61"/>
        <v>0</v>
      </c>
      <c r="AM563" s="17">
        <f t="shared" si="62"/>
        <v>0</v>
      </c>
    </row>
    <row r="564" spans="1:39" s="3" customFormat="1" x14ac:dyDescent="0.25">
      <c r="A564" s="2" t="s">
        <v>16</v>
      </c>
      <c r="B564" s="29" t="s">
        <v>739</v>
      </c>
      <c r="C564" s="2" t="s">
        <v>45</v>
      </c>
      <c r="D564" s="2" t="s">
        <v>577</v>
      </c>
      <c r="E564" s="14">
        <v>13172</v>
      </c>
      <c r="F564" s="15">
        <f t="shared" si="56"/>
        <v>459.70280000000002</v>
      </c>
      <c r="G564" s="15">
        <f t="shared" si="57"/>
        <v>526.88</v>
      </c>
      <c r="H564" s="15">
        <f t="shared" si="58"/>
        <v>383.08566666666673</v>
      </c>
      <c r="I564" s="15">
        <f t="shared" si="59"/>
        <v>439.06666666666666</v>
      </c>
      <c r="J564" s="10">
        <v>183</v>
      </c>
      <c r="K564" s="10" t="s">
        <v>2</v>
      </c>
      <c r="L564" s="10">
        <v>234</v>
      </c>
      <c r="M564" s="10">
        <v>246</v>
      </c>
      <c r="N564" s="10">
        <v>261</v>
      </c>
      <c r="O564" s="10">
        <v>214</v>
      </c>
      <c r="P564" s="10">
        <v>272</v>
      </c>
      <c r="Q564" s="10">
        <v>253</v>
      </c>
      <c r="R564" s="10">
        <v>218</v>
      </c>
      <c r="S564" s="10">
        <v>226</v>
      </c>
      <c r="T564" s="10">
        <v>225</v>
      </c>
      <c r="U564" s="10">
        <v>211</v>
      </c>
      <c r="V564" s="10">
        <v>229</v>
      </c>
      <c r="W564" s="10">
        <v>208</v>
      </c>
      <c r="X564" s="10">
        <v>249</v>
      </c>
      <c r="Y564" s="10">
        <v>104</v>
      </c>
      <c r="Z564" s="10">
        <v>211</v>
      </c>
      <c r="AA564" s="10">
        <v>222</v>
      </c>
      <c r="AB564" s="10">
        <v>223</v>
      </c>
      <c r="AC564" s="10">
        <v>99</v>
      </c>
      <c r="AD564" s="10">
        <v>83</v>
      </c>
      <c r="AE564" s="10">
        <v>70</v>
      </c>
      <c r="AF564" s="10">
        <v>63</v>
      </c>
      <c r="AG564" s="10">
        <v>36</v>
      </c>
      <c r="AH564" s="102">
        <f>SUM(Tableau2[[#This Row],[Td 2]:[Td 5]])</f>
        <v>252</v>
      </c>
      <c r="AI564" s="10">
        <v>50</v>
      </c>
      <c r="AJ564" s="10">
        <v>100</v>
      </c>
      <c r="AK564" s="17">
        <f t="shared" si="60"/>
        <v>169.08566666666673</v>
      </c>
      <c r="AL564" s="17">
        <f t="shared" si="61"/>
        <v>0</v>
      </c>
      <c r="AM564" s="17">
        <f t="shared" si="62"/>
        <v>211</v>
      </c>
    </row>
    <row r="565" spans="1:39" s="3" customFormat="1" x14ac:dyDescent="0.25">
      <c r="A565" s="2" t="s">
        <v>16</v>
      </c>
      <c r="B565" s="29" t="s">
        <v>739</v>
      </c>
      <c r="C565" s="2" t="s">
        <v>45</v>
      </c>
      <c r="D565" s="2" t="s">
        <v>578</v>
      </c>
      <c r="E565" s="14">
        <v>18052</v>
      </c>
      <c r="F565" s="15">
        <f t="shared" si="56"/>
        <v>630.01480000000004</v>
      </c>
      <c r="G565" s="15">
        <f t="shared" si="57"/>
        <v>722.08</v>
      </c>
      <c r="H565" s="15">
        <f t="shared" si="58"/>
        <v>525.01233333333334</v>
      </c>
      <c r="I565" s="15">
        <f t="shared" si="59"/>
        <v>601.73333333333335</v>
      </c>
      <c r="J565" s="10">
        <v>409</v>
      </c>
      <c r="K565" s="10">
        <v>12</v>
      </c>
      <c r="L565" s="10">
        <v>390</v>
      </c>
      <c r="M565" s="10">
        <v>423</v>
      </c>
      <c r="N565" s="10">
        <v>358</v>
      </c>
      <c r="O565" s="10">
        <v>496</v>
      </c>
      <c r="P565" s="10">
        <v>495</v>
      </c>
      <c r="Q565" s="10">
        <v>461</v>
      </c>
      <c r="R565" s="10">
        <v>447</v>
      </c>
      <c r="S565" s="10">
        <v>469</v>
      </c>
      <c r="T565" s="10">
        <v>436</v>
      </c>
      <c r="U565" s="10">
        <v>389</v>
      </c>
      <c r="V565" s="10">
        <v>397</v>
      </c>
      <c r="W565" s="10">
        <v>333</v>
      </c>
      <c r="X565" s="10">
        <v>444</v>
      </c>
      <c r="Y565" s="10">
        <v>86</v>
      </c>
      <c r="Z565" s="10">
        <v>451</v>
      </c>
      <c r="AA565" s="10">
        <v>455</v>
      </c>
      <c r="AB565" s="10">
        <v>419</v>
      </c>
      <c r="AC565" s="10">
        <v>348</v>
      </c>
      <c r="AD565" s="10">
        <v>129</v>
      </c>
      <c r="AE565" s="10">
        <v>21</v>
      </c>
      <c r="AF565" s="10">
        <v>14</v>
      </c>
      <c r="AG565" s="10">
        <v>17</v>
      </c>
      <c r="AH565" s="102">
        <f>SUM(Tableau2[[#This Row],[Td 2]:[Td 5]])</f>
        <v>181</v>
      </c>
      <c r="AI565" s="10">
        <v>50</v>
      </c>
      <c r="AJ565" s="10">
        <v>100</v>
      </c>
      <c r="AK565" s="17">
        <f t="shared" si="60"/>
        <v>29.012333333333345</v>
      </c>
      <c r="AL565" s="17">
        <f t="shared" si="61"/>
        <v>52</v>
      </c>
      <c r="AM565" s="17">
        <f t="shared" si="62"/>
        <v>444</v>
      </c>
    </row>
    <row r="566" spans="1:39" s="3" customFormat="1" x14ac:dyDescent="0.25">
      <c r="A566" s="2" t="s">
        <v>16</v>
      </c>
      <c r="B566" s="29" t="s">
        <v>739</v>
      </c>
      <c r="C566" s="2" t="s">
        <v>45</v>
      </c>
      <c r="D566" s="2" t="s">
        <v>579</v>
      </c>
      <c r="E566" s="14">
        <v>4972</v>
      </c>
      <c r="F566" s="15">
        <f t="shared" si="56"/>
        <v>173.52279999999999</v>
      </c>
      <c r="G566" s="15">
        <f t="shared" si="57"/>
        <v>198.88</v>
      </c>
      <c r="H566" s="15">
        <f t="shared" si="58"/>
        <v>144.60233333333332</v>
      </c>
      <c r="I566" s="15">
        <f t="shared" si="59"/>
        <v>165.73333333333335</v>
      </c>
      <c r="J566" s="10" t="s">
        <v>2</v>
      </c>
      <c r="K566" s="10" t="s">
        <v>2</v>
      </c>
      <c r="L566" s="10" t="s">
        <v>2</v>
      </c>
      <c r="M566" s="10" t="s">
        <v>2</v>
      </c>
      <c r="N566" s="10" t="s">
        <v>2</v>
      </c>
      <c r="O566" s="10" t="s">
        <v>2</v>
      </c>
      <c r="P566" s="10" t="s">
        <v>2</v>
      </c>
      <c r="Q566" s="10" t="s">
        <v>2</v>
      </c>
      <c r="R566" s="10" t="s">
        <v>2</v>
      </c>
      <c r="S566" s="10" t="s">
        <v>2</v>
      </c>
      <c r="T566" s="10" t="s">
        <v>2</v>
      </c>
      <c r="U566" s="10" t="s">
        <v>2</v>
      </c>
      <c r="V566" s="10" t="s">
        <v>2</v>
      </c>
      <c r="W566" s="10" t="s">
        <v>2</v>
      </c>
      <c r="X566" s="10" t="s">
        <v>2</v>
      </c>
      <c r="Y566" s="10" t="s">
        <v>2</v>
      </c>
      <c r="Z566" s="10" t="s">
        <v>2</v>
      </c>
      <c r="AA566" s="10" t="s">
        <v>2</v>
      </c>
      <c r="AB566" s="10" t="s">
        <v>2</v>
      </c>
      <c r="AC566" s="10" t="s">
        <v>2</v>
      </c>
      <c r="AD566" s="10" t="s">
        <v>2</v>
      </c>
      <c r="AE566" s="10" t="s">
        <v>2</v>
      </c>
      <c r="AF566" s="10" t="s">
        <v>2</v>
      </c>
      <c r="AG566" s="10" t="s">
        <v>2</v>
      </c>
      <c r="AH566" s="102">
        <f>SUM(Tableau2[[#This Row],[Td 2]:[Td 5]])</f>
        <v>0</v>
      </c>
      <c r="AI566" s="10" t="s">
        <v>2</v>
      </c>
      <c r="AJ566" s="10">
        <v>100</v>
      </c>
      <c r="AK566" s="17">
        <f t="shared" si="60"/>
        <v>0</v>
      </c>
      <c r="AL566" s="17">
        <f t="shared" si="61"/>
        <v>0</v>
      </c>
      <c r="AM566" s="17">
        <f t="shared" si="62"/>
        <v>0</v>
      </c>
    </row>
    <row r="567" spans="1:39" s="3" customFormat="1" x14ac:dyDescent="0.25">
      <c r="A567" s="2" t="s">
        <v>16</v>
      </c>
      <c r="B567" s="29" t="s">
        <v>739</v>
      </c>
      <c r="C567" s="2" t="s">
        <v>45</v>
      </c>
      <c r="D567" s="2" t="s">
        <v>580</v>
      </c>
      <c r="E567" s="14">
        <v>25498</v>
      </c>
      <c r="F567" s="15">
        <f t="shared" si="56"/>
        <v>889.88020000000006</v>
      </c>
      <c r="G567" s="15">
        <f t="shared" si="57"/>
        <v>1019.9200000000001</v>
      </c>
      <c r="H567" s="15">
        <f t="shared" si="58"/>
        <v>741.56683333333331</v>
      </c>
      <c r="I567" s="15">
        <f t="shared" si="59"/>
        <v>849.93333333333339</v>
      </c>
      <c r="J567" s="10">
        <v>599</v>
      </c>
      <c r="K567" s="10">
        <v>54</v>
      </c>
      <c r="L567" s="10">
        <v>569</v>
      </c>
      <c r="M567" s="10">
        <v>664</v>
      </c>
      <c r="N567" s="10">
        <v>641</v>
      </c>
      <c r="O567" s="10">
        <v>717</v>
      </c>
      <c r="P567" s="10">
        <v>697</v>
      </c>
      <c r="Q567" s="10">
        <v>689</v>
      </c>
      <c r="R567" s="10">
        <v>690</v>
      </c>
      <c r="S567" s="10">
        <v>704</v>
      </c>
      <c r="T567" s="10">
        <v>672</v>
      </c>
      <c r="U567" s="10">
        <v>950</v>
      </c>
      <c r="V567" s="10">
        <v>587</v>
      </c>
      <c r="W567" s="10">
        <v>597</v>
      </c>
      <c r="X567" s="10">
        <v>765</v>
      </c>
      <c r="Y567" s="10">
        <v>247</v>
      </c>
      <c r="Z567" s="10">
        <v>677</v>
      </c>
      <c r="AA567" s="10">
        <v>657</v>
      </c>
      <c r="AB567" s="10">
        <v>664</v>
      </c>
      <c r="AC567" s="10">
        <v>177</v>
      </c>
      <c r="AD567" s="10">
        <v>105</v>
      </c>
      <c r="AE567" s="10">
        <v>155</v>
      </c>
      <c r="AF567" s="10">
        <v>119</v>
      </c>
      <c r="AG567" s="10">
        <v>92</v>
      </c>
      <c r="AH567" s="102">
        <f>SUM(Tableau2[[#This Row],[Td 2]:[Td 5]])</f>
        <v>471</v>
      </c>
      <c r="AI567" s="10">
        <v>50</v>
      </c>
      <c r="AJ567" s="10">
        <v>100</v>
      </c>
      <c r="AK567" s="17">
        <f t="shared" si="60"/>
        <v>24.566833333333307</v>
      </c>
      <c r="AL567" s="17">
        <f t="shared" si="61"/>
        <v>0</v>
      </c>
      <c r="AM567" s="17">
        <f t="shared" si="62"/>
        <v>677</v>
      </c>
    </row>
    <row r="568" spans="1:39" s="3" customFormat="1" x14ac:dyDescent="0.25">
      <c r="A568" s="2" t="s">
        <v>16</v>
      </c>
      <c r="B568" s="29" t="s">
        <v>739</v>
      </c>
      <c r="C568" s="2" t="s">
        <v>45</v>
      </c>
      <c r="D568" s="2" t="s">
        <v>581</v>
      </c>
      <c r="E568" s="14">
        <v>3260</v>
      </c>
      <c r="F568" s="15">
        <f t="shared" si="56"/>
        <v>113.774</v>
      </c>
      <c r="G568" s="15">
        <f t="shared" si="57"/>
        <v>130.4</v>
      </c>
      <c r="H568" s="15">
        <f t="shared" si="58"/>
        <v>94.811666666666667</v>
      </c>
      <c r="I568" s="15">
        <f t="shared" si="59"/>
        <v>108.66666666666667</v>
      </c>
      <c r="J568" s="10" t="s">
        <v>2</v>
      </c>
      <c r="K568" s="10" t="s">
        <v>2</v>
      </c>
      <c r="L568" s="10" t="s">
        <v>2</v>
      </c>
      <c r="M568" s="10" t="s">
        <v>2</v>
      </c>
      <c r="N568" s="10" t="s">
        <v>2</v>
      </c>
      <c r="O568" s="10" t="s">
        <v>2</v>
      </c>
      <c r="P568" s="10" t="s">
        <v>2</v>
      </c>
      <c r="Q568" s="10" t="s">
        <v>2</v>
      </c>
      <c r="R568" s="10" t="s">
        <v>2</v>
      </c>
      <c r="S568" s="10" t="s">
        <v>2</v>
      </c>
      <c r="T568" s="10" t="s">
        <v>2</v>
      </c>
      <c r="U568" s="10" t="s">
        <v>2</v>
      </c>
      <c r="V568" s="10" t="s">
        <v>2</v>
      </c>
      <c r="W568" s="10" t="s">
        <v>2</v>
      </c>
      <c r="X568" s="10" t="s">
        <v>2</v>
      </c>
      <c r="Y568" s="10" t="s">
        <v>2</v>
      </c>
      <c r="Z568" s="10" t="s">
        <v>2</v>
      </c>
      <c r="AA568" s="10" t="s">
        <v>2</v>
      </c>
      <c r="AB568" s="10" t="s">
        <v>2</v>
      </c>
      <c r="AC568" s="10" t="s">
        <v>2</v>
      </c>
      <c r="AD568" s="10" t="s">
        <v>2</v>
      </c>
      <c r="AE568" s="10" t="s">
        <v>2</v>
      </c>
      <c r="AF568" s="10" t="s">
        <v>2</v>
      </c>
      <c r="AG568" s="10" t="s">
        <v>2</v>
      </c>
      <c r="AH568" s="102">
        <f>SUM(Tableau2[[#This Row],[Td 2]:[Td 5]])</f>
        <v>0</v>
      </c>
      <c r="AI568" s="10" t="s">
        <v>2</v>
      </c>
      <c r="AJ568" s="10">
        <v>100</v>
      </c>
      <c r="AK568" s="17">
        <f t="shared" si="60"/>
        <v>0</v>
      </c>
      <c r="AL568" s="17">
        <f t="shared" si="61"/>
        <v>0</v>
      </c>
      <c r="AM568" s="17">
        <f t="shared" si="62"/>
        <v>0</v>
      </c>
    </row>
    <row r="569" spans="1:39" s="3" customFormat="1" x14ac:dyDescent="0.25">
      <c r="A569" s="2" t="s">
        <v>16</v>
      </c>
      <c r="B569" s="29" t="s">
        <v>739</v>
      </c>
      <c r="C569" s="2" t="s">
        <v>45</v>
      </c>
      <c r="D569" s="2" t="s">
        <v>582</v>
      </c>
      <c r="E569" s="14">
        <v>14139</v>
      </c>
      <c r="F569" s="15">
        <f t="shared" si="56"/>
        <v>493.4511</v>
      </c>
      <c r="G569" s="15">
        <f t="shared" si="57"/>
        <v>565.56000000000006</v>
      </c>
      <c r="H569" s="15">
        <f t="shared" si="58"/>
        <v>411.20925</v>
      </c>
      <c r="I569" s="15">
        <f t="shared" si="59"/>
        <v>471.3</v>
      </c>
      <c r="J569" s="10" t="s">
        <v>2</v>
      </c>
      <c r="K569" s="10" t="s">
        <v>2</v>
      </c>
      <c r="L569" s="10" t="s">
        <v>2</v>
      </c>
      <c r="M569" s="10" t="s">
        <v>2</v>
      </c>
      <c r="N569" s="10" t="s">
        <v>2</v>
      </c>
      <c r="O569" s="10" t="s">
        <v>2</v>
      </c>
      <c r="P569" s="10" t="s">
        <v>2</v>
      </c>
      <c r="Q569" s="10" t="s">
        <v>2</v>
      </c>
      <c r="R569" s="10" t="s">
        <v>2</v>
      </c>
      <c r="S569" s="10" t="s">
        <v>2</v>
      </c>
      <c r="T569" s="10" t="s">
        <v>2</v>
      </c>
      <c r="U569" s="10" t="s">
        <v>2</v>
      </c>
      <c r="V569" s="10" t="s">
        <v>2</v>
      </c>
      <c r="W569" s="10" t="s">
        <v>2</v>
      </c>
      <c r="X569" s="10" t="s">
        <v>2</v>
      </c>
      <c r="Y569" s="10" t="s">
        <v>2</v>
      </c>
      <c r="Z569" s="10" t="s">
        <v>2</v>
      </c>
      <c r="AA569" s="10" t="s">
        <v>2</v>
      </c>
      <c r="AB569" s="10" t="s">
        <v>2</v>
      </c>
      <c r="AC569" s="10" t="s">
        <v>2</v>
      </c>
      <c r="AD569" s="10" t="s">
        <v>2</v>
      </c>
      <c r="AE569" s="10" t="s">
        <v>2</v>
      </c>
      <c r="AF569" s="10" t="s">
        <v>2</v>
      </c>
      <c r="AG569" s="10" t="s">
        <v>2</v>
      </c>
      <c r="AH569" s="102">
        <f>SUM(Tableau2[[#This Row],[Td 2]:[Td 5]])</f>
        <v>0</v>
      </c>
      <c r="AI569" s="10" t="s">
        <v>2</v>
      </c>
      <c r="AJ569" s="10">
        <v>100</v>
      </c>
      <c r="AK569" s="17">
        <f t="shared" si="60"/>
        <v>0</v>
      </c>
      <c r="AL569" s="17">
        <f t="shared" si="61"/>
        <v>0</v>
      </c>
      <c r="AM569" s="17">
        <f t="shared" si="62"/>
        <v>0</v>
      </c>
    </row>
    <row r="570" spans="1:39" s="3" customFormat="1" x14ac:dyDescent="0.25">
      <c r="A570" s="2" t="s">
        <v>16</v>
      </c>
      <c r="B570" s="29" t="s">
        <v>739</v>
      </c>
      <c r="C570" s="2" t="s">
        <v>45</v>
      </c>
      <c r="D570" s="2" t="s">
        <v>583</v>
      </c>
      <c r="E570" s="14">
        <v>21998</v>
      </c>
      <c r="F570" s="15">
        <f t="shared" si="56"/>
        <v>767.73019999999997</v>
      </c>
      <c r="G570" s="15">
        <f t="shared" si="57"/>
        <v>879.92000000000007</v>
      </c>
      <c r="H570" s="15">
        <f t="shared" si="58"/>
        <v>639.77516666666668</v>
      </c>
      <c r="I570" s="15">
        <f t="shared" si="59"/>
        <v>733.26666666666665</v>
      </c>
      <c r="J570" s="10">
        <v>73</v>
      </c>
      <c r="K570" s="10">
        <v>2</v>
      </c>
      <c r="L570" s="10">
        <v>110</v>
      </c>
      <c r="M570" s="10">
        <v>82</v>
      </c>
      <c r="N570" s="10">
        <v>81</v>
      </c>
      <c r="O570" s="10">
        <v>119</v>
      </c>
      <c r="P570" s="10">
        <v>114</v>
      </c>
      <c r="Q570" s="10">
        <v>98</v>
      </c>
      <c r="R570" s="10">
        <v>118</v>
      </c>
      <c r="S570" s="10">
        <v>106</v>
      </c>
      <c r="T570" s="10">
        <v>91</v>
      </c>
      <c r="U570" s="10">
        <v>96</v>
      </c>
      <c r="V570" s="10">
        <v>74</v>
      </c>
      <c r="W570" s="10">
        <v>56</v>
      </c>
      <c r="X570" s="10">
        <v>86</v>
      </c>
      <c r="Y570" s="10">
        <v>19</v>
      </c>
      <c r="Z570" s="10">
        <v>69</v>
      </c>
      <c r="AA570" s="10">
        <v>115</v>
      </c>
      <c r="AB570" s="10">
        <v>43</v>
      </c>
      <c r="AC570" s="10">
        <v>22</v>
      </c>
      <c r="AD570" s="10">
        <v>18</v>
      </c>
      <c r="AE570" s="10">
        <v>18</v>
      </c>
      <c r="AF570" s="10">
        <v>16</v>
      </c>
      <c r="AG570" s="10">
        <v>21</v>
      </c>
      <c r="AH570" s="102">
        <f>SUM(Tableau2[[#This Row],[Td 2]:[Td 5]])</f>
        <v>73</v>
      </c>
      <c r="AI570" s="10">
        <v>50</v>
      </c>
      <c r="AJ570" s="10">
        <v>100</v>
      </c>
      <c r="AK570" s="17">
        <f t="shared" si="60"/>
        <v>520.77516666666668</v>
      </c>
      <c r="AL570" s="17">
        <f t="shared" si="61"/>
        <v>33</v>
      </c>
      <c r="AM570" s="17">
        <f t="shared" si="62"/>
        <v>69</v>
      </c>
    </row>
    <row r="571" spans="1:39" s="3" customFormat="1" x14ac:dyDescent="0.25">
      <c r="A571" s="2" t="s">
        <v>16</v>
      </c>
      <c r="B571" s="29" t="s">
        <v>739</v>
      </c>
      <c r="C571" s="2" t="s">
        <v>45</v>
      </c>
      <c r="D571" s="2" t="s">
        <v>584</v>
      </c>
      <c r="E571" s="14">
        <v>12860</v>
      </c>
      <c r="F571" s="15">
        <f t="shared" si="56"/>
        <v>448.81400000000002</v>
      </c>
      <c r="G571" s="15">
        <f t="shared" si="57"/>
        <v>514.4</v>
      </c>
      <c r="H571" s="15">
        <f t="shared" si="58"/>
        <v>374.01166666666666</v>
      </c>
      <c r="I571" s="15">
        <f t="shared" si="59"/>
        <v>428.66666666666669</v>
      </c>
      <c r="J571" s="10">
        <v>145</v>
      </c>
      <c r="K571" s="10" t="s">
        <v>2</v>
      </c>
      <c r="L571" s="10">
        <v>138</v>
      </c>
      <c r="M571" s="10">
        <v>113</v>
      </c>
      <c r="N571" s="10">
        <v>110</v>
      </c>
      <c r="O571" s="10">
        <v>157</v>
      </c>
      <c r="P571" s="10">
        <v>136</v>
      </c>
      <c r="Q571" s="10">
        <v>141</v>
      </c>
      <c r="R571" s="10">
        <v>159</v>
      </c>
      <c r="S571" s="10">
        <v>132</v>
      </c>
      <c r="T571" s="10">
        <v>120</v>
      </c>
      <c r="U571" s="10">
        <v>121</v>
      </c>
      <c r="V571" s="10">
        <v>83</v>
      </c>
      <c r="W571" s="10">
        <v>78</v>
      </c>
      <c r="X571" s="10">
        <v>142</v>
      </c>
      <c r="Y571" s="10">
        <v>17</v>
      </c>
      <c r="Z571" s="10">
        <v>132</v>
      </c>
      <c r="AA571" s="10">
        <v>141</v>
      </c>
      <c r="AB571" s="10">
        <v>142</v>
      </c>
      <c r="AC571" s="10">
        <v>27</v>
      </c>
      <c r="AD571" s="10">
        <v>22</v>
      </c>
      <c r="AE571" s="10">
        <v>18</v>
      </c>
      <c r="AF571" s="10">
        <v>14</v>
      </c>
      <c r="AG571" s="10">
        <v>3</v>
      </c>
      <c r="AH571" s="102">
        <f>SUM(Tableau2[[#This Row],[Td 2]:[Td 5]])</f>
        <v>57</v>
      </c>
      <c r="AI571" s="10">
        <v>37.5</v>
      </c>
      <c r="AJ571" s="10">
        <v>100</v>
      </c>
      <c r="AK571" s="17">
        <f t="shared" si="60"/>
        <v>217.01166666666666</v>
      </c>
      <c r="AL571" s="17">
        <f t="shared" si="61"/>
        <v>15</v>
      </c>
      <c r="AM571" s="17">
        <f t="shared" si="62"/>
        <v>132</v>
      </c>
    </row>
    <row r="572" spans="1:39" s="3" customFormat="1" x14ac:dyDescent="0.25">
      <c r="A572" s="2" t="s">
        <v>16</v>
      </c>
      <c r="B572" s="29" t="s">
        <v>739</v>
      </c>
      <c r="C572" s="2" t="s">
        <v>45</v>
      </c>
      <c r="D572" s="2" t="s">
        <v>585</v>
      </c>
      <c r="E572" s="14">
        <v>17177</v>
      </c>
      <c r="F572" s="15">
        <f t="shared" si="56"/>
        <v>599.47730000000001</v>
      </c>
      <c r="G572" s="15">
        <f t="shared" si="57"/>
        <v>687.08</v>
      </c>
      <c r="H572" s="15">
        <f t="shared" si="58"/>
        <v>499.56441666666672</v>
      </c>
      <c r="I572" s="15">
        <f t="shared" si="59"/>
        <v>572.56666666666672</v>
      </c>
      <c r="J572" s="10">
        <v>535</v>
      </c>
      <c r="K572" s="10" t="s">
        <v>2</v>
      </c>
      <c r="L572" s="10">
        <v>447</v>
      </c>
      <c r="M572" s="10">
        <v>498</v>
      </c>
      <c r="N572" s="10">
        <v>476</v>
      </c>
      <c r="O572" s="10">
        <v>592</v>
      </c>
      <c r="P572" s="10">
        <v>597</v>
      </c>
      <c r="Q572" s="10">
        <v>723</v>
      </c>
      <c r="R572" s="10">
        <v>586</v>
      </c>
      <c r="S572" s="10">
        <v>552</v>
      </c>
      <c r="T572" s="10">
        <v>575</v>
      </c>
      <c r="U572" s="10">
        <v>566</v>
      </c>
      <c r="V572" s="10">
        <v>603</v>
      </c>
      <c r="W572" s="10">
        <v>588</v>
      </c>
      <c r="X572" s="10">
        <v>589</v>
      </c>
      <c r="Y572" s="10">
        <v>176</v>
      </c>
      <c r="Z572" s="10">
        <v>583</v>
      </c>
      <c r="AA572" s="10">
        <v>626</v>
      </c>
      <c r="AB572" s="10">
        <v>535</v>
      </c>
      <c r="AC572" s="10">
        <v>301</v>
      </c>
      <c r="AD572" s="10">
        <v>184</v>
      </c>
      <c r="AE572" s="10">
        <v>42</v>
      </c>
      <c r="AF572" s="10">
        <v>33</v>
      </c>
      <c r="AG572" s="10">
        <v>33</v>
      </c>
      <c r="AH572" s="102">
        <f>SUM(Tableau2[[#This Row],[Td 2]:[Td 5]])</f>
        <v>292</v>
      </c>
      <c r="AI572" s="10">
        <v>44.4</v>
      </c>
      <c r="AJ572" s="10">
        <v>100</v>
      </c>
      <c r="AK572" s="17">
        <f t="shared" si="60"/>
        <v>0</v>
      </c>
      <c r="AL572" s="17">
        <f t="shared" si="61"/>
        <v>3</v>
      </c>
      <c r="AM572" s="17">
        <f t="shared" si="62"/>
        <v>583</v>
      </c>
    </row>
    <row r="573" spans="1:39" s="3" customFormat="1" x14ac:dyDescent="0.25">
      <c r="A573" s="2" t="s">
        <v>16</v>
      </c>
      <c r="B573" s="29" t="s">
        <v>739</v>
      </c>
      <c r="C573" s="2" t="s">
        <v>45</v>
      </c>
      <c r="D573" s="2" t="s">
        <v>586</v>
      </c>
      <c r="E573" s="14">
        <v>18754</v>
      </c>
      <c r="F573" s="15">
        <f t="shared" si="56"/>
        <v>654.51459999999997</v>
      </c>
      <c r="G573" s="15">
        <f t="shared" si="57"/>
        <v>750.16</v>
      </c>
      <c r="H573" s="15">
        <f t="shared" si="58"/>
        <v>545.42883333333327</v>
      </c>
      <c r="I573" s="15">
        <f t="shared" si="59"/>
        <v>625.13333333333333</v>
      </c>
      <c r="J573" s="10">
        <v>440</v>
      </c>
      <c r="K573" s="10">
        <v>227</v>
      </c>
      <c r="L573" s="10">
        <v>552</v>
      </c>
      <c r="M573" s="10">
        <v>461</v>
      </c>
      <c r="N573" s="10">
        <v>383</v>
      </c>
      <c r="O573" s="10">
        <v>524</v>
      </c>
      <c r="P573" s="10">
        <v>458</v>
      </c>
      <c r="Q573" s="10">
        <v>434</v>
      </c>
      <c r="R573" s="10">
        <v>468</v>
      </c>
      <c r="S573" s="10">
        <v>409</v>
      </c>
      <c r="T573" s="10">
        <v>386</v>
      </c>
      <c r="U573" s="10">
        <v>549</v>
      </c>
      <c r="V573" s="10">
        <v>459</v>
      </c>
      <c r="W573" s="10">
        <v>366</v>
      </c>
      <c r="X573" s="10">
        <v>536</v>
      </c>
      <c r="Y573" s="10">
        <v>214</v>
      </c>
      <c r="Z573" s="10">
        <v>494</v>
      </c>
      <c r="AA573" s="10">
        <v>553</v>
      </c>
      <c r="AB573" s="10">
        <v>415</v>
      </c>
      <c r="AC573" s="10">
        <v>154</v>
      </c>
      <c r="AD573" s="10">
        <v>99</v>
      </c>
      <c r="AE573" s="10">
        <v>99</v>
      </c>
      <c r="AF573" s="10">
        <v>52</v>
      </c>
      <c r="AG573" s="10">
        <v>47</v>
      </c>
      <c r="AH573" s="102">
        <f>SUM(Tableau2[[#This Row],[Td 2]:[Td 5]])</f>
        <v>297</v>
      </c>
      <c r="AI573" s="10">
        <v>83.3</v>
      </c>
      <c r="AJ573" s="10">
        <v>100</v>
      </c>
      <c r="AK573" s="17">
        <f t="shared" si="60"/>
        <v>21.428833333333273</v>
      </c>
      <c r="AL573" s="17">
        <f t="shared" si="61"/>
        <v>0</v>
      </c>
      <c r="AM573" s="17">
        <f t="shared" si="62"/>
        <v>494</v>
      </c>
    </row>
    <row r="574" spans="1:39" s="3" customFormat="1" x14ac:dyDescent="0.25">
      <c r="A574" s="2" t="s">
        <v>16</v>
      </c>
      <c r="B574" s="29" t="s">
        <v>739</v>
      </c>
      <c r="C574" s="2" t="s">
        <v>45</v>
      </c>
      <c r="D574" s="2" t="s">
        <v>587</v>
      </c>
      <c r="E574" s="14">
        <v>21501</v>
      </c>
      <c r="F574" s="15">
        <f t="shared" si="56"/>
        <v>750.38490000000002</v>
      </c>
      <c r="G574" s="15">
        <f t="shared" si="57"/>
        <v>860.04</v>
      </c>
      <c r="H574" s="15">
        <f t="shared" si="58"/>
        <v>625.32074999999998</v>
      </c>
      <c r="I574" s="15">
        <f t="shared" si="59"/>
        <v>716.7</v>
      </c>
      <c r="J574" s="10">
        <v>384</v>
      </c>
      <c r="K574" s="10">
        <v>72</v>
      </c>
      <c r="L574" s="10">
        <v>503</v>
      </c>
      <c r="M574" s="10">
        <v>457</v>
      </c>
      <c r="N574" s="10">
        <v>488</v>
      </c>
      <c r="O574" s="10">
        <v>596</v>
      </c>
      <c r="P574" s="10">
        <v>487</v>
      </c>
      <c r="Q574" s="10">
        <v>534</v>
      </c>
      <c r="R574" s="10">
        <v>587</v>
      </c>
      <c r="S574" s="10">
        <v>484</v>
      </c>
      <c r="T574" s="10">
        <v>534</v>
      </c>
      <c r="U574" s="10">
        <v>595</v>
      </c>
      <c r="V574" s="10">
        <v>488</v>
      </c>
      <c r="W574" s="10">
        <v>528</v>
      </c>
      <c r="X574" s="10">
        <v>480</v>
      </c>
      <c r="Y574" s="10">
        <v>261</v>
      </c>
      <c r="Z574" s="10">
        <v>485</v>
      </c>
      <c r="AA574" s="10">
        <v>590</v>
      </c>
      <c r="AB574" s="10">
        <v>272</v>
      </c>
      <c r="AC574" s="10">
        <v>974</v>
      </c>
      <c r="AD574" s="10">
        <v>752</v>
      </c>
      <c r="AE574" s="10">
        <v>716</v>
      </c>
      <c r="AF574" s="10">
        <v>38</v>
      </c>
      <c r="AG574" s="10">
        <v>1</v>
      </c>
      <c r="AH574" s="102">
        <f>SUM(Tableau2[[#This Row],[Td 2]:[Td 5]])</f>
        <v>1507</v>
      </c>
      <c r="AI574" s="10">
        <v>41.7</v>
      </c>
      <c r="AJ574" s="10">
        <v>100</v>
      </c>
      <c r="AK574" s="17">
        <f t="shared" si="60"/>
        <v>29.320749999999975</v>
      </c>
      <c r="AL574" s="17">
        <f t="shared" si="61"/>
        <v>116</v>
      </c>
      <c r="AM574" s="17">
        <f t="shared" si="62"/>
        <v>480</v>
      </c>
    </row>
    <row r="575" spans="1:39" s="3" customFormat="1" x14ac:dyDescent="0.25">
      <c r="A575" s="2" t="s">
        <v>16</v>
      </c>
      <c r="B575" s="29" t="s">
        <v>739</v>
      </c>
      <c r="C575" s="2" t="s">
        <v>45</v>
      </c>
      <c r="D575" s="2" t="s">
        <v>588</v>
      </c>
      <c r="E575" s="14">
        <v>17333</v>
      </c>
      <c r="F575" s="15">
        <f t="shared" si="56"/>
        <v>604.92169999999999</v>
      </c>
      <c r="G575" s="15">
        <f t="shared" si="57"/>
        <v>693.32</v>
      </c>
      <c r="H575" s="15">
        <f t="shared" si="58"/>
        <v>504.10141666666669</v>
      </c>
      <c r="I575" s="15">
        <f t="shared" si="59"/>
        <v>577.76666666666665</v>
      </c>
      <c r="J575" s="10">
        <v>475</v>
      </c>
      <c r="K575" s="10">
        <v>151</v>
      </c>
      <c r="L575" s="10">
        <v>566</v>
      </c>
      <c r="M575" s="10">
        <v>571</v>
      </c>
      <c r="N575" s="10">
        <v>528</v>
      </c>
      <c r="O575" s="10">
        <v>516</v>
      </c>
      <c r="P575" s="10">
        <v>546</v>
      </c>
      <c r="Q575" s="10">
        <v>536</v>
      </c>
      <c r="R575" s="10">
        <v>512</v>
      </c>
      <c r="S575" s="10">
        <v>504</v>
      </c>
      <c r="T575" s="10">
        <v>489</v>
      </c>
      <c r="U575" s="10">
        <v>509</v>
      </c>
      <c r="V575" s="10">
        <v>503</v>
      </c>
      <c r="W575" s="10">
        <v>434</v>
      </c>
      <c r="X575" s="10">
        <v>440</v>
      </c>
      <c r="Y575" s="10">
        <v>101</v>
      </c>
      <c r="Z575" s="10">
        <v>428</v>
      </c>
      <c r="AA575" s="10">
        <v>521</v>
      </c>
      <c r="AB575" s="10">
        <v>417</v>
      </c>
      <c r="AC575" s="10">
        <v>870</v>
      </c>
      <c r="AD575" s="10">
        <v>708</v>
      </c>
      <c r="AE575" s="10">
        <v>138</v>
      </c>
      <c r="AF575" s="10">
        <v>9</v>
      </c>
      <c r="AG575" s="10" t="s">
        <v>2</v>
      </c>
      <c r="AH575" s="102">
        <f>SUM(Tableau2[[#This Row],[Td 2]:[Td 5]])</f>
        <v>855</v>
      </c>
      <c r="AI575" s="10">
        <v>50</v>
      </c>
      <c r="AJ575" s="10">
        <v>100</v>
      </c>
      <c r="AK575" s="17">
        <f t="shared" si="60"/>
        <v>0</v>
      </c>
      <c r="AL575" s="17">
        <f t="shared" si="61"/>
        <v>76</v>
      </c>
      <c r="AM575" s="17">
        <f t="shared" si="62"/>
        <v>428</v>
      </c>
    </row>
    <row r="576" spans="1:39" s="3" customFormat="1" x14ac:dyDescent="0.25">
      <c r="A576" s="2" t="s">
        <v>16</v>
      </c>
      <c r="B576" s="29" t="s">
        <v>739</v>
      </c>
      <c r="C576" s="2" t="s">
        <v>45</v>
      </c>
      <c r="D576" s="2" t="s">
        <v>589</v>
      </c>
      <c r="E576" s="14">
        <v>3276</v>
      </c>
      <c r="F576" s="15">
        <f t="shared" si="56"/>
        <v>114.33240000000001</v>
      </c>
      <c r="G576" s="15">
        <f t="shared" si="57"/>
        <v>131.04</v>
      </c>
      <c r="H576" s="15">
        <f t="shared" si="58"/>
        <v>95.277000000000015</v>
      </c>
      <c r="I576" s="15">
        <f t="shared" si="59"/>
        <v>109.2</v>
      </c>
      <c r="J576" s="10" t="s">
        <v>2</v>
      </c>
      <c r="K576" s="10" t="s">
        <v>2</v>
      </c>
      <c r="L576" s="10">
        <v>5</v>
      </c>
      <c r="M576" s="10">
        <v>1</v>
      </c>
      <c r="N576" s="10" t="s">
        <v>2</v>
      </c>
      <c r="O576" s="10" t="s">
        <v>2</v>
      </c>
      <c r="P576" s="10" t="s">
        <v>2</v>
      </c>
      <c r="Q576" s="10" t="s">
        <v>2</v>
      </c>
      <c r="R576" s="10">
        <v>5</v>
      </c>
      <c r="S576" s="10">
        <v>1</v>
      </c>
      <c r="T576" s="10" t="s">
        <v>2</v>
      </c>
      <c r="U576" s="10" t="s">
        <v>2</v>
      </c>
      <c r="V576" s="10" t="s">
        <v>2</v>
      </c>
      <c r="W576" s="10" t="s">
        <v>2</v>
      </c>
      <c r="X576" s="10" t="s">
        <v>2</v>
      </c>
      <c r="Y576" s="10" t="s">
        <v>2</v>
      </c>
      <c r="Z576" s="10" t="s">
        <v>2</v>
      </c>
      <c r="AA576" s="10">
        <v>1</v>
      </c>
      <c r="AB576" s="10" t="s">
        <v>2</v>
      </c>
      <c r="AC576" s="10">
        <v>3</v>
      </c>
      <c r="AD576" s="10" t="s">
        <v>2</v>
      </c>
      <c r="AE576" s="10" t="s">
        <v>2</v>
      </c>
      <c r="AF576" s="10" t="s">
        <v>2</v>
      </c>
      <c r="AG576" s="10" t="s">
        <v>2</v>
      </c>
      <c r="AH576" s="102">
        <f>SUM(Tableau2[[#This Row],[Td 2]:[Td 5]])</f>
        <v>0</v>
      </c>
      <c r="AI576" s="10">
        <v>41.7</v>
      </c>
      <c r="AJ576" s="10">
        <v>100</v>
      </c>
      <c r="AK576" s="17">
        <f t="shared" si="60"/>
        <v>0</v>
      </c>
      <c r="AL576" s="17">
        <f t="shared" si="61"/>
        <v>0</v>
      </c>
      <c r="AM576" s="17">
        <f t="shared" si="62"/>
        <v>0</v>
      </c>
    </row>
    <row r="577" spans="1:39" s="3" customFormat="1" x14ac:dyDescent="0.25">
      <c r="A577" s="2" t="s">
        <v>16</v>
      </c>
      <c r="B577" s="29" t="s">
        <v>739</v>
      </c>
      <c r="C577" s="2" t="s">
        <v>45</v>
      </c>
      <c r="D577" s="2" t="s">
        <v>590</v>
      </c>
      <c r="E577" s="14">
        <v>6236</v>
      </c>
      <c r="F577" s="15">
        <f t="shared" si="56"/>
        <v>217.63640000000001</v>
      </c>
      <c r="G577" s="15">
        <f t="shared" si="57"/>
        <v>249.44</v>
      </c>
      <c r="H577" s="15">
        <f t="shared" si="58"/>
        <v>181.36366666666669</v>
      </c>
      <c r="I577" s="15">
        <f t="shared" si="59"/>
        <v>207.86666666666665</v>
      </c>
      <c r="J577" s="10">
        <v>9</v>
      </c>
      <c r="K577" s="10" t="s">
        <v>2</v>
      </c>
      <c r="L577" s="10">
        <v>6</v>
      </c>
      <c r="M577" s="10">
        <v>3</v>
      </c>
      <c r="N577" s="10">
        <v>1</v>
      </c>
      <c r="O577" s="10">
        <v>6</v>
      </c>
      <c r="P577" s="10">
        <v>6</v>
      </c>
      <c r="Q577" s="10">
        <v>3</v>
      </c>
      <c r="R577" s="10">
        <v>6</v>
      </c>
      <c r="S577" s="10">
        <v>6</v>
      </c>
      <c r="T577" s="10">
        <v>2</v>
      </c>
      <c r="U577" s="10">
        <v>5</v>
      </c>
      <c r="V577" s="10">
        <v>4</v>
      </c>
      <c r="W577" s="10">
        <v>2</v>
      </c>
      <c r="X577" s="10">
        <v>6</v>
      </c>
      <c r="Y577" s="10">
        <v>2</v>
      </c>
      <c r="Z577" s="10">
        <v>6</v>
      </c>
      <c r="AA577" s="10">
        <v>3</v>
      </c>
      <c r="AB577" s="10">
        <v>6</v>
      </c>
      <c r="AC577" s="10">
        <v>13</v>
      </c>
      <c r="AD577" s="10">
        <v>1</v>
      </c>
      <c r="AE577" s="10">
        <v>4</v>
      </c>
      <c r="AF577" s="10" t="s">
        <v>2</v>
      </c>
      <c r="AG577" s="10" t="s">
        <v>2</v>
      </c>
      <c r="AH577" s="102">
        <f>SUM(Tableau2[[#This Row],[Td 2]:[Td 5]])</f>
        <v>5</v>
      </c>
      <c r="AI577" s="10">
        <v>33.299999999999997</v>
      </c>
      <c r="AJ577" s="10">
        <v>100</v>
      </c>
      <c r="AK577" s="17">
        <f t="shared" si="60"/>
        <v>175.36366666666669</v>
      </c>
      <c r="AL577" s="17">
        <f t="shared" si="61"/>
        <v>0</v>
      </c>
      <c r="AM577" s="17">
        <f t="shared" si="62"/>
        <v>6</v>
      </c>
    </row>
    <row r="578" spans="1:39" s="3" customFormat="1" x14ac:dyDescent="0.25">
      <c r="A578" s="2" t="s">
        <v>16</v>
      </c>
      <c r="B578" s="29" t="s">
        <v>739</v>
      </c>
      <c r="C578" s="2" t="s">
        <v>45</v>
      </c>
      <c r="D578" s="2" t="s">
        <v>591</v>
      </c>
      <c r="E578" s="14">
        <v>27252</v>
      </c>
      <c r="F578" s="15">
        <f t="shared" si="56"/>
        <v>951.09479999999996</v>
      </c>
      <c r="G578" s="15">
        <f t="shared" si="57"/>
        <v>1090.08</v>
      </c>
      <c r="H578" s="15">
        <f t="shared" si="58"/>
        <v>792.57899999999995</v>
      </c>
      <c r="I578" s="15">
        <f t="shared" si="59"/>
        <v>908.39999999999986</v>
      </c>
      <c r="J578" s="10">
        <v>714</v>
      </c>
      <c r="K578" s="10">
        <v>45</v>
      </c>
      <c r="L578" s="10">
        <v>1274</v>
      </c>
      <c r="M578" s="10">
        <v>1204</v>
      </c>
      <c r="N578" s="10">
        <v>1136</v>
      </c>
      <c r="O578" s="10">
        <v>1388</v>
      </c>
      <c r="P578" s="10">
        <v>1297</v>
      </c>
      <c r="Q578" s="10">
        <v>1219</v>
      </c>
      <c r="R578" s="10">
        <v>1257</v>
      </c>
      <c r="S578" s="10">
        <v>1383</v>
      </c>
      <c r="T578" s="10">
        <v>1150</v>
      </c>
      <c r="U578" s="10">
        <v>1291</v>
      </c>
      <c r="V578" s="10">
        <v>1200</v>
      </c>
      <c r="W578" s="10">
        <v>1059</v>
      </c>
      <c r="X578" s="10">
        <v>1186</v>
      </c>
      <c r="Y578" s="10">
        <v>351</v>
      </c>
      <c r="Z578" s="10">
        <v>1186</v>
      </c>
      <c r="AA578" s="10">
        <v>1107</v>
      </c>
      <c r="AB578" s="10">
        <v>1005</v>
      </c>
      <c r="AC578" s="10">
        <v>257</v>
      </c>
      <c r="AD578" s="10">
        <v>204</v>
      </c>
      <c r="AE578" s="10">
        <v>278</v>
      </c>
      <c r="AF578" s="10">
        <v>200</v>
      </c>
      <c r="AG578" s="10">
        <v>181</v>
      </c>
      <c r="AH578" s="102">
        <f>SUM(Tableau2[[#This Row],[Td 2]:[Td 5]])</f>
        <v>863</v>
      </c>
      <c r="AI578" s="10">
        <v>41.7</v>
      </c>
      <c r="AJ578" s="10">
        <v>100</v>
      </c>
      <c r="AK578" s="17">
        <f t="shared" si="60"/>
        <v>0</v>
      </c>
      <c r="AL578" s="17">
        <f t="shared" si="61"/>
        <v>202</v>
      </c>
      <c r="AM578" s="17">
        <f t="shared" si="62"/>
        <v>1186</v>
      </c>
    </row>
    <row r="579" spans="1:39" s="3" customFormat="1" x14ac:dyDescent="0.25">
      <c r="A579" s="2" t="s">
        <v>16</v>
      </c>
      <c r="B579" s="29" t="s">
        <v>739</v>
      </c>
      <c r="C579" s="2" t="s">
        <v>45</v>
      </c>
      <c r="D579" s="2" t="s">
        <v>592</v>
      </c>
      <c r="E579" s="14">
        <v>20406</v>
      </c>
      <c r="F579" s="15">
        <f t="shared" si="56"/>
        <v>712.1694</v>
      </c>
      <c r="G579" s="15">
        <f t="shared" si="57"/>
        <v>816.24</v>
      </c>
      <c r="H579" s="15">
        <f t="shared" si="58"/>
        <v>593.47450000000003</v>
      </c>
      <c r="I579" s="15">
        <f t="shared" si="59"/>
        <v>680.19999999999993</v>
      </c>
      <c r="J579" s="10">
        <v>20</v>
      </c>
      <c r="K579" s="10">
        <v>5</v>
      </c>
      <c r="L579" s="10">
        <v>55</v>
      </c>
      <c r="M579" s="10">
        <v>57</v>
      </c>
      <c r="N579" s="10">
        <v>59</v>
      </c>
      <c r="O579" s="10">
        <v>55</v>
      </c>
      <c r="P579" s="10">
        <v>57</v>
      </c>
      <c r="Q579" s="10">
        <v>59</v>
      </c>
      <c r="R579" s="10">
        <v>55</v>
      </c>
      <c r="S579" s="10">
        <v>57</v>
      </c>
      <c r="T579" s="10">
        <v>59</v>
      </c>
      <c r="U579" s="10">
        <v>45</v>
      </c>
      <c r="V579" s="10">
        <v>50</v>
      </c>
      <c r="W579" s="10">
        <v>44</v>
      </c>
      <c r="X579" s="10">
        <v>23</v>
      </c>
      <c r="Y579" s="10">
        <v>1</v>
      </c>
      <c r="Z579" s="10">
        <v>25</v>
      </c>
      <c r="AA579" s="10">
        <v>201</v>
      </c>
      <c r="AB579" s="10">
        <v>114</v>
      </c>
      <c r="AC579" s="10">
        <v>43</v>
      </c>
      <c r="AD579" s="10">
        <v>28</v>
      </c>
      <c r="AE579" s="10">
        <v>1</v>
      </c>
      <c r="AF579" s="10">
        <v>1</v>
      </c>
      <c r="AG579" s="10">
        <v>3</v>
      </c>
      <c r="AH579" s="102">
        <f>SUM(Tableau2[[#This Row],[Td 2]:[Td 5]])</f>
        <v>33</v>
      </c>
      <c r="AI579" s="10">
        <v>33.299999999999997</v>
      </c>
      <c r="AJ579" s="10">
        <v>100</v>
      </c>
      <c r="AK579" s="17">
        <f t="shared" si="60"/>
        <v>538.47450000000003</v>
      </c>
      <c r="AL579" s="17">
        <f t="shared" si="61"/>
        <v>32</v>
      </c>
      <c r="AM579" s="17">
        <f t="shared" si="62"/>
        <v>23</v>
      </c>
    </row>
    <row r="580" spans="1:39" s="3" customFormat="1" x14ac:dyDescent="0.25">
      <c r="A580" s="2" t="s">
        <v>16</v>
      </c>
      <c r="B580" s="29" t="s">
        <v>739</v>
      </c>
      <c r="C580" s="2" t="s">
        <v>45</v>
      </c>
      <c r="D580" s="2" t="s">
        <v>593</v>
      </c>
      <c r="E580" s="14">
        <v>10190</v>
      </c>
      <c r="F580" s="15">
        <f t="shared" si="56"/>
        <v>355.63100000000003</v>
      </c>
      <c r="G580" s="15">
        <f t="shared" si="57"/>
        <v>407.6</v>
      </c>
      <c r="H580" s="15">
        <f t="shared" si="58"/>
        <v>296.35916666666668</v>
      </c>
      <c r="I580" s="15">
        <f t="shared" si="59"/>
        <v>339.66666666666669</v>
      </c>
      <c r="J580" s="10">
        <v>84</v>
      </c>
      <c r="K580" s="10" t="s">
        <v>2</v>
      </c>
      <c r="L580" s="10">
        <v>97</v>
      </c>
      <c r="M580" s="10">
        <v>95</v>
      </c>
      <c r="N580" s="10">
        <v>85</v>
      </c>
      <c r="O580" s="10">
        <v>141</v>
      </c>
      <c r="P580" s="10">
        <v>111</v>
      </c>
      <c r="Q580" s="10">
        <v>101</v>
      </c>
      <c r="R580" s="10">
        <v>114</v>
      </c>
      <c r="S580" s="10">
        <v>111</v>
      </c>
      <c r="T580" s="10">
        <v>101</v>
      </c>
      <c r="U580" s="10">
        <v>114</v>
      </c>
      <c r="V580" s="10">
        <v>111</v>
      </c>
      <c r="W580" s="10">
        <v>100</v>
      </c>
      <c r="X580" s="10">
        <v>74</v>
      </c>
      <c r="Y580" s="10">
        <v>26</v>
      </c>
      <c r="Z580" s="10">
        <v>74</v>
      </c>
      <c r="AA580" s="10">
        <v>94</v>
      </c>
      <c r="AB580" s="10">
        <v>85</v>
      </c>
      <c r="AC580" s="10">
        <v>40</v>
      </c>
      <c r="AD580" s="10">
        <v>14</v>
      </c>
      <c r="AE580" s="10">
        <v>21</v>
      </c>
      <c r="AF580" s="10">
        <v>14</v>
      </c>
      <c r="AG580" s="10">
        <v>4</v>
      </c>
      <c r="AH580" s="102">
        <f>SUM(Tableau2[[#This Row],[Td 2]:[Td 5]])</f>
        <v>53</v>
      </c>
      <c r="AI580" s="10">
        <v>16.7</v>
      </c>
      <c r="AJ580" s="10">
        <v>100</v>
      </c>
      <c r="AK580" s="17">
        <f t="shared" si="60"/>
        <v>155.35916666666668</v>
      </c>
      <c r="AL580" s="17">
        <f t="shared" si="61"/>
        <v>67</v>
      </c>
      <c r="AM580" s="17">
        <f t="shared" si="62"/>
        <v>74</v>
      </c>
    </row>
    <row r="581" spans="1:39" s="3" customFormat="1" x14ac:dyDescent="0.25">
      <c r="A581" s="2" t="s">
        <v>16</v>
      </c>
      <c r="B581" s="29" t="s">
        <v>739</v>
      </c>
      <c r="C581" s="2" t="s">
        <v>45</v>
      </c>
      <c r="D581" s="2" t="s">
        <v>594</v>
      </c>
      <c r="E581" s="14">
        <v>24503</v>
      </c>
      <c r="F581" s="15">
        <f t="shared" si="56"/>
        <v>855.15470000000005</v>
      </c>
      <c r="G581" s="15">
        <f t="shared" si="57"/>
        <v>980.12</v>
      </c>
      <c r="H581" s="15">
        <f t="shared" si="58"/>
        <v>712.62891666666678</v>
      </c>
      <c r="I581" s="15">
        <f t="shared" si="59"/>
        <v>816.76666666666665</v>
      </c>
      <c r="J581" s="10">
        <v>1121</v>
      </c>
      <c r="K581" s="10" t="s">
        <v>2</v>
      </c>
      <c r="L581" s="10">
        <v>1410</v>
      </c>
      <c r="M581" s="10">
        <v>1347</v>
      </c>
      <c r="N581" s="10">
        <v>1160</v>
      </c>
      <c r="O581" s="10">
        <v>1190</v>
      </c>
      <c r="P581" s="10">
        <v>1221</v>
      </c>
      <c r="Q581" s="10">
        <v>1313</v>
      </c>
      <c r="R581" s="10">
        <v>1378</v>
      </c>
      <c r="S581" s="10">
        <v>1295</v>
      </c>
      <c r="T581" s="10">
        <v>1262</v>
      </c>
      <c r="U581" s="10">
        <v>1139</v>
      </c>
      <c r="V581" s="10">
        <v>1180</v>
      </c>
      <c r="W581" s="10">
        <v>1002</v>
      </c>
      <c r="X581" s="10">
        <v>1060</v>
      </c>
      <c r="Y581" s="10">
        <v>221</v>
      </c>
      <c r="Z581" s="10">
        <v>980</v>
      </c>
      <c r="AA581" s="10">
        <v>1106</v>
      </c>
      <c r="AB581" s="10">
        <v>694</v>
      </c>
      <c r="AC581" s="10">
        <v>716</v>
      </c>
      <c r="AD581" s="10">
        <v>473</v>
      </c>
      <c r="AE581" s="10">
        <v>444</v>
      </c>
      <c r="AF581" s="10">
        <v>336</v>
      </c>
      <c r="AG581" s="10">
        <v>291</v>
      </c>
      <c r="AH581" s="102">
        <f>SUM(Tableau2[[#This Row],[Td 2]:[Td 5]])</f>
        <v>1544</v>
      </c>
      <c r="AI581" s="10">
        <v>41.7</v>
      </c>
      <c r="AJ581" s="10">
        <v>100</v>
      </c>
      <c r="AK581" s="17">
        <f t="shared" si="60"/>
        <v>0</v>
      </c>
      <c r="AL581" s="17">
        <f t="shared" si="61"/>
        <v>130</v>
      </c>
      <c r="AM581" s="17">
        <f t="shared" si="62"/>
        <v>980</v>
      </c>
    </row>
    <row r="582" spans="1:39" s="3" customFormat="1" x14ac:dyDescent="0.25">
      <c r="A582" s="2" t="s">
        <v>16</v>
      </c>
      <c r="B582" s="29" t="s">
        <v>739</v>
      </c>
      <c r="C582" s="2" t="s">
        <v>45</v>
      </c>
      <c r="D582" s="2" t="s">
        <v>595</v>
      </c>
      <c r="E582" s="14">
        <v>5446</v>
      </c>
      <c r="F582" s="15">
        <f t="shared" ref="F582:F645" si="63">IFERROR(E582*3.49%,"")</f>
        <v>190.06540000000001</v>
      </c>
      <c r="G582" s="15">
        <f t="shared" ref="G582:G645" si="64">IFERROR(E582*4%,"")</f>
        <v>217.84</v>
      </c>
      <c r="H582" s="15">
        <f t="shared" ref="H582:H645" si="65">IFERROR((F582/12)*$C$1,"")</f>
        <v>158.38783333333333</v>
      </c>
      <c r="I582" s="15">
        <f t="shared" ref="I582:I645" si="66">IFERROR((G582/12)*$C$1,"")</f>
        <v>181.53333333333333</v>
      </c>
      <c r="J582" s="10">
        <v>163</v>
      </c>
      <c r="K582" s="10">
        <v>15</v>
      </c>
      <c r="L582" s="10">
        <v>104</v>
      </c>
      <c r="M582" s="10">
        <v>127</v>
      </c>
      <c r="N582" s="10">
        <v>98</v>
      </c>
      <c r="O582" s="10">
        <v>129</v>
      </c>
      <c r="P582" s="10">
        <v>117</v>
      </c>
      <c r="Q582" s="10">
        <v>90</v>
      </c>
      <c r="R582" s="10">
        <v>163</v>
      </c>
      <c r="S582" s="10">
        <v>122</v>
      </c>
      <c r="T582" s="10">
        <v>99</v>
      </c>
      <c r="U582" s="10">
        <v>63</v>
      </c>
      <c r="V582" s="10">
        <v>48</v>
      </c>
      <c r="W582" s="10">
        <v>32</v>
      </c>
      <c r="X582" s="10">
        <v>150</v>
      </c>
      <c r="Y582" s="10">
        <v>9</v>
      </c>
      <c r="Z582" s="10">
        <v>140</v>
      </c>
      <c r="AA582" s="10">
        <v>101</v>
      </c>
      <c r="AB582" s="10">
        <v>56</v>
      </c>
      <c r="AC582" s="10">
        <v>44</v>
      </c>
      <c r="AD582" s="10">
        <v>34</v>
      </c>
      <c r="AE582" s="10">
        <v>21</v>
      </c>
      <c r="AF582" s="10">
        <v>13</v>
      </c>
      <c r="AG582" s="10">
        <v>9</v>
      </c>
      <c r="AH582" s="102">
        <f>SUM(Tableau2[[#This Row],[Td 2]:[Td 5]])</f>
        <v>77</v>
      </c>
      <c r="AI582" s="10">
        <v>41.7</v>
      </c>
      <c r="AJ582" s="10">
        <v>100</v>
      </c>
      <c r="AK582" s="17">
        <f t="shared" ref="AK582:AK645" si="67">IFERROR(IF(H582-O582&lt;0,0,H582-O582),0)</f>
        <v>29.387833333333333</v>
      </c>
      <c r="AL582" s="17">
        <f t="shared" ref="AL582:AL645" si="68">IFERROR(IF(O582-X582&lt;0,0,O582-X582),0)</f>
        <v>0</v>
      </c>
      <c r="AM582" s="17">
        <f t="shared" ref="AM582:AM645" si="69">MIN(X582,Z582)</f>
        <v>140</v>
      </c>
    </row>
    <row r="583" spans="1:39" s="3" customFormat="1" x14ac:dyDescent="0.25">
      <c r="A583" s="2" t="s">
        <v>16</v>
      </c>
      <c r="B583" s="29" t="s">
        <v>740</v>
      </c>
      <c r="C583" s="2" t="s">
        <v>46</v>
      </c>
      <c r="D583" s="2" t="s">
        <v>596</v>
      </c>
      <c r="E583" s="14">
        <v>11490</v>
      </c>
      <c r="F583" s="15">
        <f t="shared" si="63"/>
        <v>401.00100000000003</v>
      </c>
      <c r="G583" s="15">
        <f t="shared" si="64"/>
        <v>459.6</v>
      </c>
      <c r="H583" s="15">
        <f t="shared" si="65"/>
        <v>334.16750000000002</v>
      </c>
      <c r="I583" s="15">
        <f t="shared" si="66"/>
        <v>383.00000000000006</v>
      </c>
      <c r="J583" s="10">
        <v>232</v>
      </c>
      <c r="K583" s="10">
        <v>44</v>
      </c>
      <c r="L583" s="10">
        <v>171</v>
      </c>
      <c r="M583" s="10">
        <v>178</v>
      </c>
      <c r="N583" s="10">
        <v>179</v>
      </c>
      <c r="O583" s="10">
        <v>192</v>
      </c>
      <c r="P583" s="10">
        <v>201</v>
      </c>
      <c r="Q583" s="10">
        <v>204</v>
      </c>
      <c r="R583" s="10">
        <v>192</v>
      </c>
      <c r="S583" s="10">
        <v>201</v>
      </c>
      <c r="T583" s="10">
        <v>204</v>
      </c>
      <c r="U583" s="10">
        <v>195</v>
      </c>
      <c r="V583" s="10">
        <v>201</v>
      </c>
      <c r="W583" s="10">
        <v>205</v>
      </c>
      <c r="X583" s="10">
        <v>169</v>
      </c>
      <c r="Y583" s="10">
        <v>40</v>
      </c>
      <c r="Z583" s="10">
        <v>132</v>
      </c>
      <c r="AA583" s="10">
        <v>182</v>
      </c>
      <c r="AB583" s="10">
        <v>29</v>
      </c>
      <c r="AC583" s="10">
        <v>79</v>
      </c>
      <c r="AD583" s="10">
        <v>49</v>
      </c>
      <c r="AE583" s="10">
        <v>30</v>
      </c>
      <c r="AF583" s="10">
        <v>25</v>
      </c>
      <c r="AG583" s="10">
        <v>8</v>
      </c>
      <c r="AH583" s="102">
        <f>SUM(Tableau2[[#This Row],[Td 2]:[Td 5]])</f>
        <v>112</v>
      </c>
      <c r="AI583" s="10">
        <v>58.3</v>
      </c>
      <c r="AJ583" s="10">
        <v>100</v>
      </c>
      <c r="AK583" s="17">
        <f t="shared" si="67"/>
        <v>142.16750000000002</v>
      </c>
      <c r="AL583" s="17">
        <f t="shared" si="68"/>
        <v>23</v>
      </c>
      <c r="AM583" s="17">
        <f t="shared" si="69"/>
        <v>132</v>
      </c>
    </row>
    <row r="584" spans="1:39" s="3" customFormat="1" x14ac:dyDescent="0.25">
      <c r="A584" s="2" t="s">
        <v>16</v>
      </c>
      <c r="B584" s="29" t="s">
        <v>740</v>
      </c>
      <c r="C584" s="2" t="s">
        <v>46</v>
      </c>
      <c r="D584" s="2" t="s">
        <v>172</v>
      </c>
      <c r="E584" s="14">
        <v>8087</v>
      </c>
      <c r="F584" s="15">
        <f t="shared" si="63"/>
        <v>282.23630000000003</v>
      </c>
      <c r="G584" s="15">
        <f t="shared" si="64"/>
        <v>323.48</v>
      </c>
      <c r="H584" s="15">
        <f t="shared" si="65"/>
        <v>235.19691666666671</v>
      </c>
      <c r="I584" s="15">
        <f t="shared" si="66"/>
        <v>269.56666666666666</v>
      </c>
      <c r="J584" s="10">
        <v>247</v>
      </c>
      <c r="K584" s="10">
        <v>363</v>
      </c>
      <c r="L584" s="10">
        <v>242</v>
      </c>
      <c r="M584" s="10">
        <v>234</v>
      </c>
      <c r="N584" s="10">
        <v>248</v>
      </c>
      <c r="O584" s="10">
        <v>239</v>
      </c>
      <c r="P584" s="10">
        <v>236</v>
      </c>
      <c r="Q584" s="10">
        <v>249</v>
      </c>
      <c r="R584" s="10">
        <v>239</v>
      </c>
      <c r="S584" s="10">
        <v>236</v>
      </c>
      <c r="T584" s="10">
        <v>249</v>
      </c>
      <c r="U584" s="10">
        <v>239</v>
      </c>
      <c r="V584" s="10">
        <v>236</v>
      </c>
      <c r="W584" s="10">
        <v>249</v>
      </c>
      <c r="X584" s="10">
        <v>232</v>
      </c>
      <c r="Y584" s="10">
        <v>162</v>
      </c>
      <c r="Z584" s="10">
        <v>228</v>
      </c>
      <c r="AA584" s="10">
        <v>249</v>
      </c>
      <c r="AB584" s="10">
        <v>185</v>
      </c>
      <c r="AC584" s="10">
        <v>114</v>
      </c>
      <c r="AD584" s="10">
        <v>84</v>
      </c>
      <c r="AE584" s="10">
        <v>61</v>
      </c>
      <c r="AF584" s="10">
        <v>45</v>
      </c>
      <c r="AG584" s="10">
        <v>32</v>
      </c>
      <c r="AH584" s="102">
        <f>SUM(Tableau2[[#This Row],[Td 2]:[Td 5]])</f>
        <v>222</v>
      </c>
      <c r="AI584" s="10">
        <v>58.3</v>
      </c>
      <c r="AJ584" s="10">
        <v>100</v>
      </c>
      <c r="AK584" s="17">
        <f t="shared" si="67"/>
        <v>0</v>
      </c>
      <c r="AL584" s="17">
        <f t="shared" si="68"/>
        <v>7</v>
      </c>
      <c r="AM584" s="17">
        <f t="shared" si="69"/>
        <v>228</v>
      </c>
    </row>
    <row r="585" spans="1:39" s="3" customFormat="1" x14ac:dyDescent="0.25">
      <c r="A585" s="2" t="s">
        <v>16</v>
      </c>
      <c r="B585" s="29" t="s">
        <v>740</v>
      </c>
      <c r="C585" s="2" t="s">
        <v>46</v>
      </c>
      <c r="D585" s="2" t="s">
        <v>597</v>
      </c>
      <c r="E585" s="14">
        <v>13133</v>
      </c>
      <c r="F585" s="15">
        <f t="shared" si="63"/>
        <v>458.3417</v>
      </c>
      <c r="G585" s="15">
        <f t="shared" si="64"/>
        <v>525.32000000000005</v>
      </c>
      <c r="H585" s="15">
        <f t="shared" si="65"/>
        <v>381.95141666666666</v>
      </c>
      <c r="I585" s="15">
        <f t="shared" si="66"/>
        <v>437.76666666666671</v>
      </c>
      <c r="J585" s="10">
        <v>1096</v>
      </c>
      <c r="K585" s="10">
        <v>998</v>
      </c>
      <c r="L585" s="10">
        <v>641</v>
      </c>
      <c r="M585" s="10">
        <v>637</v>
      </c>
      <c r="N585" s="10">
        <v>640</v>
      </c>
      <c r="O585" s="10">
        <v>705</v>
      </c>
      <c r="P585" s="10">
        <v>700</v>
      </c>
      <c r="Q585" s="10">
        <v>702</v>
      </c>
      <c r="R585" s="10">
        <v>697</v>
      </c>
      <c r="S585" s="10">
        <v>700</v>
      </c>
      <c r="T585" s="10">
        <v>702</v>
      </c>
      <c r="U585" s="10">
        <v>700</v>
      </c>
      <c r="V585" s="10">
        <v>700</v>
      </c>
      <c r="W585" s="10">
        <v>702</v>
      </c>
      <c r="X585" s="10">
        <v>766</v>
      </c>
      <c r="Y585" s="10">
        <v>363</v>
      </c>
      <c r="Z585" s="10">
        <v>705</v>
      </c>
      <c r="AA585" s="10">
        <v>640</v>
      </c>
      <c r="AB585" s="10">
        <v>634</v>
      </c>
      <c r="AC585" s="10">
        <v>516</v>
      </c>
      <c r="AD585" s="10">
        <v>448</v>
      </c>
      <c r="AE585" s="10">
        <v>418</v>
      </c>
      <c r="AF585" s="10">
        <v>399</v>
      </c>
      <c r="AG585" s="10">
        <v>396</v>
      </c>
      <c r="AH585" s="102">
        <f>SUM(Tableau2[[#This Row],[Td 2]:[Td 5]])</f>
        <v>1661</v>
      </c>
      <c r="AI585" s="10">
        <v>58.3</v>
      </c>
      <c r="AJ585" s="10">
        <v>100</v>
      </c>
      <c r="AK585" s="17">
        <f t="shared" si="67"/>
        <v>0</v>
      </c>
      <c r="AL585" s="17">
        <f t="shared" si="68"/>
        <v>0</v>
      </c>
      <c r="AM585" s="17">
        <f t="shared" si="69"/>
        <v>705</v>
      </c>
    </row>
    <row r="586" spans="1:39" s="3" customFormat="1" x14ac:dyDescent="0.25">
      <c r="A586" s="2" t="s">
        <v>16</v>
      </c>
      <c r="B586" s="29" t="s">
        <v>740</v>
      </c>
      <c r="C586" s="2" t="s">
        <v>46</v>
      </c>
      <c r="D586" s="2" t="s">
        <v>598</v>
      </c>
      <c r="E586" s="14">
        <v>8852</v>
      </c>
      <c r="F586" s="15">
        <f t="shared" si="63"/>
        <v>308.9348</v>
      </c>
      <c r="G586" s="15">
        <f t="shared" si="64"/>
        <v>354.08</v>
      </c>
      <c r="H586" s="15">
        <f t="shared" si="65"/>
        <v>257.44566666666668</v>
      </c>
      <c r="I586" s="15">
        <f t="shared" si="66"/>
        <v>295.06666666666666</v>
      </c>
      <c r="J586" s="10">
        <v>228</v>
      </c>
      <c r="K586" s="10">
        <v>400</v>
      </c>
      <c r="L586" s="10">
        <v>405</v>
      </c>
      <c r="M586" s="10">
        <v>362</v>
      </c>
      <c r="N586" s="10">
        <v>362</v>
      </c>
      <c r="O586" s="10">
        <v>405</v>
      </c>
      <c r="P586" s="10">
        <v>362</v>
      </c>
      <c r="Q586" s="10">
        <v>362</v>
      </c>
      <c r="R586" s="10">
        <v>405</v>
      </c>
      <c r="S586" s="10">
        <v>387</v>
      </c>
      <c r="T586" s="10">
        <v>362</v>
      </c>
      <c r="U586" s="10">
        <v>405</v>
      </c>
      <c r="V586" s="10">
        <v>376</v>
      </c>
      <c r="W586" s="10">
        <v>362</v>
      </c>
      <c r="X586" s="10">
        <v>225</v>
      </c>
      <c r="Y586" s="10">
        <v>200</v>
      </c>
      <c r="Z586" s="10">
        <v>272</v>
      </c>
      <c r="AA586" s="10">
        <v>271</v>
      </c>
      <c r="AB586" s="10">
        <v>141</v>
      </c>
      <c r="AC586" s="10">
        <v>332</v>
      </c>
      <c r="AD586" s="10">
        <v>304</v>
      </c>
      <c r="AE586" s="10">
        <v>151</v>
      </c>
      <c r="AF586" s="10">
        <v>105</v>
      </c>
      <c r="AG586" s="10">
        <v>107</v>
      </c>
      <c r="AH586" s="102">
        <f>SUM(Tableau2[[#This Row],[Td 2]:[Td 5]])</f>
        <v>667</v>
      </c>
      <c r="AI586" s="10">
        <v>58.3</v>
      </c>
      <c r="AJ586" s="10">
        <v>100</v>
      </c>
      <c r="AK586" s="17">
        <f t="shared" si="67"/>
        <v>0</v>
      </c>
      <c r="AL586" s="17">
        <f t="shared" si="68"/>
        <v>180</v>
      </c>
      <c r="AM586" s="17">
        <f t="shared" si="69"/>
        <v>225</v>
      </c>
    </row>
    <row r="587" spans="1:39" s="3" customFormat="1" x14ac:dyDescent="0.25">
      <c r="A587" s="2" t="s">
        <v>16</v>
      </c>
      <c r="B587" s="29" t="s">
        <v>740</v>
      </c>
      <c r="C587" s="2" t="s">
        <v>46</v>
      </c>
      <c r="D587" s="2" t="s">
        <v>599</v>
      </c>
      <c r="E587" s="14">
        <v>13905</v>
      </c>
      <c r="F587" s="15">
        <f t="shared" si="63"/>
        <v>485.28449999999998</v>
      </c>
      <c r="G587" s="15">
        <f t="shared" si="64"/>
        <v>556.20000000000005</v>
      </c>
      <c r="H587" s="15">
        <f t="shared" si="65"/>
        <v>404.40374999999995</v>
      </c>
      <c r="I587" s="15">
        <f t="shared" si="66"/>
        <v>463.5</v>
      </c>
      <c r="J587" s="10">
        <v>569</v>
      </c>
      <c r="K587" s="10">
        <v>698</v>
      </c>
      <c r="L587" s="10">
        <v>576</v>
      </c>
      <c r="M587" s="10">
        <v>539</v>
      </c>
      <c r="N587" s="10">
        <v>562</v>
      </c>
      <c r="O587" s="10">
        <v>576</v>
      </c>
      <c r="P587" s="10">
        <v>539</v>
      </c>
      <c r="Q587" s="10">
        <v>562</v>
      </c>
      <c r="R587" s="10">
        <v>576</v>
      </c>
      <c r="S587" s="10">
        <v>539</v>
      </c>
      <c r="T587" s="10">
        <v>562</v>
      </c>
      <c r="U587" s="10">
        <v>576</v>
      </c>
      <c r="V587" s="10">
        <v>539</v>
      </c>
      <c r="W587" s="10">
        <v>562</v>
      </c>
      <c r="X587" s="10">
        <v>526</v>
      </c>
      <c r="Y587" s="10">
        <v>302</v>
      </c>
      <c r="Z587" s="10">
        <v>463</v>
      </c>
      <c r="AA587" s="10">
        <v>483</v>
      </c>
      <c r="AB587" s="10">
        <v>466</v>
      </c>
      <c r="AC587" s="10">
        <v>372</v>
      </c>
      <c r="AD587" s="10">
        <v>306</v>
      </c>
      <c r="AE587" s="10">
        <v>266</v>
      </c>
      <c r="AF587" s="10">
        <v>190</v>
      </c>
      <c r="AG587" s="10">
        <v>144</v>
      </c>
      <c r="AH587" s="102">
        <f>SUM(Tableau2[[#This Row],[Td 2]:[Td 5]])</f>
        <v>906</v>
      </c>
      <c r="AI587" s="10">
        <v>45.8</v>
      </c>
      <c r="AJ587" s="10">
        <v>100</v>
      </c>
      <c r="AK587" s="17">
        <f t="shared" si="67"/>
        <v>0</v>
      </c>
      <c r="AL587" s="17">
        <f t="shared" si="68"/>
        <v>50</v>
      </c>
      <c r="AM587" s="17">
        <f t="shared" si="69"/>
        <v>463</v>
      </c>
    </row>
    <row r="588" spans="1:39" s="3" customFormat="1" x14ac:dyDescent="0.25">
      <c r="A588" s="2" t="s">
        <v>16</v>
      </c>
      <c r="B588" s="29" t="s">
        <v>740</v>
      </c>
      <c r="C588" s="2" t="s">
        <v>46</v>
      </c>
      <c r="D588" s="2" t="s">
        <v>600</v>
      </c>
      <c r="E588" s="14">
        <v>5841</v>
      </c>
      <c r="F588" s="15">
        <f t="shared" si="63"/>
        <v>203.8509</v>
      </c>
      <c r="G588" s="15">
        <f t="shared" si="64"/>
        <v>233.64000000000001</v>
      </c>
      <c r="H588" s="15">
        <f t="shared" si="65"/>
        <v>169.87574999999998</v>
      </c>
      <c r="I588" s="15">
        <f t="shared" si="66"/>
        <v>194.70000000000002</v>
      </c>
      <c r="J588" s="10">
        <v>203</v>
      </c>
      <c r="K588" s="10">
        <v>203</v>
      </c>
      <c r="L588" s="10">
        <v>219</v>
      </c>
      <c r="M588" s="10">
        <v>209</v>
      </c>
      <c r="N588" s="10">
        <v>218</v>
      </c>
      <c r="O588" s="10">
        <v>221</v>
      </c>
      <c r="P588" s="10">
        <v>209</v>
      </c>
      <c r="Q588" s="10">
        <v>218</v>
      </c>
      <c r="R588" s="10">
        <v>221</v>
      </c>
      <c r="S588" s="10">
        <v>209</v>
      </c>
      <c r="T588" s="10">
        <v>218</v>
      </c>
      <c r="U588" s="10">
        <v>221</v>
      </c>
      <c r="V588" s="10">
        <v>209</v>
      </c>
      <c r="W588" s="10">
        <v>218</v>
      </c>
      <c r="X588" s="10">
        <v>173</v>
      </c>
      <c r="Y588" s="10">
        <v>124</v>
      </c>
      <c r="Z588" s="10">
        <v>193</v>
      </c>
      <c r="AA588" s="10">
        <v>218</v>
      </c>
      <c r="AB588" s="10">
        <v>133</v>
      </c>
      <c r="AC588" s="10">
        <v>164</v>
      </c>
      <c r="AD588" s="10">
        <v>127</v>
      </c>
      <c r="AE588" s="10">
        <v>100</v>
      </c>
      <c r="AF588" s="10">
        <v>87</v>
      </c>
      <c r="AG588" s="10">
        <v>84</v>
      </c>
      <c r="AH588" s="102">
        <f>SUM(Tableau2[[#This Row],[Td 2]:[Td 5]])</f>
        <v>398</v>
      </c>
      <c r="AI588" s="10">
        <v>58.3</v>
      </c>
      <c r="AJ588" s="10">
        <v>100</v>
      </c>
      <c r="AK588" s="17">
        <f t="shared" si="67"/>
        <v>0</v>
      </c>
      <c r="AL588" s="17">
        <f t="shared" si="68"/>
        <v>48</v>
      </c>
      <c r="AM588" s="17">
        <f t="shared" si="69"/>
        <v>173</v>
      </c>
    </row>
    <row r="589" spans="1:39" s="3" customFormat="1" x14ac:dyDescent="0.25">
      <c r="A589" s="2" t="s">
        <v>16</v>
      </c>
      <c r="B589" s="29" t="s">
        <v>740</v>
      </c>
      <c r="C589" s="2" t="s">
        <v>46</v>
      </c>
      <c r="D589" s="2" t="s">
        <v>601</v>
      </c>
      <c r="E589" s="14">
        <v>8509</v>
      </c>
      <c r="F589" s="15">
        <f t="shared" si="63"/>
        <v>296.96410000000003</v>
      </c>
      <c r="G589" s="15">
        <f t="shared" si="64"/>
        <v>340.36</v>
      </c>
      <c r="H589" s="15">
        <f t="shared" si="65"/>
        <v>247.47008333333338</v>
      </c>
      <c r="I589" s="15">
        <f t="shared" si="66"/>
        <v>283.63333333333333</v>
      </c>
      <c r="J589" s="10">
        <v>264</v>
      </c>
      <c r="K589" s="10">
        <v>177</v>
      </c>
      <c r="L589" s="10">
        <v>238</v>
      </c>
      <c r="M589" s="10">
        <v>226</v>
      </c>
      <c r="N589" s="10">
        <v>226</v>
      </c>
      <c r="O589" s="10">
        <v>250</v>
      </c>
      <c r="P589" s="10">
        <v>226</v>
      </c>
      <c r="Q589" s="10">
        <v>226</v>
      </c>
      <c r="R589" s="10">
        <v>255</v>
      </c>
      <c r="S589" s="10">
        <v>240</v>
      </c>
      <c r="T589" s="10">
        <v>251</v>
      </c>
      <c r="U589" s="10">
        <v>255</v>
      </c>
      <c r="V589" s="10">
        <v>250</v>
      </c>
      <c r="W589" s="10">
        <v>251</v>
      </c>
      <c r="X589" s="10">
        <v>272</v>
      </c>
      <c r="Y589" s="10">
        <v>242</v>
      </c>
      <c r="Z589" s="10">
        <v>208</v>
      </c>
      <c r="AA589" s="10">
        <v>251</v>
      </c>
      <c r="AB589" s="10">
        <v>166</v>
      </c>
      <c r="AC589" s="10">
        <v>150</v>
      </c>
      <c r="AD589" s="10">
        <v>123</v>
      </c>
      <c r="AE589" s="10">
        <v>126</v>
      </c>
      <c r="AF589" s="10">
        <v>115</v>
      </c>
      <c r="AG589" s="10">
        <v>123</v>
      </c>
      <c r="AH589" s="102">
        <f>SUM(Tableau2[[#This Row],[Td 2]:[Td 5]])</f>
        <v>487</v>
      </c>
      <c r="AI589" s="10">
        <v>58.3</v>
      </c>
      <c r="AJ589" s="10">
        <v>100</v>
      </c>
      <c r="AK589" s="17">
        <f t="shared" si="67"/>
        <v>0</v>
      </c>
      <c r="AL589" s="17">
        <f t="shared" si="68"/>
        <v>0</v>
      </c>
      <c r="AM589" s="17">
        <f t="shared" si="69"/>
        <v>208</v>
      </c>
    </row>
    <row r="590" spans="1:39" s="3" customFormat="1" x14ac:dyDescent="0.25">
      <c r="A590" s="2" t="s">
        <v>16</v>
      </c>
      <c r="B590" s="29" t="s">
        <v>740</v>
      </c>
      <c r="C590" s="2" t="s">
        <v>46</v>
      </c>
      <c r="D590" s="2" t="s">
        <v>602</v>
      </c>
      <c r="E590" s="14">
        <v>12305</v>
      </c>
      <c r="F590" s="15">
        <f t="shared" si="63"/>
        <v>429.44450000000001</v>
      </c>
      <c r="G590" s="15">
        <f t="shared" si="64"/>
        <v>492.2</v>
      </c>
      <c r="H590" s="15">
        <f t="shared" si="65"/>
        <v>357.87041666666664</v>
      </c>
      <c r="I590" s="15">
        <f t="shared" si="66"/>
        <v>410.16666666666663</v>
      </c>
      <c r="J590" s="10">
        <v>445</v>
      </c>
      <c r="K590" s="10">
        <v>397</v>
      </c>
      <c r="L590" s="10">
        <v>351</v>
      </c>
      <c r="M590" s="10">
        <v>308</v>
      </c>
      <c r="N590" s="10">
        <v>303</v>
      </c>
      <c r="O590" s="10">
        <v>323</v>
      </c>
      <c r="P590" s="10">
        <v>494</v>
      </c>
      <c r="Q590" s="10">
        <v>334</v>
      </c>
      <c r="R590" s="10">
        <v>367</v>
      </c>
      <c r="S590" s="10">
        <v>342</v>
      </c>
      <c r="T590" s="10">
        <v>335</v>
      </c>
      <c r="U590" s="10">
        <v>367</v>
      </c>
      <c r="V590" s="10">
        <v>346</v>
      </c>
      <c r="W590" s="10">
        <v>340</v>
      </c>
      <c r="X590" s="10">
        <v>372</v>
      </c>
      <c r="Y590" s="10">
        <v>251</v>
      </c>
      <c r="Z590" s="10">
        <v>379</v>
      </c>
      <c r="AA590" s="10">
        <v>265</v>
      </c>
      <c r="AB590" s="10">
        <v>255</v>
      </c>
      <c r="AC590" s="10">
        <v>185</v>
      </c>
      <c r="AD590" s="10">
        <v>174</v>
      </c>
      <c r="AE590" s="10">
        <v>127</v>
      </c>
      <c r="AF590" s="10">
        <v>96</v>
      </c>
      <c r="AG590" s="10">
        <v>149</v>
      </c>
      <c r="AH590" s="102">
        <f>SUM(Tableau2[[#This Row],[Td 2]:[Td 5]])</f>
        <v>546</v>
      </c>
      <c r="AI590" s="10">
        <v>33.299999999999997</v>
      </c>
      <c r="AJ590" s="10">
        <v>100</v>
      </c>
      <c r="AK590" s="17">
        <f t="shared" si="67"/>
        <v>34.870416666666642</v>
      </c>
      <c r="AL590" s="17">
        <f t="shared" si="68"/>
        <v>0</v>
      </c>
      <c r="AM590" s="17">
        <f t="shared" si="69"/>
        <v>372</v>
      </c>
    </row>
    <row r="591" spans="1:39" s="3" customFormat="1" x14ac:dyDescent="0.25">
      <c r="A591" s="2" t="s">
        <v>16</v>
      </c>
      <c r="B591" s="29" t="s">
        <v>740</v>
      </c>
      <c r="C591" s="2" t="s">
        <v>46</v>
      </c>
      <c r="D591" s="2" t="s">
        <v>115</v>
      </c>
      <c r="E591" s="14">
        <v>8162</v>
      </c>
      <c r="F591" s="15">
        <f t="shared" si="63"/>
        <v>284.85379999999998</v>
      </c>
      <c r="G591" s="15">
        <f t="shared" si="64"/>
        <v>326.48</v>
      </c>
      <c r="H591" s="15">
        <f t="shared" si="65"/>
        <v>237.37816666666663</v>
      </c>
      <c r="I591" s="15">
        <f t="shared" si="66"/>
        <v>272.06666666666666</v>
      </c>
      <c r="J591" s="10">
        <v>209</v>
      </c>
      <c r="K591" s="10">
        <v>209</v>
      </c>
      <c r="L591" s="10">
        <v>190</v>
      </c>
      <c r="M591" s="10">
        <v>201</v>
      </c>
      <c r="N591" s="10">
        <v>186</v>
      </c>
      <c r="O591" s="10">
        <v>208</v>
      </c>
      <c r="P591" s="10">
        <v>211</v>
      </c>
      <c r="Q591" s="10">
        <v>188</v>
      </c>
      <c r="R591" s="10">
        <v>212</v>
      </c>
      <c r="S591" s="10">
        <v>201</v>
      </c>
      <c r="T591" s="10">
        <v>187</v>
      </c>
      <c r="U591" s="10">
        <v>214</v>
      </c>
      <c r="V591" s="10">
        <v>208</v>
      </c>
      <c r="W591" s="10">
        <v>195</v>
      </c>
      <c r="X591" s="10">
        <v>236</v>
      </c>
      <c r="Y591" s="10">
        <v>42</v>
      </c>
      <c r="Z591" s="10">
        <v>193</v>
      </c>
      <c r="AA591" s="10">
        <v>187</v>
      </c>
      <c r="AB591" s="10">
        <v>122</v>
      </c>
      <c r="AC591" s="10">
        <v>164</v>
      </c>
      <c r="AD591" s="10">
        <v>132</v>
      </c>
      <c r="AE591" s="10">
        <v>117</v>
      </c>
      <c r="AF591" s="10">
        <v>100</v>
      </c>
      <c r="AG591" s="10">
        <v>72</v>
      </c>
      <c r="AH591" s="102">
        <f>SUM(Tableau2[[#This Row],[Td 2]:[Td 5]])</f>
        <v>421</v>
      </c>
      <c r="AI591" s="10">
        <v>58.3</v>
      </c>
      <c r="AJ591" s="10">
        <v>100</v>
      </c>
      <c r="AK591" s="17">
        <f t="shared" si="67"/>
        <v>29.37816666666663</v>
      </c>
      <c r="AL591" s="17">
        <f t="shared" si="68"/>
        <v>0</v>
      </c>
      <c r="AM591" s="17">
        <f t="shared" si="69"/>
        <v>193</v>
      </c>
    </row>
    <row r="592" spans="1:39" s="3" customFormat="1" x14ac:dyDescent="0.25">
      <c r="A592" s="2" t="s">
        <v>16</v>
      </c>
      <c r="B592" s="29" t="s">
        <v>740</v>
      </c>
      <c r="C592" s="2" t="s">
        <v>46</v>
      </c>
      <c r="D592" s="2" t="s">
        <v>603</v>
      </c>
      <c r="E592" s="14">
        <v>6990</v>
      </c>
      <c r="F592" s="15">
        <f t="shared" si="63"/>
        <v>243.95099999999999</v>
      </c>
      <c r="G592" s="15">
        <f t="shared" si="64"/>
        <v>279.60000000000002</v>
      </c>
      <c r="H592" s="15">
        <f t="shared" si="65"/>
        <v>203.29249999999999</v>
      </c>
      <c r="I592" s="15">
        <f t="shared" si="66"/>
        <v>233</v>
      </c>
      <c r="J592" s="10">
        <v>230</v>
      </c>
      <c r="K592" s="10">
        <v>230</v>
      </c>
      <c r="L592" s="10">
        <v>239</v>
      </c>
      <c r="M592" s="10">
        <v>226</v>
      </c>
      <c r="N592" s="10">
        <v>243</v>
      </c>
      <c r="O592" s="10">
        <v>239</v>
      </c>
      <c r="P592" s="10">
        <v>226</v>
      </c>
      <c r="Q592" s="10">
        <v>243</v>
      </c>
      <c r="R592" s="10">
        <v>239</v>
      </c>
      <c r="S592" s="10">
        <v>226</v>
      </c>
      <c r="T592" s="10">
        <v>243</v>
      </c>
      <c r="U592" s="10">
        <v>218</v>
      </c>
      <c r="V592" s="10">
        <v>215</v>
      </c>
      <c r="W592" s="10">
        <v>211</v>
      </c>
      <c r="X592" s="10">
        <v>206</v>
      </c>
      <c r="Y592" s="10">
        <v>148</v>
      </c>
      <c r="Z592" s="10">
        <v>205</v>
      </c>
      <c r="AA592" s="10">
        <v>243</v>
      </c>
      <c r="AB592" s="10">
        <v>186</v>
      </c>
      <c r="AC592" s="10">
        <v>97</v>
      </c>
      <c r="AD592" s="10">
        <v>124</v>
      </c>
      <c r="AE592" s="10">
        <v>76</v>
      </c>
      <c r="AF592" s="10">
        <v>43</v>
      </c>
      <c r="AG592" s="10">
        <v>39</v>
      </c>
      <c r="AH592" s="102">
        <f>SUM(Tableau2[[#This Row],[Td 2]:[Td 5]])</f>
        <v>282</v>
      </c>
      <c r="AI592" s="10">
        <v>58.3</v>
      </c>
      <c r="AJ592" s="10">
        <v>100</v>
      </c>
      <c r="AK592" s="17">
        <f t="shared" si="67"/>
        <v>0</v>
      </c>
      <c r="AL592" s="17">
        <f t="shared" si="68"/>
        <v>33</v>
      </c>
      <c r="AM592" s="17">
        <f t="shared" si="69"/>
        <v>205</v>
      </c>
    </row>
    <row r="593" spans="1:39" s="3" customFormat="1" x14ac:dyDescent="0.25">
      <c r="A593" s="2" t="s">
        <v>16</v>
      </c>
      <c r="B593" s="29" t="s">
        <v>740</v>
      </c>
      <c r="C593" s="2" t="s">
        <v>46</v>
      </c>
      <c r="D593" s="2" t="s">
        <v>604</v>
      </c>
      <c r="E593" s="14">
        <v>15935</v>
      </c>
      <c r="F593" s="15">
        <f t="shared" si="63"/>
        <v>556.13149999999996</v>
      </c>
      <c r="G593" s="15">
        <f t="shared" si="64"/>
        <v>637.4</v>
      </c>
      <c r="H593" s="15">
        <f t="shared" si="65"/>
        <v>463.44291666666663</v>
      </c>
      <c r="I593" s="15">
        <f t="shared" si="66"/>
        <v>531.16666666666663</v>
      </c>
      <c r="J593" s="10">
        <v>630</v>
      </c>
      <c r="K593" s="10">
        <v>630</v>
      </c>
      <c r="L593" s="10">
        <v>611</v>
      </c>
      <c r="M593" s="10">
        <v>528</v>
      </c>
      <c r="N593" s="10">
        <v>491</v>
      </c>
      <c r="O593" s="10">
        <v>610</v>
      </c>
      <c r="P593" s="10">
        <v>529</v>
      </c>
      <c r="Q593" s="10">
        <v>489</v>
      </c>
      <c r="R593" s="10">
        <v>610</v>
      </c>
      <c r="S593" s="10">
        <v>529</v>
      </c>
      <c r="T593" s="10">
        <v>491</v>
      </c>
      <c r="U593" s="10">
        <v>611</v>
      </c>
      <c r="V593" s="10">
        <v>529</v>
      </c>
      <c r="W593" s="10">
        <v>492</v>
      </c>
      <c r="X593" s="10">
        <v>588</v>
      </c>
      <c r="Y593" s="10">
        <v>374</v>
      </c>
      <c r="Z593" s="10">
        <v>533</v>
      </c>
      <c r="AA593" s="10">
        <v>489</v>
      </c>
      <c r="AB593" s="10">
        <v>419</v>
      </c>
      <c r="AC593" s="10">
        <v>329</v>
      </c>
      <c r="AD593" s="10">
        <v>285</v>
      </c>
      <c r="AE593" s="10">
        <v>222</v>
      </c>
      <c r="AF593" s="10">
        <v>177</v>
      </c>
      <c r="AG593" s="10">
        <v>110</v>
      </c>
      <c r="AH593" s="102">
        <f>SUM(Tableau2[[#This Row],[Td 2]:[Td 5]])</f>
        <v>794</v>
      </c>
      <c r="AI593" s="10">
        <v>41.7</v>
      </c>
      <c r="AJ593" s="10">
        <v>100</v>
      </c>
      <c r="AK593" s="17">
        <f t="shared" si="67"/>
        <v>0</v>
      </c>
      <c r="AL593" s="17">
        <f t="shared" si="68"/>
        <v>22</v>
      </c>
      <c r="AM593" s="17">
        <f t="shared" si="69"/>
        <v>533</v>
      </c>
    </row>
    <row r="594" spans="1:39" s="3" customFormat="1" x14ac:dyDescent="0.25">
      <c r="A594" s="2" t="s">
        <v>16</v>
      </c>
      <c r="B594" s="29" t="s">
        <v>740</v>
      </c>
      <c r="C594" s="2" t="s">
        <v>46</v>
      </c>
      <c r="D594" s="2" t="s">
        <v>605</v>
      </c>
      <c r="E594" s="14">
        <v>14120</v>
      </c>
      <c r="F594" s="15">
        <f t="shared" si="63"/>
        <v>492.78800000000001</v>
      </c>
      <c r="G594" s="15">
        <f t="shared" si="64"/>
        <v>564.80000000000007</v>
      </c>
      <c r="H594" s="15">
        <f t="shared" si="65"/>
        <v>410.65666666666664</v>
      </c>
      <c r="I594" s="15">
        <f t="shared" si="66"/>
        <v>470.66666666666669</v>
      </c>
      <c r="J594" s="10">
        <v>781</v>
      </c>
      <c r="K594" s="10">
        <v>388</v>
      </c>
      <c r="L594" s="10">
        <v>618</v>
      </c>
      <c r="M594" s="10">
        <v>506</v>
      </c>
      <c r="N594" s="10">
        <v>608</v>
      </c>
      <c r="O594" s="10">
        <v>675</v>
      </c>
      <c r="P594" s="10">
        <v>569</v>
      </c>
      <c r="Q594" s="10">
        <v>664</v>
      </c>
      <c r="R594" s="10">
        <v>675</v>
      </c>
      <c r="S594" s="10">
        <v>574</v>
      </c>
      <c r="T594" s="10">
        <v>654</v>
      </c>
      <c r="U594" s="10">
        <v>674</v>
      </c>
      <c r="V594" s="10">
        <v>574</v>
      </c>
      <c r="W594" s="10">
        <v>654</v>
      </c>
      <c r="X594" s="10">
        <v>509</v>
      </c>
      <c r="Y594" s="10">
        <v>179</v>
      </c>
      <c r="Z594" s="10">
        <v>506</v>
      </c>
      <c r="AA594" s="10">
        <v>587</v>
      </c>
      <c r="AB594" s="10">
        <v>184</v>
      </c>
      <c r="AC594" s="10">
        <v>181</v>
      </c>
      <c r="AD594" s="10">
        <v>118</v>
      </c>
      <c r="AE594" s="10">
        <v>135</v>
      </c>
      <c r="AF594" s="10">
        <v>130</v>
      </c>
      <c r="AG594" s="10">
        <v>134</v>
      </c>
      <c r="AH594" s="102">
        <f>SUM(Tableau2[[#This Row],[Td 2]:[Td 5]])</f>
        <v>517</v>
      </c>
      <c r="AI594" s="10">
        <v>58.3</v>
      </c>
      <c r="AJ594" s="10">
        <v>100</v>
      </c>
      <c r="AK594" s="17">
        <f t="shared" si="67"/>
        <v>0</v>
      </c>
      <c r="AL594" s="17">
        <f t="shared" si="68"/>
        <v>166</v>
      </c>
      <c r="AM594" s="17">
        <f t="shared" si="69"/>
        <v>506</v>
      </c>
    </row>
    <row r="595" spans="1:39" s="3" customFormat="1" x14ac:dyDescent="0.25">
      <c r="A595" s="2" t="s">
        <v>16</v>
      </c>
      <c r="B595" s="29" t="s">
        <v>740</v>
      </c>
      <c r="C595" s="2" t="s">
        <v>46</v>
      </c>
      <c r="D595" s="2" t="s">
        <v>606</v>
      </c>
      <c r="E595" s="14">
        <v>8129</v>
      </c>
      <c r="F595" s="15">
        <f t="shared" si="63"/>
        <v>283.70210000000003</v>
      </c>
      <c r="G595" s="15">
        <f t="shared" si="64"/>
        <v>325.16000000000003</v>
      </c>
      <c r="H595" s="15">
        <f t="shared" si="65"/>
        <v>236.41841666666667</v>
      </c>
      <c r="I595" s="15">
        <f t="shared" si="66"/>
        <v>270.9666666666667</v>
      </c>
      <c r="J595" s="10">
        <v>159</v>
      </c>
      <c r="K595" s="10">
        <v>246</v>
      </c>
      <c r="L595" s="10">
        <v>290</v>
      </c>
      <c r="M595" s="10">
        <v>224</v>
      </c>
      <c r="N595" s="10">
        <v>285</v>
      </c>
      <c r="O595" s="10">
        <v>293</v>
      </c>
      <c r="P595" s="10">
        <v>239</v>
      </c>
      <c r="Q595" s="10">
        <v>285</v>
      </c>
      <c r="R595" s="10">
        <v>292</v>
      </c>
      <c r="S595" s="10">
        <v>198</v>
      </c>
      <c r="T595" s="10">
        <v>285</v>
      </c>
      <c r="U595" s="10">
        <v>287</v>
      </c>
      <c r="V595" s="10">
        <v>232</v>
      </c>
      <c r="W595" s="10">
        <v>285</v>
      </c>
      <c r="X595" s="10">
        <v>246</v>
      </c>
      <c r="Y595" s="10">
        <v>91</v>
      </c>
      <c r="Z595" s="10">
        <v>250</v>
      </c>
      <c r="AA595" s="10">
        <v>252</v>
      </c>
      <c r="AB595" s="10">
        <v>86</v>
      </c>
      <c r="AC595" s="10">
        <v>188</v>
      </c>
      <c r="AD595" s="10">
        <v>155</v>
      </c>
      <c r="AE595" s="10">
        <v>138</v>
      </c>
      <c r="AF595" s="10">
        <v>104</v>
      </c>
      <c r="AG595" s="10">
        <v>72</v>
      </c>
      <c r="AH595" s="102">
        <f>SUM(Tableau2[[#This Row],[Td 2]:[Td 5]])</f>
        <v>469</v>
      </c>
      <c r="AI595" s="10">
        <v>50</v>
      </c>
      <c r="AJ595" s="10">
        <v>100</v>
      </c>
      <c r="AK595" s="17">
        <f t="shared" si="67"/>
        <v>0</v>
      </c>
      <c r="AL595" s="17">
        <f t="shared" si="68"/>
        <v>47</v>
      </c>
      <c r="AM595" s="17">
        <f t="shared" si="69"/>
        <v>246</v>
      </c>
    </row>
    <row r="596" spans="1:39" s="3" customFormat="1" x14ac:dyDescent="0.25">
      <c r="A596" s="2" t="s">
        <v>16</v>
      </c>
      <c r="B596" s="29" t="s">
        <v>740</v>
      </c>
      <c r="C596" s="2" t="s">
        <v>46</v>
      </c>
      <c r="D596" s="2" t="s">
        <v>607</v>
      </c>
      <c r="E596" s="14">
        <v>15465</v>
      </c>
      <c r="F596" s="15">
        <f t="shared" si="63"/>
        <v>539.72850000000005</v>
      </c>
      <c r="G596" s="15">
        <f t="shared" si="64"/>
        <v>618.6</v>
      </c>
      <c r="H596" s="15">
        <f t="shared" si="65"/>
        <v>449.77375000000001</v>
      </c>
      <c r="I596" s="15">
        <f t="shared" si="66"/>
        <v>515.5</v>
      </c>
      <c r="J596" s="10">
        <v>295</v>
      </c>
      <c r="K596" s="10">
        <v>407</v>
      </c>
      <c r="L596" s="10">
        <v>364</v>
      </c>
      <c r="M596" s="10">
        <v>346</v>
      </c>
      <c r="N596" s="10">
        <v>367</v>
      </c>
      <c r="O596" s="10">
        <v>364</v>
      </c>
      <c r="P596" s="10">
        <v>346</v>
      </c>
      <c r="Q596" s="10">
        <v>367</v>
      </c>
      <c r="R596" s="10">
        <v>364</v>
      </c>
      <c r="S596" s="10">
        <v>346</v>
      </c>
      <c r="T596" s="10">
        <v>367</v>
      </c>
      <c r="U596" s="10">
        <v>364</v>
      </c>
      <c r="V596" s="10">
        <v>346</v>
      </c>
      <c r="W596" s="10">
        <v>367</v>
      </c>
      <c r="X596" s="10">
        <v>277</v>
      </c>
      <c r="Y596" s="10">
        <v>234</v>
      </c>
      <c r="Z596" s="10">
        <v>322</v>
      </c>
      <c r="AA596" s="10">
        <v>367</v>
      </c>
      <c r="AB596" s="10">
        <v>186</v>
      </c>
      <c r="AC596" s="10">
        <v>429</v>
      </c>
      <c r="AD596" s="10">
        <v>395</v>
      </c>
      <c r="AE596" s="10">
        <v>365</v>
      </c>
      <c r="AF596" s="10">
        <v>273</v>
      </c>
      <c r="AG596" s="10">
        <v>189</v>
      </c>
      <c r="AH596" s="102">
        <f>SUM(Tableau2[[#This Row],[Td 2]:[Td 5]])</f>
        <v>1222</v>
      </c>
      <c r="AI596" s="10">
        <v>50</v>
      </c>
      <c r="AJ596" s="10">
        <v>100</v>
      </c>
      <c r="AK596" s="17">
        <f t="shared" si="67"/>
        <v>85.773750000000007</v>
      </c>
      <c r="AL596" s="17">
        <f t="shared" si="68"/>
        <v>87</v>
      </c>
      <c r="AM596" s="17">
        <f t="shared" si="69"/>
        <v>277</v>
      </c>
    </row>
    <row r="597" spans="1:39" s="3" customFormat="1" x14ac:dyDescent="0.25">
      <c r="A597" s="2" t="s">
        <v>16</v>
      </c>
      <c r="B597" s="29" t="s">
        <v>740</v>
      </c>
      <c r="C597" s="2" t="s">
        <v>46</v>
      </c>
      <c r="D597" s="2" t="s">
        <v>608</v>
      </c>
      <c r="E597" s="14">
        <v>15165</v>
      </c>
      <c r="F597" s="15">
        <f t="shared" si="63"/>
        <v>529.25850000000003</v>
      </c>
      <c r="G597" s="15">
        <f t="shared" si="64"/>
        <v>606.6</v>
      </c>
      <c r="H597" s="15">
        <f t="shared" si="65"/>
        <v>441.04874999999998</v>
      </c>
      <c r="I597" s="15">
        <f t="shared" si="66"/>
        <v>505.50000000000006</v>
      </c>
      <c r="J597" s="10">
        <v>536</v>
      </c>
      <c r="K597" s="10">
        <v>278</v>
      </c>
      <c r="L597" s="10">
        <v>307</v>
      </c>
      <c r="M597" s="10">
        <v>234</v>
      </c>
      <c r="N597" s="10">
        <v>242</v>
      </c>
      <c r="O597" s="10">
        <v>322</v>
      </c>
      <c r="P597" s="10">
        <v>249</v>
      </c>
      <c r="Q597" s="10">
        <v>257</v>
      </c>
      <c r="R597" s="10">
        <v>322</v>
      </c>
      <c r="S597" s="10">
        <v>249</v>
      </c>
      <c r="T597" s="10">
        <v>257</v>
      </c>
      <c r="U597" s="10">
        <v>322</v>
      </c>
      <c r="V597" s="10">
        <v>249</v>
      </c>
      <c r="W597" s="10">
        <v>259</v>
      </c>
      <c r="X597" s="10">
        <v>287</v>
      </c>
      <c r="Y597" s="10">
        <v>183</v>
      </c>
      <c r="Z597" s="10">
        <v>311</v>
      </c>
      <c r="AA597" s="10">
        <v>242</v>
      </c>
      <c r="AB597" s="10">
        <v>186</v>
      </c>
      <c r="AC597" s="10">
        <v>392</v>
      </c>
      <c r="AD597" s="10">
        <v>264</v>
      </c>
      <c r="AE597" s="10">
        <v>243</v>
      </c>
      <c r="AF597" s="10">
        <v>152</v>
      </c>
      <c r="AG597" s="10">
        <v>69</v>
      </c>
      <c r="AH597" s="102">
        <f>SUM(Tableau2[[#This Row],[Td 2]:[Td 5]])</f>
        <v>728</v>
      </c>
      <c r="AI597" s="10">
        <v>58.3</v>
      </c>
      <c r="AJ597" s="10">
        <v>100</v>
      </c>
      <c r="AK597" s="17">
        <f t="shared" si="67"/>
        <v>119.04874999999998</v>
      </c>
      <c r="AL597" s="17">
        <f t="shared" si="68"/>
        <v>35</v>
      </c>
      <c r="AM597" s="17">
        <f t="shared" si="69"/>
        <v>287</v>
      </c>
    </row>
    <row r="598" spans="1:39" s="3" customFormat="1" x14ac:dyDescent="0.25">
      <c r="A598" s="2" t="s">
        <v>16</v>
      </c>
      <c r="B598" s="29" t="s">
        <v>740</v>
      </c>
      <c r="C598" s="2" t="s">
        <v>46</v>
      </c>
      <c r="D598" s="2" t="s">
        <v>609</v>
      </c>
      <c r="E598" s="14">
        <v>18122</v>
      </c>
      <c r="F598" s="15">
        <f t="shared" si="63"/>
        <v>632.45780000000002</v>
      </c>
      <c r="G598" s="15">
        <f t="shared" si="64"/>
        <v>724.88</v>
      </c>
      <c r="H598" s="15">
        <f t="shared" si="65"/>
        <v>527.0481666666667</v>
      </c>
      <c r="I598" s="15">
        <f t="shared" si="66"/>
        <v>604.06666666666661</v>
      </c>
      <c r="J598" s="10">
        <v>601</v>
      </c>
      <c r="K598" s="10">
        <v>601</v>
      </c>
      <c r="L598" s="10">
        <v>569</v>
      </c>
      <c r="M598" s="10">
        <v>527</v>
      </c>
      <c r="N598" s="10">
        <v>568</v>
      </c>
      <c r="O598" s="10">
        <v>569</v>
      </c>
      <c r="P598" s="10">
        <v>529</v>
      </c>
      <c r="Q598" s="10">
        <v>568</v>
      </c>
      <c r="R598" s="10">
        <v>569</v>
      </c>
      <c r="S598" s="10">
        <v>527</v>
      </c>
      <c r="T598" s="10">
        <v>568</v>
      </c>
      <c r="U598" s="10">
        <v>569</v>
      </c>
      <c r="V598" s="10">
        <v>527</v>
      </c>
      <c r="W598" s="10">
        <v>569</v>
      </c>
      <c r="X598" s="10">
        <v>512</v>
      </c>
      <c r="Y598" s="10">
        <v>103</v>
      </c>
      <c r="Z598" s="10">
        <v>564</v>
      </c>
      <c r="AA598" s="10">
        <v>563</v>
      </c>
      <c r="AB598" s="10">
        <v>162</v>
      </c>
      <c r="AC598" s="10">
        <v>298</v>
      </c>
      <c r="AD598" s="10">
        <v>334</v>
      </c>
      <c r="AE598" s="10">
        <v>305</v>
      </c>
      <c r="AF598" s="10">
        <v>303</v>
      </c>
      <c r="AG598" s="10">
        <v>158</v>
      </c>
      <c r="AH598" s="102">
        <f>SUM(Tableau2[[#This Row],[Td 2]:[Td 5]])</f>
        <v>1100</v>
      </c>
      <c r="AI598" s="10">
        <v>58.3</v>
      </c>
      <c r="AJ598" s="10">
        <v>100</v>
      </c>
      <c r="AK598" s="17">
        <f t="shared" si="67"/>
        <v>0</v>
      </c>
      <c r="AL598" s="17">
        <f t="shared" si="68"/>
        <v>57</v>
      </c>
      <c r="AM598" s="17">
        <f t="shared" si="69"/>
        <v>512</v>
      </c>
    </row>
    <row r="599" spans="1:39" s="3" customFormat="1" x14ac:dyDescent="0.25">
      <c r="A599" s="2" t="s">
        <v>16</v>
      </c>
      <c r="B599" s="29" t="s">
        <v>740</v>
      </c>
      <c r="C599" s="2" t="s">
        <v>46</v>
      </c>
      <c r="D599" s="2" t="s">
        <v>610</v>
      </c>
      <c r="E599" s="14">
        <v>15096</v>
      </c>
      <c r="F599" s="15">
        <f t="shared" si="63"/>
        <v>526.85040000000004</v>
      </c>
      <c r="G599" s="15">
        <f t="shared" si="64"/>
        <v>603.84</v>
      </c>
      <c r="H599" s="15">
        <f t="shared" si="65"/>
        <v>439.04200000000003</v>
      </c>
      <c r="I599" s="15">
        <f t="shared" si="66"/>
        <v>503.2</v>
      </c>
      <c r="J599" s="10">
        <v>120</v>
      </c>
      <c r="K599" s="10">
        <v>136</v>
      </c>
      <c r="L599" s="10">
        <v>128</v>
      </c>
      <c r="M599" s="10">
        <v>100</v>
      </c>
      <c r="N599" s="10">
        <v>118</v>
      </c>
      <c r="O599" s="10">
        <v>128</v>
      </c>
      <c r="P599" s="10">
        <v>100</v>
      </c>
      <c r="Q599" s="10">
        <v>118</v>
      </c>
      <c r="R599" s="10">
        <v>128</v>
      </c>
      <c r="S599" s="10">
        <v>100</v>
      </c>
      <c r="T599" s="10">
        <v>118</v>
      </c>
      <c r="U599" s="10">
        <v>128</v>
      </c>
      <c r="V599" s="10">
        <v>100</v>
      </c>
      <c r="W599" s="10">
        <v>118</v>
      </c>
      <c r="X599" s="10">
        <v>58</v>
      </c>
      <c r="Y599" s="10">
        <v>35</v>
      </c>
      <c r="Z599" s="10">
        <v>67</v>
      </c>
      <c r="AA599" s="10">
        <v>118</v>
      </c>
      <c r="AB599" s="10">
        <v>22</v>
      </c>
      <c r="AC599" s="10">
        <v>69</v>
      </c>
      <c r="AD599" s="10">
        <v>29</v>
      </c>
      <c r="AE599" s="10">
        <v>23</v>
      </c>
      <c r="AF599" s="10">
        <v>1</v>
      </c>
      <c r="AG599" s="10" t="s">
        <v>2</v>
      </c>
      <c r="AH599" s="102">
        <f>SUM(Tableau2[[#This Row],[Td 2]:[Td 5]])</f>
        <v>53</v>
      </c>
      <c r="AI599" s="10">
        <v>45.8</v>
      </c>
      <c r="AJ599" s="10">
        <v>100</v>
      </c>
      <c r="AK599" s="17">
        <f t="shared" si="67"/>
        <v>311.04200000000003</v>
      </c>
      <c r="AL599" s="17">
        <f t="shared" si="68"/>
        <v>70</v>
      </c>
      <c r="AM599" s="17">
        <f t="shared" si="69"/>
        <v>58</v>
      </c>
    </row>
    <row r="600" spans="1:39" s="3" customFormat="1" x14ac:dyDescent="0.25">
      <c r="A600" s="2" t="s">
        <v>16</v>
      </c>
      <c r="B600" s="29" t="s">
        <v>740</v>
      </c>
      <c r="C600" s="2" t="s">
        <v>46</v>
      </c>
      <c r="D600" s="2" t="s">
        <v>611</v>
      </c>
      <c r="E600" s="14">
        <v>5899</v>
      </c>
      <c r="F600" s="15">
        <f t="shared" si="63"/>
        <v>205.8751</v>
      </c>
      <c r="G600" s="15">
        <f t="shared" si="64"/>
        <v>235.96</v>
      </c>
      <c r="H600" s="15">
        <f t="shared" si="65"/>
        <v>171.56258333333335</v>
      </c>
      <c r="I600" s="15">
        <f t="shared" si="66"/>
        <v>196.63333333333333</v>
      </c>
      <c r="J600" s="10">
        <v>160</v>
      </c>
      <c r="K600" s="10">
        <v>149</v>
      </c>
      <c r="L600" s="10">
        <v>164</v>
      </c>
      <c r="M600" s="10">
        <v>151</v>
      </c>
      <c r="N600" s="10">
        <v>146</v>
      </c>
      <c r="O600" s="10">
        <v>155</v>
      </c>
      <c r="P600" s="10">
        <v>183</v>
      </c>
      <c r="Q600" s="10">
        <v>146</v>
      </c>
      <c r="R600" s="10">
        <v>164</v>
      </c>
      <c r="S600" s="10">
        <v>150</v>
      </c>
      <c r="T600" s="10">
        <v>146</v>
      </c>
      <c r="U600" s="10">
        <v>164</v>
      </c>
      <c r="V600" s="10">
        <v>151</v>
      </c>
      <c r="W600" s="10">
        <v>147</v>
      </c>
      <c r="X600" s="10">
        <v>153</v>
      </c>
      <c r="Y600" s="10">
        <v>119</v>
      </c>
      <c r="Z600" s="10">
        <v>151</v>
      </c>
      <c r="AA600" s="10">
        <v>146</v>
      </c>
      <c r="AB600" s="10">
        <v>124</v>
      </c>
      <c r="AC600" s="10">
        <v>119</v>
      </c>
      <c r="AD600" s="10">
        <v>99</v>
      </c>
      <c r="AE600" s="10">
        <v>78</v>
      </c>
      <c r="AF600" s="10">
        <v>63</v>
      </c>
      <c r="AG600" s="10">
        <v>46</v>
      </c>
      <c r="AH600" s="102">
        <f>SUM(Tableau2[[#This Row],[Td 2]:[Td 5]])</f>
        <v>286</v>
      </c>
      <c r="AI600" s="10">
        <v>58.3</v>
      </c>
      <c r="AJ600" s="10">
        <v>100</v>
      </c>
      <c r="AK600" s="17">
        <f t="shared" si="67"/>
        <v>16.56258333333335</v>
      </c>
      <c r="AL600" s="17">
        <f t="shared" si="68"/>
        <v>2</v>
      </c>
      <c r="AM600" s="17">
        <f t="shared" si="69"/>
        <v>151</v>
      </c>
    </row>
    <row r="601" spans="1:39" s="3" customFormat="1" x14ac:dyDescent="0.25">
      <c r="A601" s="2" t="s">
        <v>16</v>
      </c>
      <c r="B601" s="29" t="s">
        <v>740</v>
      </c>
      <c r="C601" s="2" t="s">
        <v>46</v>
      </c>
      <c r="D601" s="2" t="s">
        <v>612</v>
      </c>
      <c r="E601" s="14">
        <v>10093</v>
      </c>
      <c r="F601" s="15">
        <f t="shared" si="63"/>
        <v>352.2457</v>
      </c>
      <c r="G601" s="15">
        <f t="shared" si="64"/>
        <v>403.72</v>
      </c>
      <c r="H601" s="15">
        <f t="shared" si="65"/>
        <v>293.53808333333336</v>
      </c>
      <c r="I601" s="15">
        <f t="shared" si="66"/>
        <v>336.43333333333339</v>
      </c>
      <c r="J601" s="10">
        <v>319</v>
      </c>
      <c r="K601" s="10">
        <v>497</v>
      </c>
      <c r="L601" s="10">
        <v>497</v>
      </c>
      <c r="M601" s="10">
        <v>423</v>
      </c>
      <c r="N601" s="10">
        <v>498</v>
      </c>
      <c r="O601" s="10">
        <v>516</v>
      </c>
      <c r="P601" s="10">
        <v>452</v>
      </c>
      <c r="Q601" s="10">
        <v>527</v>
      </c>
      <c r="R601" s="10">
        <v>526</v>
      </c>
      <c r="S601" s="10">
        <v>452</v>
      </c>
      <c r="T601" s="10">
        <v>527</v>
      </c>
      <c r="U601" s="10">
        <v>526</v>
      </c>
      <c r="V601" s="10">
        <v>452</v>
      </c>
      <c r="W601" s="10">
        <v>527</v>
      </c>
      <c r="X601" s="10">
        <v>560</v>
      </c>
      <c r="Y601" s="10">
        <v>421</v>
      </c>
      <c r="Z601" s="10">
        <v>442</v>
      </c>
      <c r="AA601" s="10">
        <v>527</v>
      </c>
      <c r="AB601" s="10">
        <v>342</v>
      </c>
      <c r="AC601" s="10">
        <v>271</v>
      </c>
      <c r="AD601" s="10">
        <v>208</v>
      </c>
      <c r="AE601" s="10">
        <v>225</v>
      </c>
      <c r="AF601" s="10">
        <v>180</v>
      </c>
      <c r="AG601" s="10">
        <v>169</v>
      </c>
      <c r="AH601" s="102">
        <f>SUM(Tableau2[[#This Row],[Td 2]:[Td 5]])</f>
        <v>782</v>
      </c>
      <c r="AI601" s="10">
        <v>50</v>
      </c>
      <c r="AJ601" s="10">
        <v>100</v>
      </c>
      <c r="AK601" s="17">
        <f t="shared" si="67"/>
        <v>0</v>
      </c>
      <c r="AL601" s="17">
        <f t="shared" si="68"/>
        <v>0</v>
      </c>
      <c r="AM601" s="17">
        <f t="shared" si="69"/>
        <v>442</v>
      </c>
    </row>
    <row r="602" spans="1:39" s="3" customFormat="1" x14ac:dyDescent="0.25">
      <c r="A602" s="2" t="s">
        <v>16</v>
      </c>
      <c r="B602" s="29" t="s">
        <v>740</v>
      </c>
      <c r="C602" s="2" t="s">
        <v>47</v>
      </c>
      <c r="D602" s="2" t="s">
        <v>613</v>
      </c>
      <c r="E602" s="14">
        <v>11129</v>
      </c>
      <c r="F602" s="15">
        <f t="shared" si="63"/>
        <v>388.40210000000002</v>
      </c>
      <c r="G602" s="15">
        <f t="shared" si="64"/>
        <v>445.16</v>
      </c>
      <c r="H602" s="15">
        <f t="shared" si="65"/>
        <v>323.66841666666664</v>
      </c>
      <c r="I602" s="15">
        <f t="shared" si="66"/>
        <v>370.9666666666667</v>
      </c>
      <c r="J602" s="10">
        <v>343</v>
      </c>
      <c r="K602" s="10">
        <v>181</v>
      </c>
      <c r="L602" s="10">
        <v>329</v>
      </c>
      <c r="M602" s="10">
        <v>332</v>
      </c>
      <c r="N602" s="10">
        <v>316</v>
      </c>
      <c r="O602" s="10">
        <v>357</v>
      </c>
      <c r="P602" s="10">
        <v>355</v>
      </c>
      <c r="Q602" s="10">
        <v>348</v>
      </c>
      <c r="R602" s="10">
        <v>357</v>
      </c>
      <c r="S602" s="10">
        <v>357</v>
      </c>
      <c r="T602" s="10">
        <v>347</v>
      </c>
      <c r="U602" s="10">
        <v>357</v>
      </c>
      <c r="V602" s="10">
        <v>355</v>
      </c>
      <c r="W602" s="10">
        <v>341</v>
      </c>
      <c r="X602" s="10">
        <v>342</v>
      </c>
      <c r="Y602" s="10">
        <v>99</v>
      </c>
      <c r="Z602" s="10">
        <v>319</v>
      </c>
      <c r="AA602" s="10">
        <v>344</v>
      </c>
      <c r="AB602" s="10">
        <v>336</v>
      </c>
      <c r="AC602" s="10">
        <v>157</v>
      </c>
      <c r="AD602" s="10">
        <v>97</v>
      </c>
      <c r="AE602" s="10">
        <v>124</v>
      </c>
      <c r="AF602" s="10">
        <v>87</v>
      </c>
      <c r="AG602" s="10">
        <v>77</v>
      </c>
      <c r="AH602" s="102">
        <f>SUM(Tableau2[[#This Row],[Td 2]:[Td 5]])</f>
        <v>385</v>
      </c>
      <c r="AI602" s="10">
        <v>58.3</v>
      </c>
      <c r="AJ602" s="10">
        <v>100</v>
      </c>
      <c r="AK602" s="17">
        <f t="shared" si="67"/>
        <v>0</v>
      </c>
      <c r="AL602" s="17">
        <f t="shared" si="68"/>
        <v>15</v>
      </c>
      <c r="AM602" s="17">
        <f t="shared" si="69"/>
        <v>319</v>
      </c>
    </row>
    <row r="603" spans="1:39" s="3" customFormat="1" x14ac:dyDescent="0.25">
      <c r="A603" s="2" t="s">
        <v>16</v>
      </c>
      <c r="B603" s="29" t="s">
        <v>740</v>
      </c>
      <c r="C603" s="2" t="s">
        <v>47</v>
      </c>
      <c r="D603" s="2" t="s">
        <v>614</v>
      </c>
      <c r="E603" s="14">
        <v>5632</v>
      </c>
      <c r="F603" s="15">
        <f t="shared" si="63"/>
        <v>196.55680000000001</v>
      </c>
      <c r="G603" s="15">
        <f t="shared" si="64"/>
        <v>225.28</v>
      </c>
      <c r="H603" s="15">
        <f t="shared" si="65"/>
        <v>163.79733333333334</v>
      </c>
      <c r="I603" s="15">
        <f t="shared" si="66"/>
        <v>187.73333333333335</v>
      </c>
      <c r="J603" s="10">
        <v>171</v>
      </c>
      <c r="K603" s="10">
        <v>160</v>
      </c>
      <c r="L603" s="10">
        <v>185</v>
      </c>
      <c r="M603" s="10">
        <v>182</v>
      </c>
      <c r="N603" s="10">
        <v>169</v>
      </c>
      <c r="O603" s="10">
        <v>185</v>
      </c>
      <c r="P603" s="10">
        <v>183</v>
      </c>
      <c r="Q603" s="10">
        <v>169</v>
      </c>
      <c r="R603" s="10">
        <v>185</v>
      </c>
      <c r="S603" s="10">
        <v>176</v>
      </c>
      <c r="T603" s="10">
        <v>169</v>
      </c>
      <c r="U603" s="10">
        <v>185</v>
      </c>
      <c r="V603" s="10">
        <v>183</v>
      </c>
      <c r="W603" s="10">
        <v>169</v>
      </c>
      <c r="X603" s="10">
        <v>176</v>
      </c>
      <c r="Y603" s="10">
        <v>195</v>
      </c>
      <c r="Z603" s="10">
        <v>176</v>
      </c>
      <c r="AA603" s="10">
        <v>171</v>
      </c>
      <c r="AB603" s="10">
        <v>176</v>
      </c>
      <c r="AC603" s="10">
        <v>160</v>
      </c>
      <c r="AD603" s="10">
        <v>122</v>
      </c>
      <c r="AE603" s="10">
        <v>113</v>
      </c>
      <c r="AF603" s="10">
        <v>98</v>
      </c>
      <c r="AG603" s="10">
        <v>68</v>
      </c>
      <c r="AH603" s="102">
        <f>SUM(Tableau2[[#This Row],[Td 2]:[Td 5]])</f>
        <v>401</v>
      </c>
      <c r="AI603" s="10">
        <v>58.3</v>
      </c>
      <c r="AJ603" s="10">
        <v>100</v>
      </c>
      <c r="AK603" s="17">
        <f t="shared" si="67"/>
        <v>0</v>
      </c>
      <c r="AL603" s="17">
        <f t="shared" si="68"/>
        <v>9</v>
      </c>
      <c r="AM603" s="17">
        <f t="shared" si="69"/>
        <v>176</v>
      </c>
    </row>
    <row r="604" spans="1:39" s="3" customFormat="1" x14ac:dyDescent="0.25">
      <c r="A604" s="2" t="s">
        <v>16</v>
      </c>
      <c r="B604" s="29" t="s">
        <v>740</v>
      </c>
      <c r="C604" s="2" t="s">
        <v>47</v>
      </c>
      <c r="D604" s="2" t="s">
        <v>615</v>
      </c>
      <c r="E604" s="14">
        <v>22598</v>
      </c>
      <c r="F604" s="15">
        <f t="shared" si="63"/>
        <v>788.67020000000002</v>
      </c>
      <c r="G604" s="15">
        <f t="shared" si="64"/>
        <v>903.92000000000007</v>
      </c>
      <c r="H604" s="15">
        <f t="shared" si="65"/>
        <v>657.22516666666661</v>
      </c>
      <c r="I604" s="15">
        <f t="shared" si="66"/>
        <v>753.26666666666665</v>
      </c>
      <c r="J604" s="10">
        <v>858</v>
      </c>
      <c r="K604" s="10">
        <v>112</v>
      </c>
      <c r="L604" s="10">
        <v>735</v>
      </c>
      <c r="M604" s="10">
        <v>1364</v>
      </c>
      <c r="N604" s="10">
        <v>619</v>
      </c>
      <c r="O604" s="10">
        <v>723</v>
      </c>
      <c r="P604" s="10">
        <v>704</v>
      </c>
      <c r="Q604" s="10">
        <v>692</v>
      </c>
      <c r="R604" s="10">
        <v>723</v>
      </c>
      <c r="S604" s="10">
        <v>704</v>
      </c>
      <c r="T604" s="10">
        <v>692</v>
      </c>
      <c r="U604" s="10">
        <v>723</v>
      </c>
      <c r="V604" s="10">
        <v>704</v>
      </c>
      <c r="W604" s="10">
        <v>692</v>
      </c>
      <c r="X604" s="10">
        <v>728</v>
      </c>
      <c r="Y604" s="10">
        <v>693</v>
      </c>
      <c r="Z604" s="10">
        <v>726</v>
      </c>
      <c r="AA604" s="10">
        <v>692</v>
      </c>
      <c r="AB604" s="10">
        <v>728</v>
      </c>
      <c r="AC604" s="10">
        <v>162</v>
      </c>
      <c r="AD604" s="10">
        <v>154</v>
      </c>
      <c r="AE604" s="10">
        <v>143</v>
      </c>
      <c r="AF604" s="10">
        <v>132</v>
      </c>
      <c r="AG604" s="10">
        <v>336</v>
      </c>
      <c r="AH604" s="102">
        <f>SUM(Tableau2[[#This Row],[Td 2]:[Td 5]])</f>
        <v>765</v>
      </c>
      <c r="AI604" s="10">
        <v>58.3</v>
      </c>
      <c r="AJ604" s="10">
        <v>100</v>
      </c>
      <c r="AK604" s="17">
        <f t="shared" si="67"/>
        <v>0</v>
      </c>
      <c r="AL604" s="17">
        <f t="shared" si="68"/>
        <v>0</v>
      </c>
      <c r="AM604" s="17">
        <f t="shared" si="69"/>
        <v>726</v>
      </c>
    </row>
    <row r="605" spans="1:39" s="3" customFormat="1" x14ac:dyDescent="0.25">
      <c r="A605" s="2" t="s">
        <v>16</v>
      </c>
      <c r="B605" s="29" t="s">
        <v>740</v>
      </c>
      <c r="C605" s="2" t="s">
        <v>47</v>
      </c>
      <c r="D605" s="2" t="s">
        <v>616</v>
      </c>
      <c r="E605" s="14">
        <v>11065</v>
      </c>
      <c r="F605" s="15">
        <f t="shared" si="63"/>
        <v>386.16849999999999</v>
      </c>
      <c r="G605" s="15">
        <f t="shared" si="64"/>
        <v>442.6</v>
      </c>
      <c r="H605" s="15">
        <f t="shared" si="65"/>
        <v>321.80708333333337</v>
      </c>
      <c r="I605" s="15">
        <f t="shared" si="66"/>
        <v>368.83333333333331</v>
      </c>
      <c r="J605" s="10">
        <v>252</v>
      </c>
      <c r="K605" s="10">
        <v>252</v>
      </c>
      <c r="L605" s="10">
        <v>350</v>
      </c>
      <c r="M605" s="10">
        <v>320</v>
      </c>
      <c r="N605" s="10">
        <v>300</v>
      </c>
      <c r="O605" s="10">
        <v>350</v>
      </c>
      <c r="P605" s="10">
        <v>320</v>
      </c>
      <c r="Q605" s="10">
        <v>300</v>
      </c>
      <c r="R605" s="10">
        <v>350</v>
      </c>
      <c r="S605" s="10">
        <v>320</v>
      </c>
      <c r="T605" s="10">
        <v>300</v>
      </c>
      <c r="U605" s="10">
        <v>350</v>
      </c>
      <c r="V605" s="10">
        <v>320</v>
      </c>
      <c r="W605" s="10">
        <v>300</v>
      </c>
      <c r="X605" s="10">
        <v>277</v>
      </c>
      <c r="Y605" s="10">
        <v>87</v>
      </c>
      <c r="Z605" s="10">
        <v>277</v>
      </c>
      <c r="AA605" s="10">
        <v>300</v>
      </c>
      <c r="AB605" s="10">
        <v>116</v>
      </c>
      <c r="AC605" s="10">
        <v>178</v>
      </c>
      <c r="AD605" s="10">
        <v>166</v>
      </c>
      <c r="AE605" s="10">
        <v>141</v>
      </c>
      <c r="AF605" s="10">
        <v>103</v>
      </c>
      <c r="AG605" s="10">
        <v>96</v>
      </c>
      <c r="AH605" s="102">
        <f>SUM(Tableau2[[#This Row],[Td 2]:[Td 5]])</f>
        <v>506</v>
      </c>
      <c r="AI605" s="10">
        <v>58.3</v>
      </c>
      <c r="AJ605" s="10">
        <v>100</v>
      </c>
      <c r="AK605" s="17">
        <f t="shared" si="67"/>
        <v>0</v>
      </c>
      <c r="AL605" s="17">
        <f t="shared" si="68"/>
        <v>73</v>
      </c>
      <c r="AM605" s="17">
        <f t="shared" si="69"/>
        <v>277</v>
      </c>
    </row>
    <row r="606" spans="1:39" s="3" customFormat="1" x14ac:dyDescent="0.25">
      <c r="A606" s="2" t="s">
        <v>16</v>
      </c>
      <c r="B606" s="29" t="s">
        <v>740</v>
      </c>
      <c r="C606" s="2" t="s">
        <v>47</v>
      </c>
      <c r="D606" s="2" t="s">
        <v>617</v>
      </c>
      <c r="E606" s="14">
        <v>18226</v>
      </c>
      <c r="F606" s="15">
        <f t="shared" si="63"/>
        <v>636.0874</v>
      </c>
      <c r="G606" s="15">
        <f t="shared" si="64"/>
        <v>729.04</v>
      </c>
      <c r="H606" s="15">
        <f t="shared" si="65"/>
        <v>530.07283333333339</v>
      </c>
      <c r="I606" s="15">
        <f t="shared" si="66"/>
        <v>607.5333333333333</v>
      </c>
      <c r="J606" s="10">
        <v>552</v>
      </c>
      <c r="K606" s="10">
        <v>550</v>
      </c>
      <c r="L606" s="10">
        <v>608</v>
      </c>
      <c r="M606" s="10">
        <v>597</v>
      </c>
      <c r="N606" s="10">
        <v>547</v>
      </c>
      <c r="O606" s="10">
        <v>734</v>
      </c>
      <c r="P606" s="10">
        <v>721</v>
      </c>
      <c r="Q606" s="10">
        <v>711</v>
      </c>
      <c r="R606" s="10">
        <v>734</v>
      </c>
      <c r="S606" s="10">
        <v>721</v>
      </c>
      <c r="T606" s="10">
        <v>711</v>
      </c>
      <c r="U606" s="10">
        <v>734</v>
      </c>
      <c r="V606" s="10">
        <v>721</v>
      </c>
      <c r="W606" s="10">
        <v>711</v>
      </c>
      <c r="X606" s="10">
        <v>754</v>
      </c>
      <c r="Y606" s="10">
        <v>630</v>
      </c>
      <c r="Z606" s="10">
        <v>754</v>
      </c>
      <c r="AA606" s="10">
        <v>539</v>
      </c>
      <c r="AB606" s="10">
        <v>560</v>
      </c>
      <c r="AC606" s="10">
        <v>197</v>
      </c>
      <c r="AD606" s="10">
        <v>152</v>
      </c>
      <c r="AE606" s="10">
        <v>185</v>
      </c>
      <c r="AF606" s="10">
        <v>154</v>
      </c>
      <c r="AG606" s="10">
        <v>174</v>
      </c>
      <c r="AH606" s="102">
        <f>SUM(Tableau2[[#This Row],[Td 2]:[Td 5]])</f>
        <v>665</v>
      </c>
      <c r="AI606" s="10">
        <v>58.3</v>
      </c>
      <c r="AJ606" s="10">
        <v>100</v>
      </c>
      <c r="AK606" s="17">
        <f t="shared" si="67"/>
        <v>0</v>
      </c>
      <c r="AL606" s="17">
        <f t="shared" si="68"/>
        <v>0</v>
      </c>
      <c r="AM606" s="17">
        <f t="shared" si="69"/>
        <v>754</v>
      </c>
    </row>
    <row r="607" spans="1:39" s="3" customFormat="1" x14ac:dyDescent="0.25">
      <c r="A607" s="2" t="s">
        <v>16</v>
      </c>
      <c r="B607" s="29" t="s">
        <v>740</v>
      </c>
      <c r="C607" s="2" t="s">
        <v>47</v>
      </c>
      <c r="D607" s="2" t="s">
        <v>618</v>
      </c>
      <c r="E607" s="14">
        <v>8363</v>
      </c>
      <c r="F607" s="15">
        <f t="shared" si="63"/>
        <v>291.86869999999999</v>
      </c>
      <c r="G607" s="15">
        <f t="shared" si="64"/>
        <v>334.52</v>
      </c>
      <c r="H607" s="15">
        <f t="shared" si="65"/>
        <v>243.22391666666664</v>
      </c>
      <c r="I607" s="15">
        <f t="shared" si="66"/>
        <v>278.76666666666665</v>
      </c>
      <c r="J607" s="10">
        <v>276</v>
      </c>
      <c r="K607" s="10">
        <v>286</v>
      </c>
      <c r="L607" s="10">
        <v>295</v>
      </c>
      <c r="M607" s="10">
        <v>277</v>
      </c>
      <c r="N607" s="10">
        <v>267</v>
      </c>
      <c r="O607" s="10">
        <v>264</v>
      </c>
      <c r="P607" s="10">
        <v>251</v>
      </c>
      <c r="Q607" s="10">
        <v>244</v>
      </c>
      <c r="R607" s="10">
        <v>292</v>
      </c>
      <c r="S607" s="10">
        <v>278</v>
      </c>
      <c r="T607" s="10">
        <v>269</v>
      </c>
      <c r="U607" s="10">
        <v>292</v>
      </c>
      <c r="V607" s="10">
        <v>279</v>
      </c>
      <c r="W607" s="10">
        <v>269</v>
      </c>
      <c r="X607" s="10">
        <v>299</v>
      </c>
      <c r="Y607" s="10">
        <v>139</v>
      </c>
      <c r="Z607" s="10">
        <v>300</v>
      </c>
      <c r="AA607" s="10">
        <v>271</v>
      </c>
      <c r="AB607" s="10">
        <v>199</v>
      </c>
      <c r="AC607" s="10">
        <v>174</v>
      </c>
      <c r="AD607" s="10">
        <v>137</v>
      </c>
      <c r="AE607" s="10">
        <v>118</v>
      </c>
      <c r="AF607" s="10">
        <v>101</v>
      </c>
      <c r="AG607" s="10">
        <v>87</v>
      </c>
      <c r="AH607" s="102">
        <f>SUM(Tableau2[[#This Row],[Td 2]:[Td 5]])</f>
        <v>443</v>
      </c>
      <c r="AI607" s="10">
        <v>58.3</v>
      </c>
      <c r="AJ607" s="10">
        <v>100</v>
      </c>
      <c r="AK607" s="17">
        <f t="shared" si="67"/>
        <v>0</v>
      </c>
      <c r="AL607" s="17">
        <f t="shared" si="68"/>
        <v>0</v>
      </c>
      <c r="AM607" s="17">
        <f t="shared" si="69"/>
        <v>299</v>
      </c>
    </row>
    <row r="608" spans="1:39" s="3" customFormat="1" x14ac:dyDescent="0.25">
      <c r="A608" s="2" t="s">
        <v>16</v>
      </c>
      <c r="B608" s="29" t="s">
        <v>740</v>
      </c>
      <c r="C608" s="2" t="s">
        <v>47</v>
      </c>
      <c r="D608" s="2" t="s">
        <v>619</v>
      </c>
      <c r="E608" s="14">
        <v>9047</v>
      </c>
      <c r="F608" s="15">
        <f t="shared" si="63"/>
        <v>315.74029999999999</v>
      </c>
      <c r="G608" s="15">
        <f t="shared" si="64"/>
        <v>361.88</v>
      </c>
      <c r="H608" s="15">
        <f t="shared" si="65"/>
        <v>263.11691666666667</v>
      </c>
      <c r="I608" s="15">
        <f t="shared" si="66"/>
        <v>301.56666666666666</v>
      </c>
      <c r="J608" s="10">
        <v>398</v>
      </c>
      <c r="K608" s="10">
        <v>159</v>
      </c>
      <c r="L608" s="10">
        <v>321</v>
      </c>
      <c r="M608" s="10">
        <v>302</v>
      </c>
      <c r="N608" s="10">
        <v>297</v>
      </c>
      <c r="O608" s="10">
        <v>321</v>
      </c>
      <c r="P608" s="10">
        <v>302</v>
      </c>
      <c r="Q608" s="10">
        <v>297</v>
      </c>
      <c r="R608" s="10">
        <v>321</v>
      </c>
      <c r="S608" s="10">
        <v>302</v>
      </c>
      <c r="T608" s="10">
        <v>297</v>
      </c>
      <c r="U608" s="10">
        <v>321</v>
      </c>
      <c r="V608" s="10">
        <v>302</v>
      </c>
      <c r="W608" s="10">
        <v>297</v>
      </c>
      <c r="X608" s="10">
        <v>267</v>
      </c>
      <c r="Y608" s="10">
        <v>257</v>
      </c>
      <c r="Z608" s="10">
        <v>267</v>
      </c>
      <c r="AA608" s="10">
        <v>297</v>
      </c>
      <c r="AB608" s="10">
        <v>250</v>
      </c>
      <c r="AC608" s="10">
        <v>67</v>
      </c>
      <c r="AD608" s="10">
        <v>38</v>
      </c>
      <c r="AE608" s="10">
        <v>58</v>
      </c>
      <c r="AF608" s="10">
        <v>49</v>
      </c>
      <c r="AG608" s="10">
        <v>43</v>
      </c>
      <c r="AH608" s="102">
        <f>SUM(Tableau2[[#This Row],[Td 2]:[Td 5]])</f>
        <v>188</v>
      </c>
      <c r="AI608" s="10">
        <v>58.3</v>
      </c>
      <c r="AJ608" s="10">
        <v>100</v>
      </c>
      <c r="AK608" s="17">
        <f t="shared" si="67"/>
        <v>0</v>
      </c>
      <c r="AL608" s="17">
        <f t="shared" si="68"/>
        <v>54</v>
      </c>
      <c r="AM608" s="17">
        <f t="shared" si="69"/>
        <v>267</v>
      </c>
    </row>
    <row r="609" spans="1:39" s="3" customFormat="1" x14ac:dyDescent="0.25">
      <c r="A609" s="2" t="s">
        <v>16</v>
      </c>
      <c r="B609" s="29" t="s">
        <v>740</v>
      </c>
      <c r="C609" s="2" t="s">
        <v>47</v>
      </c>
      <c r="D609" s="2" t="s">
        <v>620</v>
      </c>
      <c r="E609" s="14">
        <v>37542</v>
      </c>
      <c r="F609" s="15">
        <f t="shared" si="63"/>
        <v>1310.2157999999999</v>
      </c>
      <c r="G609" s="15">
        <f t="shared" si="64"/>
        <v>1501.68</v>
      </c>
      <c r="H609" s="15">
        <f t="shared" si="65"/>
        <v>1091.8464999999999</v>
      </c>
      <c r="I609" s="15">
        <f t="shared" si="66"/>
        <v>1251.4000000000001</v>
      </c>
      <c r="J609" s="10">
        <v>1161</v>
      </c>
      <c r="K609" s="10">
        <v>457</v>
      </c>
      <c r="L609" s="10">
        <v>857</v>
      </c>
      <c r="M609" s="10">
        <v>810</v>
      </c>
      <c r="N609" s="10">
        <v>782</v>
      </c>
      <c r="O609" s="10">
        <v>857</v>
      </c>
      <c r="P609" s="10">
        <v>819</v>
      </c>
      <c r="Q609" s="10">
        <v>795</v>
      </c>
      <c r="R609" s="10">
        <v>857</v>
      </c>
      <c r="S609" s="10">
        <v>819</v>
      </c>
      <c r="T609" s="10">
        <v>795</v>
      </c>
      <c r="U609" s="10">
        <v>857</v>
      </c>
      <c r="V609" s="10">
        <v>839</v>
      </c>
      <c r="W609" s="10">
        <v>795</v>
      </c>
      <c r="X609" s="10">
        <v>1169</v>
      </c>
      <c r="Y609" s="10">
        <v>358</v>
      </c>
      <c r="Z609" s="10">
        <v>1169</v>
      </c>
      <c r="AA609" s="10">
        <v>770</v>
      </c>
      <c r="AB609" s="10">
        <v>1169</v>
      </c>
      <c r="AC609" s="10">
        <v>284</v>
      </c>
      <c r="AD609" s="10">
        <v>191</v>
      </c>
      <c r="AE609" s="10">
        <v>210</v>
      </c>
      <c r="AF609" s="10">
        <v>191</v>
      </c>
      <c r="AG609" s="10">
        <v>435</v>
      </c>
      <c r="AH609" s="102">
        <f>SUM(Tableau2[[#This Row],[Td 2]:[Td 5]])</f>
        <v>1027</v>
      </c>
      <c r="AI609" s="10">
        <v>58.3</v>
      </c>
      <c r="AJ609" s="10">
        <v>100</v>
      </c>
      <c r="AK609" s="17">
        <f t="shared" si="67"/>
        <v>234.84649999999988</v>
      </c>
      <c r="AL609" s="17">
        <f t="shared" si="68"/>
        <v>0</v>
      </c>
      <c r="AM609" s="17">
        <f t="shared" si="69"/>
        <v>1169</v>
      </c>
    </row>
    <row r="610" spans="1:39" s="3" customFormat="1" x14ac:dyDescent="0.25">
      <c r="A610" s="2" t="s">
        <v>16</v>
      </c>
      <c r="B610" s="29" t="s">
        <v>740</v>
      </c>
      <c r="C610" s="2" t="s">
        <v>47</v>
      </c>
      <c r="D610" s="2" t="s">
        <v>621</v>
      </c>
      <c r="E610" s="14">
        <v>17004</v>
      </c>
      <c r="F610" s="15">
        <f t="shared" si="63"/>
        <v>593.43960000000004</v>
      </c>
      <c r="G610" s="15">
        <f t="shared" si="64"/>
        <v>680.16</v>
      </c>
      <c r="H610" s="15">
        <f t="shared" si="65"/>
        <v>494.53300000000007</v>
      </c>
      <c r="I610" s="15">
        <f t="shared" si="66"/>
        <v>566.79999999999995</v>
      </c>
      <c r="J610" s="10">
        <v>480</v>
      </c>
      <c r="K610" s="10">
        <v>108</v>
      </c>
      <c r="L610" s="10">
        <v>375</v>
      </c>
      <c r="M610" s="10">
        <v>376</v>
      </c>
      <c r="N610" s="10">
        <v>364</v>
      </c>
      <c r="O610" s="10">
        <v>421</v>
      </c>
      <c r="P610" s="10">
        <v>418</v>
      </c>
      <c r="Q610" s="10">
        <v>406</v>
      </c>
      <c r="R610" s="10">
        <v>421</v>
      </c>
      <c r="S610" s="10">
        <v>418</v>
      </c>
      <c r="T610" s="10">
        <v>406</v>
      </c>
      <c r="U610" s="10">
        <v>421</v>
      </c>
      <c r="V610" s="10">
        <v>418</v>
      </c>
      <c r="W610" s="10">
        <v>406</v>
      </c>
      <c r="X610" s="10">
        <v>423</v>
      </c>
      <c r="Y610" s="10">
        <v>247</v>
      </c>
      <c r="Z610" s="10">
        <v>423</v>
      </c>
      <c r="AA610" s="10">
        <v>406</v>
      </c>
      <c r="AB610" s="10">
        <v>423</v>
      </c>
      <c r="AC610" s="10">
        <v>163</v>
      </c>
      <c r="AD610" s="10">
        <v>191</v>
      </c>
      <c r="AE610" s="10">
        <v>130</v>
      </c>
      <c r="AF610" s="10">
        <v>92</v>
      </c>
      <c r="AG610" s="10">
        <v>63</v>
      </c>
      <c r="AH610" s="102">
        <f>SUM(Tableau2[[#This Row],[Td 2]:[Td 5]])</f>
        <v>476</v>
      </c>
      <c r="AI610" s="10">
        <v>58.3</v>
      </c>
      <c r="AJ610" s="10">
        <v>100</v>
      </c>
      <c r="AK610" s="17">
        <f t="shared" si="67"/>
        <v>73.533000000000072</v>
      </c>
      <c r="AL610" s="17">
        <f t="shared" si="68"/>
        <v>0</v>
      </c>
      <c r="AM610" s="17">
        <f t="shared" si="69"/>
        <v>423</v>
      </c>
    </row>
    <row r="611" spans="1:39" s="3" customFormat="1" x14ac:dyDescent="0.25">
      <c r="A611" s="2" t="s">
        <v>16</v>
      </c>
      <c r="B611" s="29" t="s">
        <v>740</v>
      </c>
      <c r="C611" s="2" t="s">
        <v>47</v>
      </c>
      <c r="D611" s="2" t="s">
        <v>622</v>
      </c>
      <c r="E611" s="14">
        <v>24311</v>
      </c>
      <c r="F611" s="15">
        <f t="shared" si="63"/>
        <v>848.45389999999998</v>
      </c>
      <c r="G611" s="15">
        <f t="shared" si="64"/>
        <v>972.44</v>
      </c>
      <c r="H611" s="15">
        <f t="shared" si="65"/>
        <v>707.04491666666672</v>
      </c>
      <c r="I611" s="15">
        <f t="shared" si="66"/>
        <v>810.36666666666679</v>
      </c>
      <c r="J611" s="10">
        <v>960</v>
      </c>
      <c r="K611" s="10">
        <v>605</v>
      </c>
      <c r="L611" s="10">
        <v>875</v>
      </c>
      <c r="M611" s="10">
        <v>840</v>
      </c>
      <c r="N611" s="10">
        <v>823</v>
      </c>
      <c r="O611" s="10">
        <v>980</v>
      </c>
      <c r="P611" s="10">
        <v>942</v>
      </c>
      <c r="Q611" s="10">
        <v>922</v>
      </c>
      <c r="R611" s="10">
        <v>980</v>
      </c>
      <c r="S611" s="10">
        <v>942</v>
      </c>
      <c r="T611" s="10">
        <v>922</v>
      </c>
      <c r="U611" s="10">
        <v>927</v>
      </c>
      <c r="V611" s="10">
        <v>888</v>
      </c>
      <c r="W611" s="10">
        <v>867</v>
      </c>
      <c r="X611" s="10">
        <v>839</v>
      </c>
      <c r="Y611" s="10">
        <v>622</v>
      </c>
      <c r="Z611" s="10">
        <v>839</v>
      </c>
      <c r="AA611" s="10">
        <v>889</v>
      </c>
      <c r="AB611" s="10">
        <v>839</v>
      </c>
      <c r="AC611" s="10">
        <v>252</v>
      </c>
      <c r="AD611" s="10">
        <v>245</v>
      </c>
      <c r="AE611" s="10">
        <v>196</v>
      </c>
      <c r="AF611" s="10">
        <v>173</v>
      </c>
      <c r="AG611" s="10">
        <v>191</v>
      </c>
      <c r="AH611" s="102">
        <f>SUM(Tableau2[[#This Row],[Td 2]:[Td 5]])</f>
        <v>805</v>
      </c>
      <c r="AI611" s="10">
        <v>58.3</v>
      </c>
      <c r="AJ611" s="10">
        <v>100</v>
      </c>
      <c r="AK611" s="17">
        <f t="shared" si="67"/>
        <v>0</v>
      </c>
      <c r="AL611" s="17">
        <f t="shared" si="68"/>
        <v>141</v>
      </c>
      <c r="AM611" s="17">
        <f t="shared" si="69"/>
        <v>839</v>
      </c>
    </row>
    <row r="612" spans="1:39" s="3" customFormat="1" x14ac:dyDescent="0.25">
      <c r="A612" s="2" t="s">
        <v>16</v>
      </c>
      <c r="B612" s="29" t="s">
        <v>740</v>
      </c>
      <c r="C612" s="2" t="s">
        <v>47</v>
      </c>
      <c r="D612" s="2" t="s">
        <v>180</v>
      </c>
      <c r="E612" s="14">
        <v>26569</v>
      </c>
      <c r="F612" s="15">
        <f t="shared" si="63"/>
        <v>927.25810000000001</v>
      </c>
      <c r="G612" s="15">
        <f t="shared" si="64"/>
        <v>1062.76</v>
      </c>
      <c r="H612" s="15">
        <f t="shared" si="65"/>
        <v>772.71508333333327</v>
      </c>
      <c r="I612" s="15">
        <f t="shared" si="66"/>
        <v>885.63333333333333</v>
      </c>
      <c r="J612" s="10">
        <v>1123</v>
      </c>
      <c r="K612" s="10">
        <v>770</v>
      </c>
      <c r="L612" s="10">
        <v>815</v>
      </c>
      <c r="M612" s="10">
        <v>818</v>
      </c>
      <c r="N612" s="10">
        <v>797</v>
      </c>
      <c r="O612" s="10">
        <v>863</v>
      </c>
      <c r="P612" s="10">
        <v>843</v>
      </c>
      <c r="Q612" s="10">
        <v>813</v>
      </c>
      <c r="R612" s="10">
        <v>863</v>
      </c>
      <c r="S612" s="10">
        <v>845</v>
      </c>
      <c r="T612" s="10">
        <v>813</v>
      </c>
      <c r="U612" s="10">
        <v>863</v>
      </c>
      <c r="V612" s="10">
        <v>843</v>
      </c>
      <c r="W612" s="10">
        <v>813</v>
      </c>
      <c r="X612" s="10">
        <v>869</v>
      </c>
      <c r="Y612" s="10">
        <v>879</v>
      </c>
      <c r="Z612" s="10">
        <v>869</v>
      </c>
      <c r="AA612" s="10">
        <v>813</v>
      </c>
      <c r="AB612" s="10">
        <v>869</v>
      </c>
      <c r="AC612" s="10">
        <v>177</v>
      </c>
      <c r="AD612" s="10">
        <v>222</v>
      </c>
      <c r="AE612" s="10">
        <v>229</v>
      </c>
      <c r="AF612" s="10">
        <v>192</v>
      </c>
      <c r="AG612" s="10">
        <v>203</v>
      </c>
      <c r="AH612" s="102">
        <f>SUM(Tableau2[[#This Row],[Td 2]:[Td 5]])</f>
        <v>846</v>
      </c>
      <c r="AI612" s="10">
        <v>58.3</v>
      </c>
      <c r="AJ612" s="10">
        <v>100</v>
      </c>
      <c r="AK612" s="17">
        <f t="shared" si="67"/>
        <v>0</v>
      </c>
      <c r="AL612" s="17">
        <f t="shared" si="68"/>
        <v>0</v>
      </c>
      <c r="AM612" s="17">
        <f t="shared" si="69"/>
        <v>869</v>
      </c>
    </row>
    <row r="613" spans="1:39" s="3" customFormat="1" x14ac:dyDescent="0.25">
      <c r="A613" s="2" t="s">
        <v>16</v>
      </c>
      <c r="B613" s="29" t="s">
        <v>740</v>
      </c>
      <c r="C613" s="2" t="s">
        <v>47</v>
      </c>
      <c r="D613" s="2" t="s">
        <v>381</v>
      </c>
      <c r="E613" s="14">
        <v>29141</v>
      </c>
      <c r="F613" s="15">
        <f t="shared" si="63"/>
        <v>1017.0209</v>
      </c>
      <c r="G613" s="15">
        <f t="shared" si="64"/>
        <v>1165.6400000000001</v>
      </c>
      <c r="H613" s="15">
        <f t="shared" si="65"/>
        <v>847.51741666666658</v>
      </c>
      <c r="I613" s="15">
        <f t="shared" si="66"/>
        <v>971.36666666666667</v>
      </c>
      <c r="J613" s="10">
        <v>978</v>
      </c>
      <c r="K613" s="10">
        <v>417</v>
      </c>
      <c r="L613" s="10">
        <v>681</v>
      </c>
      <c r="M613" s="10">
        <v>618</v>
      </c>
      <c r="N613" s="10">
        <v>634</v>
      </c>
      <c r="O613" s="10">
        <v>892</v>
      </c>
      <c r="P613" s="10">
        <v>855</v>
      </c>
      <c r="Q613" s="10">
        <v>847</v>
      </c>
      <c r="R613" s="10">
        <v>892</v>
      </c>
      <c r="S613" s="10">
        <v>855</v>
      </c>
      <c r="T613" s="10">
        <v>847</v>
      </c>
      <c r="U613" s="10">
        <v>892</v>
      </c>
      <c r="V613" s="10">
        <v>855</v>
      </c>
      <c r="W613" s="10">
        <v>847</v>
      </c>
      <c r="X613" s="10">
        <v>813</v>
      </c>
      <c r="Y613" s="10">
        <v>51</v>
      </c>
      <c r="Z613" s="10">
        <v>813</v>
      </c>
      <c r="AA613" s="10">
        <v>847</v>
      </c>
      <c r="AB613" s="10">
        <v>734</v>
      </c>
      <c r="AC613" s="10">
        <v>131</v>
      </c>
      <c r="AD613" s="10">
        <v>122</v>
      </c>
      <c r="AE613" s="10">
        <v>156</v>
      </c>
      <c r="AF613" s="10">
        <v>186</v>
      </c>
      <c r="AG613" s="10">
        <v>342</v>
      </c>
      <c r="AH613" s="102">
        <f>SUM(Tableau2[[#This Row],[Td 2]:[Td 5]])</f>
        <v>806</v>
      </c>
      <c r="AI613" s="10">
        <v>58.3</v>
      </c>
      <c r="AJ613" s="10">
        <v>100</v>
      </c>
      <c r="AK613" s="17">
        <f t="shared" si="67"/>
        <v>0</v>
      </c>
      <c r="AL613" s="17">
        <f t="shared" si="68"/>
        <v>79</v>
      </c>
      <c r="AM613" s="17">
        <f t="shared" si="69"/>
        <v>813</v>
      </c>
    </row>
    <row r="614" spans="1:39" s="3" customFormat="1" x14ac:dyDescent="0.25">
      <c r="A614" s="2" t="s">
        <v>16</v>
      </c>
      <c r="B614" s="29" t="s">
        <v>740</v>
      </c>
      <c r="C614" s="2" t="s">
        <v>47</v>
      </c>
      <c r="D614" s="2" t="s">
        <v>623</v>
      </c>
      <c r="E614" s="14">
        <v>39522</v>
      </c>
      <c r="F614" s="15">
        <f t="shared" si="63"/>
        <v>1379.3178</v>
      </c>
      <c r="G614" s="15">
        <f t="shared" si="64"/>
        <v>1580.88</v>
      </c>
      <c r="H614" s="15">
        <f t="shared" si="65"/>
        <v>1149.4315000000001</v>
      </c>
      <c r="I614" s="15">
        <f t="shared" si="66"/>
        <v>1317.4</v>
      </c>
      <c r="J614" s="10">
        <v>1028</v>
      </c>
      <c r="K614" s="10">
        <v>802</v>
      </c>
      <c r="L614" s="10">
        <v>1044</v>
      </c>
      <c r="M614" s="10">
        <v>1037</v>
      </c>
      <c r="N614" s="10">
        <v>1016</v>
      </c>
      <c r="O614" s="10">
        <v>1156</v>
      </c>
      <c r="P614" s="10">
        <v>1145</v>
      </c>
      <c r="Q614" s="10">
        <v>1124</v>
      </c>
      <c r="R614" s="10">
        <v>1156</v>
      </c>
      <c r="S614" s="10">
        <v>1142</v>
      </c>
      <c r="T614" s="10">
        <v>1124</v>
      </c>
      <c r="U614" s="10">
        <v>1156</v>
      </c>
      <c r="V614" s="10">
        <v>1142</v>
      </c>
      <c r="W614" s="10">
        <v>1126</v>
      </c>
      <c r="X614" s="10">
        <v>1146</v>
      </c>
      <c r="Y614" s="10">
        <v>1053</v>
      </c>
      <c r="Z614" s="10">
        <v>1038</v>
      </c>
      <c r="AA614" s="10">
        <v>1028</v>
      </c>
      <c r="AB614" s="10">
        <v>1051</v>
      </c>
      <c r="AC614" s="10">
        <v>1105</v>
      </c>
      <c r="AD614" s="10">
        <v>934</v>
      </c>
      <c r="AE614" s="10">
        <v>327</v>
      </c>
      <c r="AF614" s="10">
        <v>140</v>
      </c>
      <c r="AG614" s="10">
        <v>109</v>
      </c>
      <c r="AH614" s="102">
        <f>SUM(Tableau2[[#This Row],[Td 2]:[Td 5]])</f>
        <v>1510</v>
      </c>
      <c r="AI614" s="10">
        <v>58.3</v>
      </c>
      <c r="AJ614" s="10">
        <v>100</v>
      </c>
      <c r="AK614" s="17">
        <f t="shared" si="67"/>
        <v>0</v>
      </c>
      <c r="AL614" s="17">
        <f t="shared" si="68"/>
        <v>10</v>
      </c>
      <c r="AM614" s="17">
        <f t="shared" si="69"/>
        <v>1038</v>
      </c>
    </row>
    <row r="615" spans="1:39" s="3" customFormat="1" x14ac:dyDescent="0.25">
      <c r="A615" s="2" t="s">
        <v>16</v>
      </c>
      <c r="B615" s="29" t="s">
        <v>740</v>
      </c>
      <c r="C615" s="2" t="s">
        <v>47</v>
      </c>
      <c r="D615" s="2" t="s">
        <v>624</v>
      </c>
      <c r="E615" s="14">
        <v>30453</v>
      </c>
      <c r="F615" s="15">
        <f t="shared" si="63"/>
        <v>1062.8097</v>
      </c>
      <c r="G615" s="15">
        <f t="shared" si="64"/>
        <v>1218.1200000000001</v>
      </c>
      <c r="H615" s="15">
        <f t="shared" si="65"/>
        <v>885.67475000000002</v>
      </c>
      <c r="I615" s="15">
        <f t="shared" si="66"/>
        <v>1015.1</v>
      </c>
      <c r="J615" s="10">
        <v>768</v>
      </c>
      <c r="K615" s="10">
        <v>35</v>
      </c>
      <c r="L615" s="10">
        <v>651</v>
      </c>
      <c r="M615" s="10">
        <v>645</v>
      </c>
      <c r="N615" s="10">
        <v>631</v>
      </c>
      <c r="O615" s="10">
        <v>651</v>
      </c>
      <c r="P615" s="10">
        <v>645</v>
      </c>
      <c r="Q615" s="10">
        <v>631</v>
      </c>
      <c r="R615" s="10">
        <v>651</v>
      </c>
      <c r="S615" s="10">
        <v>645</v>
      </c>
      <c r="T615" s="10">
        <v>633</v>
      </c>
      <c r="U615" s="10">
        <v>651</v>
      </c>
      <c r="V615" s="10">
        <v>588</v>
      </c>
      <c r="W615" s="10">
        <v>573</v>
      </c>
      <c r="X615" s="10">
        <v>546</v>
      </c>
      <c r="Y615" s="10">
        <v>42</v>
      </c>
      <c r="Z615" s="10">
        <v>496</v>
      </c>
      <c r="AA615" s="10">
        <v>641</v>
      </c>
      <c r="AB615" s="10">
        <v>556</v>
      </c>
      <c r="AC615" s="10">
        <v>346</v>
      </c>
      <c r="AD615" s="10">
        <v>348</v>
      </c>
      <c r="AE615" s="10">
        <v>342</v>
      </c>
      <c r="AF615" s="10">
        <v>260</v>
      </c>
      <c r="AG615" s="10">
        <v>434</v>
      </c>
      <c r="AH615" s="102">
        <f>SUM(Tableau2[[#This Row],[Td 2]:[Td 5]])</f>
        <v>1384</v>
      </c>
      <c r="AI615" s="10">
        <v>58.3</v>
      </c>
      <c r="AJ615" s="10">
        <v>100</v>
      </c>
      <c r="AK615" s="17">
        <f t="shared" si="67"/>
        <v>234.67475000000002</v>
      </c>
      <c r="AL615" s="17">
        <f t="shared" si="68"/>
        <v>105</v>
      </c>
      <c r="AM615" s="17">
        <f t="shared" si="69"/>
        <v>496</v>
      </c>
    </row>
    <row r="616" spans="1:39" s="3" customFormat="1" x14ac:dyDescent="0.25">
      <c r="A616" s="2" t="s">
        <v>16</v>
      </c>
      <c r="B616" s="29" t="s">
        <v>740</v>
      </c>
      <c r="C616" s="2" t="s">
        <v>47</v>
      </c>
      <c r="D616" s="2" t="s">
        <v>47</v>
      </c>
      <c r="E616" s="14">
        <v>24772</v>
      </c>
      <c r="F616" s="15">
        <f t="shared" si="63"/>
        <v>864.54280000000006</v>
      </c>
      <c r="G616" s="15">
        <f t="shared" si="64"/>
        <v>990.88</v>
      </c>
      <c r="H616" s="15">
        <f t="shared" si="65"/>
        <v>720.4523333333334</v>
      </c>
      <c r="I616" s="15">
        <f t="shared" si="66"/>
        <v>825.73333333333335</v>
      </c>
      <c r="J616" s="10">
        <v>1351</v>
      </c>
      <c r="K616" s="10">
        <v>771</v>
      </c>
      <c r="L616" s="10">
        <v>872</v>
      </c>
      <c r="M616" s="10">
        <v>844</v>
      </c>
      <c r="N616" s="10">
        <v>817</v>
      </c>
      <c r="O616" s="10">
        <v>929</v>
      </c>
      <c r="P616" s="10">
        <v>907</v>
      </c>
      <c r="Q616" s="10">
        <v>885</v>
      </c>
      <c r="R616" s="10">
        <v>929</v>
      </c>
      <c r="S616" s="10">
        <v>907</v>
      </c>
      <c r="T616" s="10">
        <v>885</v>
      </c>
      <c r="U616" s="10">
        <v>914</v>
      </c>
      <c r="V616" s="10">
        <v>891</v>
      </c>
      <c r="W616" s="10">
        <v>869</v>
      </c>
      <c r="X616" s="10">
        <v>960</v>
      </c>
      <c r="Y616" s="10">
        <v>644</v>
      </c>
      <c r="Z616" s="10">
        <v>848</v>
      </c>
      <c r="AA616" s="10">
        <v>826</v>
      </c>
      <c r="AB616" s="10">
        <v>861</v>
      </c>
      <c r="AC616" s="10">
        <v>262</v>
      </c>
      <c r="AD616" s="10">
        <v>270</v>
      </c>
      <c r="AE616" s="10">
        <v>238</v>
      </c>
      <c r="AF616" s="10">
        <v>234</v>
      </c>
      <c r="AG616" s="10">
        <v>227</v>
      </c>
      <c r="AH616" s="102">
        <f>SUM(Tableau2[[#This Row],[Td 2]:[Td 5]])</f>
        <v>969</v>
      </c>
      <c r="AI616" s="10">
        <v>58.3</v>
      </c>
      <c r="AJ616" s="10">
        <v>100</v>
      </c>
      <c r="AK616" s="17">
        <f t="shared" si="67"/>
        <v>0</v>
      </c>
      <c r="AL616" s="17">
        <f t="shared" si="68"/>
        <v>0</v>
      </c>
      <c r="AM616" s="17">
        <f t="shared" si="69"/>
        <v>848</v>
      </c>
    </row>
    <row r="617" spans="1:39" s="3" customFormat="1" x14ac:dyDescent="0.25">
      <c r="A617" s="2" t="s">
        <v>16</v>
      </c>
      <c r="B617" s="29" t="s">
        <v>740</v>
      </c>
      <c r="C617" s="2" t="s">
        <v>47</v>
      </c>
      <c r="D617" s="2" t="s">
        <v>181</v>
      </c>
      <c r="E617" s="14">
        <v>14865</v>
      </c>
      <c r="F617" s="15">
        <f t="shared" si="63"/>
        <v>518.7885</v>
      </c>
      <c r="G617" s="15">
        <f t="shared" si="64"/>
        <v>594.6</v>
      </c>
      <c r="H617" s="15">
        <f t="shared" si="65"/>
        <v>432.32374999999996</v>
      </c>
      <c r="I617" s="15">
        <f t="shared" si="66"/>
        <v>495.50000000000006</v>
      </c>
      <c r="J617" s="10">
        <v>774</v>
      </c>
      <c r="K617" s="10">
        <v>384</v>
      </c>
      <c r="L617" s="10">
        <v>481</v>
      </c>
      <c r="M617" s="10">
        <v>448</v>
      </c>
      <c r="N617" s="10">
        <v>448</v>
      </c>
      <c r="O617" s="10">
        <v>494</v>
      </c>
      <c r="P617" s="10">
        <v>493</v>
      </c>
      <c r="Q617" s="10">
        <v>476</v>
      </c>
      <c r="R617" s="10">
        <v>494</v>
      </c>
      <c r="S617" s="10">
        <v>471</v>
      </c>
      <c r="T617" s="10">
        <v>476</v>
      </c>
      <c r="U617" s="10">
        <v>494</v>
      </c>
      <c r="V617" s="10">
        <v>468</v>
      </c>
      <c r="W617" s="10">
        <v>476</v>
      </c>
      <c r="X617" s="10">
        <v>542</v>
      </c>
      <c r="Y617" s="10">
        <v>207</v>
      </c>
      <c r="Z617" s="10">
        <v>537</v>
      </c>
      <c r="AA617" s="10">
        <v>475</v>
      </c>
      <c r="AB617" s="10">
        <v>546</v>
      </c>
      <c r="AC617" s="10">
        <v>104</v>
      </c>
      <c r="AD617" s="10">
        <v>93</v>
      </c>
      <c r="AE617" s="10">
        <v>158</v>
      </c>
      <c r="AF617" s="10">
        <v>115</v>
      </c>
      <c r="AG617" s="10">
        <v>134</v>
      </c>
      <c r="AH617" s="102">
        <f>SUM(Tableau2[[#This Row],[Td 2]:[Td 5]])</f>
        <v>500</v>
      </c>
      <c r="AI617" s="10">
        <v>50</v>
      </c>
      <c r="AJ617" s="10">
        <v>100</v>
      </c>
      <c r="AK617" s="17">
        <f t="shared" si="67"/>
        <v>0</v>
      </c>
      <c r="AL617" s="17">
        <f t="shared" si="68"/>
        <v>0</v>
      </c>
      <c r="AM617" s="17">
        <f t="shared" si="69"/>
        <v>537</v>
      </c>
    </row>
    <row r="618" spans="1:39" s="3" customFormat="1" x14ac:dyDescent="0.25">
      <c r="A618" s="2" t="s">
        <v>16</v>
      </c>
      <c r="B618" s="29" t="s">
        <v>740</v>
      </c>
      <c r="C618" s="2" t="s">
        <v>48</v>
      </c>
      <c r="D618" s="2" t="s">
        <v>625</v>
      </c>
      <c r="E618" s="14">
        <v>19507</v>
      </c>
      <c r="F618" s="15">
        <f t="shared" si="63"/>
        <v>680.79430000000002</v>
      </c>
      <c r="G618" s="15">
        <f t="shared" si="64"/>
        <v>780.28</v>
      </c>
      <c r="H618" s="15">
        <f t="shared" si="65"/>
        <v>567.32858333333331</v>
      </c>
      <c r="I618" s="15">
        <f t="shared" si="66"/>
        <v>650.23333333333323</v>
      </c>
      <c r="J618" s="10">
        <v>535</v>
      </c>
      <c r="K618" s="10">
        <v>232</v>
      </c>
      <c r="L618" s="10">
        <v>596</v>
      </c>
      <c r="M618" s="10">
        <v>607</v>
      </c>
      <c r="N618" s="10">
        <v>431</v>
      </c>
      <c r="O618" s="10">
        <v>513</v>
      </c>
      <c r="P618" s="10">
        <v>511</v>
      </c>
      <c r="Q618" s="10">
        <v>528</v>
      </c>
      <c r="R618" s="10">
        <v>512</v>
      </c>
      <c r="S618" s="10">
        <v>492</v>
      </c>
      <c r="T618" s="10">
        <v>522</v>
      </c>
      <c r="U618" s="10">
        <v>551</v>
      </c>
      <c r="V618" s="10">
        <v>515</v>
      </c>
      <c r="W618" s="10">
        <v>439</v>
      </c>
      <c r="X618" s="10">
        <v>515</v>
      </c>
      <c r="Y618" s="10">
        <v>146</v>
      </c>
      <c r="Z618" s="10">
        <v>386</v>
      </c>
      <c r="AA618" s="10">
        <v>499</v>
      </c>
      <c r="AB618" s="10">
        <v>317</v>
      </c>
      <c r="AC618" s="10">
        <v>359</v>
      </c>
      <c r="AD618" s="10">
        <v>260</v>
      </c>
      <c r="AE618" s="10">
        <v>112</v>
      </c>
      <c r="AF618" s="10">
        <v>51</v>
      </c>
      <c r="AG618" s="10">
        <v>47</v>
      </c>
      <c r="AH618" s="102">
        <f>SUM(Tableau2[[#This Row],[Td 2]:[Td 5]])</f>
        <v>470</v>
      </c>
      <c r="AI618" s="10">
        <v>58.3</v>
      </c>
      <c r="AJ618" s="10">
        <v>100</v>
      </c>
      <c r="AK618" s="17">
        <f t="shared" si="67"/>
        <v>54.328583333333313</v>
      </c>
      <c r="AL618" s="17">
        <f t="shared" si="68"/>
        <v>0</v>
      </c>
      <c r="AM618" s="17">
        <f t="shared" si="69"/>
        <v>386</v>
      </c>
    </row>
    <row r="619" spans="1:39" s="3" customFormat="1" x14ac:dyDescent="0.25">
      <c r="A619" s="2" t="s">
        <v>16</v>
      </c>
      <c r="B619" s="29" t="s">
        <v>740</v>
      </c>
      <c r="C619" s="2" t="s">
        <v>48</v>
      </c>
      <c r="D619" s="2" t="s">
        <v>626</v>
      </c>
      <c r="E619" s="14">
        <v>23792</v>
      </c>
      <c r="F619" s="15">
        <f t="shared" si="63"/>
        <v>830.34080000000006</v>
      </c>
      <c r="G619" s="15">
        <f t="shared" si="64"/>
        <v>951.68000000000006</v>
      </c>
      <c r="H619" s="15">
        <f t="shared" si="65"/>
        <v>691.95066666666673</v>
      </c>
      <c r="I619" s="15">
        <f t="shared" si="66"/>
        <v>793.06666666666672</v>
      </c>
      <c r="J619" s="10">
        <v>689</v>
      </c>
      <c r="K619" s="10">
        <v>317</v>
      </c>
      <c r="L619" s="10">
        <v>620</v>
      </c>
      <c r="M619" s="10">
        <v>525</v>
      </c>
      <c r="N619" s="10">
        <v>512</v>
      </c>
      <c r="O619" s="10">
        <v>667</v>
      </c>
      <c r="P619" s="10">
        <v>568</v>
      </c>
      <c r="Q619" s="10">
        <v>528</v>
      </c>
      <c r="R619" s="10">
        <v>586</v>
      </c>
      <c r="S619" s="10">
        <v>471</v>
      </c>
      <c r="T619" s="10">
        <v>476</v>
      </c>
      <c r="U619" s="10">
        <v>443</v>
      </c>
      <c r="V619" s="10">
        <v>348</v>
      </c>
      <c r="W619" s="10">
        <v>398</v>
      </c>
      <c r="X619" s="10">
        <v>363</v>
      </c>
      <c r="Y619" s="10">
        <v>129</v>
      </c>
      <c r="Z619" s="10">
        <v>400</v>
      </c>
      <c r="AA619" s="10">
        <v>563</v>
      </c>
      <c r="AB619" s="10">
        <v>422</v>
      </c>
      <c r="AC619" s="10">
        <v>718</v>
      </c>
      <c r="AD619" s="10">
        <v>569</v>
      </c>
      <c r="AE619" s="10">
        <v>428</v>
      </c>
      <c r="AF619" s="10">
        <v>187</v>
      </c>
      <c r="AG619" s="10" t="s">
        <v>2</v>
      </c>
      <c r="AH619" s="102">
        <f>SUM(Tableau2[[#This Row],[Td 2]:[Td 5]])</f>
        <v>1184</v>
      </c>
      <c r="AI619" s="10">
        <v>58.3</v>
      </c>
      <c r="AJ619" s="10">
        <v>100</v>
      </c>
      <c r="AK619" s="17">
        <f t="shared" si="67"/>
        <v>24.950666666666734</v>
      </c>
      <c r="AL619" s="17">
        <f t="shared" si="68"/>
        <v>304</v>
      </c>
      <c r="AM619" s="17">
        <f t="shared" si="69"/>
        <v>363</v>
      </c>
    </row>
    <row r="620" spans="1:39" s="3" customFormat="1" x14ac:dyDescent="0.25">
      <c r="A620" s="2" t="s">
        <v>16</v>
      </c>
      <c r="B620" s="29" t="s">
        <v>740</v>
      </c>
      <c r="C620" s="2" t="s">
        <v>48</v>
      </c>
      <c r="D620" s="2" t="s">
        <v>627</v>
      </c>
      <c r="E620" s="14">
        <v>32476</v>
      </c>
      <c r="F620" s="15">
        <f t="shared" si="63"/>
        <v>1133.4123999999999</v>
      </c>
      <c r="G620" s="15">
        <f t="shared" si="64"/>
        <v>1299.04</v>
      </c>
      <c r="H620" s="15">
        <f t="shared" si="65"/>
        <v>944.51033333333328</v>
      </c>
      <c r="I620" s="15">
        <f t="shared" si="66"/>
        <v>1082.5333333333333</v>
      </c>
      <c r="J620" s="10">
        <v>527</v>
      </c>
      <c r="K620" s="10">
        <v>316</v>
      </c>
      <c r="L620" s="10">
        <v>802</v>
      </c>
      <c r="M620" s="10">
        <v>709</v>
      </c>
      <c r="N620" s="10">
        <v>779</v>
      </c>
      <c r="O620" s="10">
        <v>795</v>
      </c>
      <c r="P620" s="10">
        <v>690</v>
      </c>
      <c r="Q620" s="10">
        <v>664</v>
      </c>
      <c r="R620" s="10">
        <v>812</v>
      </c>
      <c r="S620" s="10">
        <v>709</v>
      </c>
      <c r="T620" s="10">
        <v>784</v>
      </c>
      <c r="U620" s="10">
        <v>733</v>
      </c>
      <c r="V620" s="10">
        <v>626</v>
      </c>
      <c r="W620" s="10">
        <v>695</v>
      </c>
      <c r="X620" s="10">
        <v>534</v>
      </c>
      <c r="Y620" s="10">
        <v>274</v>
      </c>
      <c r="Z620" s="10">
        <v>465</v>
      </c>
      <c r="AA620" s="10">
        <v>779</v>
      </c>
      <c r="AB620" s="10">
        <v>501</v>
      </c>
      <c r="AC620" s="10">
        <v>456</v>
      </c>
      <c r="AD620" s="10">
        <v>374</v>
      </c>
      <c r="AE620" s="10">
        <v>236</v>
      </c>
      <c r="AF620" s="10">
        <v>140</v>
      </c>
      <c r="AG620" s="10">
        <v>92</v>
      </c>
      <c r="AH620" s="102">
        <f>SUM(Tableau2[[#This Row],[Td 2]:[Td 5]])</f>
        <v>842</v>
      </c>
      <c r="AI620" s="10">
        <v>54.2</v>
      </c>
      <c r="AJ620" s="10">
        <v>100</v>
      </c>
      <c r="AK620" s="17">
        <f t="shared" si="67"/>
        <v>149.51033333333328</v>
      </c>
      <c r="AL620" s="17">
        <f t="shared" si="68"/>
        <v>261</v>
      </c>
      <c r="AM620" s="17">
        <f t="shared" si="69"/>
        <v>465</v>
      </c>
    </row>
    <row r="621" spans="1:39" s="3" customFormat="1" x14ac:dyDescent="0.25">
      <c r="A621" s="2" t="s">
        <v>16</v>
      </c>
      <c r="B621" s="29" t="s">
        <v>740</v>
      </c>
      <c r="C621" s="2" t="s">
        <v>48</v>
      </c>
      <c r="D621" s="2" t="s">
        <v>628</v>
      </c>
      <c r="E621" s="14">
        <v>8700</v>
      </c>
      <c r="F621" s="15">
        <f t="shared" si="63"/>
        <v>303.63</v>
      </c>
      <c r="G621" s="15">
        <f t="shared" si="64"/>
        <v>348</v>
      </c>
      <c r="H621" s="15">
        <f t="shared" si="65"/>
        <v>253.02499999999998</v>
      </c>
      <c r="I621" s="15">
        <f t="shared" si="66"/>
        <v>290</v>
      </c>
      <c r="J621" s="10">
        <v>250</v>
      </c>
      <c r="K621" s="10">
        <v>180</v>
      </c>
      <c r="L621" s="10">
        <v>310</v>
      </c>
      <c r="M621" s="10">
        <v>262</v>
      </c>
      <c r="N621" s="10">
        <v>226</v>
      </c>
      <c r="O621" s="10">
        <v>289</v>
      </c>
      <c r="P621" s="10">
        <v>265</v>
      </c>
      <c r="Q621" s="10">
        <v>277</v>
      </c>
      <c r="R621" s="10">
        <v>277</v>
      </c>
      <c r="S621" s="10">
        <v>232</v>
      </c>
      <c r="T621" s="10">
        <v>203</v>
      </c>
      <c r="U621" s="10">
        <v>279</v>
      </c>
      <c r="V621" s="10">
        <v>223</v>
      </c>
      <c r="W621" s="10">
        <v>176</v>
      </c>
      <c r="X621" s="10">
        <v>216</v>
      </c>
      <c r="Y621" s="10">
        <v>24</v>
      </c>
      <c r="Z621" s="10">
        <v>195</v>
      </c>
      <c r="AA621" s="10">
        <v>259</v>
      </c>
      <c r="AB621" s="10">
        <v>168</v>
      </c>
      <c r="AC621" s="10">
        <v>138</v>
      </c>
      <c r="AD621" s="10">
        <v>132</v>
      </c>
      <c r="AE621" s="10">
        <v>65</v>
      </c>
      <c r="AF621" s="10">
        <v>64</v>
      </c>
      <c r="AG621" s="10">
        <v>36</v>
      </c>
      <c r="AH621" s="102">
        <f>SUM(Tableau2[[#This Row],[Td 2]:[Td 5]])</f>
        <v>297</v>
      </c>
      <c r="AI621" s="10">
        <v>58.3</v>
      </c>
      <c r="AJ621" s="10">
        <v>100</v>
      </c>
      <c r="AK621" s="17">
        <f t="shared" si="67"/>
        <v>0</v>
      </c>
      <c r="AL621" s="17">
        <f t="shared" si="68"/>
        <v>73</v>
      </c>
      <c r="AM621" s="17">
        <f t="shared" si="69"/>
        <v>195</v>
      </c>
    </row>
    <row r="622" spans="1:39" s="3" customFormat="1" x14ac:dyDescent="0.25">
      <c r="A622" s="2" t="s">
        <v>16</v>
      </c>
      <c r="B622" s="29" t="s">
        <v>740</v>
      </c>
      <c r="C622" s="2" t="s">
        <v>48</v>
      </c>
      <c r="D622" s="2" t="s">
        <v>629</v>
      </c>
      <c r="E622" s="14">
        <v>8359</v>
      </c>
      <c r="F622" s="15">
        <f t="shared" si="63"/>
        <v>291.72910000000002</v>
      </c>
      <c r="G622" s="15">
        <f t="shared" si="64"/>
        <v>334.36</v>
      </c>
      <c r="H622" s="15">
        <f t="shared" si="65"/>
        <v>243.10758333333337</v>
      </c>
      <c r="I622" s="15">
        <f t="shared" si="66"/>
        <v>278.63333333333333</v>
      </c>
      <c r="J622" s="10">
        <v>297</v>
      </c>
      <c r="K622" s="10">
        <v>332</v>
      </c>
      <c r="L622" s="10">
        <v>276</v>
      </c>
      <c r="M622" s="10">
        <v>276</v>
      </c>
      <c r="N622" s="10">
        <v>266</v>
      </c>
      <c r="O622" s="10">
        <v>253</v>
      </c>
      <c r="P622" s="10">
        <v>260</v>
      </c>
      <c r="Q622" s="10">
        <v>253</v>
      </c>
      <c r="R622" s="10">
        <v>261</v>
      </c>
      <c r="S622" s="10">
        <v>276</v>
      </c>
      <c r="T622" s="10">
        <v>266</v>
      </c>
      <c r="U622" s="10">
        <v>223</v>
      </c>
      <c r="V622" s="10">
        <v>237</v>
      </c>
      <c r="W622" s="10">
        <v>234</v>
      </c>
      <c r="X622" s="10">
        <v>262</v>
      </c>
      <c r="Y622" s="10">
        <v>111</v>
      </c>
      <c r="Z622" s="10">
        <v>224</v>
      </c>
      <c r="AA622" s="10">
        <v>266</v>
      </c>
      <c r="AB622" s="10">
        <v>266</v>
      </c>
      <c r="AC622" s="10">
        <v>278</v>
      </c>
      <c r="AD622" s="10">
        <v>251</v>
      </c>
      <c r="AE622" s="10">
        <v>262</v>
      </c>
      <c r="AF622" s="10" t="s">
        <v>2</v>
      </c>
      <c r="AG622" s="10" t="s">
        <v>2</v>
      </c>
      <c r="AH622" s="102">
        <f>SUM(Tableau2[[#This Row],[Td 2]:[Td 5]])</f>
        <v>513</v>
      </c>
      <c r="AI622" s="10">
        <v>58.3</v>
      </c>
      <c r="AJ622" s="10">
        <v>100</v>
      </c>
      <c r="AK622" s="17">
        <f t="shared" si="67"/>
        <v>0</v>
      </c>
      <c r="AL622" s="17">
        <f t="shared" si="68"/>
        <v>0</v>
      </c>
      <c r="AM622" s="17">
        <f t="shared" si="69"/>
        <v>224</v>
      </c>
    </row>
    <row r="623" spans="1:39" s="3" customFormat="1" x14ac:dyDescent="0.25">
      <c r="A623" s="2" t="s">
        <v>16</v>
      </c>
      <c r="B623" s="29" t="s">
        <v>740</v>
      </c>
      <c r="C623" s="2" t="s">
        <v>48</v>
      </c>
      <c r="D623" s="2" t="s">
        <v>630</v>
      </c>
      <c r="E623" s="14">
        <v>8702</v>
      </c>
      <c r="F623" s="15">
        <f t="shared" si="63"/>
        <v>303.69979999999998</v>
      </c>
      <c r="G623" s="15">
        <f t="shared" si="64"/>
        <v>348.08</v>
      </c>
      <c r="H623" s="15">
        <f t="shared" si="65"/>
        <v>253.08316666666667</v>
      </c>
      <c r="I623" s="15">
        <f t="shared" si="66"/>
        <v>290.06666666666666</v>
      </c>
      <c r="J623" s="10">
        <v>358</v>
      </c>
      <c r="K623" s="10">
        <v>159</v>
      </c>
      <c r="L623" s="10">
        <v>260</v>
      </c>
      <c r="M623" s="10">
        <v>255</v>
      </c>
      <c r="N623" s="10">
        <v>246</v>
      </c>
      <c r="O623" s="10">
        <v>265</v>
      </c>
      <c r="P623" s="10">
        <v>261</v>
      </c>
      <c r="Q623" s="10">
        <v>239</v>
      </c>
      <c r="R623" s="10">
        <v>251</v>
      </c>
      <c r="S623" s="10">
        <v>237</v>
      </c>
      <c r="T623" s="10">
        <v>229</v>
      </c>
      <c r="U623" s="10">
        <v>239</v>
      </c>
      <c r="V623" s="10">
        <v>227</v>
      </c>
      <c r="W623" s="10">
        <v>219</v>
      </c>
      <c r="X623" s="10">
        <v>204</v>
      </c>
      <c r="Y623" s="10">
        <v>105</v>
      </c>
      <c r="Z623" s="10">
        <v>218</v>
      </c>
      <c r="AA623" s="10">
        <v>228</v>
      </c>
      <c r="AB623" s="10">
        <v>196</v>
      </c>
      <c r="AC623" s="10">
        <v>171</v>
      </c>
      <c r="AD623" s="10">
        <v>152</v>
      </c>
      <c r="AE623" s="10">
        <v>41</v>
      </c>
      <c r="AF623" s="10">
        <v>5</v>
      </c>
      <c r="AG623" s="10">
        <v>3</v>
      </c>
      <c r="AH623" s="102">
        <f>SUM(Tableau2[[#This Row],[Td 2]:[Td 5]])</f>
        <v>201</v>
      </c>
      <c r="AI623" s="10">
        <v>58.3</v>
      </c>
      <c r="AJ623" s="10">
        <v>100</v>
      </c>
      <c r="AK623" s="17">
        <f t="shared" si="67"/>
        <v>0</v>
      </c>
      <c r="AL623" s="17">
        <f t="shared" si="68"/>
        <v>61</v>
      </c>
      <c r="AM623" s="17">
        <f t="shared" si="69"/>
        <v>204</v>
      </c>
    </row>
    <row r="624" spans="1:39" s="3" customFormat="1" x14ac:dyDescent="0.25">
      <c r="A624" s="2" t="s">
        <v>16</v>
      </c>
      <c r="B624" s="29" t="s">
        <v>740</v>
      </c>
      <c r="C624" s="2" t="s">
        <v>48</v>
      </c>
      <c r="D624" s="2" t="s">
        <v>631</v>
      </c>
      <c r="E624" s="14">
        <v>10023</v>
      </c>
      <c r="F624" s="15">
        <f t="shared" si="63"/>
        <v>349.80270000000002</v>
      </c>
      <c r="G624" s="15">
        <f t="shared" si="64"/>
        <v>400.92</v>
      </c>
      <c r="H624" s="15">
        <f t="shared" si="65"/>
        <v>291.50225</v>
      </c>
      <c r="I624" s="15">
        <f t="shared" si="66"/>
        <v>334.1</v>
      </c>
      <c r="J624" s="10">
        <v>138</v>
      </c>
      <c r="K624" s="10">
        <v>211</v>
      </c>
      <c r="L624" s="10">
        <v>260</v>
      </c>
      <c r="M624" s="10">
        <v>198</v>
      </c>
      <c r="N624" s="10">
        <v>192</v>
      </c>
      <c r="O624" s="10">
        <v>231</v>
      </c>
      <c r="P624" s="10">
        <v>177</v>
      </c>
      <c r="Q624" s="10">
        <v>168</v>
      </c>
      <c r="R624" s="10">
        <v>254</v>
      </c>
      <c r="S624" s="10">
        <v>197</v>
      </c>
      <c r="T624" s="10">
        <v>185</v>
      </c>
      <c r="U624" s="10">
        <v>252</v>
      </c>
      <c r="V624" s="10">
        <v>183</v>
      </c>
      <c r="W624" s="10">
        <v>173</v>
      </c>
      <c r="X624" s="10">
        <v>163</v>
      </c>
      <c r="Y624" s="10">
        <v>93</v>
      </c>
      <c r="Z624" s="10">
        <v>145</v>
      </c>
      <c r="AA624" s="10">
        <v>148</v>
      </c>
      <c r="AB624" s="10">
        <v>126</v>
      </c>
      <c r="AC624" s="10">
        <v>215</v>
      </c>
      <c r="AD624" s="10">
        <v>102</v>
      </c>
      <c r="AE624" s="10">
        <v>50</v>
      </c>
      <c r="AF624" s="10">
        <v>2</v>
      </c>
      <c r="AG624" s="10">
        <v>1</v>
      </c>
      <c r="AH624" s="102">
        <f>SUM(Tableau2[[#This Row],[Td 2]:[Td 5]])</f>
        <v>155</v>
      </c>
      <c r="AI624" s="10">
        <v>58.3</v>
      </c>
      <c r="AJ624" s="10">
        <v>100</v>
      </c>
      <c r="AK624" s="17">
        <f t="shared" si="67"/>
        <v>60.502250000000004</v>
      </c>
      <c r="AL624" s="17">
        <f t="shared" si="68"/>
        <v>68</v>
      </c>
      <c r="AM624" s="17">
        <f t="shared" si="69"/>
        <v>145</v>
      </c>
    </row>
    <row r="625" spans="1:39" s="3" customFormat="1" x14ac:dyDescent="0.25">
      <c r="A625" s="2" t="s">
        <v>16</v>
      </c>
      <c r="B625" s="29" t="s">
        <v>740</v>
      </c>
      <c r="C625" s="2" t="s">
        <v>48</v>
      </c>
      <c r="D625" s="2" t="s">
        <v>344</v>
      </c>
      <c r="E625" s="14">
        <v>23722</v>
      </c>
      <c r="F625" s="15">
        <f t="shared" si="63"/>
        <v>827.89779999999996</v>
      </c>
      <c r="G625" s="15">
        <f t="shared" si="64"/>
        <v>948.88</v>
      </c>
      <c r="H625" s="15">
        <f t="shared" si="65"/>
        <v>689.91483333333338</v>
      </c>
      <c r="I625" s="15">
        <f t="shared" si="66"/>
        <v>790.73333333333335</v>
      </c>
      <c r="J625" s="10">
        <v>751</v>
      </c>
      <c r="K625" s="10">
        <v>306</v>
      </c>
      <c r="L625" s="10">
        <v>600</v>
      </c>
      <c r="M625" s="10">
        <v>563</v>
      </c>
      <c r="N625" s="10">
        <v>569</v>
      </c>
      <c r="O625" s="10">
        <v>582</v>
      </c>
      <c r="P625" s="10">
        <v>552</v>
      </c>
      <c r="Q625" s="10">
        <v>551</v>
      </c>
      <c r="R625" s="10">
        <v>558</v>
      </c>
      <c r="S625" s="10">
        <v>522</v>
      </c>
      <c r="T625" s="10">
        <v>517</v>
      </c>
      <c r="U625" s="10">
        <v>484</v>
      </c>
      <c r="V625" s="10">
        <v>448</v>
      </c>
      <c r="W625" s="10">
        <v>434</v>
      </c>
      <c r="X625" s="10">
        <v>526</v>
      </c>
      <c r="Y625" s="10">
        <v>201</v>
      </c>
      <c r="Z625" s="10">
        <v>505</v>
      </c>
      <c r="AA625" s="10">
        <v>482</v>
      </c>
      <c r="AB625" s="10">
        <v>383</v>
      </c>
      <c r="AC625" s="10">
        <v>131</v>
      </c>
      <c r="AD625" s="10">
        <v>121</v>
      </c>
      <c r="AE625" s="10">
        <v>70</v>
      </c>
      <c r="AF625" s="10">
        <v>50</v>
      </c>
      <c r="AG625" s="10">
        <v>29</v>
      </c>
      <c r="AH625" s="102">
        <f>SUM(Tableau2[[#This Row],[Td 2]:[Td 5]])</f>
        <v>270</v>
      </c>
      <c r="AI625" s="10">
        <v>54.2</v>
      </c>
      <c r="AJ625" s="10">
        <v>100</v>
      </c>
      <c r="AK625" s="17">
        <f t="shared" si="67"/>
        <v>107.91483333333338</v>
      </c>
      <c r="AL625" s="17">
        <f t="shared" si="68"/>
        <v>56</v>
      </c>
      <c r="AM625" s="17">
        <f t="shared" si="69"/>
        <v>505</v>
      </c>
    </row>
    <row r="626" spans="1:39" s="3" customFormat="1" x14ac:dyDescent="0.25">
      <c r="A626" s="2" t="s">
        <v>16</v>
      </c>
      <c r="B626" s="29" t="s">
        <v>740</v>
      </c>
      <c r="C626" s="2" t="s">
        <v>48</v>
      </c>
      <c r="D626" s="2" t="s">
        <v>632</v>
      </c>
      <c r="E626" s="14">
        <v>8695</v>
      </c>
      <c r="F626" s="15">
        <f t="shared" si="63"/>
        <v>303.45550000000003</v>
      </c>
      <c r="G626" s="15">
        <f t="shared" si="64"/>
        <v>347.8</v>
      </c>
      <c r="H626" s="15">
        <f t="shared" si="65"/>
        <v>252.87958333333336</v>
      </c>
      <c r="I626" s="15">
        <f t="shared" si="66"/>
        <v>289.83333333333337</v>
      </c>
      <c r="J626" s="10">
        <v>182</v>
      </c>
      <c r="K626" s="10">
        <v>281</v>
      </c>
      <c r="L626" s="10">
        <v>258</v>
      </c>
      <c r="M626" s="10">
        <v>236</v>
      </c>
      <c r="N626" s="10">
        <v>236</v>
      </c>
      <c r="O626" s="10">
        <v>257</v>
      </c>
      <c r="P626" s="10">
        <v>248</v>
      </c>
      <c r="Q626" s="10">
        <v>252</v>
      </c>
      <c r="R626" s="10">
        <v>257</v>
      </c>
      <c r="S626" s="10">
        <v>248</v>
      </c>
      <c r="T626" s="10">
        <v>244</v>
      </c>
      <c r="U626" s="10">
        <v>257</v>
      </c>
      <c r="V626" s="10">
        <v>248</v>
      </c>
      <c r="W626" s="10">
        <v>247</v>
      </c>
      <c r="X626" s="10">
        <v>246</v>
      </c>
      <c r="Y626" s="10">
        <v>115</v>
      </c>
      <c r="Z626" s="10">
        <v>221</v>
      </c>
      <c r="AA626" s="10">
        <v>250</v>
      </c>
      <c r="AB626" s="10">
        <v>121</v>
      </c>
      <c r="AC626" s="10">
        <v>69</v>
      </c>
      <c r="AD626" s="10">
        <v>73</v>
      </c>
      <c r="AE626" s="10">
        <v>89</v>
      </c>
      <c r="AF626" s="10">
        <v>59</v>
      </c>
      <c r="AG626" s="10">
        <v>36</v>
      </c>
      <c r="AH626" s="102">
        <f>SUM(Tableau2[[#This Row],[Td 2]:[Td 5]])</f>
        <v>257</v>
      </c>
      <c r="AI626" s="10">
        <v>58.3</v>
      </c>
      <c r="AJ626" s="10">
        <v>100</v>
      </c>
      <c r="AK626" s="17">
        <f t="shared" si="67"/>
        <v>0</v>
      </c>
      <c r="AL626" s="17">
        <f t="shared" si="68"/>
        <v>11</v>
      </c>
      <c r="AM626" s="17">
        <f t="shared" si="69"/>
        <v>221</v>
      </c>
    </row>
    <row r="627" spans="1:39" s="3" customFormat="1" x14ac:dyDescent="0.25">
      <c r="A627" s="2" t="s">
        <v>16</v>
      </c>
      <c r="B627" s="29" t="s">
        <v>740</v>
      </c>
      <c r="C627" s="2" t="s">
        <v>48</v>
      </c>
      <c r="D627" s="2" t="s">
        <v>633</v>
      </c>
      <c r="E627" s="14">
        <v>10807</v>
      </c>
      <c r="F627" s="15">
        <f t="shared" si="63"/>
        <v>377.16430000000003</v>
      </c>
      <c r="G627" s="15">
        <f t="shared" si="64"/>
        <v>432.28000000000003</v>
      </c>
      <c r="H627" s="15">
        <f t="shared" si="65"/>
        <v>314.30358333333334</v>
      </c>
      <c r="I627" s="15">
        <f t="shared" si="66"/>
        <v>360.23333333333335</v>
      </c>
      <c r="J627" s="10">
        <v>480</v>
      </c>
      <c r="K627" s="10">
        <v>365</v>
      </c>
      <c r="L627" s="10">
        <v>411</v>
      </c>
      <c r="M627" s="10">
        <v>392</v>
      </c>
      <c r="N627" s="10">
        <v>439</v>
      </c>
      <c r="O627" s="10">
        <v>354</v>
      </c>
      <c r="P627" s="10">
        <v>331</v>
      </c>
      <c r="Q627" s="10">
        <v>404</v>
      </c>
      <c r="R627" s="10">
        <v>349</v>
      </c>
      <c r="S627" s="10">
        <v>329</v>
      </c>
      <c r="T627" s="10">
        <v>346</v>
      </c>
      <c r="U627" s="10">
        <v>297</v>
      </c>
      <c r="V627" s="10">
        <v>278</v>
      </c>
      <c r="W627" s="10">
        <v>225</v>
      </c>
      <c r="X627" s="10">
        <v>337</v>
      </c>
      <c r="Y627" s="10">
        <v>365</v>
      </c>
      <c r="Z627" s="10">
        <v>379</v>
      </c>
      <c r="AA627" s="10">
        <v>371</v>
      </c>
      <c r="AB627" s="10">
        <v>342</v>
      </c>
      <c r="AC627" s="10">
        <v>317</v>
      </c>
      <c r="AD627" s="10">
        <v>196</v>
      </c>
      <c r="AE627" s="10">
        <v>49</v>
      </c>
      <c r="AF627" s="10">
        <v>40</v>
      </c>
      <c r="AG627" s="10">
        <v>32</v>
      </c>
      <c r="AH627" s="102">
        <f>SUM(Tableau2[[#This Row],[Td 2]:[Td 5]])</f>
        <v>317</v>
      </c>
      <c r="AI627" s="10">
        <v>58.3</v>
      </c>
      <c r="AJ627" s="10">
        <v>100</v>
      </c>
      <c r="AK627" s="17">
        <f t="shared" si="67"/>
        <v>0</v>
      </c>
      <c r="AL627" s="17">
        <f t="shared" si="68"/>
        <v>17</v>
      </c>
      <c r="AM627" s="17">
        <f t="shared" si="69"/>
        <v>337</v>
      </c>
    </row>
    <row r="628" spans="1:39" s="3" customFormat="1" x14ac:dyDescent="0.25">
      <c r="A628" s="2" t="s">
        <v>16</v>
      </c>
      <c r="B628" s="29" t="s">
        <v>740</v>
      </c>
      <c r="C628" s="2" t="s">
        <v>48</v>
      </c>
      <c r="D628" s="2" t="s">
        <v>634</v>
      </c>
      <c r="E628" s="14">
        <v>8908</v>
      </c>
      <c r="F628" s="15">
        <f t="shared" si="63"/>
        <v>310.88920000000002</v>
      </c>
      <c r="G628" s="15">
        <f t="shared" si="64"/>
        <v>356.32</v>
      </c>
      <c r="H628" s="15">
        <f t="shared" si="65"/>
        <v>259.07433333333336</v>
      </c>
      <c r="I628" s="15">
        <f t="shared" si="66"/>
        <v>296.93333333333334</v>
      </c>
      <c r="J628" s="10">
        <v>159</v>
      </c>
      <c r="K628" s="10">
        <v>134</v>
      </c>
      <c r="L628" s="10">
        <v>206</v>
      </c>
      <c r="M628" s="10">
        <v>179</v>
      </c>
      <c r="N628" s="10">
        <v>187</v>
      </c>
      <c r="O628" s="10">
        <v>203</v>
      </c>
      <c r="P628" s="10">
        <v>198</v>
      </c>
      <c r="Q628" s="10">
        <v>170</v>
      </c>
      <c r="R628" s="10">
        <v>194</v>
      </c>
      <c r="S628" s="10">
        <v>202</v>
      </c>
      <c r="T628" s="10">
        <v>185</v>
      </c>
      <c r="U628" s="10">
        <v>153</v>
      </c>
      <c r="V628" s="10">
        <v>149</v>
      </c>
      <c r="W628" s="10">
        <v>155</v>
      </c>
      <c r="X628" s="10">
        <v>226</v>
      </c>
      <c r="Y628" s="10">
        <v>114</v>
      </c>
      <c r="Z628" s="10">
        <v>171</v>
      </c>
      <c r="AA628" s="10">
        <v>150</v>
      </c>
      <c r="AB628" s="10">
        <v>156</v>
      </c>
      <c r="AC628" s="10">
        <v>46</v>
      </c>
      <c r="AD628" s="10">
        <v>22</v>
      </c>
      <c r="AE628" s="10">
        <v>27</v>
      </c>
      <c r="AF628" s="10">
        <v>20</v>
      </c>
      <c r="AG628" s="10">
        <v>15</v>
      </c>
      <c r="AH628" s="102">
        <f>SUM(Tableau2[[#This Row],[Td 2]:[Td 5]])</f>
        <v>84</v>
      </c>
      <c r="AI628" s="10">
        <v>58.3</v>
      </c>
      <c r="AJ628" s="10">
        <v>100</v>
      </c>
      <c r="AK628" s="17">
        <f t="shared" si="67"/>
        <v>56.074333333333357</v>
      </c>
      <c r="AL628" s="17">
        <f t="shared" si="68"/>
        <v>0</v>
      </c>
      <c r="AM628" s="17">
        <f t="shared" si="69"/>
        <v>171</v>
      </c>
    </row>
    <row r="629" spans="1:39" s="3" customFormat="1" x14ac:dyDescent="0.25">
      <c r="A629" s="2" t="s">
        <v>16</v>
      </c>
      <c r="B629" s="29" t="s">
        <v>740</v>
      </c>
      <c r="C629" s="2" t="s">
        <v>48</v>
      </c>
      <c r="D629" s="2" t="s">
        <v>635</v>
      </c>
      <c r="E629" s="14">
        <v>7147</v>
      </c>
      <c r="F629" s="15">
        <f t="shared" si="63"/>
        <v>249.43030000000002</v>
      </c>
      <c r="G629" s="15">
        <f t="shared" si="64"/>
        <v>285.88</v>
      </c>
      <c r="H629" s="15">
        <f t="shared" si="65"/>
        <v>207.85858333333334</v>
      </c>
      <c r="I629" s="15">
        <f t="shared" si="66"/>
        <v>238.23333333333335</v>
      </c>
      <c r="J629" s="10">
        <v>237</v>
      </c>
      <c r="K629" s="10">
        <v>188</v>
      </c>
      <c r="L629" s="10">
        <v>191</v>
      </c>
      <c r="M629" s="10">
        <v>178</v>
      </c>
      <c r="N629" s="10">
        <v>190</v>
      </c>
      <c r="O629" s="10">
        <v>184</v>
      </c>
      <c r="P629" s="10">
        <v>179</v>
      </c>
      <c r="Q629" s="10">
        <v>186</v>
      </c>
      <c r="R629" s="10">
        <v>176</v>
      </c>
      <c r="S629" s="10">
        <v>162</v>
      </c>
      <c r="T629" s="10">
        <v>188</v>
      </c>
      <c r="U629" s="10">
        <v>127</v>
      </c>
      <c r="V629" s="10">
        <v>126</v>
      </c>
      <c r="W629" s="10">
        <v>135</v>
      </c>
      <c r="X629" s="10">
        <v>206</v>
      </c>
      <c r="Y629" s="10">
        <v>152</v>
      </c>
      <c r="Z629" s="10">
        <v>238</v>
      </c>
      <c r="AA629" s="10">
        <v>191</v>
      </c>
      <c r="AB629" s="10">
        <v>100</v>
      </c>
      <c r="AC629" s="10">
        <v>74</v>
      </c>
      <c r="AD629" s="10">
        <v>69</v>
      </c>
      <c r="AE629" s="10">
        <v>30</v>
      </c>
      <c r="AF629" s="10">
        <v>16</v>
      </c>
      <c r="AG629" s="10">
        <v>45</v>
      </c>
      <c r="AH629" s="102">
        <f>SUM(Tableau2[[#This Row],[Td 2]:[Td 5]])</f>
        <v>160</v>
      </c>
      <c r="AI629" s="10">
        <v>50</v>
      </c>
      <c r="AJ629" s="10">
        <v>100</v>
      </c>
      <c r="AK629" s="17">
        <f t="shared" si="67"/>
        <v>23.858583333333343</v>
      </c>
      <c r="AL629" s="17">
        <f t="shared" si="68"/>
        <v>0</v>
      </c>
      <c r="AM629" s="17">
        <f t="shared" si="69"/>
        <v>206</v>
      </c>
    </row>
    <row r="630" spans="1:39" s="3" customFormat="1" x14ac:dyDescent="0.25">
      <c r="A630" s="2" t="s">
        <v>16</v>
      </c>
      <c r="B630" s="29" t="s">
        <v>740</v>
      </c>
      <c r="C630" s="2" t="s">
        <v>48</v>
      </c>
      <c r="D630" s="2" t="s">
        <v>636</v>
      </c>
      <c r="E630" s="14">
        <v>19810</v>
      </c>
      <c r="F630" s="15">
        <f t="shared" si="63"/>
        <v>691.36900000000003</v>
      </c>
      <c r="G630" s="15">
        <f t="shared" si="64"/>
        <v>792.4</v>
      </c>
      <c r="H630" s="15">
        <f t="shared" si="65"/>
        <v>576.14083333333338</v>
      </c>
      <c r="I630" s="15">
        <f t="shared" si="66"/>
        <v>660.33333333333326</v>
      </c>
      <c r="J630" s="10">
        <v>543</v>
      </c>
      <c r="K630" s="10">
        <v>118</v>
      </c>
      <c r="L630" s="10">
        <v>484</v>
      </c>
      <c r="M630" s="10">
        <v>491</v>
      </c>
      <c r="N630" s="10">
        <v>495</v>
      </c>
      <c r="O630" s="10">
        <v>498</v>
      </c>
      <c r="P630" s="10">
        <v>508</v>
      </c>
      <c r="Q630" s="10">
        <v>519</v>
      </c>
      <c r="R630" s="10">
        <v>493</v>
      </c>
      <c r="S630" s="10">
        <v>501</v>
      </c>
      <c r="T630" s="10">
        <v>516</v>
      </c>
      <c r="U630" s="10">
        <v>449</v>
      </c>
      <c r="V630" s="10">
        <v>450</v>
      </c>
      <c r="W630" s="10">
        <v>450</v>
      </c>
      <c r="X630" s="10">
        <v>556</v>
      </c>
      <c r="Y630" s="10">
        <v>111</v>
      </c>
      <c r="Z630" s="10">
        <v>473</v>
      </c>
      <c r="AA630" s="10">
        <v>491</v>
      </c>
      <c r="AB630" s="10">
        <v>443</v>
      </c>
      <c r="AC630" s="10">
        <v>121</v>
      </c>
      <c r="AD630" s="10">
        <v>82</v>
      </c>
      <c r="AE630" s="10">
        <v>121</v>
      </c>
      <c r="AF630" s="10">
        <v>100</v>
      </c>
      <c r="AG630" s="10">
        <v>77</v>
      </c>
      <c r="AH630" s="102">
        <f>SUM(Tableau2[[#This Row],[Td 2]:[Td 5]])</f>
        <v>380</v>
      </c>
      <c r="AI630" s="10">
        <v>58.3</v>
      </c>
      <c r="AJ630" s="10">
        <v>100</v>
      </c>
      <c r="AK630" s="17">
        <f t="shared" si="67"/>
        <v>78.140833333333376</v>
      </c>
      <c r="AL630" s="17">
        <f t="shared" si="68"/>
        <v>0</v>
      </c>
      <c r="AM630" s="17">
        <f t="shared" si="69"/>
        <v>473</v>
      </c>
    </row>
    <row r="631" spans="1:39" s="3" customFormat="1" x14ac:dyDescent="0.25">
      <c r="A631" s="2" t="s">
        <v>16</v>
      </c>
      <c r="B631" s="29" t="s">
        <v>740</v>
      </c>
      <c r="C631" s="2" t="s">
        <v>48</v>
      </c>
      <c r="D631" s="2" t="s">
        <v>637</v>
      </c>
      <c r="E631" s="14">
        <v>7491</v>
      </c>
      <c r="F631" s="15">
        <f t="shared" si="63"/>
        <v>261.4359</v>
      </c>
      <c r="G631" s="15">
        <f t="shared" si="64"/>
        <v>299.64</v>
      </c>
      <c r="H631" s="15">
        <f t="shared" si="65"/>
        <v>217.86325000000002</v>
      </c>
      <c r="I631" s="15">
        <f t="shared" si="66"/>
        <v>249.7</v>
      </c>
      <c r="J631" s="10">
        <v>271</v>
      </c>
      <c r="K631" s="10">
        <v>87</v>
      </c>
      <c r="L631" s="10">
        <v>245</v>
      </c>
      <c r="M631" s="10">
        <v>224</v>
      </c>
      <c r="N631" s="10">
        <v>236</v>
      </c>
      <c r="O631" s="10">
        <v>235</v>
      </c>
      <c r="P631" s="10">
        <v>208</v>
      </c>
      <c r="Q631" s="10">
        <v>223</v>
      </c>
      <c r="R631" s="10">
        <v>235</v>
      </c>
      <c r="S631" s="10">
        <v>224</v>
      </c>
      <c r="T631" s="10">
        <v>226</v>
      </c>
      <c r="U631" s="10">
        <v>229</v>
      </c>
      <c r="V631" s="10">
        <v>206</v>
      </c>
      <c r="W631" s="10">
        <v>223</v>
      </c>
      <c r="X631" s="10">
        <v>226</v>
      </c>
      <c r="Y631" s="10">
        <v>191</v>
      </c>
      <c r="Z631" s="10">
        <v>226</v>
      </c>
      <c r="AA631" s="10">
        <v>246</v>
      </c>
      <c r="AB631" s="10">
        <v>226</v>
      </c>
      <c r="AC631" s="10">
        <v>172</v>
      </c>
      <c r="AD631" s="10">
        <v>111</v>
      </c>
      <c r="AE631" s="10">
        <v>60</v>
      </c>
      <c r="AF631" s="10">
        <v>29</v>
      </c>
      <c r="AG631" s="10">
        <v>20</v>
      </c>
      <c r="AH631" s="102">
        <f>SUM(Tableau2[[#This Row],[Td 2]:[Td 5]])</f>
        <v>220</v>
      </c>
      <c r="AI631" s="10">
        <v>58.3</v>
      </c>
      <c r="AJ631" s="10">
        <v>100</v>
      </c>
      <c r="AK631" s="17">
        <f t="shared" si="67"/>
        <v>0</v>
      </c>
      <c r="AL631" s="17">
        <f t="shared" si="68"/>
        <v>9</v>
      </c>
      <c r="AM631" s="17">
        <f t="shared" si="69"/>
        <v>226</v>
      </c>
    </row>
    <row r="632" spans="1:39" s="3" customFormat="1" x14ac:dyDescent="0.25">
      <c r="A632" s="2" t="s">
        <v>16</v>
      </c>
      <c r="B632" s="29" t="s">
        <v>740</v>
      </c>
      <c r="C632" s="2" t="s">
        <v>48</v>
      </c>
      <c r="D632" s="2" t="s">
        <v>638</v>
      </c>
      <c r="E632" s="14">
        <v>19416</v>
      </c>
      <c r="F632" s="15">
        <f t="shared" si="63"/>
        <v>677.61840000000007</v>
      </c>
      <c r="G632" s="15">
        <f t="shared" si="64"/>
        <v>776.64</v>
      </c>
      <c r="H632" s="15">
        <f t="shared" si="65"/>
        <v>564.68200000000002</v>
      </c>
      <c r="I632" s="15">
        <f t="shared" si="66"/>
        <v>647.20000000000005</v>
      </c>
      <c r="J632" s="10">
        <v>860</v>
      </c>
      <c r="K632" s="10">
        <v>309</v>
      </c>
      <c r="L632" s="10">
        <v>630</v>
      </c>
      <c r="M632" s="10">
        <v>603</v>
      </c>
      <c r="N632" s="10">
        <v>611</v>
      </c>
      <c r="O632" s="10">
        <v>566</v>
      </c>
      <c r="P632" s="10">
        <v>530</v>
      </c>
      <c r="Q632" s="10">
        <v>542</v>
      </c>
      <c r="R632" s="10">
        <v>630</v>
      </c>
      <c r="S632" s="10">
        <v>603</v>
      </c>
      <c r="T632" s="10">
        <v>611</v>
      </c>
      <c r="U632" s="10">
        <v>539</v>
      </c>
      <c r="V632" s="10">
        <v>509</v>
      </c>
      <c r="W632" s="10">
        <v>516</v>
      </c>
      <c r="X632" s="10">
        <v>707</v>
      </c>
      <c r="Y632" s="10">
        <v>645</v>
      </c>
      <c r="Z632" s="10">
        <v>532</v>
      </c>
      <c r="AA632" s="10">
        <v>552</v>
      </c>
      <c r="AB632" s="10">
        <v>477</v>
      </c>
      <c r="AC632" s="10">
        <v>116</v>
      </c>
      <c r="AD632" s="10">
        <v>138</v>
      </c>
      <c r="AE632" s="10">
        <v>133</v>
      </c>
      <c r="AF632" s="10">
        <v>117</v>
      </c>
      <c r="AG632" s="10">
        <v>115</v>
      </c>
      <c r="AH632" s="102">
        <f>SUM(Tableau2[[#This Row],[Td 2]:[Td 5]])</f>
        <v>503</v>
      </c>
      <c r="AI632" s="10">
        <v>58.3</v>
      </c>
      <c r="AJ632" s="10">
        <v>100</v>
      </c>
      <c r="AK632" s="17">
        <f t="shared" si="67"/>
        <v>0</v>
      </c>
      <c r="AL632" s="17">
        <f t="shared" si="68"/>
        <v>0</v>
      </c>
      <c r="AM632" s="17">
        <f t="shared" si="69"/>
        <v>532</v>
      </c>
    </row>
    <row r="633" spans="1:39" s="3" customFormat="1" x14ac:dyDescent="0.25">
      <c r="A633" s="2" t="s">
        <v>16</v>
      </c>
      <c r="B633" s="29" t="s">
        <v>740</v>
      </c>
      <c r="C633" s="2" t="s">
        <v>48</v>
      </c>
      <c r="D633" s="2" t="s">
        <v>639</v>
      </c>
      <c r="E633" s="14">
        <v>13064</v>
      </c>
      <c r="F633" s="15">
        <f t="shared" si="63"/>
        <v>455.93360000000001</v>
      </c>
      <c r="G633" s="15">
        <f t="shared" si="64"/>
        <v>522.56000000000006</v>
      </c>
      <c r="H633" s="15">
        <f t="shared" si="65"/>
        <v>379.94466666666665</v>
      </c>
      <c r="I633" s="15">
        <f t="shared" si="66"/>
        <v>435.46666666666675</v>
      </c>
      <c r="J633" s="10">
        <v>450</v>
      </c>
      <c r="K633" s="10">
        <v>2896</v>
      </c>
      <c r="L633" s="10">
        <v>472</v>
      </c>
      <c r="M633" s="10">
        <v>431</v>
      </c>
      <c r="N633" s="10">
        <v>450</v>
      </c>
      <c r="O633" s="10">
        <v>510</v>
      </c>
      <c r="P633" s="10">
        <v>468</v>
      </c>
      <c r="Q633" s="10">
        <v>473</v>
      </c>
      <c r="R633" s="10">
        <v>514</v>
      </c>
      <c r="S633" s="10">
        <v>478</v>
      </c>
      <c r="T633" s="10">
        <v>490</v>
      </c>
      <c r="U633" s="10">
        <v>374</v>
      </c>
      <c r="V633" s="10">
        <v>350</v>
      </c>
      <c r="W633" s="10">
        <v>362</v>
      </c>
      <c r="X633" s="10">
        <v>406</v>
      </c>
      <c r="Y633" s="10">
        <v>370</v>
      </c>
      <c r="Z633" s="10">
        <v>345</v>
      </c>
      <c r="AA633" s="10">
        <v>463</v>
      </c>
      <c r="AB633" s="10">
        <v>398</v>
      </c>
      <c r="AC633" s="10">
        <v>259</v>
      </c>
      <c r="AD633" s="10">
        <v>217</v>
      </c>
      <c r="AE633" s="10">
        <v>128</v>
      </c>
      <c r="AF633" s="10">
        <v>108</v>
      </c>
      <c r="AG633" s="10">
        <v>72</v>
      </c>
      <c r="AH633" s="102">
        <f>SUM(Tableau2[[#This Row],[Td 2]:[Td 5]])</f>
        <v>525</v>
      </c>
      <c r="AI633" s="10">
        <v>58.3</v>
      </c>
      <c r="AJ633" s="10">
        <v>100</v>
      </c>
      <c r="AK633" s="17">
        <f t="shared" si="67"/>
        <v>0</v>
      </c>
      <c r="AL633" s="17">
        <f t="shared" si="68"/>
        <v>104</v>
      </c>
      <c r="AM633" s="17">
        <f t="shared" si="69"/>
        <v>345</v>
      </c>
    </row>
    <row r="634" spans="1:39" s="3" customFormat="1" x14ac:dyDescent="0.25">
      <c r="A634" s="2" t="s">
        <v>16</v>
      </c>
      <c r="B634" s="29" t="s">
        <v>740</v>
      </c>
      <c r="C634" s="2" t="s">
        <v>48</v>
      </c>
      <c r="D634" s="2" t="s">
        <v>640</v>
      </c>
      <c r="E634" s="14">
        <v>29059</v>
      </c>
      <c r="F634" s="15">
        <f t="shared" si="63"/>
        <v>1014.1591</v>
      </c>
      <c r="G634" s="15">
        <f t="shared" si="64"/>
        <v>1162.3600000000001</v>
      </c>
      <c r="H634" s="15">
        <f t="shared" si="65"/>
        <v>845.13258333333329</v>
      </c>
      <c r="I634" s="15">
        <f t="shared" si="66"/>
        <v>968.63333333333344</v>
      </c>
      <c r="J634" s="10">
        <v>642</v>
      </c>
      <c r="K634" s="10">
        <v>660</v>
      </c>
      <c r="L634" s="10">
        <v>725</v>
      </c>
      <c r="M634" s="10">
        <v>653</v>
      </c>
      <c r="N634" s="10">
        <v>715</v>
      </c>
      <c r="O634" s="10">
        <v>706</v>
      </c>
      <c r="P634" s="10">
        <v>680</v>
      </c>
      <c r="Q634" s="10">
        <v>773</v>
      </c>
      <c r="R634" s="10">
        <v>739</v>
      </c>
      <c r="S634" s="10">
        <v>683</v>
      </c>
      <c r="T634" s="10">
        <v>662</v>
      </c>
      <c r="U634" s="10">
        <v>726</v>
      </c>
      <c r="V634" s="10">
        <v>641</v>
      </c>
      <c r="W634" s="10">
        <v>610</v>
      </c>
      <c r="X634" s="10">
        <v>769</v>
      </c>
      <c r="Y634" s="10">
        <v>337</v>
      </c>
      <c r="Z634" s="10">
        <v>582</v>
      </c>
      <c r="AA634" s="10">
        <v>607</v>
      </c>
      <c r="AB634" s="10">
        <v>617</v>
      </c>
      <c r="AC634" s="10">
        <v>349</v>
      </c>
      <c r="AD634" s="10">
        <v>319</v>
      </c>
      <c r="AE634" s="10">
        <v>355</v>
      </c>
      <c r="AF634" s="10">
        <v>162</v>
      </c>
      <c r="AG634" s="10">
        <v>286</v>
      </c>
      <c r="AH634" s="102">
        <f>SUM(Tableau2[[#This Row],[Td 2]:[Td 5]])</f>
        <v>1122</v>
      </c>
      <c r="AI634" s="10">
        <v>58.3</v>
      </c>
      <c r="AJ634" s="10">
        <v>100</v>
      </c>
      <c r="AK634" s="17">
        <f t="shared" si="67"/>
        <v>139.13258333333329</v>
      </c>
      <c r="AL634" s="17">
        <f t="shared" si="68"/>
        <v>0</v>
      </c>
      <c r="AM634" s="17">
        <f t="shared" si="69"/>
        <v>582</v>
      </c>
    </row>
    <row r="635" spans="1:39" s="3" customFormat="1" x14ac:dyDescent="0.25">
      <c r="A635" s="2" t="s">
        <v>16</v>
      </c>
      <c r="B635" s="29" t="s">
        <v>740</v>
      </c>
      <c r="C635" s="2" t="s">
        <v>48</v>
      </c>
      <c r="D635" s="2" t="s">
        <v>641</v>
      </c>
      <c r="E635" s="14">
        <v>15030</v>
      </c>
      <c r="F635" s="15">
        <f t="shared" si="63"/>
        <v>524.54700000000003</v>
      </c>
      <c r="G635" s="15">
        <f t="shared" si="64"/>
        <v>601.20000000000005</v>
      </c>
      <c r="H635" s="15">
        <f t="shared" si="65"/>
        <v>437.12250000000006</v>
      </c>
      <c r="I635" s="15">
        <f t="shared" si="66"/>
        <v>501</v>
      </c>
      <c r="J635" s="10">
        <v>229</v>
      </c>
      <c r="K635" s="10">
        <v>243</v>
      </c>
      <c r="L635" s="10">
        <v>489</v>
      </c>
      <c r="M635" s="10">
        <v>590</v>
      </c>
      <c r="N635" s="10">
        <v>610</v>
      </c>
      <c r="O635" s="10">
        <v>467</v>
      </c>
      <c r="P635" s="10">
        <v>551</v>
      </c>
      <c r="Q635" s="10">
        <v>662</v>
      </c>
      <c r="R635" s="10">
        <v>430</v>
      </c>
      <c r="S635" s="10">
        <v>486</v>
      </c>
      <c r="T635" s="10">
        <v>572</v>
      </c>
      <c r="U635" s="10">
        <v>443</v>
      </c>
      <c r="V635" s="10">
        <v>527</v>
      </c>
      <c r="W635" s="10">
        <v>432</v>
      </c>
      <c r="X635" s="10">
        <v>461</v>
      </c>
      <c r="Y635" s="10">
        <v>500</v>
      </c>
      <c r="Z635" s="10">
        <v>432</v>
      </c>
      <c r="AA635" s="10">
        <v>454</v>
      </c>
      <c r="AB635" s="10">
        <v>353</v>
      </c>
      <c r="AC635" s="10">
        <v>354</v>
      </c>
      <c r="AD635" s="10">
        <v>245</v>
      </c>
      <c r="AE635" s="10">
        <v>286</v>
      </c>
      <c r="AF635" s="10">
        <v>70</v>
      </c>
      <c r="AG635" s="10">
        <v>7</v>
      </c>
      <c r="AH635" s="102">
        <f>SUM(Tableau2[[#This Row],[Td 2]:[Td 5]])</f>
        <v>608</v>
      </c>
      <c r="AI635" s="10">
        <v>58.3</v>
      </c>
      <c r="AJ635" s="10">
        <v>100</v>
      </c>
      <c r="AK635" s="17">
        <f t="shared" si="67"/>
        <v>0</v>
      </c>
      <c r="AL635" s="17">
        <f t="shared" si="68"/>
        <v>6</v>
      </c>
      <c r="AM635" s="17">
        <f t="shared" si="69"/>
        <v>432</v>
      </c>
    </row>
    <row r="636" spans="1:39" s="3" customFormat="1" x14ac:dyDescent="0.25">
      <c r="A636" s="2" t="s">
        <v>16</v>
      </c>
      <c r="B636" s="29" t="s">
        <v>740</v>
      </c>
      <c r="C636" s="2" t="s">
        <v>48</v>
      </c>
      <c r="D636" s="2" t="s">
        <v>642</v>
      </c>
      <c r="E636" s="14">
        <v>34609</v>
      </c>
      <c r="F636" s="15">
        <f t="shared" si="63"/>
        <v>1207.8541</v>
      </c>
      <c r="G636" s="15">
        <f t="shared" si="64"/>
        <v>1384.3600000000001</v>
      </c>
      <c r="H636" s="15">
        <f t="shared" si="65"/>
        <v>1006.5450833333334</v>
      </c>
      <c r="I636" s="15">
        <f t="shared" si="66"/>
        <v>1153.6333333333334</v>
      </c>
      <c r="J636" s="10">
        <v>795</v>
      </c>
      <c r="K636" s="10">
        <v>1159</v>
      </c>
      <c r="L636" s="10">
        <v>1326</v>
      </c>
      <c r="M636" s="10">
        <v>1087</v>
      </c>
      <c r="N636" s="10">
        <v>1234</v>
      </c>
      <c r="O636" s="10">
        <v>1273</v>
      </c>
      <c r="P636" s="10">
        <v>1039</v>
      </c>
      <c r="Q636" s="10">
        <v>1182</v>
      </c>
      <c r="R636" s="10">
        <v>1177</v>
      </c>
      <c r="S636" s="10">
        <v>984</v>
      </c>
      <c r="T636" s="10">
        <v>1127</v>
      </c>
      <c r="U636" s="10">
        <v>1103</v>
      </c>
      <c r="V636" s="10">
        <v>932</v>
      </c>
      <c r="W636" s="10">
        <v>1029</v>
      </c>
      <c r="X636" s="10">
        <v>1389</v>
      </c>
      <c r="Y636" s="10">
        <v>855</v>
      </c>
      <c r="Z636" s="10">
        <v>1149</v>
      </c>
      <c r="AA636" s="10">
        <v>928</v>
      </c>
      <c r="AB636" s="10">
        <v>685</v>
      </c>
      <c r="AC636" s="10">
        <v>1083</v>
      </c>
      <c r="AD636" s="10">
        <v>884</v>
      </c>
      <c r="AE636" s="10">
        <v>721</v>
      </c>
      <c r="AF636" s="10">
        <v>184</v>
      </c>
      <c r="AG636" s="10">
        <v>55</v>
      </c>
      <c r="AH636" s="102">
        <f>SUM(Tableau2[[#This Row],[Td 2]:[Td 5]])</f>
        <v>1844</v>
      </c>
      <c r="AI636" s="10">
        <v>58.3</v>
      </c>
      <c r="AJ636" s="10">
        <v>100</v>
      </c>
      <c r="AK636" s="17">
        <f t="shared" si="67"/>
        <v>0</v>
      </c>
      <c r="AL636" s="17">
        <f t="shared" si="68"/>
        <v>0</v>
      </c>
      <c r="AM636" s="17">
        <f t="shared" si="69"/>
        <v>1149</v>
      </c>
    </row>
    <row r="637" spans="1:39" s="3" customFormat="1" x14ac:dyDescent="0.25">
      <c r="A637" s="2" t="s">
        <v>16</v>
      </c>
      <c r="B637" s="29" t="s">
        <v>740</v>
      </c>
      <c r="C637" s="2" t="s">
        <v>48</v>
      </c>
      <c r="D637" s="2" t="s">
        <v>643</v>
      </c>
      <c r="E637" s="14">
        <v>11432</v>
      </c>
      <c r="F637" s="15">
        <f t="shared" si="63"/>
        <v>398.97680000000003</v>
      </c>
      <c r="G637" s="15">
        <f t="shared" si="64"/>
        <v>457.28000000000003</v>
      </c>
      <c r="H637" s="15">
        <f t="shared" si="65"/>
        <v>332.48066666666665</v>
      </c>
      <c r="I637" s="15">
        <f t="shared" si="66"/>
        <v>381.06666666666672</v>
      </c>
      <c r="J637" s="10">
        <v>259</v>
      </c>
      <c r="K637" s="10">
        <v>404</v>
      </c>
      <c r="L637" s="10">
        <v>422</v>
      </c>
      <c r="M637" s="10">
        <v>398</v>
      </c>
      <c r="N637" s="10">
        <v>339</v>
      </c>
      <c r="O637" s="10">
        <v>383</v>
      </c>
      <c r="P637" s="10">
        <v>369</v>
      </c>
      <c r="Q637" s="10">
        <v>310</v>
      </c>
      <c r="R637" s="10">
        <v>418</v>
      </c>
      <c r="S637" s="10">
        <v>398</v>
      </c>
      <c r="T637" s="10">
        <v>341</v>
      </c>
      <c r="U637" s="10">
        <v>378</v>
      </c>
      <c r="V637" s="10">
        <v>361</v>
      </c>
      <c r="W637" s="10">
        <v>305</v>
      </c>
      <c r="X637" s="10">
        <v>321</v>
      </c>
      <c r="Y637" s="10">
        <v>224</v>
      </c>
      <c r="Z637" s="10">
        <v>321</v>
      </c>
      <c r="AA637" s="10">
        <v>369</v>
      </c>
      <c r="AB637" s="10">
        <v>305</v>
      </c>
      <c r="AC637" s="10">
        <v>338</v>
      </c>
      <c r="AD637" s="10">
        <v>270</v>
      </c>
      <c r="AE637" s="10">
        <v>77</v>
      </c>
      <c r="AF637" s="10">
        <v>29</v>
      </c>
      <c r="AG637" s="10">
        <v>18</v>
      </c>
      <c r="AH637" s="102">
        <f>SUM(Tableau2[[#This Row],[Td 2]:[Td 5]])</f>
        <v>394</v>
      </c>
      <c r="AI637" s="10">
        <v>58.3</v>
      </c>
      <c r="AJ637" s="10">
        <v>100</v>
      </c>
      <c r="AK637" s="17">
        <f t="shared" si="67"/>
        <v>0</v>
      </c>
      <c r="AL637" s="17">
        <f t="shared" si="68"/>
        <v>62</v>
      </c>
      <c r="AM637" s="17">
        <f t="shared" si="69"/>
        <v>321</v>
      </c>
    </row>
    <row r="638" spans="1:39" s="3" customFormat="1" x14ac:dyDescent="0.25">
      <c r="A638" s="2" t="s">
        <v>16</v>
      </c>
      <c r="B638" s="29" t="s">
        <v>740</v>
      </c>
      <c r="C638" s="2" t="s">
        <v>48</v>
      </c>
      <c r="D638" s="2" t="s">
        <v>644</v>
      </c>
      <c r="E638" s="14">
        <v>16673</v>
      </c>
      <c r="F638" s="15">
        <f t="shared" si="63"/>
        <v>581.8877</v>
      </c>
      <c r="G638" s="15">
        <f t="shared" si="64"/>
        <v>666.92</v>
      </c>
      <c r="H638" s="15">
        <f t="shared" si="65"/>
        <v>484.9064166666667</v>
      </c>
      <c r="I638" s="15">
        <f t="shared" si="66"/>
        <v>555.76666666666665</v>
      </c>
      <c r="J638" s="10">
        <v>535</v>
      </c>
      <c r="K638" s="10">
        <v>504</v>
      </c>
      <c r="L638" s="10">
        <v>489</v>
      </c>
      <c r="M638" s="10">
        <v>482</v>
      </c>
      <c r="N638" s="10">
        <v>462</v>
      </c>
      <c r="O638" s="10">
        <v>451</v>
      </c>
      <c r="P638" s="10">
        <v>436</v>
      </c>
      <c r="Q638" s="10">
        <v>462</v>
      </c>
      <c r="R638" s="10">
        <v>478</v>
      </c>
      <c r="S638" s="10">
        <v>423</v>
      </c>
      <c r="T638" s="10">
        <v>485</v>
      </c>
      <c r="U638" s="10">
        <v>453</v>
      </c>
      <c r="V638" s="10">
        <v>402</v>
      </c>
      <c r="W638" s="10">
        <v>407</v>
      </c>
      <c r="X638" s="10">
        <v>487</v>
      </c>
      <c r="Y638" s="10">
        <v>434</v>
      </c>
      <c r="Z638" s="10">
        <v>454</v>
      </c>
      <c r="AA638" s="10">
        <v>938</v>
      </c>
      <c r="AB638" s="10">
        <v>383</v>
      </c>
      <c r="AC638" s="10">
        <v>325</v>
      </c>
      <c r="AD638" s="10">
        <v>326</v>
      </c>
      <c r="AE638" s="10">
        <v>196</v>
      </c>
      <c r="AF638" s="10">
        <v>198</v>
      </c>
      <c r="AG638" s="10">
        <v>169</v>
      </c>
      <c r="AH638" s="102">
        <f>SUM(Tableau2[[#This Row],[Td 2]:[Td 5]])</f>
        <v>889</v>
      </c>
      <c r="AI638" s="10">
        <v>58.3</v>
      </c>
      <c r="AJ638" s="10">
        <v>100</v>
      </c>
      <c r="AK638" s="17">
        <f t="shared" si="67"/>
        <v>33.906416666666701</v>
      </c>
      <c r="AL638" s="17">
        <f t="shared" si="68"/>
        <v>0</v>
      </c>
      <c r="AM638" s="17">
        <f t="shared" si="69"/>
        <v>454</v>
      </c>
    </row>
    <row r="639" spans="1:39" s="3" customFormat="1" x14ac:dyDescent="0.25">
      <c r="A639" s="2" t="s">
        <v>16</v>
      </c>
      <c r="B639" s="29" t="s">
        <v>739</v>
      </c>
      <c r="C639" s="2" t="s">
        <v>49</v>
      </c>
      <c r="D639" s="2" t="s">
        <v>645</v>
      </c>
      <c r="E639" s="14">
        <v>9249</v>
      </c>
      <c r="F639" s="15">
        <f t="shared" si="63"/>
        <v>322.7901</v>
      </c>
      <c r="G639" s="15">
        <f t="shared" si="64"/>
        <v>369.96</v>
      </c>
      <c r="H639" s="15">
        <f t="shared" si="65"/>
        <v>268.99175000000002</v>
      </c>
      <c r="I639" s="15">
        <f t="shared" si="66"/>
        <v>308.29999999999995</v>
      </c>
      <c r="J639" s="10">
        <v>199</v>
      </c>
      <c r="K639" s="10">
        <v>234</v>
      </c>
      <c r="L639" s="10">
        <v>241</v>
      </c>
      <c r="M639" s="10">
        <v>230</v>
      </c>
      <c r="N639" s="10">
        <v>231</v>
      </c>
      <c r="O639" s="10">
        <v>174</v>
      </c>
      <c r="P639" s="10">
        <v>154</v>
      </c>
      <c r="Q639" s="10">
        <v>186</v>
      </c>
      <c r="R639" s="10">
        <v>186</v>
      </c>
      <c r="S639" s="10">
        <v>175</v>
      </c>
      <c r="T639" s="10">
        <v>182</v>
      </c>
      <c r="U639" s="10">
        <v>174</v>
      </c>
      <c r="V639" s="10">
        <v>167</v>
      </c>
      <c r="W639" s="10">
        <v>174</v>
      </c>
      <c r="X639" s="10">
        <v>250</v>
      </c>
      <c r="Y639" s="10">
        <v>96</v>
      </c>
      <c r="Z639" s="10">
        <v>191</v>
      </c>
      <c r="AA639" s="10">
        <v>221</v>
      </c>
      <c r="AB639" s="10">
        <v>150</v>
      </c>
      <c r="AC639" s="10">
        <v>45</v>
      </c>
      <c r="AD639" s="10">
        <v>64</v>
      </c>
      <c r="AE639" s="10">
        <v>58</v>
      </c>
      <c r="AF639" s="10">
        <v>64</v>
      </c>
      <c r="AG639" s="10">
        <v>54</v>
      </c>
      <c r="AH639" s="102">
        <f>SUM(Tableau2[[#This Row],[Td 2]:[Td 5]])</f>
        <v>240</v>
      </c>
      <c r="AI639" s="10">
        <v>58.3</v>
      </c>
      <c r="AJ639" s="10">
        <v>100</v>
      </c>
      <c r="AK639" s="17">
        <f t="shared" si="67"/>
        <v>94.991750000000025</v>
      </c>
      <c r="AL639" s="17">
        <f t="shared" si="68"/>
        <v>0</v>
      </c>
      <c r="AM639" s="17">
        <f t="shared" si="69"/>
        <v>191</v>
      </c>
    </row>
    <row r="640" spans="1:39" s="3" customFormat="1" x14ac:dyDescent="0.25">
      <c r="A640" s="2" t="s">
        <v>16</v>
      </c>
      <c r="B640" s="29" t="s">
        <v>739</v>
      </c>
      <c r="C640" s="2" t="s">
        <v>49</v>
      </c>
      <c r="D640" s="2" t="s">
        <v>646</v>
      </c>
      <c r="E640" s="14">
        <v>7632</v>
      </c>
      <c r="F640" s="15">
        <f t="shared" si="63"/>
        <v>266.35680000000002</v>
      </c>
      <c r="G640" s="15">
        <f t="shared" si="64"/>
        <v>305.28000000000003</v>
      </c>
      <c r="H640" s="15">
        <f t="shared" si="65"/>
        <v>221.964</v>
      </c>
      <c r="I640" s="15">
        <f t="shared" si="66"/>
        <v>254.4</v>
      </c>
      <c r="J640" s="10" t="s">
        <v>2</v>
      </c>
      <c r="K640" s="10" t="s">
        <v>2</v>
      </c>
      <c r="L640" s="10">
        <v>41</v>
      </c>
      <c r="M640" s="10">
        <v>54</v>
      </c>
      <c r="N640" s="10">
        <v>58</v>
      </c>
      <c r="O640" s="10">
        <v>50</v>
      </c>
      <c r="P640" s="10">
        <v>42</v>
      </c>
      <c r="Q640" s="10">
        <v>55</v>
      </c>
      <c r="R640" s="10">
        <v>53</v>
      </c>
      <c r="S640" s="10">
        <v>42</v>
      </c>
      <c r="T640" s="10">
        <v>56</v>
      </c>
      <c r="U640" s="10">
        <v>32</v>
      </c>
      <c r="V640" s="10">
        <v>33</v>
      </c>
      <c r="W640" s="10">
        <v>37</v>
      </c>
      <c r="X640" s="10">
        <v>44</v>
      </c>
      <c r="Y640" s="10">
        <v>18</v>
      </c>
      <c r="Z640" s="10">
        <v>37</v>
      </c>
      <c r="AA640" s="10">
        <v>55</v>
      </c>
      <c r="AB640" s="10">
        <v>72</v>
      </c>
      <c r="AC640" s="10" t="s">
        <v>2</v>
      </c>
      <c r="AD640" s="10" t="s">
        <v>2</v>
      </c>
      <c r="AE640" s="10" t="s">
        <v>2</v>
      </c>
      <c r="AF640" s="10" t="s">
        <v>2</v>
      </c>
      <c r="AG640" s="10" t="s">
        <v>2</v>
      </c>
      <c r="AH640" s="102">
        <f>SUM(Tableau2[[#This Row],[Td 2]:[Td 5]])</f>
        <v>0</v>
      </c>
      <c r="AI640" s="10">
        <v>41.7</v>
      </c>
      <c r="AJ640" s="10">
        <v>100</v>
      </c>
      <c r="AK640" s="17">
        <f t="shared" si="67"/>
        <v>171.964</v>
      </c>
      <c r="AL640" s="17">
        <f t="shared" si="68"/>
        <v>6</v>
      </c>
      <c r="AM640" s="17">
        <f t="shared" si="69"/>
        <v>37</v>
      </c>
    </row>
    <row r="641" spans="1:39" s="3" customFormat="1" x14ac:dyDescent="0.25">
      <c r="A641" s="2" t="s">
        <v>16</v>
      </c>
      <c r="B641" s="29" t="s">
        <v>739</v>
      </c>
      <c r="C641" s="2" t="s">
        <v>49</v>
      </c>
      <c r="D641" s="2" t="s">
        <v>647</v>
      </c>
      <c r="E641" s="14">
        <v>20263</v>
      </c>
      <c r="F641" s="15">
        <f t="shared" si="63"/>
        <v>707.17870000000005</v>
      </c>
      <c r="G641" s="15">
        <f t="shared" si="64"/>
        <v>810.52</v>
      </c>
      <c r="H641" s="15">
        <f t="shared" si="65"/>
        <v>589.31558333333339</v>
      </c>
      <c r="I641" s="15">
        <f t="shared" si="66"/>
        <v>675.43333333333339</v>
      </c>
      <c r="J641" s="10">
        <v>663</v>
      </c>
      <c r="K641" s="10">
        <v>585</v>
      </c>
      <c r="L641" s="10">
        <v>565</v>
      </c>
      <c r="M641" s="10">
        <v>565</v>
      </c>
      <c r="N641" s="10">
        <v>583</v>
      </c>
      <c r="O641" s="10">
        <v>479</v>
      </c>
      <c r="P641" s="10">
        <v>482</v>
      </c>
      <c r="Q641" s="10">
        <v>486</v>
      </c>
      <c r="R641" s="10">
        <v>433</v>
      </c>
      <c r="S641" s="10">
        <v>476</v>
      </c>
      <c r="T641" s="10">
        <v>457</v>
      </c>
      <c r="U641" s="10">
        <v>484</v>
      </c>
      <c r="V641" s="10">
        <v>481</v>
      </c>
      <c r="W641" s="10">
        <v>498</v>
      </c>
      <c r="X641" s="10">
        <v>521</v>
      </c>
      <c r="Y641" s="10">
        <v>115</v>
      </c>
      <c r="Z641" s="10">
        <v>425</v>
      </c>
      <c r="AA641" s="10">
        <v>583</v>
      </c>
      <c r="AB641" s="10">
        <v>523</v>
      </c>
      <c r="AC641" s="10">
        <v>145</v>
      </c>
      <c r="AD641" s="10">
        <v>116</v>
      </c>
      <c r="AE641" s="10">
        <v>124</v>
      </c>
      <c r="AF641" s="10">
        <v>88</v>
      </c>
      <c r="AG641" s="10">
        <v>48</v>
      </c>
      <c r="AH641" s="102">
        <f>SUM(Tableau2[[#This Row],[Td 2]:[Td 5]])</f>
        <v>376</v>
      </c>
      <c r="AI641" s="10">
        <v>62.5</v>
      </c>
      <c r="AJ641" s="10">
        <v>100</v>
      </c>
      <c r="AK641" s="17">
        <f t="shared" si="67"/>
        <v>110.31558333333339</v>
      </c>
      <c r="AL641" s="17">
        <f t="shared" si="68"/>
        <v>0</v>
      </c>
      <c r="AM641" s="17">
        <f t="shared" si="69"/>
        <v>425</v>
      </c>
    </row>
    <row r="642" spans="1:39" s="3" customFormat="1" x14ac:dyDescent="0.25">
      <c r="A642" s="2" t="s">
        <v>16</v>
      </c>
      <c r="B642" s="29" t="s">
        <v>739</v>
      </c>
      <c r="C642" s="2" t="s">
        <v>49</v>
      </c>
      <c r="D642" s="2" t="s">
        <v>648</v>
      </c>
      <c r="E642" s="14">
        <v>11676</v>
      </c>
      <c r="F642" s="15">
        <f t="shared" si="63"/>
        <v>407.49240000000003</v>
      </c>
      <c r="G642" s="15">
        <f t="shared" si="64"/>
        <v>467.04</v>
      </c>
      <c r="H642" s="15">
        <f t="shared" si="65"/>
        <v>339.577</v>
      </c>
      <c r="I642" s="15">
        <f t="shared" si="66"/>
        <v>389.20000000000005</v>
      </c>
      <c r="J642" s="10">
        <v>576</v>
      </c>
      <c r="K642" s="10">
        <v>459</v>
      </c>
      <c r="L642" s="10">
        <v>553</v>
      </c>
      <c r="M642" s="10">
        <v>511</v>
      </c>
      <c r="N642" s="10">
        <v>544</v>
      </c>
      <c r="O642" s="10">
        <v>553</v>
      </c>
      <c r="P642" s="10">
        <v>511</v>
      </c>
      <c r="Q642" s="10">
        <v>508</v>
      </c>
      <c r="R642" s="10">
        <v>553</v>
      </c>
      <c r="S642" s="10">
        <v>511</v>
      </c>
      <c r="T642" s="10">
        <v>544</v>
      </c>
      <c r="U642" s="10">
        <v>448</v>
      </c>
      <c r="V642" s="10">
        <v>424</v>
      </c>
      <c r="W642" s="10">
        <v>440</v>
      </c>
      <c r="X642" s="10">
        <v>513</v>
      </c>
      <c r="Y642" s="10">
        <v>116</v>
      </c>
      <c r="Z642" s="10">
        <v>452</v>
      </c>
      <c r="AA642" s="10">
        <v>544</v>
      </c>
      <c r="AB642" s="10">
        <v>503</v>
      </c>
      <c r="AC642" s="10">
        <v>260</v>
      </c>
      <c r="AD642" s="10">
        <v>241</v>
      </c>
      <c r="AE642" s="10">
        <v>238</v>
      </c>
      <c r="AF642" s="10">
        <v>194</v>
      </c>
      <c r="AG642" s="10">
        <v>194</v>
      </c>
      <c r="AH642" s="102">
        <f>SUM(Tableau2[[#This Row],[Td 2]:[Td 5]])</f>
        <v>867</v>
      </c>
      <c r="AI642" s="10">
        <v>108.3</v>
      </c>
      <c r="AJ642" s="10">
        <v>100</v>
      </c>
      <c r="AK642" s="17">
        <f t="shared" si="67"/>
        <v>0</v>
      </c>
      <c r="AL642" s="17">
        <f t="shared" si="68"/>
        <v>40</v>
      </c>
      <c r="AM642" s="17">
        <f t="shared" si="69"/>
        <v>452</v>
      </c>
    </row>
    <row r="643" spans="1:39" s="3" customFormat="1" x14ac:dyDescent="0.25">
      <c r="A643" s="2" t="s">
        <v>16</v>
      </c>
      <c r="B643" s="29" t="s">
        <v>739</v>
      </c>
      <c r="C643" s="2" t="s">
        <v>49</v>
      </c>
      <c r="D643" s="2" t="s">
        <v>649</v>
      </c>
      <c r="E643" s="14">
        <v>8681</v>
      </c>
      <c r="F643" s="15">
        <f t="shared" si="63"/>
        <v>302.96690000000001</v>
      </c>
      <c r="G643" s="15">
        <f t="shared" si="64"/>
        <v>347.24</v>
      </c>
      <c r="H643" s="15">
        <f t="shared" si="65"/>
        <v>252.47241666666667</v>
      </c>
      <c r="I643" s="15">
        <f t="shared" si="66"/>
        <v>289.36666666666667</v>
      </c>
      <c r="J643" s="10">
        <v>376</v>
      </c>
      <c r="K643" s="10">
        <v>238</v>
      </c>
      <c r="L643" s="10">
        <v>322</v>
      </c>
      <c r="M643" s="10">
        <v>298</v>
      </c>
      <c r="N643" s="10">
        <v>326</v>
      </c>
      <c r="O643" s="10">
        <v>322</v>
      </c>
      <c r="P643" s="10">
        <v>298</v>
      </c>
      <c r="Q643" s="10">
        <v>326</v>
      </c>
      <c r="R643" s="10">
        <v>322</v>
      </c>
      <c r="S643" s="10">
        <v>298</v>
      </c>
      <c r="T643" s="10">
        <v>326</v>
      </c>
      <c r="U643" s="10">
        <v>322</v>
      </c>
      <c r="V643" s="10">
        <v>298</v>
      </c>
      <c r="W643" s="10">
        <v>326</v>
      </c>
      <c r="X643" s="10">
        <v>415</v>
      </c>
      <c r="Y643" s="10">
        <v>216</v>
      </c>
      <c r="Z643" s="10">
        <v>372</v>
      </c>
      <c r="AA643" s="10">
        <v>326</v>
      </c>
      <c r="AB643" s="10">
        <v>415</v>
      </c>
      <c r="AC643" s="10">
        <v>45</v>
      </c>
      <c r="AD643" s="10">
        <v>65</v>
      </c>
      <c r="AE643" s="10">
        <v>59</v>
      </c>
      <c r="AF643" s="10">
        <v>52</v>
      </c>
      <c r="AG643" s="10">
        <v>45</v>
      </c>
      <c r="AH643" s="102">
        <f>SUM(Tableau2[[#This Row],[Td 2]:[Td 5]])</f>
        <v>221</v>
      </c>
      <c r="AI643" s="10">
        <v>58.3</v>
      </c>
      <c r="AJ643" s="10">
        <v>100</v>
      </c>
      <c r="AK643" s="17">
        <f t="shared" si="67"/>
        <v>0</v>
      </c>
      <c r="AL643" s="17">
        <f t="shared" si="68"/>
        <v>0</v>
      </c>
      <c r="AM643" s="17">
        <f t="shared" si="69"/>
        <v>372</v>
      </c>
    </row>
    <row r="644" spans="1:39" s="3" customFormat="1" x14ac:dyDescent="0.25">
      <c r="A644" s="2" t="s">
        <v>16</v>
      </c>
      <c r="B644" s="29" t="s">
        <v>739</v>
      </c>
      <c r="C644" s="2" t="s">
        <v>49</v>
      </c>
      <c r="D644" s="2" t="s">
        <v>229</v>
      </c>
      <c r="E644" s="14">
        <v>9802</v>
      </c>
      <c r="F644" s="15">
        <f t="shared" si="63"/>
        <v>342.08980000000003</v>
      </c>
      <c r="G644" s="15">
        <f t="shared" si="64"/>
        <v>392.08</v>
      </c>
      <c r="H644" s="15">
        <f t="shared" si="65"/>
        <v>285.07483333333334</v>
      </c>
      <c r="I644" s="15">
        <f t="shared" si="66"/>
        <v>326.73333333333335</v>
      </c>
      <c r="J644" s="10">
        <v>420</v>
      </c>
      <c r="K644" s="10">
        <v>299</v>
      </c>
      <c r="L644" s="10">
        <v>298</v>
      </c>
      <c r="M644" s="10">
        <v>259</v>
      </c>
      <c r="N644" s="10">
        <v>267</v>
      </c>
      <c r="O644" s="10">
        <v>298</v>
      </c>
      <c r="P644" s="10">
        <v>261</v>
      </c>
      <c r="Q644" s="10">
        <v>267</v>
      </c>
      <c r="R644" s="10">
        <v>297</v>
      </c>
      <c r="S644" s="10">
        <v>237</v>
      </c>
      <c r="T644" s="10">
        <v>243</v>
      </c>
      <c r="U644" s="10">
        <v>274</v>
      </c>
      <c r="V644" s="10">
        <v>233</v>
      </c>
      <c r="W644" s="10">
        <v>243</v>
      </c>
      <c r="X644" s="10">
        <v>276</v>
      </c>
      <c r="Y644" s="10">
        <v>89</v>
      </c>
      <c r="Z644" s="10">
        <v>257</v>
      </c>
      <c r="AA644" s="10">
        <v>272</v>
      </c>
      <c r="AB644" s="10">
        <v>276</v>
      </c>
      <c r="AC644" s="10">
        <v>72</v>
      </c>
      <c r="AD644" s="10">
        <v>92</v>
      </c>
      <c r="AE644" s="10">
        <v>63</v>
      </c>
      <c r="AF644" s="10">
        <v>53</v>
      </c>
      <c r="AG644" s="10">
        <v>33</v>
      </c>
      <c r="AH644" s="102">
        <f>SUM(Tableau2[[#This Row],[Td 2]:[Td 5]])</f>
        <v>241</v>
      </c>
      <c r="AI644" s="10">
        <v>58.3</v>
      </c>
      <c r="AJ644" s="10">
        <v>100</v>
      </c>
      <c r="AK644" s="17">
        <f t="shared" si="67"/>
        <v>0</v>
      </c>
      <c r="AL644" s="17">
        <f t="shared" si="68"/>
        <v>22</v>
      </c>
      <c r="AM644" s="17">
        <f t="shared" si="69"/>
        <v>257</v>
      </c>
    </row>
    <row r="645" spans="1:39" s="3" customFormat="1" x14ac:dyDescent="0.25">
      <c r="A645" s="2" t="s">
        <v>16</v>
      </c>
      <c r="B645" s="29" t="s">
        <v>739</v>
      </c>
      <c r="C645" s="2" t="s">
        <v>49</v>
      </c>
      <c r="D645" s="2" t="s">
        <v>650</v>
      </c>
      <c r="E645" s="14">
        <v>14902</v>
      </c>
      <c r="F645" s="15">
        <f t="shared" si="63"/>
        <v>520.07979999999998</v>
      </c>
      <c r="G645" s="15">
        <f t="shared" si="64"/>
        <v>596.08000000000004</v>
      </c>
      <c r="H645" s="15">
        <f t="shared" si="65"/>
        <v>433.39983333333328</v>
      </c>
      <c r="I645" s="15">
        <f t="shared" si="66"/>
        <v>496.73333333333341</v>
      </c>
      <c r="J645" s="10">
        <v>415</v>
      </c>
      <c r="K645" s="10">
        <v>123</v>
      </c>
      <c r="L645" s="10">
        <v>403</v>
      </c>
      <c r="M645" s="10">
        <v>361</v>
      </c>
      <c r="N645" s="10">
        <v>387</v>
      </c>
      <c r="O645" s="10">
        <v>332</v>
      </c>
      <c r="P645" s="10">
        <v>315</v>
      </c>
      <c r="Q645" s="10">
        <v>319</v>
      </c>
      <c r="R645" s="10">
        <v>330</v>
      </c>
      <c r="S645" s="10">
        <v>315</v>
      </c>
      <c r="T645" s="10">
        <v>318</v>
      </c>
      <c r="U645" s="10">
        <v>192</v>
      </c>
      <c r="V645" s="10">
        <v>182</v>
      </c>
      <c r="W645" s="10">
        <v>183</v>
      </c>
      <c r="X645" s="10">
        <v>385</v>
      </c>
      <c r="Y645" s="10">
        <v>115</v>
      </c>
      <c r="Z645" s="10">
        <v>313</v>
      </c>
      <c r="AA645" s="10">
        <v>390</v>
      </c>
      <c r="AB645" s="10">
        <v>363</v>
      </c>
      <c r="AC645" s="10">
        <v>29</v>
      </c>
      <c r="AD645" s="10">
        <v>125</v>
      </c>
      <c r="AE645" s="10">
        <v>149</v>
      </c>
      <c r="AF645" s="10">
        <v>63</v>
      </c>
      <c r="AG645" s="10">
        <v>38</v>
      </c>
      <c r="AH645" s="102">
        <f>SUM(Tableau2[[#This Row],[Td 2]:[Td 5]])</f>
        <v>375</v>
      </c>
      <c r="AI645" s="10">
        <v>58.3</v>
      </c>
      <c r="AJ645" s="10">
        <v>100</v>
      </c>
      <c r="AK645" s="17">
        <f t="shared" si="67"/>
        <v>101.39983333333328</v>
      </c>
      <c r="AL645" s="17">
        <f t="shared" si="68"/>
        <v>0</v>
      </c>
      <c r="AM645" s="17">
        <f t="shared" si="69"/>
        <v>313</v>
      </c>
    </row>
    <row r="646" spans="1:39" s="3" customFormat="1" x14ac:dyDescent="0.25">
      <c r="A646" s="2" t="s">
        <v>16</v>
      </c>
      <c r="B646" s="29" t="s">
        <v>739</v>
      </c>
      <c r="C646" s="2" t="s">
        <v>49</v>
      </c>
      <c r="D646" s="2" t="s">
        <v>651</v>
      </c>
      <c r="E646" s="14">
        <v>5904</v>
      </c>
      <c r="F646" s="15">
        <f t="shared" ref="F646:F670" si="70">IFERROR(E646*3.49%,"")</f>
        <v>206.0496</v>
      </c>
      <c r="G646" s="15">
        <f t="shared" ref="G646:G670" si="71">IFERROR(E646*4%,"")</f>
        <v>236.16</v>
      </c>
      <c r="H646" s="15">
        <f t="shared" ref="H646:H670" si="72">IFERROR((F646/12)*$C$1,"")</f>
        <v>171.708</v>
      </c>
      <c r="I646" s="15">
        <f t="shared" ref="I646:I670" si="73">IFERROR((G646/12)*$C$1,"")</f>
        <v>196.8</v>
      </c>
      <c r="J646" s="10">
        <v>160</v>
      </c>
      <c r="K646" s="10">
        <v>118</v>
      </c>
      <c r="L646" s="10">
        <v>150</v>
      </c>
      <c r="M646" s="10">
        <v>143</v>
      </c>
      <c r="N646" s="10">
        <v>145</v>
      </c>
      <c r="O646" s="10">
        <v>139</v>
      </c>
      <c r="P646" s="10">
        <v>138</v>
      </c>
      <c r="Q646" s="10">
        <v>132</v>
      </c>
      <c r="R646" s="10">
        <v>135</v>
      </c>
      <c r="S646" s="10">
        <v>131</v>
      </c>
      <c r="T646" s="10">
        <v>132</v>
      </c>
      <c r="U646" s="10">
        <v>150</v>
      </c>
      <c r="V646" s="10">
        <v>143</v>
      </c>
      <c r="W646" s="10">
        <v>145</v>
      </c>
      <c r="X646" s="10">
        <v>147</v>
      </c>
      <c r="Y646" s="10">
        <v>84</v>
      </c>
      <c r="Z646" s="10">
        <v>121</v>
      </c>
      <c r="AA646" s="10">
        <v>147</v>
      </c>
      <c r="AB646" s="10">
        <v>141</v>
      </c>
      <c r="AC646" s="10">
        <v>21</v>
      </c>
      <c r="AD646" s="10">
        <v>42</v>
      </c>
      <c r="AE646" s="10">
        <v>30</v>
      </c>
      <c r="AF646" s="10">
        <v>30</v>
      </c>
      <c r="AG646" s="10">
        <v>28</v>
      </c>
      <c r="AH646" s="102">
        <f>SUM(Tableau2[[#This Row],[Td 2]:[Td 5]])</f>
        <v>130</v>
      </c>
      <c r="AI646" s="10">
        <v>58.3</v>
      </c>
      <c r="AJ646" s="10">
        <v>100</v>
      </c>
      <c r="AK646" s="17">
        <f t="shared" ref="AK646:AK670" si="74">IFERROR(IF(H646-O646&lt;0,0,H646-O646),0)</f>
        <v>32.707999999999998</v>
      </c>
      <c r="AL646" s="17">
        <f t="shared" ref="AL646:AL670" si="75">IFERROR(IF(O646-X646&lt;0,0,O646-X646),0)</f>
        <v>0</v>
      </c>
      <c r="AM646" s="17">
        <f t="shared" ref="AM646:AM670" si="76">MIN(X646,Z646)</f>
        <v>121</v>
      </c>
    </row>
    <row r="647" spans="1:39" s="3" customFormat="1" x14ac:dyDescent="0.25">
      <c r="A647" s="2" t="s">
        <v>16</v>
      </c>
      <c r="B647" s="29" t="s">
        <v>739</v>
      </c>
      <c r="C647" s="2" t="s">
        <v>49</v>
      </c>
      <c r="D647" s="2" t="s">
        <v>652</v>
      </c>
      <c r="E647" s="14">
        <v>11878</v>
      </c>
      <c r="F647" s="15">
        <f t="shared" si="70"/>
        <v>414.54219999999998</v>
      </c>
      <c r="G647" s="15">
        <f t="shared" si="71"/>
        <v>475.12</v>
      </c>
      <c r="H647" s="15">
        <f t="shared" si="72"/>
        <v>345.45183333333335</v>
      </c>
      <c r="I647" s="15">
        <f t="shared" si="73"/>
        <v>395.93333333333334</v>
      </c>
      <c r="J647" s="10">
        <v>332</v>
      </c>
      <c r="K647" s="10">
        <v>136</v>
      </c>
      <c r="L647" s="10">
        <v>342</v>
      </c>
      <c r="M647" s="10">
        <v>325</v>
      </c>
      <c r="N647" s="10">
        <v>338</v>
      </c>
      <c r="O647" s="10">
        <v>308</v>
      </c>
      <c r="P647" s="10">
        <v>285</v>
      </c>
      <c r="Q647" s="10">
        <v>299</v>
      </c>
      <c r="R647" s="10">
        <v>308</v>
      </c>
      <c r="S647" s="10">
        <v>285</v>
      </c>
      <c r="T647" s="10">
        <v>299</v>
      </c>
      <c r="U647" s="10">
        <v>308</v>
      </c>
      <c r="V647" s="10">
        <v>285</v>
      </c>
      <c r="W647" s="10">
        <v>299</v>
      </c>
      <c r="X647" s="10">
        <v>373</v>
      </c>
      <c r="Y647" s="10">
        <v>91</v>
      </c>
      <c r="Z647" s="10">
        <v>361</v>
      </c>
      <c r="AA647" s="10">
        <v>338</v>
      </c>
      <c r="AB647" s="10">
        <v>339</v>
      </c>
      <c r="AC647" s="10">
        <v>91</v>
      </c>
      <c r="AD647" s="10">
        <v>93</v>
      </c>
      <c r="AE647" s="10">
        <v>78</v>
      </c>
      <c r="AF647" s="10">
        <v>62</v>
      </c>
      <c r="AG647" s="10">
        <v>50</v>
      </c>
      <c r="AH647" s="102">
        <f>SUM(Tableau2[[#This Row],[Td 2]:[Td 5]])</f>
        <v>283</v>
      </c>
      <c r="AI647" s="10">
        <v>58.3</v>
      </c>
      <c r="AJ647" s="10">
        <v>100</v>
      </c>
      <c r="AK647" s="17">
        <f t="shared" si="74"/>
        <v>37.451833333333354</v>
      </c>
      <c r="AL647" s="17">
        <f t="shared" si="75"/>
        <v>0</v>
      </c>
      <c r="AM647" s="17">
        <f t="shared" si="76"/>
        <v>361</v>
      </c>
    </row>
    <row r="648" spans="1:39" s="3" customFormat="1" x14ac:dyDescent="0.25">
      <c r="A648" s="2" t="s">
        <v>16</v>
      </c>
      <c r="B648" s="29" t="s">
        <v>739</v>
      </c>
      <c r="C648" s="2" t="s">
        <v>49</v>
      </c>
      <c r="D648" s="2" t="s">
        <v>653</v>
      </c>
      <c r="E648" s="14">
        <v>12018</v>
      </c>
      <c r="F648" s="15">
        <f t="shared" si="70"/>
        <v>419.4282</v>
      </c>
      <c r="G648" s="15">
        <f t="shared" si="71"/>
        <v>480.72</v>
      </c>
      <c r="H648" s="15">
        <f t="shared" si="72"/>
        <v>349.52350000000001</v>
      </c>
      <c r="I648" s="15">
        <f t="shared" si="73"/>
        <v>400.6</v>
      </c>
      <c r="J648" s="10">
        <v>265</v>
      </c>
      <c r="K648" s="10">
        <v>38</v>
      </c>
      <c r="L648" s="10">
        <v>328</v>
      </c>
      <c r="M648" s="10">
        <v>339</v>
      </c>
      <c r="N648" s="10">
        <v>348</v>
      </c>
      <c r="O648" s="10">
        <v>330</v>
      </c>
      <c r="P648" s="10">
        <v>321</v>
      </c>
      <c r="Q648" s="10">
        <v>337</v>
      </c>
      <c r="R648" s="10">
        <v>326</v>
      </c>
      <c r="S648" s="10">
        <v>324</v>
      </c>
      <c r="T648" s="10">
        <v>337</v>
      </c>
      <c r="U648" s="10">
        <v>293</v>
      </c>
      <c r="V648" s="10">
        <v>287</v>
      </c>
      <c r="W648" s="10">
        <v>300</v>
      </c>
      <c r="X648" s="10">
        <v>335</v>
      </c>
      <c r="Y648" s="10">
        <v>107</v>
      </c>
      <c r="Z648" s="10">
        <v>321</v>
      </c>
      <c r="AA648" s="10">
        <v>346</v>
      </c>
      <c r="AB648" s="10">
        <v>343</v>
      </c>
      <c r="AC648" s="10">
        <v>65</v>
      </c>
      <c r="AD648" s="10">
        <v>96</v>
      </c>
      <c r="AE648" s="10">
        <v>75</v>
      </c>
      <c r="AF648" s="10">
        <v>67</v>
      </c>
      <c r="AG648" s="10">
        <v>67</v>
      </c>
      <c r="AH648" s="102">
        <f>SUM(Tableau2[[#This Row],[Td 2]:[Td 5]])</f>
        <v>305</v>
      </c>
      <c r="AI648" s="10">
        <v>58.3</v>
      </c>
      <c r="AJ648" s="10">
        <v>100</v>
      </c>
      <c r="AK648" s="17">
        <f t="shared" si="74"/>
        <v>19.523500000000013</v>
      </c>
      <c r="AL648" s="17">
        <f t="shared" si="75"/>
        <v>0</v>
      </c>
      <c r="AM648" s="17">
        <f t="shared" si="76"/>
        <v>321</v>
      </c>
    </row>
    <row r="649" spans="1:39" s="3" customFormat="1" x14ac:dyDescent="0.25">
      <c r="A649" s="2" t="s">
        <v>16</v>
      </c>
      <c r="B649" s="29" t="s">
        <v>739</v>
      </c>
      <c r="C649" s="2" t="s">
        <v>49</v>
      </c>
      <c r="D649" s="2" t="s">
        <v>654</v>
      </c>
      <c r="E649" s="14">
        <v>8503</v>
      </c>
      <c r="F649" s="15">
        <f t="shared" si="70"/>
        <v>296.75470000000001</v>
      </c>
      <c r="G649" s="15">
        <f t="shared" si="71"/>
        <v>340.12</v>
      </c>
      <c r="H649" s="15">
        <f t="shared" si="72"/>
        <v>247.29558333333333</v>
      </c>
      <c r="I649" s="15">
        <f t="shared" si="73"/>
        <v>283.43333333333334</v>
      </c>
      <c r="J649" s="10">
        <v>187</v>
      </c>
      <c r="K649" s="10">
        <v>91</v>
      </c>
      <c r="L649" s="10">
        <v>159</v>
      </c>
      <c r="M649" s="10">
        <v>183</v>
      </c>
      <c r="N649" s="10">
        <v>167</v>
      </c>
      <c r="O649" s="10">
        <v>153</v>
      </c>
      <c r="P649" s="10">
        <v>169</v>
      </c>
      <c r="Q649" s="10">
        <v>178</v>
      </c>
      <c r="R649" s="10">
        <v>143</v>
      </c>
      <c r="S649" s="10">
        <v>166</v>
      </c>
      <c r="T649" s="10">
        <v>161</v>
      </c>
      <c r="U649" s="10">
        <v>156</v>
      </c>
      <c r="V649" s="10">
        <v>170</v>
      </c>
      <c r="W649" s="10">
        <v>155</v>
      </c>
      <c r="X649" s="10">
        <v>169</v>
      </c>
      <c r="Y649" s="10">
        <v>71</v>
      </c>
      <c r="Z649" s="10">
        <v>148</v>
      </c>
      <c r="AA649" s="10">
        <v>156</v>
      </c>
      <c r="AB649" s="10">
        <v>153</v>
      </c>
      <c r="AC649" s="10">
        <v>53</v>
      </c>
      <c r="AD649" s="10">
        <v>53</v>
      </c>
      <c r="AE649" s="10">
        <v>37</v>
      </c>
      <c r="AF649" s="10">
        <v>28</v>
      </c>
      <c r="AG649" s="10">
        <v>34</v>
      </c>
      <c r="AH649" s="102">
        <f>SUM(Tableau2[[#This Row],[Td 2]:[Td 5]])</f>
        <v>152</v>
      </c>
      <c r="AI649" s="10">
        <v>58.3</v>
      </c>
      <c r="AJ649" s="10">
        <v>100</v>
      </c>
      <c r="AK649" s="17">
        <f t="shared" si="74"/>
        <v>94.295583333333326</v>
      </c>
      <c r="AL649" s="17">
        <f t="shared" si="75"/>
        <v>0</v>
      </c>
      <c r="AM649" s="17">
        <f t="shared" si="76"/>
        <v>148</v>
      </c>
    </row>
    <row r="650" spans="1:39" s="3" customFormat="1" x14ac:dyDescent="0.25">
      <c r="A650" s="2" t="s">
        <v>16</v>
      </c>
      <c r="B650" s="29" t="s">
        <v>739</v>
      </c>
      <c r="C650" s="2" t="s">
        <v>49</v>
      </c>
      <c r="D650" s="2" t="s">
        <v>655</v>
      </c>
      <c r="E650" s="14">
        <v>7029</v>
      </c>
      <c r="F650" s="15">
        <f t="shared" si="70"/>
        <v>245.31210000000002</v>
      </c>
      <c r="G650" s="15">
        <f t="shared" si="71"/>
        <v>281.16000000000003</v>
      </c>
      <c r="H650" s="15">
        <f t="shared" si="72"/>
        <v>204.42675000000003</v>
      </c>
      <c r="I650" s="15">
        <f t="shared" si="73"/>
        <v>234.30000000000004</v>
      </c>
      <c r="J650" s="10">
        <v>249</v>
      </c>
      <c r="K650" s="10">
        <v>209</v>
      </c>
      <c r="L650" s="10">
        <v>237</v>
      </c>
      <c r="M650" s="10">
        <v>204</v>
      </c>
      <c r="N650" s="10">
        <v>224</v>
      </c>
      <c r="O650" s="10">
        <v>222</v>
      </c>
      <c r="P650" s="10">
        <v>192</v>
      </c>
      <c r="Q650" s="10">
        <v>204</v>
      </c>
      <c r="R650" s="10">
        <v>237</v>
      </c>
      <c r="S650" s="10">
        <v>213</v>
      </c>
      <c r="T650" s="10">
        <v>224</v>
      </c>
      <c r="U650" s="10">
        <v>237</v>
      </c>
      <c r="V650" s="10">
        <v>213</v>
      </c>
      <c r="W650" s="10">
        <v>224</v>
      </c>
      <c r="X650" s="10">
        <v>229</v>
      </c>
      <c r="Y650" s="10">
        <v>134</v>
      </c>
      <c r="Z650" s="10">
        <v>205</v>
      </c>
      <c r="AA650" s="10">
        <v>241</v>
      </c>
      <c r="AB650" s="10">
        <v>189</v>
      </c>
      <c r="AC650" s="10">
        <v>23</v>
      </c>
      <c r="AD650" s="10">
        <v>34</v>
      </c>
      <c r="AE650" s="10">
        <v>49</v>
      </c>
      <c r="AF650" s="10">
        <v>36</v>
      </c>
      <c r="AG650" s="10">
        <v>44</v>
      </c>
      <c r="AH650" s="102">
        <f>SUM(Tableau2[[#This Row],[Td 2]:[Td 5]])</f>
        <v>163</v>
      </c>
      <c r="AI650" s="10">
        <v>58.3</v>
      </c>
      <c r="AJ650" s="10">
        <v>100</v>
      </c>
      <c r="AK650" s="17">
        <f t="shared" si="74"/>
        <v>0</v>
      </c>
      <c r="AL650" s="17">
        <f t="shared" si="75"/>
        <v>0</v>
      </c>
      <c r="AM650" s="17">
        <f t="shared" si="76"/>
        <v>205</v>
      </c>
    </row>
    <row r="651" spans="1:39" s="3" customFormat="1" x14ac:dyDescent="0.25">
      <c r="A651" s="2" t="s">
        <v>16</v>
      </c>
      <c r="B651" s="29" t="s">
        <v>739</v>
      </c>
      <c r="C651" s="2" t="s">
        <v>49</v>
      </c>
      <c r="D651" s="2" t="s">
        <v>656</v>
      </c>
      <c r="E651" s="14">
        <v>13694</v>
      </c>
      <c r="F651" s="15">
        <f t="shared" si="70"/>
        <v>477.92059999999998</v>
      </c>
      <c r="G651" s="15">
        <f t="shared" si="71"/>
        <v>547.76</v>
      </c>
      <c r="H651" s="15">
        <f t="shared" si="72"/>
        <v>398.26716666666664</v>
      </c>
      <c r="I651" s="15">
        <f t="shared" si="73"/>
        <v>456.4666666666667</v>
      </c>
      <c r="J651" s="10">
        <v>270</v>
      </c>
      <c r="K651" s="10">
        <v>136</v>
      </c>
      <c r="L651" s="10">
        <v>350</v>
      </c>
      <c r="M651" s="10">
        <v>317</v>
      </c>
      <c r="N651" s="10">
        <v>342</v>
      </c>
      <c r="O651" s="10">
        <v>338</v>
      </c>
      <c r="P651" s="10">
        <v>301</v>
      </c>
      <c r="Q651" s="10">
        <v>328</v>
      </c>
      <c r="R651" s="10">
        <v>307</v>
      </c>
      <c r="S651" s="10">
        <v>285</v>
      </c>
      <c r="T651" s="10">
        <v>302</v>
      </c>
      <c r="U651" s="10">
        <v>350</v>
      </c>
      <c r="V651" s="10">
        <v>317</v>
      </c>
      <c r="W651" s="10">
        <v>342</v>
      </c>
      <c r="X651" s="10">
        <v>323</v>
      </c>
      <c r="Y651" s="10">
        <v>62</v>
      </c>
      <c r="Z651" s="10">
        <v>313</v>
      </c>
      <c r="AA651" s="10">
        <v>342</v>
      </c>
      <c r="AB651" s="10">
        <v>323</v>
      </c>
      <c r="AC651" s="10">
        <v>65</v>
      </c>
      <c r="AD651" s="10">
        <v>42</v>
      </c>
      <c r="AE651" s="10">
        <v>36</v>
      </c>
      <c r="AF651" s="10">
        <v>29</v>
      </c>
      <c r="AG651" s="10">
        <v>29</v>
      </c>
      <c r="AH651" s="102">
        <f>SUM(Tableau2[[#This Row],[Td 2]:[Td 5]])</f>
        <v>136</v>
      </c>
      <c r="AI651" s="10">
        <v>58.3</v>
      </c>
      <c r="AJ651" s="10">
        <v>100</v>
      </c>
      <c r="AK651" s="17">
        <f t="shared" si="74"/>
        <v>60.26716666666664</v>
      </c>
      <c r="AL651" s="17">
        <f t="shared" si="75"/>
        <v>15</v>
      </c>
      <c r="AM651" s="17">
        <f t="shared" si="76"/>
        <v>313</v>
      </c>
    </row>
    <row r="652" spans="1:39" s="3" customFormat="1" x14ac:dyDescent="0.25">
      <c r="A652" s="2" t="s">
        <v>16</v>
      </c>
      <c r="B652" s="29" t="s">
        <v>739</v>
      </c>
      <c r="C652" s="2" t="s">
        <v>49</v>
      </c>
      <c r="D652" s="2" t="s">
        <v>49</v>
      </c>
      <c r="E652" s="14">
        <v>10392</v>
      </c>
      <c r="F652" s="15">
        <f t="shared" si="70"/>
        <v>362.68079999999998</v>
      </c>
      <c r="G652" s="15">
        <f t="shared" si="71"/>
        <v>415.68</v>
      </c>
      <c r="H652" s="15">
        <f t="shared" si="72"/>
        <v>302.23399999999998</v>
      </c>
      <c r="I652" s="15">
        <f t="shared" si="73"/>
        <v>346.4</v>
      </c>
      <c r="J652" s="10">
        <v>326</v>
      </c>
      <c r="K652" s="10">
        <v>523</v>
      </c>
      <c r="L652" s="10">
        <v>303</v>
      </c>
      <c r="M652" s="10">
        <v>280</v>
      </c>
      <c r="N652" s="10">
        <v>303</v>
      </c>
      <c r="O652" s="10">
        <v>299</v>
      </c>
      <c r="P652" s="10">
        <v>260</v>
      </c>
      <c r="Q652" s="10">
        <v>297</v>
      </c>
      <c r="R652" s="10">
        <v>303</v>
      </c>
      <c r="S652" s="10">
        <v>280</v>
      </c>
      <c r="T652" s="10">
        <v>303</v>
      </c>
      <c r="U652" s="10">
        <v>297</v>
      </c>
      <c r="V652" s="10">
        <v>262</v>
      </c>
      <c r="W652" s="10">
        <v>291</v>
      </c>
      <c r="X652" s="10">
        <v>299</v>
      </c>
      <c r="Y652" s="10">
        <v>266</v>
      </c>
      <c r="Z652" s="10">
        <v>299</v>
      </c>
      <c r="AA652" s="10">
        <v>303</v>
      </c>
      <c r="AB652" s="10">
        <v>299</v>
      </c>
      <c r="AC652" s="10">
        <v>66</v>
      </c>
      <c r="AD652" s="10">
        <v>115</v>
      </c>
      <c r="AE652" s="10">
        <v>94</v>
      </c>
      <c r="AF652" s="10">
        <v>66</v>
      </c>
      <c r="AG652" s="10">
        <v>52</v>
      </c>
      <c r="AH652" s="102">
        <f>SUM(Tableau2[[#This Row],[Td 2]:[Td 5]])</f>
        <v>327</v>
      </c>
      <c r="AI652" s="10">
        <v>58.3</v>
      </c>
      <c r="AJ652" s="10">
        <v>100</v>
      </c>
      <c r="AK652" s="17">
        <f t="shared" si="74"/>
        <v>3.2339999999999804</v>
      </c>
      <c r="AL652" s="17">
        <f t="shared" si="75"/>
        <v>0</v>
      </c>
      <c r="AM652" s="17">
        <f t="shared" si="76"/>
        <v>299</v>
      </c>
    </row>
    <row r="653" spans="1:39" s="3" customFormat="1" x14ac:dyDescent="0.25">
      <c r="A653" s="2" t="s">
        <v>16</v>
      </c>
      <c r="B653" s="29" t="s">
        <v>740</v>
      </c>
      <c r="C653" s="2" t="s">
        <v>50</v>
      </c>
      <c r="D653" s="2" t="s">
        <v>657</v>
      </c>
      <c r="E653" s="14">
        <v>21635</v>
      </c>
      <c r="F653" s="15">
        <f t="shared" si="70"/>
        <v>755.06150000000002</v>
      </c>
      <c r="G653" s="15">
        <f t="shared" si="71"/>
        <v>865.4</v>
      </c>
      <c r="H653" s="15">
        <f t="shared" si="72"/>
        <v>629.21791666666672</v>
      </c>
      <c r="I653" s="15">
        <f t="shared" si="73"/>
        <v>721.16666666666663</v>
      </c>
      <c r="J653" s="10">
        <v>1883</v>
      </c>
      <c r="K653" s="10">
        <v>2096</v>
      </c>
      <c r="L653" s="10">
        <v>896</v>
      </c>
      <c r="M653" s="10">
        <v>770</v>
      </c>
      <c r="N653" s="10">
        <v>661</v>
      </c>
      <c r="O653" s="10">
        <v>896</v>
      </c>
      <c r="P653" s="10">
        <v>770</v>
      </c>
      <c r="Q653" s="10">
        <v>661</v>
      </c>
      <c r="R653" s="10">
        <v>896</v>
      </c>
      <c r="S653" s="10">
        <v>770</v>
      </c>
      <c r="T653" s="10">
        <v>625</v>
      </c>
      <c r="U653" s="10">
        <v>870</v>
      </c>
      <c r="V653" s="10">
        <v>725</v>
      </c>
      <c r="W653" s="10">
        <v>621</v>
      </c>
      <c r="X653" s="10">
        <v>563</v>
      </c>
      <c r="Y653" s="10">
        <v>352</v>
      </c>
      <c r="Z653" s="10">
        <v>526</v>
      </c>
      <c r="AA653" s="10">
        <v>696</v>
      </c>
      <c r="AB653" s="10">
        <v>353</v>
      </c>
      <c r="AC653" s="10">
        <v>279</v>
      </c>
      <c r="AD653" s="10">
        <v>178</v>
      </c>
      <c r="AE653" s="10">
        <v>235</v>
      </c>
      <c r="AF653" s="10">
        <v>209</v>
      </c>
      <c r="AG653" s="10">
        <v>263</v>
      </c>
      <c r="AH653" s="102">
        <f>SUM(Tableau2[[#This Row],[Td 2]:[Td 5]])</f>
        <v>885</v>
      </c>
      <c r="AI653" s="10">
        <v>50</v>
      </c>
      <c r="AJ653" s="10">
        <v>100</v>
      </c>
      <c r="AK653" s="17">
        <f t="shared" si="74"/>
        <v>0</v>
      </c>
      <c r="AL653" s="17">
        <f t="shared" si="75"/>
        <v>333</v>
      </c>
      <c r="AM653" s="17">
        <f t="shared" si="76"/>
        <v>526</v>
      </c>
    </row>
    <row r="654" spans="1:39" s="3" customFormat="1" x14ac:dyDescent="0.25">
      <c r="A654" s="2" t="s">
        <v>16</v>
      </c>
      <c r="B654" s="29" t="s">
        <v>740</v>
      </c>
      <c r="C654" s="2" t="s">
        <v>50</v>
      </c>
      <c r="D654" s="2" t="s">
        <v>658</v>
      </c>
      <c r="E654" s="14">
        <v>27093</v>
      </c>
      <c r="F654" s="15">
        <f t="shared" si="70"/>
        <v>945.54570000000001</v>
      </c>
      <c r="G654" s="15">
        <f t="shared" si="71"/>
        <v>1083.72</v>
      </c>
      <c r="H654" s="15">
        <f t="shared" si="72"/>
        <v>787.95474999999999</v>
      </c>
      <c r="I654" s="15">
        <f t="shared" si="73"/>
        <v>903.1</v>
      </c>
      <c r="J654" s="10">
        <v>891</v>
      </c>
      <c r="K654" s="10">
        <v>909</v>
      </c>
      <c r="L654" s="10">
        <v>821</v>
      </c>
      <c r="M654" s="10">
        <v>781</v>
      </c>
      <c r="N654" s="10">
        <v>806</v>
      </c>
      <c r="O654" s="10">
        <v>821</v>
      </c>
      <c r="P654" s="10">
        <v>781</v>
      </c>
      <c r="Q654" s="10">
        <v>806</v>
      </c>
      <c r="R654" s="10">
        <v>821</v>
      </c>
      <c r="S654" s="10">
        <v>781</v>
      </c>
      <c r="T654" s="10">
        <v>806</v>
      </c>
      <c r="U654" s="10">
        <v>821</v>
      </c>
      <c r="V654" s="10">
        <v>781</v>
      </c>
      <c r="W654" s="10">
        <v>806</v>
      </c>
      <c r="X654" s="10">
        <v>722</v>
      </c>
      <c r="Y654" s="10">
        <v>827</v>
      </c>
      <c r="Z654" s="10">
        <v>700</v>
      </c>
      <c r="AA654" s="10">
        <v>806</v>
      </c>
      <c r="AB654" s="10">
        <v>744</v>
      </c>
      <c r="AC654" s="10">
        <v>370</v>
      </c>
      <c r="AD654" s="10">
        <v>226</v>
      </c>
      <c r="AE654" s="10">
        <v>183</v>
      </c>
      <c r="AF654" s="10">
        <v>132</v>
      </c>
      <c r="AG654" s="10">
        <v>84</v>
      </c>
      <c r="AH654" s="102">
        <f>SUM(Tableau2[[#This Row],[Td 2]:[Td 5]])</f>
        <v>625</v>
      </c>
      <c r="AI654" s="10">
        <v>45.8</v>
      </c>
      <c r="AJ654" s="10">
        <v>100</v>
      </c>
      <c r="AK654" s="17">
        <f t="shared" si="74"/>
        <v>0</v>
      </c>
      <c r="AL654" s="17">
        <f t="shared" si="75"/>
        <v>99</v>
      </c>
      <c r="AM654" s="17">
        <f t="shared" si="76"/>
        <v>700</v>
      </c>
    </row>
    <row r="655" spans="1:39" s="3" customFormat="1" x14ac:dyDescent="0.25">
      <c r="A655" s="2" t="s">
        <v>16</v>
      </c>
      <c r="B655" s="29" t="s">
        <v>740</v>
      </c>
      <c r="C655" s="2" t="s">
        <v>50</v>
      </c>
      <c r="D655" s="2" t="s">
        <v>659</v>
      </c>
      <c r="E655" s="14">
        <v>8256</v>
      </c>
      <c r="F655" s="15">
        <f t="shared" si="70"/>
        <v>288.13440000000003</v>
      </c>
      <c r="G655" s="15">
        <f t="shared" si="71"/>
        <v>330.24</v>
      </c>
      <c r="H655" s="15">
        <f t="shared" si="72"/>
        <v>240.11200000000002</v>
      </c>
      <c r="I655" s="15">
        <f t="shared" si="73"/>
        <v>275.2</v>
      </c>
      <c r="J655" s="10">
        <v>329</v>
      </c>
      <c r="K655" s="10">
        <v>69</v>
      </c>
      <c r="L655" s="10">
        <v>257</v>
      </c>
      <c r="M655" s="10">
        <v>234</v>
      </c>
      <c r="N655" s="10">
        <v>226</v>
      </c>
      <c r="O655" s="10">
        <v>257</v>
      </c>
      <c r="P655" s="10">
        <v>237</v>
      </c>
      <c r="Q655" s="10">
        <v>228</v>
      </c>
      <c r="R655" s="10">
        <v>251</v>
      </c>
      <c r="S655" s="10">
        <v>238</v>
      </c>
      <c r="T655" s="10">
        <v>230</v>
      </c>
      <c r="U655" s="10">
        <v>257</v>
      </c>
      <c r="V655" s="10">
        <v>231</v>
      </c>
      <c r="W655" s="10">
        <v>226</v>
      </c>
      <c r="X655" s="10">
        <v>203</v>
      </c>
      <c r="Y655" s="10">
        <v>142</v>
      </c>
      <c r="Z655" s="10">
        <v>198</v>
      </c>
      <c r="AA655" s="10">
        <v>226</v>
      </c>
      <c r="AB655" s="10">
        <v>181</v>
      </c>
      <c r="AC655" s="10">
        <v>166</v>
      </c>
      <c r="AD655" s="10">
        <v>124</v>
      </c>
      <c r="AE655" s="10">
        <v>99</v>
      </c>
      <c r="AF655" s="10">
        <v>49</v>
      </c>
      <c r="AG655" s="10">
        <v>29</v>
      </c>
      <c r="AH655" s="102">
        <f>SUM(Tableau2[[#This Row],[Td 2]:[Td 5]])</f>
        <v>301</v>
      </c>
      <c r="AI655" s="10">
        <v>50</v>
      </c>
      <c r="AJ655" s="10">
        <v>100</v>
      </c>
      <c r="AK655" s="17">
        <f t="shared" si="74"/>
        <v>0</v>
      </c>
      <c r="AL655" s="17">
        <f t="shared" si="75"/>
        <v>54</v>
      </c>
      <c r="AM655" s="17">
        <f t="shared" si="76"/>
        <v>198</v>
      </c>
    </row>
    <row r="656" spans="1:39" s="3" customFormat="1" x14ac:dyDescent="0.25">
      <c r="A656" s="2" t="s">
        <v>16</v>
      </c>
      <c r="B656" s="29" t="s">
        <v>740</v>
      </c>
      <c r="C656" s="2" t="s">
        <v>50</v>
      </c>
      <c r="D656" s="2" t="s">
        <v>660</v>
      </c>
      <c r="E656" s="14">
        <v>5963</v>
      </c>
      <c r="F656" s="15">
        <f t="shared" si="70"/>
        <v>208.1087</v>
      </c>
      <c r="G656" s="15">
        <f t="shared" si="71"/>
        <v>238.52</v>
      </c>
      <c r="H656" s="15">
        <f t="shared" si="72"/>
        <v>173.42391666666668</v>
      </c>
      <c r="I656" s="15">
        <f t="shared" si="73"/>
        <v>198.76666666666668</v>
      </c>
      <c r="J656" s="10">
        <v>242</v>
      </c>
      <c r="K656" s="10">
        <v>251</v>
      </c>
      <c r="L656" s="10">
        <v>248</v>
      </c>
      <c r="M656" s="10">
        <v>224</v>
      </c>
      <c r="N656" s="10">
        <v>239</v>
      </c>
      <c r="O656" s="10">
        <v>248</v>
      </c>
      <c r="P656" s="10">
        <v>223</v>
      </c>
      <c r="Q656" s="10">
        <v>239</v>
      </c>
      <c r="R656" s="10">
        <v>249</v>
      </c>
      <c r="S656" s="10">
        <v>224</v>
      </c>
      <c r="T656" s="10">
        <v>239</v>
      </c>
      <c r="U656" s="10">
        <v>247</v>
      </c>
      <c r="V656" s="10">
        <v>227</v>
      </c>
      <c r="W656" s="10">
        <v>249</v>
      </c>
      <c r="X656" s="10">
        <v>206</v>
      </c>
      <c r="Y656" s="10">
        <v>114</v>
      </c>
      <c r="Z656" s="10">
        <v>216</v>
      </c>
      <c r="AA656" s="10">
        <v>239</v>
      </c>
      <c r="AB656" s="10">
        <v>146</v>
      </c>
      <c r="AC656" s="10">
        <v>117</v>
      </c>
      <c r="AD656" s="10">
        <v>48</v>
      </c>
      <c r="AE656" s="10">
        <v>34</v>
      </c>
      <c r="AF656" s="10">
        <v>29</v>
      </c>
      <c r="AG656" s="10">
        <v>21</v>
      </c>
      <c r="AH656" s="102">
        <f>SUM(Tableau2[[#This Row],[Td 2]:[Td 5]])</f>
        <v>132</v>
      </c>
      <c r="AI656" s="10">
        <v>41.7</v>
      </c>
      <c r="AJ656" s="10">
        <v>100</v>
      </c>
      <c r="AK656" s="17">
        <f t="shared" si="74"/>
        <v>0</v>
      </c>
      <c r="AL656" s="17">
        <f t="shared" si="75"/>
        <v>42</v>
      </c>
      <c r="AM656" s="17">
        <f t="shared" si="76"/>
        <v>206</v>
      </c>
    </row>
    <row r="657" spans="1:39" s="3" customFormat="1" x14ac:dyDescent="0.25">
      <c r="A657" s="2" t="s">
        <v>16</v>
      </c>
      <c r="B657" s="29" t="s">
        <v>740</v>
      </c>
      <c r="C657" s="2" t="s">
        <v>50</v>
      </c>
      <c r="D657" s="2" t="s">
        <v>661</v>
      </c>
      <c r="E657" s="14">
        <v>11117</v>
      </c>
      <c r="F657" s="15">
        <f t="shared" si="70"/>
        <v>387.98329999999999</v>
      </c>
      <c r="G657" s="15">
        <f t="shared" si="71"/>
        <v>444.68</v>
      </c>
      <c r="H657" s="15">
        <f t="shared" si="72"/>
        <v>323.31941666666665</v>
      </c>
      <c r="I657" s="15">
        <f t="shared" si="73"/>
        <v>370.56666666666666</v>
      </c>
      <c r="J657" s="10">
        <v>351</v>
      </c>
      <c r="K657" s="10">
        <v>283</v>
      </c>
      <c r="L657" s="10">
        <v>368</v>
      </c>
      <c r="M657" s="10">
        <v>517</v>
      </c>
      <c r="N657" s="10">
        <v>420</v>
      </c>
      <c r="O657" s="10">
        <v>368</v>
      </c>
      <c r="P657" s="10">
        <v>387</v>
      </c>
      <c r="Q657" s="10">
        <v>420</v>
      </c>
      <c r="R657" s="10">
        <v>368</v>
      </c>
      <c r="S657" s="10">
        <v>369</v>
      </c>
      <c r="T657" s="10">
        <v>420</v>
      </c>
      <c r="U657" s="10">
        <v>368</v>
      </c>
      <c r="V657" s="10">
        <v>369</v>
      </c>
      <c r="W657" s="10">
        <v>529</v>
      </c>
      <c r="X657" s="10">
        <v>366</v>
      </c>
      <c r="Y657" s="10">
        <v>209</v>
      </c>
      <c r="Z657" s="10">
        <v>360</v>
      </c>
      <c r="AA657" s="10">
        <v>420</v>
      </c>
      <c r="AB657" s="10">
        <v>277</v>
      </c>
      <c r="AC657" s="10">
        <v>224</v>
      </c>
      <c r="AD657" s="10">
        <v>69</v>
      </c>
      <c r="AE657" s="10">
        <v>48</v>
      </c>
      <c r="AF657" s="10">
        <v>60</v>
      </c>
      <c r="AG657" s="10">
        <v>41</v>
      </c>
      <c r="AH657" s="102">
        <f>SUM(Tableau2[[#This Row],[Td 2]:[Td 5]])</f>
        <v>218</v>
      </c>
      <c r="AI657" s="10">
        <v>50</v>
      </c>
      <c r="AJ657" s="10">
        <v>100</v>
      </c>
      <c r="AK657" s="17">
        <f t="shared" si="74"/>
        <v>0</v>
      </c>
      <c r="AL657" s="17">
        <f t="shared" si="75"/>
        <v>2</v>
      </c>
      <c r="AM657" s="17">
        <f t="shared" si="76"/>
        <v>360</v>
      </c>
    </row>
    <row r="658" spans="1:39" s="3" customFormat="1" x14ac:dyDescent="0.25">
      <c r="A658" s="2" t="s">
        <v>16</v>
      </c>
      <c r="B658" s="29" t="s">
        <v>740</v>
      </c>
      <c r="C658" s="2" t="s">
        <v>50</v>
      </c>
      <c r="D658" s="2" t="s">
        <v>662</v>
      </c>
      <c r="E658" s="14">
        <v>9165</v>
      </c>
      <c r="F658" s="15">
        <f t="shared" si="70"/>
        <v>319.85849999999999</v>
      </c>
      <c r="G658" s="15">
        <f t="shared" si="71"/>
        <v>366.6</v>
      </c>
      <c r="H658" s="15">
        <f t="shared" si="72"/>
        <v>266.54874999999998</v>
      </c>
      <c r="I658" s="15">
        <f t="shared" si="73"/>
        <v>305.5</v>
      </c>
      <c r="J658" s="10">
        <v>345</v>
      </c>
      <c r="K658" s="10">
        <v>333</v>
      </c>
      <c r="L658" s="10">
        <v>278</v>
      </c>
      <c r="M658" s="10">
        <v>274</v>
      </c>
      <c r="N658" s="10">
        <v>282</v>
      </c>
      <c r="O658" s="10">
        <v>295</v>
      </c>
      <c r="P658" s="10">
        <v>297</v>
      </c>
      <c r="Q658" s="10">
        <v>302</v>
      </c>
      <c r="R658" s="10">
        <v>295</v>
      </c>
      <c r="S658" s="10">
        <v>297</v>
      </c>
      <c r="T658" s="10">
        <v>287</v>
      </c>
      <c r="U658" s="10">
        <v>306</v>
      </c>
      <c r="V658" s="10">
        <v>296</v>
      </c>
      <c r="W658" s="10">
        <v>305</v>
      </c>
      <c r="X658" s="10">
        <v>290</v>
      </c>
      <c r="Y658" s="10">
        <v>257</v>
      </c>
      <c r="Z658" s="10">
        <v>300</v>
      </c>
      <c r="AA658" s="10">
        <v>282</v>
      </c>
      <c r="AB658" s="10">
        <v>245</v>
      </c>
      <c r="AC658" s="10">
        <v>172</v>
      </c>
      <c r="AD658" s="10">
        <v>116</v>
      </c>
      <c r="AE658" s="10">
        <v>149</v>
      </c>
      <c r="AF658" s="10">
        <v>130</v>
      </c>
      <c r="AG658" s="10">
        <v>166</v>
      </c>
      <c r="AH658" s="102">
        <f>SUM(Tableau2[[#This Row],[Td 2]:[Td 5]])</f>
        <v>561</v>
      </c>
      <c r="AI658" s="10">
        <v>50</v>
      </c>
      <c r="AJ658" s="10">
        <v>100</v>
      </c>
      <c r="AK658" s="17">
        <f t="shared" si="74"/>
        <v>0</v>
      </c>
      <c r="AL658" s="17">
        <f t="shared" si="75"/>
        <v>5</v>
      </c>
      <c r="AM658" s="17">
        <f t="shared" si="76"/>
        <v>290</v>
      </c>
    </row>
    <row r="659" spans="1:39" s="3" customFormat="1" x14ac:dyDescent="0.25">
      <c r="A659" s="2" t="s">
        <v>16</v>
      </c>
      <c r="B659" s="29" t="s">
        <v>740</v>
      </c>
      <c r="C659" s="2" t="s">
        <v>50</v>
      </c>
      <c r="D659" s="2" t="s">
        <v>663</v>
      </c>
      <c r="E659" s="14">
        <v>6628</v>
      </c>
      <c r="F659" s="15">
        <f t="shared" si="70"/>
        <v>231.31720000000001</v>
      </c>
      <c r="G659" s="15">
        <f t="shared" si="71"/>
        <v>265.12</v>
      </c>
      <c r="H659" s="15">
        <f t="shared" si="72"/>
        <v>192.76433333333333</v>
      </c>
      <c r="I659" s="15">
        <f t="shared" si="73"/>
        <v>220.93333333333334</v>
      </c>
      <c r="J659" s="10">
        <v>186</v>
      </c>
      <c r="K659" s="10">
        <v>51</v>
      </c>
      <c r="L659" s="10">
        <v>252</v>
      </c>
      <c r="M659" s="10">
        <v>248</v>
      </c>
      <c r="N659" s="10">
        <v>258</v>
      </c>
      <c r="O659" s="10">
        <v>252</v>
      </c>
      <c r="P659" s="10">
        <v>248</v>
      </c>
      <c r="Q659" s="10">
        <v>258</v>
      </c>
      <c r="R659" s="10">
        <v>252</v>
      </c>
      <c r="S659" s="10">
        <v>248</v>
      </c>
      <c r="T659" s="10">
        <v>258</v>
      </c>
      <c r="U659" s="10">
        <v>252</v>
      </c>
      <c r="V659" s="10">
        <v>248</v>
      </c>
      <c r="W659" s="10">
        <v>258</v>
      </c>
      <c r="X659" s="10">
        <v>306</v>
      </c>
      <c r="Y659" s="10">
        <v>92</v>
      </c>
      <c r="Z659" s="10">
        <v>306</v>
      </c>
      <c r="AA659" s="10">
        <v>258</v>
      </c>
      <c r="AB659" s="10">
        <v>231</v>
      </c>
      <c r="AC659" s="10">
        <v>38</v>
      </c>
      <c r="AD659" s="10">
        <v>60</v>
      </c>
      <c r="AE659" s="10">
        <v>29</v>
      </c>
      <c r="AF659" s="10">
        <v>36</v>
      </c>
      <c r="AG659" s="10">
        <v>25</v>
      </c>
      <c r="AH659" s="102">
        <f>SUM(Tableau2[[#This Row],[Td 2]:[Td 5]])</f>
        <v>150</v>
      </c>
      <c r="AI659" s="10">
        <v>58.3</v>
      </c>
      <c r="AJ659" s="10">
        <v>100</v>
      </c>
      <c r="AK659" s="17">
        <f t="shared" si="74"/>
        <v>0</v>
      </c>
      <c r="AL659" s="17">
        <f t="shared" si="75"/>
        <v>0</v>
      </c>
      <c r="AM659" s="17">
        <f t="shared" si="76"/>
        <v>306</v>
      </c>
    </row>
    <row r="660" spans="1:39" s="3" customFormat="1" x14ac:dyDescent="0.25">
      <c r="A660" s="2" t="s">
        <v>16</v>
      </c>
      <c r="B660" s="29" t="s">
        <v>740</v>
      </c>
      <c r="C660" s="2" t="s">
        <v>50</v>
      </c>
      <c r="D660" s="29" t="s">
        <v>960</v>
      </c>
      <c r="E660" s="14">
        <v>4871</v>
      </c>
      <c r="F660" s="15">
        <f t="shared" si="70"/>
        <v>169.99790000000002</v>
      </c>
      <c r="G660" s="15">
        <f t="shared" si="71"/>
        <v>194.84</v>
      </c>
      <c r="H660" s="15">
        <f t="shared" si="72"/>
        <v>141.66491666666667</v>
      </c>
      <c r="I660" s="15">
        <f t="shared" si="73"/>
        <v>162.36666666666667</v>
      </c>
      <c r="J660" s="10">
        <v>163</v>
      </c>
      <c r="K660" s="10">
        <v>179</v>
      </c>
      <c r="L660" s="10">
        <v>179</v>
      </c>
      <c r="M660" s="10">
        <v>181</v>
      </c>
      <c r="N660" s="10">
        <v>177</v>
      </c>
      <c r="O660" s="10">
        <v>179</v>
      </c>
      <c r="P660" s="10">
        <v>181</v>
      </c>
      <c r="Q660" s="10">
        <v>177</v>
      </c>
      <c r="R660" s="10">
        <v>179</v>
      </c>
      <c r="S660" s="10">
        <v>181</v>
      </c>
      <c r="T660" s="10">
        <v>177</v>
      </c>
      <c r="U660" s="10">
        <v>210</v>
      </c>
      <c r="V660" s="10">
        <v>213</v>
      </c>
      <c r="W660" s="10">
        <v>243</v>
      </c>
      <c r="X660" s="10">
        <v>169</v>
      </c>
      <c r="Y660" s="10">
        <v>91</v>
      </c>
      <c r="Z660" s="10">
        <v>169</v>
      </c>
      <c r="AA660" s="10">
        <v>177</v>
      </c>
      <c r="AB660" s="10">
        <v>77</v>
      </c>
      <c r="AC660" s="10">
        <v>76</v>
      </c>
      <c r="AD660" s="10">
        <v>44</v>
      </c>
      <c r="AE660" s="10">
        <v>37</v>
      </c>
      <c r="AF660" s="10">
        <v>42</v>
      </c>
      <c r="AG660" s="10">
        <v>37</v>
      </c>
      <c r="AH660" s="102">
        <f>SUM(Tableau2[[#This Row],[Td 2]:[Td 5]])</f>
        <v>160</v>
      </c>
      <c r="AI660" s="10">
        <v>50</v>
      </c>
      <c r="AJ660" s="10">
        <v>100</v>
      </c>
      <c r="AK660" s="17">
        <f t="shared" si="74"/>
        <v>0</v>
      </c>
      <c r="AL660" s="17">
        <f t="shared" si="75"/>
        <v>10</v>
      </c>
      <c r="AM660" s="17">
        <f t="shared" si="76"/>
        <v>169</v>
      </c>
    </row>
    <row r="661" spans="1:39" s="3" customFormat="1" x14ac:dyDescent="0.25">
      <c r="A661" s="2" t="s">
        <v>16</v>
      </c>
      <c r="B661" s="29" t="s">
        <v>740</v>
      </c>
      <c r="C661" s="2" t="s">
        <v>50</v>
      </c>
      <c r="D661" s="2" t="s">
        <v>664</v>
      </c>
      <c r="E661" s="14">
        <v>12614</v>
      </c>
      <c r="F661" s="15">
        <f t="shared" si="70"/>
        <v>440.22860000000003</v>
      </c>
      <c r="G661" s="15">
        <f t="shared" si="71"/>
        <v>504.56</v>
      </c>
      <c r="H661" s="15">
        <f t="shared" si="72"/>
        <v>366.85716666666673</v>
      </c>
      <c r="I661" s="15">
        <f t="shared" si="73"/>
        <v>420.4666666666667</v>
      </c>
      <c r="J661" s="10">
        <v>577</v>
      </c>
      <c r="K661" s="10">
        <v>314</v>
      </c>
      <c r="L661" s="10">
        <v>568</v>
      </c>
      <c r="M661" s="10">
        <v>543</v>
      </c>
      <c r="N661" s="10">
        <v>614</v>
      </c>
      <c r="O661" s="10">
        <v>568</v>
      </c>
      <c r="P661" s="10">
        <v>543</v>
      </c>
      <c r="Q661" s="10">
        <v>614</v>
      </c>
      <c r="R661" s="10">
        <v>558</v>
      </c>
      <c r="S661" s="10">
        <v>568</v>
      </c>
      <c r="T661" s="10">
        <v>614</v>
      </c>
      <c r="U661" s="10">
        <v>533</v>
      </c>
      <c r="V661" s="10">
        <v>513</v>
      </c>
      <c r="W661" s="10">
        <v>562</v>
      </c>
      <c r="X661" s="10">
        <v>535</v>
      </c>
      <c r="Y661" s="10">
        <v>432</v>
      </c>
      <c r="Z661" s="10">
        <v>536</v>
      </c>
      <c r="AA661" s="10">
        <v>614</v>
      </c>
      <c r="AB661" s="10">
        <v>476</v>
      </c>
      <c r="AC661" s="10">
        <v>117</v>
      </c>
      <c r="AD661" s="10">
        <v>132</v>
      </c>
      <c r="AE661" s="10">
        <v>94</v>
      </c>
      <c r="AF661" s="10">
        <v>79</v>
      </c>
      <c r="AG661" s="10">
        <v>73</v>
      </c>
      <c r="AH661" s="102">
        <f>SUM(Tableau2[[#This Row],[Td 2]:[Td 5]])</f>
        <v>378</v>
      </c>
      <c r="AI661" s="10">
        <v>33.299999999999997</v>
      </c>
      <c r="AJ661" s="10">
        <v>100</v>
      </c>
      <c r="AK661" s="17">
        <f t="shared" si="74"/>
        <v>0</v>
      </c>
      <c r="AL661" s="17">
        <f t="shared" si="75"/>
        <v>33</v>
      </c>
      <c r="AM661" s="17">
        <f t="shared" si="76"/>
        <v>535</v>
      </c>
    </row>
    <row r="662" spans="1:39" s="3" customFormat="1" x14ac:dyDescent="0.25">
      <c r="A662" s="2" t="s">
        <v>16</v>
      </c>
      <c r="B662" s="29" t="s">
        <v>740</v>
      </c>
      <c r="C662" s="2" t="s">
        <v>50</v>
      </c>
      <c r="D662" s="2" t="s">
        <v>665</v>
      </c>
      <c r="E662" s="14">
        <v>10172</v>
      </c>
      <c r="F662" s="15">
        <f t="shared" si="70"/>
        <v>355.00279999999998</v>
      </c>
      <c r="G662" s="15">
        <f t="shared" si="71"/>
        <v>406.88</v>
      </c>
      <c r="H662" s="15">
        <f t="shared" si="72"/>
        <v>295.83566666666667</v>
      </c>
      <c r="I662" s="15">
        <f t="shared" si="73"/>
        <v>339.06666666666666</v>
      </c>
      <c r="J662" s="10">
        <v>272</v>
      </c>
      <c r="K662" s="10">
        <v>159</v>
      </c>
      <c r="L662" s="10">
        <v>280</v>
      </c>
      <c r="M662" s="10">
        <v>250</v>
      </c>
      <c r="N662" s="10">
        <v>299</v>
      </c>
      <c r="O662" s="10">
        <v>280</v>
      </c>
      <c r="P662" s="10">
        <v>250</v>
      </c>
      <c r="Q662" s="10">
        <v>299</v>
      </c>
      <c r="R662" s="10">
        <v>280</v>
      </c>
      <c r="S662" s="10">
        <v>250</v>
      </c>
      <c r="T662" s="10">
        <v>299</v>
      </c>
      <c r="U662" s="10">
        <v>280</v>
      </c>
      <c r="V662" s="10">
        <v>249</v>
      </c>
      <c r="W662" s="10">
        <v>299</v>
      </c>
      <c r="X662" s="10">
        <v>263</v>
      </c>
      <c r="Y662" s="10">
        <v>97</v>
      </c>
      <c r="Z662" s="10">
        <v>263</v>
      </c>
      <c r="AA662" s="10">
        <v>299</v>
      </c>
      <c r="AB662" s="10">
        <v>71</v>
      </c>
      <c r="AC662" s="10">
        <v>95</v>
      </c>
      <c r="AD662" s="10">
        <v>46</v>
      </c>
      <c r="AE662" s="10">
        <v>50</v>
      </c>
      <c r="AF662" s="10">
        <v>36</v>
      </c>
      <c r="AG662" s="10">
        <v>50</v>
      </c>
      <c r="AH662" s="102">
        <f>SUM(Tableau2[[#This Row],[Td 2]:[Td 5]])</f>
        <v>182</v>
      </c>
      <c r="AI662" s="10">
        <v>50</v>
      </c>
      <c r="AJ662" s="10">
        <v>100</v>
      </c>
      <c r="AK662" s="17">
        <f t="shared" si="74"/>
        <v>15.835666666666668</v>
      </c>
      <c r="AL662" s="17">
        <f t="shared" si="75"/>
        <v>17</v>
      </c>
      <c r="AM662" s="17">
        <f t="shared" si="76"/>
        <v>263</v>
      </c>
    </row>
    <row r="663" spans="1:39" s="3" customFormat="1" x14ac:dyDescent="0.25">
      <c r="A663" s="2" t="s">
        <v>16</v>
      </c>
      <c r="B663" s="29" t="s">
        <v>740</v>
      </c>
      <c r="C663" s="2" t="s">
        <v>50</v>
      </c>
      <c r="D663" s="2" t="s">
        <v>666</v>
      </c>
      <c r="E663" s="14">
        <v>13399</v>
      </c>
      <c r="F663" s="15">
        <f t="shared" si="70"/>
        <v>467.62510000000003</v>
      </c>
      <c r="G663" s="15">
        <f t="shared" si="71"/>
        <v>535.96</v>
      </c>
      <c r="H663" s="15">
        <f t="shared" si="72"/>
        <v>389.68758333333335</v>
      </c>
      <c r="I663" s="15">
        <f t="shared" si="73"/>
        <v>446.63333333333333</v>
      </c>
      <c r="J663" s="10">
        <v>357</v>
      </c>
      <c r="K663" s="10">
        <v>363</v>
      </c>
      <c r="L663" s="10">
        <v>361</v>
      </c>
      <c r="M663" s="10">
        <v>337</v>
      </c>
      <c r="N663" s="10">
        <v>351</v>
      </c>
      <c r="O663" s="10">
        <v>361</v>
      </c>
      <c r="P663" s="10">
        <v>338</v>
      </c>
      <c r="Q663" s="10">
        <v>351</v>
      </c>
      <c r="R663" s="10">
        <v>361</v>
      </c>
      <c r="S663" s="10">
        <v>338</v>
      </c>
      <c r="T663" s="10">
        <v>351</v>
      </c>
      <c r="U663" s="10">
        <v>340</v>
      </c>
      <c r="V663" s="10">
        <v>309</v>
      </c>
      <c r="W663" s="10">
        <v>323</v>
      </c>
      <c r="X663" s="10">
        <v>329</v>
      </c>
      <c r="Y663" s="10">
        <v>192</v>
      </c>
      <c r="Z663" s="10">
        <v>329</v>
      </c>
      <c r="AA663" s="10">
        <v>351</v>
      </c>
      <c r="AB663" s="10">
        <v>152</v>
      </c>
      <c r="AC663" s="10">
        <v>130</v>
      </c>
      <c r="AD663" s="10">
        <v>85</v>
      </c>
      <c r="AE663" s="10">
        <v>65</v>
      </c>
      <c r="AF663" s="10">
        <v>70</v>
      </c>
      <c r="AG663" s="10">
        <v>75</v>
      </c>
      <c r="AH663" s="102">
        <f>SUM(Tableau2[[#This Row],[Td 2]:[Td 5]])</f>
        <v>295</v>
      </c>
      <c r="AI663" s="10">
        <v>41.7</v>
      </c>
      <c r="AJ663" s="10">
        <v>100</v>
      </c>
      <c r="AK663" s="17">
        <f t="shared" si="74"/>
        <v>28.68758333333335</v>
      </c>
      <c r="AL663" s="17">
        <f t="shared" si="75"/>
        <v>32</v>
      </c>
      <c r="AM663" s="17">
        <f t="shared" si="76"/>
        <v>329</v>
      </c>
    </row>
    <row r="664" spans="1:39" s="3" customFormat="1" x14ac:dyDescent="0.25">
      <c r="A664" s="2" t="s">
        <v>16</v>
      </c>
      <c r="B664" s="29" t="s">
        <v>740</v>
      </c>
      <c r="C664" s="2" t="s">
        <v>50</v>
      </c>
      <c r="D664" s="2" t="s">
        <v>667</v>
      </c>
      <c r="E664" s="14">
        <v>9048</v>
      </c>
      <c r="F664" s="15">
        <f t="shared" si="70"/>
        <v>315.77519999999998</v>
      </c>
      <c r="G664" s="15">
        <f t="shared" si="71"/>
        <v>361.92</v>
      </c>
      <c r="H664" s="15">
        <f t="shared" si="72"/>
        <v>263.14599999999996</v>
      </c>
      <c r="I664" s="15">
        <f t="shared" si="73"/>
        <v>301.60000000000002</v>
      </c>
      <c r="J664" s="10">
        <v>257</v>
      </c>
      <c r="K664" s="10">
        <v>267</v>
      </c>
      <c r="L664" s="10">
        <v>293</v>
      </c>
      <c r="M664" s="10">
        <v>295</v>
      </c>
      <c r="N664" s="10">
        <v>294</v>
      </c>
      <c r="O664" s="10">
        <v>293</v>
      </c>
      <c r="P664" s="10">
        <v>295</v>
      </c>
      <c r="Q664" s="10">
        <v>294</v>
      </c>
      <c r="R664" s="10">
        <v>293</v>
      </c>
      <c r="S664" s="10">
        <v>294</v>
      </c>
      <c r="T664" s="10">
        <v>294</v>
      </c>
      <c r="U664" s="10">
        <v>294</v>
      </c>
      <c r="V664" s="10">
        <v>295</v>
      </c>
      <c r="W664" s="10">
        <v>295</v>
      </c>
      <c r="X664" s="10">
        <v>286</v>
      </c>
      <c r="Y664" s="10">
        <v>269</v>
      </c>
      <c r="Z664" s="10">
        <v>296</v>
      </c>
      <c r="AA664" s="10">
        <v>294</v>
      </c>
      <c r="AB664" s="10">
        <v>298</v>
      </c>
      <c r="AC664" s="10">
        <v>157</v>
      </c>
      <c r="AD664" s="10">
        <v>132</v>
      </c>
      <c r="AE664" s="10">
        <v>100</v>
      </c>
      <c r="AF664" s="10">
        <v>61</v>
      </c>
      <c r="AG664" s="10">
        <v>42</v>
      </c>
      <c r="AH664" s="102">
        <f>SUM(Tableau2[[#This Row],[Td 2]:[Td 5]])</f>
        <v>335</v>
      </c>
      <c r="AI664" s="10">
        <v>37.5</v>
      </c>
      <c r="AJ664" s="10">
        <v>100</v>
      </c>
      <c r="AK664" s="17">
        <f t="shared" si="74"/>
        <v>0</v>
      </c>
      <c r="AL664" s="17">
        <f t="shared" si="75"/>
        <v>7</v>
      </c>
      <c r="AM664" s="17">
        <f t="shared" si="76"/>
        <v>286</v>
      </c>
    </row>
    <row r="665" spans="1:39" s="3" customFormat="1" x14ac:dyDescent="0.25">
      <c r="A665" s="2" t="s">
        <v>16</v>
      </c>
      <c r="B665" s="29" t="s">
        <v>740</v>
      </c>
      <c r="C665" s="2" t="s">
        <v>50</v>
      </c>
      <c r="D665" s="2" t="s">
        <v>668</v>
      </c>
      <c r="E665" s="14">
        <v>12906</v>
      </c>
      <c r="F665" s="15">
        <f t="shared" si="70"/>
        <v>450.4194</v>
      </c>
      <c r="G665" s="15">
        <f t="shared" si="71"/>
        <v>516.24</v>
      </c>
      <c r="H665" s="15">
        <f t="shared" si="72"/>
        <v>375.34950000000003</v>
      </c>
      <c r="I665" s="15">
        <f t="shared" si="73"/>
        <v>430.20000000000005</v>
      </c>
      <c r="J665" s="10">
        <v>342</v>
      </c>
      <c r="K665" s="10">
        <v>180</v>
      </c>
      <c r="L665" s="10">
        <v>301</v>
      </c>
      <c r="M665" s="10">
        <v>336</v>
      </c>
      <c r="N665" s="10">
        <v>329</v>
      </c>
      <c r="O665" s="10">
        <v>301</v>
      </c>
      <c r="P665" s="10">
        <v>336</v>
      </c>
      <c r="Q665" s="10">
        <v>329</v>
      </c>
      <c r="R665" s="10">
        <v>301</v>
      </c>
      <c r="S665" s="10">
        <v>336</v>
      </c>
      <c r="T665" s="10">
        <v>329</v>
      </c>
      <c r="U665" s="10">
        <v>238</v>
      </c>
      <c r="V665" s="10">
        <v>252</v>
      </c>
      <c r="W665" s="10">
        <v>252</v>
      </c>
      <c r="X665" s="10">
        <v>224</v>
      </c>
      <c r="Y665" s="10">
        <v>200</v>
      </c>
      <c r="Z665" s="10">
        <v>224</v>
      </c>
      <c r="AA665" s="10">
        <v>329</v>
      </c>
      <c r="AB665" s="10">
        <v>175</v>
      </c>
      <c r="AC665" s="10">
        <v>68</v>
      </c>
      <c r="AD665" s="10">
        <v>15</v>
      </c>
      <c r="AE665" s="10">
        <v>20</v>
      </c>
      <c r="AF665" s="10">
        <v>42</v>
      </c>
      <c r="AG665" s="10">
        <v>50</v>
      </c>
      <c r="AH665" s="102">
        <f>SUM(Tableau2[[#This Row],[Td 2]:[Td 5]])</f>
        <v>127</v>
      </c>
      <c r="AI665" s="10">
        <v>41.7</v>
      </c>
      <c r="AJ665" s="10">
        <v>100</v>
      </c>
      <c r="AK665" s="17">
        <f t="shared" si="74"/>
        <v>74.349500000000035</v>
      </c>
      <c r="AL665" s="17">
        <f t="shared" si="75"/>
        <v>77</v>
      </c>
      <c r="AM665" s="17">
        <f t="shared" si="76"/>
        <v>224</v>
      </c>
    </row>
    <row r="666" spans="1:39" s="3" customFormat="1" x14ac:dyDescent="0.25">
      <c r="A666" s="2" t="s">
        <v>16</v>
      </c>
      <c r="B666" s="29" t="s">
        <v>740</v>
      </c>
      <c r="C666" s="2" t="s">
        <v>50</v>
      </c>
      <c r="D666" s="2" t="s">
        <v>669</v>
      </c>
      <c r="E666" s="14">
        <v>10028</v>
      </c>
      <c r="F666" s="15">
        <f t="shared" si="70"/>
        <v>349.97719999999998</v>
      </c>
      <c r="G666" s="15">
        <f t="shared" si="71"/>
        <v>401.12</v>
      </c>
      <c r="H666" s="15">
        <f t="shared" si="72"/>
        <v>291.64766666666662</v>
      </c>
      <c r="I666" s="15">
        <f t="shared" si="73"/>
        <v>334.26666666666671</v>
      </c>
      <c r="J666" s="10">
        <v>453</v>
      </c>
      <c r="K666" s="10">
        <v>474</v>
      </c>
      <c r="L666" s="10">
        <v>456</v>
      </c>
      <c r="M666" s="10">
        <v>437</v>
      </c>
      <c r="N666" s="10">
        <v>433</v>
      </c>
      <c r="O666" s="10">
        <v>441</v>
      </c>
      <c r="P666" s="10">
        <v>429</v>
      </c>
      <c r="Q666" s="10">
        <v>433</v>
      </c>
      <c r="R666" s="10">
        <v>441</v>
      </c>
      <c r="S666" s="10">
        <v>429</v>
      </c>
      <c r="T666" s="10">
        <v>433</v>
      </c>
      <c r="U666" s="10">
        <v>441</v>
      </c>
      <c r="V666" s="10">
        <v>429</v>
      </c>
      <c r="W666" s="10">
        <v>433</v>
      </c>
      <c r="X666" s="10">
        <v>372</v>
      </c>
      <c r="Y666" s="10">
        <v>168</v>
      </c>
      <c r="Z666" s="10">
        <v>378</v>
      </c>
      <c r="AA666" s="10">
        <v>433</v>
      </c>
      <c r="AB666" s="10">
        <v>203</v>
      </c>
      <c r="AC666" s="10">
        <v>210</v>
      </c>
      <c r="AD666" s="10">
        <v>200</v>
      </c>
      <c r="AE666" s="10">
        <v>233</v>
      </c>
      <c r="AF666" s="10">
        <v>221</v>
      </c>
      <c r="AG666" s="10">
        <v>226</v>
      </c>
      <c r="AH666" s="102">
        <f>SUM(Tableau2[[#This Row],[Td 2]:[Td 5]])</f>
        <v>880</v>
      </c>
      <c r="AI666" s="10">
        <v>41.7</v>
      </c>
      <c r="AJ666" s="10">
        <v>100</v>
      </c>
      <c r="AK666" s="17">
        <f t="shared" si="74"/>
        <v>0</v>
      </c>
      <c r="AL666" s="17">
        <f t="shared" si="75"/>
        <v>69</v>
      </c>
      <c r="AM666" s="17">
        <f t="shared" si="76"/>
        <v>372</v>
      </c>
    </row>
    <row r="667" spans="1:39" s="3" customFormat="1" x14ac:dyDescent="0.25">
      <c r="A667" s="2" t="s">
        <v>16</v>
      </c>
      <c r="B667" s="29" t="s">
        <v>740</v>
      </c>
      <c r="C667" s="2" t="s">
        <v>50</v>
      </c>
      <c r="D667" s="2" t="s">
        <v>670</v>
      </c>
      <c r="E667" s="14">
        <v>7912</v>
      </c>
      <c r="F667" s="15">
        <f t="shared" si="70"/>
        <v>276.12880000000001</v>
      </c>
      <c r="G667" s="15">
        <f t="shared" si="71"/>
        <v>316.48</v>
      </c>
      <c r="H667" s="15">
        <f t="shared" si="72"/>
        <v>230.10733333333334</v>
      </c>
      <c r="I667" s="15">
        <f t="shared" si="73"/>
        <v>263.73333333333335</v>
      </c>
      <c r="J667" s="10">
        <v>302</v>
      </c>
      <c r="K667" s="10">
        <v>152</v>
      </c>
      <c r="L667" s="10">
        <v>266</v>
      </c>
      <c r="M667" s="10">
        <v>277</v>
      </c>
      <c r="N667" s="10">
        <v>251</v>
      </c>
      <c r="O667" s="10">
        <v>264</v>
      </c>
      <c r="P667" s="10">
        <v>276</v>
      </c>
      <c r="Q667" s="10">
        <v>254</v>
      </c>
      <c r="R667" s="10">
        <v>264</v>
      </c>
      <c r="S667" s="10">
        <v>276</v>
      </c>
      <c r="T667" s="10">
        <v>251</v>
      </c>
      <c r="U667" s="10">
        <v>222</v>
      </c>
      <c r="V667" s="10">
        <v>216</v>
      </c>
      <c r="W667" s="10">
        <v>219</v>
      </c>
      <c r="X667" s="10">
        <v>237</v>
      </c>
      <c r="Y667" s="10">
        <v>121</v>
      </c>
      <c r="Z667" s="10">
        <v>255</v>
      </c>
      <c r="AA667" s="10">
        <v>251</v>
      </c>
      <c r="AB667" s="10">
        <v>119</v>
      </c>
      <c r="AC667" s="10">
        <v>74</v>
      </c>
      <c r="AD667" s="10">
        <v>86</v>
      </c>
      <c r="AE667" s="10">
        <v>52</v>
      </c>
      <c r="AF667" s="10">
        <v>50</v>
      </c>
      <c r="AG667" s="10">
        <v>39</v>
      </c>
      <c r="AH667" s="102">
        <f>SUM(Tableau2[[#This Row],[Td 2]:[Td 5]])</f>
        <v>227</v>
      </c>
      <c r="AI667" s="10">
        <v>45.8</v>
      </c>
      <c r="AJ667" s="10">
        <v>100</v>
      </c>
      <c r="AK667" s="17">
        <f t="shared" si="74"/>
        <v>0</v>
      </c>
      <c r="AL667" s="17">
        <f t="shared" si="75"/>
        <v>27</v>
      </c>
      <c r="AM667" s="17">
        <f t="shared" si="76"/>
        <v>237</v>
      </c>
    </row>
    <row r="668" spans="1:39" s="3" customFormat="1" x14ac:dyDescent="0.25">
      <c r="A668" s="2" t="s">
        <v>16</v>
      </c>
      <c r="B668" s="29" t="s">
        <v>740</v>
      </c>
      <c r="C668" s="2" t="s">
        <v>50</v>
      </c>
      <c r="D668" s="2" t="s">
        <v>671</v>
      </c>
      <c r="E668" s="14">
        <v>3534</v>
      </c>
      <c r="F668" s="15">
        <f t="shared" si="70"/>
        <v>123.3366</v>
      </c>
      <c r="G668" s="15">
        <f t="shared" si="71"/>
        <v>141.36000000000001</v>
      </c>
      <c r="H668" s="15">
        <f t="shared" si="72"/>
        <v>102.7805</v>
      </c>
      <c r="I668" s="15">
        <f t="shared" si="73"/>
        <v>117.80000000000001</v>
      </c>
      <c r="J668" s="10">
        <v>219</v>
      </c>
      <c r="K668" s="10">
        <v>159</v>
      </c>
      <c r="L668" s="10">
        <v>172</v>
      </c>
      <c r="M668" s="10">
        <v>152</v>
      </c>
      <c r="N668" s="10">
        <v>152</v>
      </c>
      <c r="O668" s="10">
        <v>165</v>
      </c>
      <c r="P668" s="10">
        <v>152</v>
      </c>
      <c r="Q668" s="10">
        <v>152</v>
      </c>
      <c r="R668" s="10">
        <v>172</v>
      </c>
      <c r="S668" s="10">
        <v>152</v>
      </c>
      <c r="T668" s="10">
        <v>152</v>
      </c>
      <c r="U668" s="10">
        <v>153</v>
      </c>
      <c r="V668" s="10">
        <v>136</v>
      </c>
      <c r="W668" s="10">
        <v>140</v>
      </c>
      <c r="X668" s="10">
        <v>121</v>
      </c>
      <c r="Y668" s="10">
        <v>51</v>
      </c>
      <c r="Z668" s="10">
        <v>123</v>
      </c>
      <c r="AA668" s="10">
        <v>152</v>
      </c>
      <c r="AB668" s="10">
        <v>123</v>
      </c>
      <c r="AC668" s="10">
        <v>51</v>
      </c>
      <c r="AD668" s="10">
        <v>43</v>
      </c>
      <c r="AE668" s="10">
        <v>36</v>
      </c>
      <c r="AF668" s="10">
        <v>19</v>
      </c>
      <c r="AG668" s="10">
        <v>11</v>
      </c>
      <c r="AH668" s="102">
        <f>SUM(Tableau2[[#This Row],[Td 2]:[Td 5]])</f>
        <v>109</v>
      </c>
      <c r="AI668" s="10">
        <v>58.3</v>
      </c>
      <c r="AJ668" s="10">
        <v>100</v>
      </c>
      <c r="AK668" s="17">
        <f t="shared" si="74"/>
        <v>0</v>
      </c>
      <c r="AL668" s="17">
        <f t="shared" si="75"/>
        <v>44</v>
      </c>
      <c r="AM668" s="17">
        <f t="shared" si="76"/>
        <v>121</v>
      </c>
    </row>
    <row r="669" spans="1:39" s="3" customFormat="1" x14ac:dyDescent="0.25">
      <c r="A669" s="2" t="s">
        <v>16</v>
      </c>
      <c r="B669" s="29" t="s">
        <v>740</v>
      </c>
      <c r="C669" s="2" t="s">
        <v>50</v>
      </c>
      <c r="D669" s="2" t="s">
        <v>672</v>
      </c>
      <c r="E669" s="14">
        <v>10439</v>
      </c>
      <c r="F669" s="15">
        <f t="shared" si="70"/>
        <v>364.3211</v>
      </c>
      <c r="G669" s="15">
        <f t="shared" si="71"/>
        <v>417.56</v>
      </c>
      <c r="H669" s="15">
        <f t="shared" si="72"/>
        <v>303.60091666666665</v>
      </c>
      <c r="I669" s="15">
        <f t="shared" si="73"/>
        <v>347.9666666666667</v>
      </c>
      <c r="J669" s="10">
        <v>322</v>
      </c>
      <c r="K669" s="10">
        <v>322</v>
      </c>
      <c r="L669" s="10">
        <v>373</v>
      </c>
      <c r="M669" s="10">
        <v>387</v>
      </c>
      <c r="N669" s="10">
        <v>370</v>
      </c>
      <c r="O669" s="10">
        <v>373</v>
      </c>
      <c r="P669" s="10">
        <v>387</v>
      </c>
      <c r="Q669" s="10">
        <v>370</v>
      </c>
      <c r="R669" s="10">
        <v>373</v>
      </c>
      <c r="S669" s="10">
        <v>387</v>
      </c>
      <c r="T669" s="10">
        <v>370</v>
      </c>
      <c r="U669" s="10">
        <v>359</v>
      </c>
      <c r="V669" s="10">
        <v>387</v>
      </c>
      <c r="W669" s="10">
        <v>370</v>
      </c>
      <c r="X669" s="10">
        <v>403</v>
      </c>
      <c r="Y669" s="10">
        <v>220</v>
      </c>
      <c r="Z669" s="10">
        <v>403</v>
      </c>
      <c r="AA669" s="10">
        <v>362</v>
      </c>
      <c r="AB669" s="10">
        <v>295</v>
      </c>
      <c r="AC669" s="10">
        <v>314</v>
      </c>
      <c r="AD669" s="10">
        <v>230</v>
      </c>
      <c r="AE669" s="10">
        <v>152</v>
      </c>
      <c r="AF669" s="10">
        <v>59</v>
      </c>
      <c r="AG669" s="10">
        <v>5</v>
      </c>
      <c r="AH669" s="102">
        <f>SUM(Tableau2[[#This Row],[Td 2]:[Td 5]])</f>
        <v>446</v>
      </c>
      <c r="AI669" s="10">
        <v>58.3</v>
      </c>
      <c r="AJ669" s="10">
        <v>100</v>
      </c>
      <c r="AK669" s="17">
        <f t="shared" si="74"/>
        <v>0</v>
      </c>
      <c r="AL669" s="17">
        <f t="shared" si="75"/>
        <v>0</v>
      </c>
      <c r="AM669" s="17">
        <f t="shared" si="76"/>
        <v>403</v>
      </c>
    </row>
    <row r="670" spans="1:39" s="3" customFormat="1" x14ac:dyDescent="0.25">
      <c r="A670" s="2" t="s">
        <v>16</v>
      </c>
      <c r="B670" s="29" t="s">
        <v>740</v>
      </c>
      <c r="C670" s="2" t="s">
        <v>50</v>
      </c>
      <c r="D670" s="2" t="s">
        <v>673</v>
      </c>
      <c r="E670" s="14">
        <v>22314</v>
      </c>
      <c r="F670" s="15">
        <f t="shared" si="70"/>
        <v>778.7586</v>
      </c>
      <c r="G670" s="15">
        <f t="shared" si="71"/>
        <v>892.56000000000006</v>
      </c>
      <c r="H670" s="15">
        <f t="shared" si="72"/>
        <v>648.96550000000002</v>
      </c>
      <c r="I670" s="15">
        <f t="shared" si="73"/>
        <v>743.80000000000007</v>
      </c>
      <c r="J670" s="10">
        <v>574</v>
      </c>
      <c r="K670" s="10">
        <v>319</v>
      </c>
      <c r="L670" s="10">
        <v>642</v>
      </c>
      <c r="M670" s="10">
        <v>616</v>
      </c>
      <c r="N670" s="10">
        <v>635</v>
      </c>
      <c r="O670" s="10">
        <v>651</v>
      </c>
      <c r="P670" s="10">
        <v>616</v>
      </c>
      <c r="Q670" s="10">
        <v>635</v>
      </c>
      <c r="R670" s="10">
        <v>652</v>
      </c>
      <c r="S670" s="10">
        <v>616</v>
      </c>
      <c r="T670" s="10">
        <v>635</v>
      </c>
      <c r="U670" s="10">
        <v>652</v>
      </c>
      <c r="V670" s="10">
        <v>597</v>
      </c>
      <c r="W670" s="10">
        <v>575</v>
      </c>
      <c r="X670" s="10">
        <v>487</v>
      </c>
      <c r="Y670" s="10">
        <v>277</v>
      </c>
      <c r="Z670" s="10">
        <v>487</v>
      </c>
      <c r="AA670" s="10">
        <v>1004</v>
      </c>
      <c r="AB670" s="10">
        <v>429</v>
      </c>
      <c r="AC670" s="10">
        <v>252</v>
      </c>
      <c r="AD670" s="10">
        <v>213</v>
      </c>
      <c r="AE670" s="10">
        <v>228</v>
      </c>
      <c r="AF670" s="10">
        <v>142</v>
      </c>
      <c r="AG670" s="10">
        <v>64</v>
      </c>
      <c r="AH670" s="102">
        <f>SUM(Tableau2[[#This Row],[Td 2]:[Td 5]])</f>
        <v>647</v>
      </c>
      <c r="AI670" s="10">
        <v>41.7</v>
      </c>
      <c r="AJ670" s="10">
        <v>100</v>
      </c>
      <c r="AK670" s="17">
        <f t="shared" si="74"/>
        <v>0</v>
      </c>
      <c r="AL670" s="17">
        <f t="shared" si="75"/>
        <v>164</v>
      </c>
      <c r="AM670" s="17">
        <f t="shared" si="76"/>
        <v>487</v>
      </c>
    </row>
    <row r="671" spans="1:39" x14ac:dyDescent="0.25">
      <c r="C671" s="29"/>
      <c r="E671" s="237">
        <f>SUBTOTAL(109,Tableau2[Pop_Totale_2024])</f>
        <v>10802290</v>
      </c>
      <c r="F671" s="53">
        <f>SUBTOTAL(109,Tableau2[Cible 3,49%])</f>
        <v>376999.92100000009</v>
      </c>
      <c r="G671" s="53">
        <f>SUBTOTAL(109,Tableau2[Cible 4%])</f>
        <v>432091.59999999963</v>
      </c>
      <c r="H671" s="53">
        <f>SUBTOTAL(109,Tableau2[Cible_Cumulée 3,49%])</f>
        <v>314166.60083333356</v>
      </c>
      <c r="I671" s="53">
        <f>SUBTOTAL(109,Tableau2[Cible_Cumulée 4%])</f>
        <v>360076.33333333337</v>
      </c>
      <c r="J671" s="11">
        <f>SUBTOTAL(109,Tableau2[BCG])</f>
        <v>319009</v>
      </c>
      <c r="K671" s="11">
        <f>SUBTOTAL(109,Tableau2[VPO 0])</f>
        <v>205690</v>
      </c>
      <c r="L671" s="11">
        <f>SUBTOTAL(109,Tableau2[VPO 1])</f>
        <v>328237</v>
      </c>
      <c r="M671" s="11">
        <f>SUBTOTAL(109,Tableau2[VPO 2])</f>
        <v>308235</v>
      </c>
      <c r="N671" s="11">
        <f>SUBTOTAL(109,Tableau2[VPO 3])</f>
        <v>313450</v>
      </c>
      <c r="O671" s="11">
        <f>SUBTOTAL(109,Tableau2[Penta 1])</f>
        <v>326126</v>
      </c>
      <c r="P671" s="11">
        <f>SUBTOTAL(109,Tableau2[Penta 2])</f>
        <v>305851</v>
      </c>
      <c r="Q671" s="11">
        <f>SUBTOTAL(109,Tableau2[Penta 3])</f>
        <v>311674</v>
      </c>
      <c r="R671" s="11">
        <f>SUBTOTAL(109,Tableau2[PCV-13 (1)])</f>
        <v>323091</v>
      </c>
      <c r="S671" s="11">
        <f>SUBTOTAL(109,Tableau2[PCV-13 (2)])</f>
        <v>298325</v>
      </c>
      <c r="T671" s="11">
        <f>SUBTOTAL(109,Tableau2[PCV-13 (3)])</f>
        <v>305416</v>
      </c>
      <c r="U671" s="11">
        <f>SUBTOTAL(109,Tableau2[Rota 1])</f>
        <v>314121</v>
      </c>
      <c r="V671" s="11">
        <f>SUBTOTAL(109,Tableau2[Rota 2])</f>
        <v>289449</v>
      </c>
      <c r="W671" s="11">
        <f>SUBTOTAL(109,Tableau2[Rota 3])</f>
        <v>288200</v>
      </c>
      <c r="X671" s="11">
        <f>SUBTOTAL(109,Tableau2[VAR1])</f>
        <v>316046</v>
      </c>
      <c r="Y671" s="11">
        <f>SUBTOTAL(109,Tableau2[VAR 2/RR 2])</f>
        <v>153961</v>
      </c>
      <c r="Z671" s="11">
        <f>SUBTOTAL(109,Tableau2[VAA])</f>
        <v>295935</v>
      </c>
      <c r="AA671" s="11">
        <f>SUBTOTAL(109,Tableau2[VPI1])</f>
        <v>314720</v>
      </c>
      <c r="AB671" s="11">
        <f>SUBTOTAL(109,Tableau2[VPI 2])</f>
        <v>243745</v>
      </c>
      <c r="AC671" s="11">
        <f>SUBTOTAL(109,Tableau2[Td 1])</f>
        <v>146956</v>
      </c>
      <c r="AD671" s="11">
        <f>SUBTOTAL(109,Tableau2[Td 2])</f>
        <v>110954</v>
      </c>
      <c r="AE671" s="11">
        <f>SUBTOTAL(109,Tableau2[Td 3])</f>
        <v>84561</v>
      </c>
      <c r="AF671" s="11">
        <f>SUBTOTAL(109,Tableau2[Td 4])</f>
        <v>59272</v>
      </c>
      <c r="AG671" s="11">
        <f>SUBTOTAL(109,Tableau2[Td 5])</f>
        <v>50858</v>
      </c>
      <c r="AH671" s="11">
        <f>SUBTOTAL(109,Tableau2[Td2+])</f>
        <v>305645</v>
      </c>
      <c r="AI671" s="11">
        <f>SUBTOTAL(109,Tableau2[Promptitude])</f>
        <v>34192.899999999914</v>
      </c>
      <c r="AJ671" s="11">
        <f>SUBTOTAL(109,Tableau2[Completude])</f>
        <v>66600</v>
      </c>
      <c r="AK671" s="12">
        <f>SUBTOTAL(109,Tableau2[EZD])</f>
        <v>33217.047249999989</v>
      </c>
      <c r="AL671" s="12">
        <f>SUBTOTAL(109,Tableau2[ESV])</f>
        <v>29601</v>
      </c>
      <c r="AM671" s="12">
        <f>SUBTOTAL(109,Tableau2[ECV])</f>
        <v>289789</v>
      </c>
    </row>
    <row r="674" spans="5:5" x14ac:dyDescent="0.25">
      <c r="E674" s="91"/>
    </row>
  </sheetData>
  <sheetProtection password="EF87" sheet="1" selectLockedCells="1"/>
  <mergeCells count="3">
    <mergeCell ref="A2:D3"/>
    <mergeCell ref="A1:B1"/>
    <mergeCell ref="AO3:AX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4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19" sqref="H19"/>
    </sheetView>
  </sheetViews>
  <sheetFormatPr baseColWidth="10" defaultColWidth="10.90625" defaultRowHeight="12.5" x14ac:dyDescent="0.25"/>
  <cols>
    <col min="1" max="1" width="2.7265625" customWidth="1"/>
    <col min="2" max="2" width="19.1796875" customWidth="1"/>
    <col min="4" max="18" width="7.81640625" customWidth="1"/>
    <col min="19" max="19" width="14.81640625" customWidth="1"/>
  </cols>
  <sheetData>
    <row r="2" spans="2:19" ht="13" thickBot="1" x14ac:dyDescent="0.3"/>
    <row r="3" spans="2:19" ht="12.75" customHeight="1" x14ac:dyDescent="0.25">
      <c r="B3" s="280" t="s">
        <v>4</v>
      </c>
      <c r="C3" s="282" t="s">
        <v>791</v>
      </c>
      <c r="D3" s="282"/>
      <c r="E3" s="282"/>
      <c r="F3" s="282"/>
      <c r="G3" s="282"/>
      <c r="H3" s="282"/>
      <c r="I3" s="282"/>
      <c r="J3" s="283" t="s">
        <v>792</v>
      </c>
      <c r="K3" s="283"/>
      <c r="L3" s="283"/>
      <c r="M3" s="283"/>
      <c r="N3" s="283"/>
      <c r="O3" s="283"/>
      <c r="P3" s="283"/>
      <c r="Q3" s="283"/>
      <c r="R3" s="284" t="s">
        <v>793</v>
      </c>
      <c r="S3" s="286" t="s">
        <v>951</v>
      </c>
    </row>
    <row r="4" spans="2:19" ht="12.75" customHeight="1" x14ac:dyDescent="0.25">
      <c r="B4" s="281"/>
      <c r="C4" s="285" t="s">
        <v>809</v>
      </c>
      <c r="D4" s="285" t="s">
        <v>794</v>
      </c>
      <c r="E4" s="285"/>
      <c r="F4" s="285"/>
      <c r="G4" s="288" t="s">
        <v>795</v>
      </c>
      <c r="H4" s="288"/>
      <c r="I4" s="288"/>
      <c r="J4" s="285" t="s">
        <v>952</v>
      </c>
      <c r="K4" s="285" t="s">
        <v>953</v>
      </c>
      <c r="L4" s="288" t="s">
        <v>796</v>
      </c>
      <c r="M4" s="288"/>
      <c r="N4" s="285" t="s">
        <v>797</v>
      </c>
      <c r="O4" s="285"/>
      <c r="P4" s="285" t="s">
        <v>954</v>
      </c>
      <c r="Q4" s="285" t="s">
        <v>955</v>
      </c>
      <c r="R4" s="285"/>
      <c r="S4" s="287"/>
    </row>
    <row r="5" spans="2:19" x14ac:dyDescent="0.25">
      <c r="B5" s="281"/>
      <c r="C5" s="285"/>
      <c r="D5" s="285"/>
      <c r="E5" s="285"/>
      <c r="F5" s="285"/>
      <c r="G5" s="288"/>
      <c r="H5" s="288"/>
      <c r="I5" s="288"/>
      <c r="J5" s="285"/>
      <c r="K5" s="285"/>
      <c r="L5" s="288"/>
      <c r="M5" s="288"/>
      <c r="N5" s="285"/>
      <c r="O5" s="285"/>
      <c r="P5" s="285"/>
      <c r="Q5" s="285"/>
      <c r="R5" s="285"/>
      <c r="S5" s="287"/>
    </row>
    <row r="6" spans="2:19" ht="26" x14ac:dyDescent="0.25">
      <c r="B6" s="281"/>
      <c r="C6" s="203" t="s">
        <v>798</v>
      </c>
      <c r="D6" s="204" t="s">
        <v>749</v>
      </c>
      <c r="E6" s="203" t="s">
        <v>751</v>
      </c>
      <c r="F6" s="203" t="s">
        <v>799</v>
      </c>
      <c r="G6" s="203" t="s">
        <v>749</v>
      </c>
      <c r="H6" s="203" t="s">
        <v>751</v>
      </c>
      <c r="I6" s="203" t="s">
        <v>799</v>
      </c>
      <c r="J6" s="203" t="s">
        <v>749</v>
      </c>
      <c r="K6" s="203" t="s">
        <v>799</v>
      </c>
      <c r="L6" s="204" t="s">
        <v>820</v>
      </c>
      <c r="M6" s="204" t="s">
        <v>821</v>
      </c>
      <c r="N6" s="204" t="s">
        <v>822</v>
      </c>
      <c r="O6" s="203" t="s">
        <v>800</v>
      </c>
      <c r="P6" s="203" t="s">
        <v>801</v>
      </c>
      <c r="Q6" s="285"/>
      <c r="R6" s="204" t="s">
        <v>802</v>
      </c>
      <c r="S6" s="287"/>
    </row>
    <row r="7" spans="2:19" x14ac:dyDescent="0.25">
      <c r="B7" s="274" t="s">
        <v>17</v>
      </c>
      <c r="C7" s="206">
        <f>SUMIF(Data_Entry!$C$5:$C$670,B7,Data_Entry!H$5:H$670)</f>
        <v>8706.6193333333322</v>
      </c>
      <c r="D7" s="205">
        <f>SUMIF(Data_Entry!$C$5:$C$670,B7,Data_Entry!O$5:O$670)</f>
        <v>8374</v>
      </c>
      <c r="E7" s="205">
        <f>SUMIF(Data_Entry!$C$5:$C$670,B7,Data_Entry!Q$5:Q$670)</f>
        <v>7634</v>
      </c>
      <c r="F7" s="205">
        <f>SUMIF(Data_Entry!$C$5:$C$670,B7,Data_Entry!X$5:X$670)</f>
        <v>9099</v>
      </c>
      <c r="G7" s="207">
        <f>D7/C7</f>
        <v>0.96179695923308628</v>
      </c>
      <c r="H7" s="207">
        <f>E7/C7</f>
        <v>0.87680415414203261</v>
      </c>
      <c r="I7" s="207">
        <f>F7/C7</f>
        <v>1.0450669371939161</v>
      </c>
      <c r="J7" s="206">
        <f>SUMIF(Data_Entry!$C$5:$C$670,B7,Data_Entry!AK$5:AK$670)</f>
        <v>1138.1322500000006</v>
      </c>
      <c r="K7" s="206">
        <f>SUMIF(Data_Entry!$C$5:$C$670,B7,Data_Entry!AL$5:AL$670)</f>
        <v>297</v>
      </c>
      <c r="L7" s="207">
        <f>IF(((D7-E7)/D7)&lt;0,0,(D7-E7)/D7)</f>
        <v>8.8368760449008835E-2</v>
      </c>
      <c r="M7" s="207">
        <f>IF((D7-F7)/D7&lt;0,0,(D7-F7)/D7)</f>
        <v>0</v>
      </c>
      <c r="N7" s="205" t="str">
        <f>_xlfn.IFS(G7&lt;95%,"Mauvaise",G7&gt;=95%,"Bonne")</f>
        <v>Bonne</v>
      </c>
      <c r="O7" s="205" t="str">
        <f>_xlfn.IFS(L7&gt;10%,"Mauvaise",L7&lt;=10%,"Bonne")</f>
        <v>Bonne</v>
      </c>
      <c r="P7" s="205">
        <f>IF(AND(L7&lt;=10%,G7&gt;=90%),1,IF(AND(L7&lt;=10%,G7&lt;90%),3,IF(AND(L7&gt;10%,G7&gt;=90%),2,IF(AND(L7&gt;10%,G7&lt;90%),4,))))</f>
        <v>1</v>
      </c>
      <c r="Q7" s="208">
        <f>VLOOKUP(B7,Data_Entry!$AO$4:$AZ$38,12,FALSE)</f>
        <v>0.60952380952380969</v>
      </c>
      <c r="R7" s="205">
        <f>_xlfn.IFS(P7=1,4,P7=2,3,P7=3,2,P7=4,1)</f>
        <v>4</v>
      </c>
      <c r="S7" s="222"/>
    </row>
    <row r="8" spans="2:19" x14ac:dyDescent="0.25">
      <c r="B8" s="274" t="s">
        <v>19</v>
      </c>
      <c r="C8" s="206">
        <f>SUMIF(Data_Entry!$C$5:$C$670,B8,Data_Entry!H$5:H$670)</f>
        <v>15523.432749999994</v>
      </c>
      <c r="D8" s="205">
        <f>SUMIF(Data_Entry!$C$5:$C$670,B8,Data_Entry!O$5:O$670)</f>
        <v>16095</v>
      </c>
      <c r="E8" s="205">
        <f>SUMIF(Data_Entry!$C$5:$C$670,B8,Data_Entry!Q$5:Q$670)</f>
        <v>17069</v>
      </c>
      <c r="F8" s="205">
        <f>SUMIF(Data_Entry!$C$5:$C$670,B8,Data_Entry!X$5:X$670)</f>
        <v>16414</v>
      </c>
      <c r="G8" s="207">
        <f t="shared" ref="G8:G23" si="0">D8/C8</f>
        <v>1.0368196428718388</v>
      </c>
      <c r="H8" s="207">
        <f t="shared" ref="H8:H23" si="1">E8/C8</f>
        <v>1.0995634969977892</v>
      </c>
      <c r="I8" s="207">
        <f t="shared" ref="I8:I23" si="2">F8/C8</f>
        <v>1.0573692213792085</v>
      </c>
      <c r="J8" s="206">
        <f>SUMIF(Data_Entry!$C$5:$C$670,B8,Data_Entry!AK$5:AK$670)</f>
        <v>996.17141666666646</v>
      </c>
      <c r="K8" s="206">
        <f>SUMIF(Data_Entry!$C$5:$C$670,B8,Data_Entry!AL$5:AL$670)</f>
        <v>764</v>
      </c>
      <c r="L8" s="207">
        <f t="shared" ref="L8:L41" si="3">IF(((D8-E8)/D8)&lt;0,0,(D8-E8)/D8)</f>
        <v>0</v>
      </c>
      <c r="M8" s="207">
        <f t="shared" ref="M8:M23" si="4">IF((D8-F8)/D8&lt;0,0,(D8-F8)/D8)</f>
        <v>0</v>
      </c>
      <c r="N8" s="205" t="str">
        <f t="shared" ref="N8:N43" si="5">_xlfn.IFS(G8&lt;95%,"Mauvaise",G8&gt;=95%,"Bonne")</f>
        <v>Bonne</v>
      </c>
      <c r="O8" s="205" t="str">
        <f t="shared" ref="O8:O43" si="6">_xlfn.IFS(L8&gt;10%,"Mauvaise",L8&lt;=10%,"Bonne")</f>
        <v>Bonne</v>
      </c>
      <c r="P8" s="205">
        <f t="shared" ref="P8:P23" si="7">IF(AND(L8&lt;=10%,G8&gt;=90%),1,IF(AND(L8&lt;=10%,G8&lt;90%),3,IF(AND(L8&gt;10%,G8&gt;=90%),2,IF(AND(L8&gt;10%,G8&lt;90%),4,))))</f>
        <v>1</v>
      </c>
      <c r="Q8" s="208">
        <f>VLOOKUP(B8,Data_Entry!$AO$4:$AZ$38,12,FALSE)</f>
        <v>0</v>
      </c>
      <c r="R8" s="205">
        <f t="shared" ref="R8:R23" si="8">_xlfn.IFS(P8=1,4,P8=2,3,P8=3,2,P8=4,1)</f>
        <v>4</v>
      </c>
      <c r="S8" s="223"/>
    </row>
    <row r="9" spans="2:19" x14ac:dyDescent="0.25">
      <c r="B9" s="274" t="s">
        <v>20</v>
      </c>
      <c r="C9" s="206">
        <f>SUMIF(Data_Entry!$C$5:$C$670,B9,Data_Entry!H$5:H$670)</f>
        <v>4823.5871666666662</v>
      </c>
      <c r="D9" s="205">
        <f>SUMIF(Data_Entry!$C$5:$C$670,B9,Data_Entry!O$5:O$670)</f>
        <v>4101</v>
      </c>
      <c r="E9" s="205">
        <f>SUMIF(Data_Entry!$C$5:$C$670,B9,Data_Entry!Q$5:Q$670)</f>
        <v>3610</v>
      </c>
      <c r="F9" s="205">
        <f>SUMIF(Data_Entry!$C$5:$C$670,B9,Data_Entry!X$5:X$670)</f>
        <v>4046</v>
      </c>
      <c r="G9" s="207">
        <f t="shared" si="0"/>
        <v>0.85019713717208323</v>
      </c>
      <c r="H9" s="207">
        <f t="shared" si="1"/>
        <v>0.74840567305321148</v>
      </c>
      <c r="I9" s="207">
        <f t="shared" si="2"/>
        <v>0.83879483467404259</v>
      </c>
      <c r="J9" s="206">
        <f>SUMIF(Data_Entry!$C$5:$C$670,B9,Data_Entry!AK$5:AK$670)</f>
        <v>864.00800000000027</v>
      </c>
      <c r="K9" s="206">
        <f>SUMIF(Data_Entry!$C$5:$C$670,B9,Data_Entry!AL$5:AL$670)</f>
        <v>268</v>
      </c>
      <c r="L9" s="207">
        <f t="shared" si="3"/>
        <v>0.11972689587905389</v>
      </c>
      <c r="M9" s="207">
        <f t="shared" si="4"/>
        <v>1.341136308217508E-2</v>
      </c>
      <c r="N9" s="205" t="str">
        <f t="shared" si="5"/>
        <v>Mauvaise</v>
      </c>
      <c r="O9" s="205" t="str">
        <f t="shared" si="6"/>
        <v>Mauvaise</v>
      </c>
      <c r="P9" s="205">
        <f t="shared" si="7"/>
        <v>4</v>
      </c>
      <c r="Q9" s="208">
        <f>VLOOKUP(B9,Data_Entry!$AO$4:$AZ$38,12,FALSE)</f>
        <v>0.5276515151515152</v>
      </c>
      <c r="R9" s="205">
        <f t="shared" si="8"/>
        <v>1</v>
      </c>
      <c r="S9" s="223"/>
    </row>
    <row r="10" spans="2:19" x14ac:dyDescent="0.25">
      <c r="B10" s="274" t="s">
        <v>23</v>
      </c>
      <c r="C10" s="206">
        <f>SUMIF(Data_Entry!$C$5:$C$670,B10,Data_Entry!H$5:H$670)</f>
        <v>7809.7475000000004</v>
      </c>
      <c r="D10" s="205">
        <f>SUMIF(Data_Entry!$C$5:$C$670,B10,Data_Entry!O$5:O$670)</f>
        <v>6721</v>
      </c>
      <c r="E10" s="205">
        <f>SUMIF(Data_Entry!$C$5:$C$670,B10,Data_Entry!Q$5:Q$670)</f>
        <v>6097</v>
      </c>
      <c r="F10" s="205">
        <f>SUMIF(Data_Entry!$C$5:$C$670,B10,Data_Entry!X$5:X$670)</f>
        <v>6907</v>
      </c>
      <c r="G10" s="207">
        <f t="shared" si="0"/>
        <v>0.86059120349281459</v>
      </c>
      <c r="H10" s="207">
        <f>E10/C10</f>
        <v>0.78069105307181819</v>
      </c>
      <c r="I10" s="207">
        <f t="shared" si="2"/>
        <v>0.88440759448368844</v>
      </c>
      <c r="J10" s="206">
        <f>SUMIF(Data_Entry!$C$5:$C$670,B10,Data_Entry!AK$5:AK$670)</f>
        <v>1251.2745833333331</v>
      </c>
      <c r="K10" s="206">
        <f>SUMIF(Data_Entry!$C$5:$C$670,B10,Data_Entry!AL$5:AL$670)</f>
        <v>256</v>
      </c>
      <c r="L10" s="207">
        <f t="shared" si="3"/>
        <v>9.2843326885880081E-2</v>
      </c>
      <c r="M10" s="207">
        <f t="shared" si="4"/>
        <v>0</v>
      </c>
      <c r="N10" s="205" t="str">
        <f t="shared" si="5"/>
        <v>Mauvaise</v>
      </c>
      <c r="O10" s="205" t="str">
        <f t="shared" si="6"/>
        <v>Bonne</v>
      </c>
      <c r="P10" s="205">
        <f t="shared" si="7"/>
        <v>3</v>
      </c>
      <c r="Q10" s="208">
        <f>VLOOKUP(B10,Data_Entry!$AO$4:$AZ$38,12,FALSE)</f>
        <v>0.66696428571428568</v>
      </c>
      <c r="R10" s="205">
        <f t="shared" si="8"/>
        <v>2</v>
      </c>
      <c r="S10" s="223"/>
    </row>
    <row r="11" spans="2:19" x14ac:dyDescent="0.25">
      <c r="B11" s="274" t="s">
        <v>26</v>
      </c>
      <c r="C11" s="206">
        <f>SUMIF(Data_Entry!$C$5:$C$670,B11,Data_Entry!H$5:H$670)</f>
        <v>6941.4936666666672</v>
      </c>
      <c r="D11" s="205">
        <f>SUMIF(Data_Entry!$C$5:$C$670,B11,Data_Entry!O$5:O$670)</f>
        <v>6554</v>
      </c>
      <c r="E11" s="205">
        <f>SUMIF(Data_Entry!$C$5:$C$670,B11,Data_Entry!Q$5:Q$670)</f>
        <v>6444</v>
      </c>
      <c r="F11" s="205">
        <f>SUMIF(Data_Entry!$C$5:$C$670,B11,Data_Entry!X$5:X$670)</f>
        <v>6698</v>
      </c>
      <c r="G11" s="207">
        <f t="shared" si="0"/>
        <v>0.94417719221910013</v>
      </c>
      <c r="H11" s="207">
        <f t="shared" si="1"/>
        <v>0.92833045875188913</v>
      </c>
      <c r="I11" s="207">
        <f t="shared" si="2"/>
        <v>0.96492200693981278</v>
      </c>
      <c r="J11" s="206">
        <f>SUMIF(Data_Entry!$C$5:$C$670,B11,Data_Entry!AK$5:AK$670)</f>
        <v>948.6139166666668</v>
      </c>
      <c r="K11" s="206">
        <f>SUMIF(Data_Entry!$C$5:$C$670,B11,Data_Entry!AL$5:AL$670)</f>
        <v>507</v>
      </c>
      <c r="L11" s="207">
        <f t="shared" si="3"/>
        <v>1.6783643576441867E-2</v>
      </c>
      <c r="M11" s="207">
        <f t="shared" si="4"/>
        <v>0</v>
      </c>
      <c r="N11" s="205" t="str">
        <f t="shared" si="5"/>
        <v>Mauvaise</v>
      </c>
      <c r="O11" s="205" t="str">
        <f t="shared" si="6"/>
        <v>Bonne</v>
      </c>
      <c r="P11" s="205">
        <f t="shared" si="7"/>
        <v>1</v>
      </c>
      <c r="Q11" s="208">
        <f>VLOOKUP(B11,Data_Entry!$AO$4:$AZ$38,12,FALSE)</f>
        <v>0.6</v>
      </c>
      <c r="R11" s="205">
        <f t="shared" si="8"/>
        <v>4</v>
      </c>
      <c r="S11" s="223"/>
    </row>
    <row r="12" spans="2:19" x14ac:dyDescent="0.25">
      <c r="B12" s="274" t="s">
        <v>27</v>
      </c>
      <c r="C12" s="206">
        <f>SUMIF(Data_Entry!$C$5:$C$670,B12,Data_Entry!H$5:H$670)</f>
        <v>4277.6057500000006</v>
      </c>
      <c r="D12" s="205">
        <f>SUMIF(Data_Entry!$C$5:$C$670,B12,Data_Entry!O$5:O$670)</f>
        <v>5054</v>
      </c>
      <c r="E12" s="205">
        <f>SUMIF(Data_Entry!$C$5:$C$670,B12,Data_Entry!Q$5:Q$670)</f>
        <v>4601</v>
      </c>
      <c r="F12" s="205">
        <f>SUMIF(Data_Entry!$C$5:$C$670,B12,Data_Entry!X$5:X$670)</f>
        <v>4687</v>
      </c>
      <c r="G12" s="207">
        <f t="shared" si="0"/>
        <v>1.1815020587159064</v>
      </c>
      <c r="H12" s="207">
        <f t="shared" si="1"/>
        <v>1.0756016961123636</v>
      </c>
      <c r="I12" s="207">
        <f t="shared" si="2"/>
        <v>1.0957064007125947</v>
      </c>
      <c r="J12" s="206">
        <f>SUMIF(Data_Entry!$C$5:$C$670,B12,Data_Entry!AK$5:AK$670)</f>
        <v>265.77391666666665</v>
      </c>
      <c r="K12" s="206">
        <f>SUMIF(Data_Entry!$C$5:$C$670,B12,Data_Entry!AL$5:AL$670)</f>
        <v>740</v>
      </c>
      <c r="L12" s="207">
        <f t="shared" si="3"/>
        <v>8.9631974673525919E-2</v>
      </c>
      <c r="M12" s="207">
        <f t="shared" si="4"/>
        <v>7.2615749901068463E-2</v>
      </c>
      <c r="N12" s="205" t="str">
        <f t="shared" si="5"/>
        <v>Bonne</v>
      </c>
      <c r="O12" s="205" t="str">
        <f t="shared" si="6"/>
        <v>Bonne</v>
      </c>
      <c r="P12" s="205">
        <f t="shared" si="7"/>
        <v>1</v>
      </c>
      <c r="Q12" s="208">
        <f>VLOOKUP(B12,Data_Entry!$AO$4:$AZ$38,12,FALSE)</f>
        <v>0.27142857142857141</v>
      </c>
      <c r="R12" s="205">
        <f t="shared" si="8"/>
        <v>4</v>
      </c>
      <c r="S12" s="223"/>
    </row>
    <row r="13" spans="2:19" x14ac:dyDescent="0.25">
      <c r="B13" s="274" t="s">
        <v>30</v>
      </c>
      <c r="C13" s="206">
        <f>SUMIF(Data_Entry!$C$5:$C$670,B13,Data_Entry!H$5:H$670)</f>
        <v>16083.112416666669</v>
      </c>
      <c r="D13" s="205">
        <f>SUMIF(Data_Entry!$C$5:$C$670,B13,Data_Entry!O$5:O$670)</f>
        <v>17113</v>
      </c>
      <c r="E13" s="205">
        <f>SUMIF(Data_Entry!$C$5:$C$670,B13,Data_Entry!Q$5:Q$670)</f>
        <v>17326</v>
      </c>
      <c r="F13" s="205">
        <f>SUMIF(Data_Entry!$C$5:$C$670,B13,Data_Entry!X$5:X$670)</f>
        <v>17120</v>
      </c>
      <c r="G13" s="207">
        <f t="shared" si="0"/>
        <v>1.0640353407134104</v>
      </c>
      <c r="H13" s="207">
        <f t="shared" si="1"/>
        <v>1.0772790459417139</v>
      </c>
      <c r="I13" s="207">
        <f t="shared" si="2"/>
        <v>1.0644705798523688</v>
      </c>
      <c r="J13" s="206">
        <f>SUMIF(Data_Entry!$C$5:$C$670,B13,Data_Entry!AK$5:AK$670)</f>
        <v>835.01691666666659</v>
      </c>
      <c r="K13" s="206">
        <f>SUMIF(Data_Entry!$C$5:$C$670,B13,Data_Entry!AL$5:AL$670)</f>
        <v>928</v>
      </c>
      <c r="L13" s="207">
        <f t="shared" si="3"/>
        <v>0</v>
      </c>
      <c r="M13" s="207">
        <f t="shared" si="4"/>
        <v>0</v>
      </c>
      <c r="N13" s="205" t="str">
        <f t="shared" si="5"/>
        <v>Bonne</v>
      </c>
      <c r="O13" s="205" t="str">
        <f t="shared" si="6"/>
        <v>Bonne</v>
      </c>
      <c r="P13" s="205">
        <f t="shared" si="7"/>
        <v>1</v>
      </c>
      <c r="Q13" s="208">
        <f>VLOOKUP(B13,Data_Entry!$AO$4:$AZ$38,12,FALSE)</f>
        <v>0.61144230769230767</v>
      </c>
      <c r="R13" s="205">
        <f t="shared" si="8"/>
        <v>4</v>
      </c>
      <c r="S13" s="223"/>
    </row>
    <row r="14" spans="2:19" x14ac:dyDescent="0.25">
      <c r="B14" s="274" t="s">
        <v>31</v>
      </c>
      <c r="C14" s="206">
        <f>SUMIF(Data_Entry!$C$5:$C$670,B14,Data_Entry!H$5:H$670)</f>
        <v>13206.218166666666</v>
      </c>
      <c r="D14" s="205">
        <f>SUMIF(Data_Entry!$C$5:$C$670,B14,Data_Entry!O$5:O$670)</f>
        <v>11516</v>
      </c>
      <c r="E14" s="205">
        <f>SUMIF(Data_Entry!$C$5:$C$670,B14,Data_Entry!Q$5:Q$670)</f>
        <v>10186</v>
      </c>
      <c r="F14" s="205">
        <f>SUMIF(Data_Entry!$C$5:$C$670,B14,Data_Entry!X$5:X$670)</f>
        <v>12592</v>
      </c>
      <c r="G14" s="207">
        <f t="shared" si="0"/>
        <v>0.872013460224905</v>
      </c>
      <c r="H14" s="207">
        <f t="shared" si="1"/>
        <v>0.77130332631563758</v>
      </c>
      <c r="I14" s="207">
        <f t="shared" si="2"/>
        <v>0.95349023021465817</v>
      </c>
      <c r="J14" s="206">
        <f>SUMIF(Data_Entry!$C$5:$C$670,B14,Data_Entry!AK$5:AK$670)</f>
        <v>2123.1976666666669</v>
      </c>
      <c r="K14" s="206">
        <f>SUMIF(Data_Entry!$C$5:$C$670,B14,Data_Entry!AL$5:AL$670)</f>
        <v>622</v>
      </c>
      <c r="L14" s="207">
        <f t="shared" si="3"/>
        <v>0.11549149010072941</v>
      </c>
      <c r="M14" s="207">
        <f t="shared" si="4"/>
        <v>0</v>
      </c>
      <c r="N14" s="205" t="str">
        <f t="shared" si="5"/>
        <v>Mauvaise</v>
      </c>
      <c r="O14" s="205" t="str">
        <f t="shared" si="6"/>
        <v>Mauvaise</v>
      </c>
      <c r="P14" s="205">
        <f t="shared" si="7"/>
        <v>4</v>
      </c>
      <c r="Q14" s="208">
        <f>VLOOKUP(B14,Data_Entry!$AO$4:$AZ$38,12,FALSE)</f>
        <v>0.24296675191815853</v>
      </c>
      <c r="R14" s="205">
        <f t="shared" si="8"/>
        <v>1</v>
      </c>
      <c r="S14" s="223"/>
    </row>
    <row r="15" spans="2:19" x14ac:dyDescent="0.25">
      <c r="B15" s="274" t="s">
        <v>35</v>
      </c>
      <c r="C15" s="206">
        <f>SUMIF(Data_Entry!$C$5:$C$670,B15,Data_Entry!H$5:H$670)</f>
        <v>6749.4854999999998</v>
      </c>
      <c r="D15" s="205">
        <f>SUMIF(Data_Entry!$C$5:$C$670,B15,Data_Entry!O$5:O$670)</f>
        <v>6233</v>
      </c>
      <c r="E15" s="205">
        <f>SUMIF(Data_Entry!$C$5:$C$670,B15,Data_Entry!Q$5:Q$670)</f>
        <v>6105</v>
      </c>
      <c r="F15" s="205">
        <f>SUMIF(Data_Entry!$C$5:$C$670,B15,Data_Entry!X$5:X$670)</f>
        <v>6394</v>
      </c>
      <c r="G15" s="207">
        <f t="shared" si="0"/>
        <v>0.92347779693726284</v>
      </c>
      <c r="H15" s="207">
        <f t="shared" si="1"/>
        <v>0.904513388464943</v>
      </c>
      <c r="I15" s="207">
        <f t="shared" si="2"/>
        <v>0.94733146696885273</v>
      </c>
      <c r="J15" s="206">
        <f>SUMIF(Data_Entry!$C$5:$C$670,B15,Data_Entry!AK$5:AK$670)</f>
        <v>665.5331666666666</v>
      </c>
      <c r="K15" s="206">
        <f>SUMIF(Data_Entry!$C$5:$C$670,B15,Data_Entry!AL$5:AL$670)</f>
        <v>273</v>
      </c>
      <c r="L15" s="207">
        <f t="shared" si="3"/>
        <v>2.0535857532488367E-2</v>
      </c>
      <c r="M15" s="207">
        <f t="shared" si="4"/>
        <v>0</v>
      </c>
      <c r="N15" s="205" t="str">
        <f t="shared" si="5"/>
        <v>Mauvaise</v>
      </c>
      <c r="O15" s="205" t="str">
        <f t="shared" si="6"/>
        <v>Bonne</v>
      </c>
      <c r="P15" s="205">
        <f t="shared" si="7"/>
        <v>1</v>
      </c>
      <c r="Q15" s="208">
        <f>VLOOKUP(B15,Data_Entry!$AO$4:$AZ$38,12,FALSE)</f>
        <v>0.65393374741200816</v>
      </c>
      <c r="R15" s="205">
        <f t="shared" si="8"/>
        <v>4</v>
      </c>
      <c r="S15" s="223"/>
    </row>
    <row r="16" spans="2:19" x14ac:dyDescent="0.25">
      <c r="B16" s="274" t="s">
        <v>36</v>
      </c>
      <c r="C16" s="206">
        <f>SUMIF(Data_Entry!$C$5:$C$670,B16,Data_Entry!H$5:H$670)</f>
        <v>10515.544499999998</v>
      </c>
      <c r="D16" s="205">
        <f>SUMIF(Data_Entry!$C$5:$C$670,B16,Data_Entry!O$5:O$670)</f>
        <v>10234</v>
      </c>
      <c r="E16" s="205">
        <f>SUMIF(Data_Entry!$C$5:$C$670,B16,Data_Entry!Q$5:Q$670)</f>
        <v>10087</v>
      </c>
      <c r="F16" s="205">
        <f>SUMIF(Data_Entry!$C$5:$C$670,B16,Data_Entry!X$5:X$670)</f>
        <v>9697</v>
      </c>
      <c r="G16" s="207">
        <f t="shared" si="0"/>
        <v>0.97322587527445692</v>
      </c>
      <c r="H16" s="207">
        <f t="shared" si="1"/>
        <v>0.9592465706364518</v>
      </c>
      <c r="I16" s="207">
        <f t="shared" si="2"/>
        <v>0.92215861955602985</v>
      </c>
      <c r="J16" s="206">
        <f>SUMIF(Data_Entry!$C$5:$C$670,B16,Data_Entry!AK$5:AK$670)</f>
        <v>469.80233333333325</v>
      </c>
      <c r="K16" s="206">
        <f>SUMIF(Data_Entry!$C$5:$C$670,B16,Data_Entry!AL$5:AL$670)</f>
        <v>670</v>
      </c>
      <c r="L16" s="207">
        <f t="shared" si="3"/>
        <v>1.4363885088919288E-2</v>
      </c>
      <c r="M16" s="207">
        <f t="shared" si="4"/>
        <v>5.2472151651358219E-2</v>
      </c>
      <c r="N16" s="205" t="str">
        <f t="shared" si="5"/>
        <v>Bonne</v>
      </c>
      <c r="O16" s="205" t="str">
        <f t="shared" si="6"/>
        <v>Bonne</v>
      </c>
      <c r="P16" s="205">
        <f t="shared" si="7"/>
        <v>1</v>
      </c>
      <c r="Q16" s="208">
        <f>VLOOKUP(B16,Data_Entry!$AO$4:$AZ$38,12,FALSE)</f>
        <v>0</v>
      </c>
      <c r="R16" s="205">
        <f t="shared" si="8"/>
        <v>4</v>
      </c>
      <c r="S16" s="223"/>
    </row>
    <row r="17" spans="2:19" x14ac:dyDescent="0.25">
      <c r="B17" s="274" t="s">
        <v>37</v>
      </c>
      <c r="C17" s="206">
        <f>SUMIF(Data_Entry!$C$5:$C$670,B17,Data_Entry!H$5:H$670)</f>
        <v>7118.4657499999994</v>
      </c>
      <c r="D17" s="205">
        <f>SUMIF(Data_Entry!$C$5:$C$670,B17,Data_Entry!O$5:O$670)</f>
        <v>6267</v>
      </c>
      <c r="E17" s="205">
        <f>SUMIF(Data_Entry!$C$5:$C$670,B17,Data_Entry!Q$5:Q$670)</f>
        <v>6115</v>
      </c>
      <c r="F17" s="205">
        <f>SUMIF(Data_Entry!$C$5:$C$670,B17,Data_Entry!X$5:X$670)</f>
        <v>6562</v>
      </c>
      <c r="G17" s="207">
        <f t="shared" si="0"/>
        <v>0.88038633886803497</v>
      </c>
      <c r="H17" s="207">
        <f t="shared" si="1"/>
        <v>0.85903342303782249</v>
      </c>
      <c r="I17" s="207">
        <f t="shared" si="2"/>
        <v>0.92182785314377613</v>
      </c>
      <c r="J17" s="206">
        <f>SUMIF(Data_Entry!$C$5:$C$670,B17,Data_Entry!AK$5:AK$670)</f>
        <v>1125.3214166666667</v>
      </c>
      <c r="K17" s="206">
        <f>SUMIF(Data_Entry!$C$5:$C$670,B17,Data_Entry!AL$5:AL$670)</f>
        <v>204</v>
      </c>
      <c r="L17" s="207">
        <f t="shared" si="3"/>
        <v>2.4254029041008457E-2</v>
      </c>
      <c r="M17" s="207">
        <f t="shared" si="4"/>
        <v>0</v>
      </c>
      <c r="N17" s="205" t="str">
        <f t="shared" si="5"/>
        <v>Mauvaise</v>
      </c>
      <c r="O17" s="205" t="str">
        <f t="shared" si="6"/>
        <v>Bonne</v>
      </c>
      <c r="P17" s="205">
        <f t="shared" si="7"/>
        <v>3</v>
      </c>
      <c r="Q17" s="208">
        <f>VLOOKUP(B17,Data_Entry!$AO$4:$AZ$38,12,FALSE)</f>
        <v>0.44375000000000009</v>
      </c>
      <c r="R17" s="205">
        <f t="shared" si="8"/>
        <v>2</v>
      </c>
      <c r="S17" s="223"/>
    </row>
    <row r="18" spans="2:19" x14ac:dyDescent="0.25">
      <c r="B18" s="274" t="s">
        <v>38</v>
      </c>
      <c r="C18" s="206">
        <f>SUMIF(Data_Entry!$C$5:$C$670,B18,Data_Entry!H$5:H$670)</f>
        <v>2840.7145833333338</v>
      </c>
      <c r="D18" s="205">
        <f>SUMIF(Data_Entry!$C$5:$C$670,B18,Data_Entry!O$5:O$670)</f>
        <v>2850</v>
      </c>
      <c r="E18" s="205">
        <f>SUMIF(Data_Entry!$C$5:$C$670,B18,Data_Entry!Q$5:Q$670)</f>
        <v>2318</v>
      </c>
      <c r="F18" s="205">
        <f>SUMIF(Data_Entry!$C$5:$C$670,B18,Data_Entry!X$5:X$670)</f>
        <v>2384</v>
      </c>
      <c r="G18" s="207">
        <f t="shared" si="0"/>
        <v>1.0032686904630068</v>
      </c>
      <c r="H18" s="207">
        <f t="shared" si="1"/>
        <v>0.81599186824324554</v>
      </c>
      <c r="I18" s="207">
        <f t="shared" si="2"/>
        <v>0.83922545896975731</v>
      </c>
      <c r="J18" s="206">
        <f>SUMIF(Data_Entry!$C$5:$C$670,B18,Data_Entry!AK$5:AK$670)</f>
        <v>375.18674999999996</v>
      </c>
      <c r="K18" s="206">
        <f>SUMIF(Data_Entry!$C$5:$C$670,B18,Data_Entry!AL$5:AL$670)</f>
        <v>522</v>
      </c>
      <c r="L18" s="207">
        <f t="shared" si="3"/>
        <v>0.18666666666666668</v>
      </c>
      <c r="M18" s="207">
        <f t="shared" si="4"/>
        <v>0.16350877192982455</v>
      </c>
      <c r="N18" s="205" t="str">
        <f t="shared" si="5"/>
        <v>Bonne</v>
      </c>
      <c r="O18" s="205" t="str">
        <f t="shared" si="6"/>
        <v>Mauvaise</v>
      </c>
      <c r="P18" s="205">
        <f t="shared" si="7"/>
        <v>2</v>
      </c>
      <c r="Q18" s="208">
        <f>VLOOKUP(B18,Data_Entry!$AO$4:$AZ$38,12,FALSE)</f>
        <v>0.65</v>
      </c>
      <c r="R18" s="205">
        <f t="shared" si="8"/>
        <v>3</v>
      </c>
      <c r="S18" s="223"/>
    </row>
    <row r="19" spans="2:19" x14ac:dyDescent="0.25">
      <c r="B19" s="274" t="s">
        <v>39</v>
      </c>
      <c r="C19" s="206">
        <f>SUMIF(Data_Entry!$C$5:$C$670,B19,Data_Entry!H$5:H$670)</f>
        <v>5532.7551666666659</v>
      </c>
      <c r="D19" s="205">
        <f>SUMIF(Data_Entry!$C$5:$C$670,B19,Data_Entry!O$5:O$670)</f>
        <v>5548</v>
      </c>
      <c r="E19" s="205">
        <f>SUMIF(Data_Entry!$C$5:$C$670,B19,Data_Entry!Q$5:Q$670)</f>
        <v>5237</v>
      </c>
      <c r="F19" s="205">
        <f>SUMIF(Data_Entry!$C$5:$C$670,B19,Data_Entry!X$5:X$670)</f>
        <v>5450</v>
      </c>
      <c r="G19" s="207">
        <f t="shared" si="0"/>
        <v>1.0027553782652774</v>
      </c>
      <c r="H19" s="207">
        <f t="shared" si="1"/>
        <v>0.94654468564802763</v>
      </c>
      <c r="I19" s="207">
        <f t="shared" si="2"/>
        <v>0.98504268412865204</v>
      </c>
      <c r="J19" s="206">
        <f>SUMIF(Data_Entry!$C$5:$C$670,B19,Data_Entry!AK$5:AK$670)</f>
        <v>215.84383333333321</v>
      </c>
      <c r="K19" s="206">
        <f>SUMIF(Data_Entry!$C$5:$C$670,B19,Data_Entry!AL$5:AL$670)</f>
        <v>238</v>
      </c>
      <c r="L19" s="207">
        <f t="shared" si="3"/>
        <v>5.6056236481614993E-2</v>
      </c>
      <c r="M19" s="207">
        <f t="shared" si="4"/>
        <v>1.7664023071377072E-2</v>
      </c>
      <c r="N19" s="205" t="str">
        <f t="shared" si="5"/>
        <v>Bonne</v>
      </c>
      <c r="O19" s="205" t="str">
        <f t="shared" si="6"/>
        <v>Bonne</v>
      </c>
      <c r="P19" s="205">
        <f t="shared" si="7"/>
        <v>1</v>
      </c>
      <c r="Q19" s="208">
        <f>VLOOKUP(B19,Data_Entry!$AO$4:$AZ$38,12,FALSE)</f>
        <v>0.25735294117647062</v>
      </c>
      <c r="R19" s="205">
        <f t="shared" si="8"/>
        <v>4</v>
      </c>
      <c r="S19" s="223"/>
    </row>
    <row r="20" spans="2:19" x14ac:dyDescent="0.25">
      <c r="B20" s="274" t="s">
        <v>41</v>
      </c>
      <c r="C20" s="206">
        <f>SUMIF(Data_Entry!$C$5:$C$670,B20,Data_Entry!H$5:H$670)</f>
        <v>9380.4510833333334</v>
      </c>
      <c r="D20" s="205">
        <f>SUMIF(Data_Entry!$C$5:$C$670,B20,Data_Entry!O$5:O$670)</f>
        <v>9587</v>
      </c>
      <c r="E20" s="205">
        <f>SUMIF(Data_Entry!$C$5:$C$670,B20,Data_Entry!Q$5:Q$670)</f>
        <v>9373</v>
      </c>
      <c r="F20" s="205">
        <f>SUMIF(Data_Entry!$C$5:$C$670,B20,Data_Entry!X$5:X$670)</f>
        <v>9654</v>
      </c>
      <c r="G20" s="207">
        <f t="shared" si="0"/>
        <v>1.0220190814739871</v>
      </c>
      <c r="H20" s="207">
        <f t="shared" si="1"/>
        <v>0.99920567963447171</v>
      </c>
      <c r="I20" s="207">
        <f t="shared" si="2"/>
        <v>1.0291615951340223</v>
      </c>
      <c r="J20" s="206">
        <f>SUMIF(Data_Entry!$C$5:$C$670,B20,Data_Entry!AK$5:AK$670)</f>
        <v>236.46191666666658</v>
      </c>
      <c r="K20" s="206">
        <f>SUMIF(Data_Entry!$C$5:$C$670,B20,Data_Entry!AL$5:AL$670)</f>
        <v>365</v>
      </c>
      <c r="L20" s="207">
        <f t="shared" si="3"/>
        <v>2.232189423177219E-2</v>
      </c>
      <c r="M20" s="207">
        <f t="shared" si="4"/>
        <v>0</v>
      </c>
      <c r="N20" s="205" t="str">
        <f t="shared" si="5"/>
        <v>Bonne</v>
      </c>
      <c r="O20" s="205" t="str">
        <f t="shared" si="6"/>
        <v>Bonne</v>
      </c>
      <c r="P20" s="205">
        <f t="shared" si="7"/>
        <v>1</v>
      </c>
      <c r="Q20" s="208">
        <f>VLOOKUP(B20,Data_Entry!$AO$4:$AZ$38,12,FALSE)</f>
        <v>0.34749999999999998</v>
      </c>
      <c r="R20" s="205">
        <f t="shared" si="8"/>
        <v>4</v>
      </c>
      <c r="S20" s="223"/>
    </row>
    <row r="21" spans="2:19" x14ac:dyDescent="0.25">
      <c r="B21" s="274" t="s">
        <v>42</v>
      </c>
      <c r="C21" s="206">
        <f>SUMIF(Data_Entry!$C$5:$C$670,B21,Data_Entry!H$5:H$670)</f>
        <v>10350.292999999998</v>
      </c>
      <c r="D21" s="205">
        <f>SUMIF(Data_Entry!$C$5:$C$670,B21,Data_Entry!O$5:O$670)</f>
        <v>8153</v>
      </c>
      <c r="E21" s="205">
        <f>SUMIF(Data_Entry!$C$5:$C$670,B21,Data_Entry!Q$5:Q$670)</f>
        <v>7202</v>
      </c>
      <c r="F21" s="205">
        <f>SUMIF(Data_Entry!$C$5:$C$670,B21,Data_Entry!X$5:X$670)</f>
        <v>7735</v>
      </c>
      <c r="G21" s="207">
        <f t="shared" si="0"/>
        <v>0.78770716925598161</v>
      </c>
      <c r="H21" s="207">
        <f t="shared" si="1"/>
        <v>0.69582571237355328</v>
      </c>
      <c r="I21" s="207">
        <f t="shared" si="2"/>
        <v>0.74732183910155991</v>
      </c>
      <c r="J21" s="206">
        <f>SUMIF(Data_Entry!$C$5:$C$670,B21,Data_Entry!AK$5:AK$670)</f>
        <v>2523.8056666666671</v>
      </c>
      <c r="K21" s="206">
        <f>SUMIF(Data_Entry!$C$5:$C$670,B21,Data_Entry!AL$5:AL$670)</f>
        <v>783</v>
      </c>
      <c r="L21" s="207">
        <f t="shared" si="3"/>
        <v>0.11664418005642095</v>
      </c>
      <c r="M21" s="207">
        <f t="shared" si="4"/>
        <v>5.1269471360235498E-2</v>
      </c>
      <c r="N21" s="205" t="str">
        <f t="shared" si="5"/>
        <v>Mauvaise</v>
      </c>
      <c r="O21" s="205" t="str">
        <f t="shared" si="6"/>
        <v>Mauvaise</v>
      </c>
      <c r="P21" s="205">
        <f t="shared" si="7"/>
        <v>4</v>
      </c>
      <c r="Q21" s="208">
        <f>VLOOKUP(B21,Data_Entry!$AO$4:$AZ$38,12,FALSE)</f>
        <v>0.47416666666666663</v>
      </c>
      <c r="R21" s="205">
        <f t="shared" si="8"/>
        <v>1</v>
      </c>
      <c r="S21" s="223"/>
    </row>
    <row r="22" spans="2:19" x14ac:dyDescent="0.25">
      <c r="B22" s="274" t="s">
        <v>45</v>
      </c>
      <c r="C22" s="206">
        <f>SUMIF(Data_Entry!$C$5:$C$670,B22,Data_Entry!H$5:H$670)</f>
        <v>10392.841916666668</v>
      </c>
      <c r="D22" s="205">
        <f>SUMIF(Data_Entry!$C$5:$C$670,B22,Data_Entry!O$5:O$670)</f>
        <v>8040</v>
      </c>
      <c r="E22" s="205">
        <f>SUMIF(Data_Entry!$C$5:$C$670,B22,Data_Entry!Q$5:Q$670)</f>
        <v>7798</v>
      </c>
      <c r="F22" s="205">
        <f>SUMIF(Data_Entry!$C$5:$C$670,B22,Data_Entry!X$5:X$670)</f>
        <v>7121</v>
      </c>
      <c r="G22" s="207">
        <f t="shared" si="0"/>
        <v>0.77360938080916142</v>
      </c>
      <c r="H22" s="207">
        <f t="shared" si="1"/>
        <v>0.75032412332709464</v>
      </c>
      <c r="I22" s="207">
        <f t="shared" si="2"/>
        <v>0.6851831344206516</v>
      </c>
      <c r="J22" s="206">
        <f>SUMIF(Data_Entry!$C$5:$C$670,B22,Data_Entry!AK$5:AK$670)</f>
        <v>2183.7019166666664</v>
      </c>
      <c r="K22" s="206">
        <f>SUMIF(Data_Entry!$C$5:$C$670,B22,Data_Entry!AL$5:AL$670)</f>
        <v>1035</v>
      </c>
      <c r="L22" s="207">
        <f t="shared" si="3"/>
        <v>3.0099502487562189E-2</v>
      </c>
      <c r="M22" s="207">
        <f t="shared" si="4"/>
        <v>0.11430348258706467</v>
      </c>
      <c r="N22" s="205" t="str">
        <f t="shared" si="5"/>
        <v>Mauvaise</v>
      </c>
      <c r="O22" s="205" t="str">
        <f t="shared" si="6"/>
        <v>Bonne</v>
      </c>
      <c r="P22" s="205">
        <f t="shared" si="7"/>
        <v>3</v>
      </c>
      <c r="Q22" s="208">
        <f>VLOOKUP(B22,Data_Entry!$AO$4:$AZ$38,12,FALSE)</f>
        <v>0.2911111111111111</v>
      </c>
      <c r="R22" s="205">
        <f t="shared" si="8"/>
        <v>2</v>
      </c>
      <c r="S22" s="223"/>
    </row>
    <row r="23" spans="2:19" ht="13" thickBot="1" x14ac:dyDescent="0.3">
      <c r="B23" s="275" t="s">
        <v>49</v>
      </c>
      <c r="C23" s="206">
        <f>SUMIF(Data_Entry!$C$5:$C$670,B23,Data_Entry!H$5:H$670)</f>
        <v>4409.7022500000012</v>
      </c>
      <c r="D23" s="205">
        <f>SUMIF(Data_Entry!$C$5:$C$670,B23,Data_Entry!O$5:O$670)</f>
        <v>3997</v>
      </c>
      <c r="E23" s="205">
        <f>SUMIF(Data_Entry!$C$5:$C$670,B23,Data_Entry!Q$5:Q$670)</f>
        <v>3922</v>
      </c>
      <c r="F23" s="205">
        <f>SUMIF(Data_Entry!$C$5:$C$670,B23,Data_Entry!X$5:X$670)</f>
        <v>4279</v>
      </c>
      <c r="G23" s="211">
        <f t="shared" si="0"/>
        <v>0.90641040446665055</v>
      </c>
      <c r="H23" s="211">
        <f t="shared" si="1"/>
        <v>0.88940245341961555</v>
      </c>
      <c r="I23" s="211">
        <f t="shared" si="2"/>
        <v>0.97036030040350207</v>
      </c>
      <c r="J23" s="209">
        <f>SUMIF(Data_Entry!$C$5:$C$670,B23,Data_Entry!AK$5:AK$670)</f>
        <v>726.15125000000012</v>
      </c>
      <c r="K23" s="209">
        <f>SUMIF(Data_Entry!$C$5:$C$670,B23,Data_Entry!AL$5:AL$670)</f>
        <v>83</v>
      </c>
      <c r="L23" s="211">
        <f t="shared" si="3"/>
        <v>1.8764073054791094E-2</v>
      </c>
      <c r="M23" s="211">
        <f t="shared" si="4"/>
        <v>0</v>
      </c>
      <c r="N23" s="210" t="str">
        <f t="shared" si="5"/>
        <v>Mauvaise</v>
      </c>
      <c r="O23" s="210" t="str">
        <f t="shared" si="6"/>
        <v>Bonne</v>
      </c>
      <c r="P23" s="210">
        <f t="shared" si="7"/>
        <v>1</v>
      </c>
      <c r="Q23" s="212">
        <f>VLOOKUP(B23,Data_Entry!$AO$4:$AZ$38,12,FALSE)</f>
        <v>0</v>
      </c>
      <c r="R23" s="210">
        <f t="shared" si="8"/>
        <v>4</v>
      </c>
      <c r="S23" s="224"/>
    </row>
    <row r="24" spans="2:19" ht="13.5" thickBot="1" x14ac:dyDescent="0.35">
      <c r="B24" s="217" t="s">
        <v>805</v>
      </c>
      <c r="C24" s="229">
        <f>SUM(C7:C23)</f>
        <v>144662.0705</v>
      </c>
      <c r="D24" s="229">
        <f t="shared" ref="D24:F24" si="9">SUM(D7:D23)</f>
        <v>136437</v>
      </c>
      <c r="E24" s="229">
        <f t="shared" si="9"/>
        <v>131124</v>
      </c>
      <c r="F24" s="229">
        <f t="shared" si="9"/>
        <v>136839</v>
      </c>
      <c r="G24" s="230">
        <f t="shared" ref="G24" si="10">D24/C24</f>
        <v>0.94314286757011401</v>
      </c>
      <c r="H24" s="230">
        <f t="shared" ref="H24" si="11">E24/C24</f>
        <v>0.90641589427547975</v>
      </c>
      <c r="I24" s="230">
        <f t="shared" ref="I24" si="12">F24/C24</f>
        <v>0.94592175770082043</v>
      </c>
      <c r="J24" s="229">
        <f>SUM(J7:J23)</f>
        <v>16943.996916666671</v>
      </c>
      <c r="K24" s="229">
        <f>SUM(K7:K23)</f>
        <v>8555</v>
      </c>
      <c r="L24" s="230">
        <f t="shared" ref="L24" si="13">IF(((D24-E24)/D24)&lt;0,0,(D24-E24)/D24)</f>
        <v>3.8941049715253195E-2</v>
      </c>
      <c r="M24" s="230">
        <f t="shared" ref="M24" si="14">IF((D24-F24)/D24&lt;0,0,(D24-F24)/D24)</f>
        <v>0</v>
      </c>
      <c r="N24" s="231" t="str">
        <f t="shared" si="5"/>
        <v>Mauvaise</v>
      </c>
      <c r="O24" s="231" t="str">
        <f t="shared" si="6"/>
        <v>Bonne</v>
      </c>
      <c r="P24" s="231">
        <f t="shared" ref="P24" si="15">IF(AND(L24&lt;=10%,G24&gt;=90%),1,IF(AND(L24&lt;=10%,G24&lt;90%),3,IF(AND(L24&gt;10%,G24&gt;=90%),2,IF(AND(L24&gt;10%,G24&lt;90%),4,))))</f>
        <v>1</v>
      </c>
      <c r="Q24" s="234"/>
      <c r="R24" s="234"/>
      <c r="S24" s="232"/>
    </row>
    <row r="25" spans="2:19" x14ac:dyDescent="0.25">
      <c r="B25" s="276" t="s">
        <v>18</v>
      </c>
      <c r="C25" s="213">
        <f>SUMIF(Data_Entry!$C$5:$C$670,B25,Data_Entry!H$5:H$670)</f>
        <v>6193.3249166666674</v>
      </c>
      <c r="D25" s="214">
        <f>SUMIF(Data_Entry!$C$5:$C$670,B25,Data_Entry!O$5:O$670)</f>
        <v>6274</v>
      </c>
      <c r="E25" s="214">
        <f>SUMIF(Data_Entry!$C$5:$C$670,B25,Data_Entry!Q$5:Q$670)</f>
        <v>6014</v>
      </c>
      <c r="F25" s="214">
        <f>SUMIF(Data_Entry!$C$5:$C$670,B25,Data_Entry!X$5:X$670)</f>
        <v>6062</v>
      </c>
      <c r="G25" s="215">
        <f>D25/C25</f>
        <v>1.0130261344946121</v>
      </c>
      <c r="H25" s="215">
        <f>E25/C25</f>
        <v>0.97104545311612966</v>
      </c>
      <c r="I25" s="215">
        <f>F25/C25</f>
        <v>0.97879573275523413</v>
      </c>
      <c r="J25" s="213">
        <f>SUMIF(Data_Entry!$C$5:$C$670,B25,Data_Entry!AK$5:AK$670)</f>
        <v>293.24883333333321</v>
      </c>
      <c r="K25" s="213">
        <f>SUMIF(Data_Entry!$C$5:$C$670,B25,Data_Entry!AL$5:AL$670)</f>
        <v>367</v>
      </c>
      <c r="L25" s="215">
        <f t="shared" si="3"/>
        <v>4.1440867070449472E-2</v>
      </c>
      <c r="M25" s="215">
        <f>IF((D25-F25)/D25&lt;0,0,(D25-F25)/D25)</f>
        <v>3.379024545744342E-2</v>
      </c>
      <c r="N25" s="214" t="str">
        <f t="shared" si="5"/>
        <v>Bonne</v>
      </c>
      <c r="O25" s="214" t="str">
        <f t="shared" si="6"/>
        <v>Bonne</v>
      </c>
      <c r="P25" s="205">
        <f>IF(AND(L25&lt;=10%,G25&gt;=90%),1,IF(AND(L25&lt;=10%,G25&lt;90%),3,IF(AND(L25&gt;10%,G25&gt;=90%),2,IF(AND(L25&gt;10%,G25&lt;90%),4,))))</f>
        <v>1</v>
      </c>
      <c r="Q25" s="216">
        <f>VLOOKUP(B25,Data_Entry!$AO$4:$AZ$38,12,FALSE)</f>
        <v>0.77596153846153859</v>
      </c>
      <c r="R25" s="205">
        <f>_xlfn.IFS(P25=1,4,P25=2,3,P25=3,2,P25=4,1)</f>
        <v>4</v>
      </c>
      <c r="S25" s="225"/>
    </row>
    <row r="26" spans="2:19" x14ac:dyDescent="0.25">
      <c r="B26" s="274" t="s">
        <v>21</v>
      </c>
      <c r="C26" s="213">
        <f>SUMIF(Data_Entry!$C$5:$C$670,B26,Data_Entry!H$5:H$670)</f>
        <v>6399.3512499999997</v>
      </c>
      <c r="D26" s="214">
        <f>SUMIF(Data_Entry!$C$5:$C$670,B26,Data_Entry!O$5:O$670)</f>
        <v>6705</v>
      </c>
      <c r="E26" s="214">
        <f>SUMIF(Data_Entry!$C$5:$C$670,B26,Data_Entry!Q$5:Q$670)</f>
        <v>6735</v>
      </c>
      <c r="F26" s="214">
        <f>SUMIF(Data_Entry!$C$5:$C$670,B26,Data_Entry!X$5:X$670)</f>
        <v>6664</v>
      </c>
      <c r="G26" s="207">
        <f t="shared" ref="G26:G42" si="16">D26/C26</f>
        <v>1.0477624587336101</v>
      </c>
      <c r="H26" s="207">
        <f t="shared" ref="H26:H42" si="17">E26/C26</f>
        <v>1.0524504339404717</v>
      </c>
      <c r="I26" s="207">
        <f t="shared" ref="I26:I42" si="18">F26/C26</f>
        <v>1.0413555592842321</v>
      </c>
      <c r="J26" s="206">
        <f>SUMIF(Data_Entry!$C$5:$C$670,B26,Data_Entry!AK$5:AK$670)</f>
        <v>213.48783333333338</v>
      </c>
      <c r="K26" s="206">
        <f>SUMIF(Data_Entry!$C$5:$C$670,B26,Data_Entry!AL$5:AL$670)</f>
        <v>320</v>
      </c>
      <c r="L26" s="207">
        <f t="shared" si="3"/>
        <v>0</v>
      </c>
      <c r="M26" s="207">
        <f t="shared" ref="M26:M43" si="19">IF((D26-F26)/D26&lt;0,0,(D26-F26)/D26)</f>
        <v>6.1148396718866517E-3</v>
      </c>
      <c r="N26" s="205" t="str">
        <f t="shared" si="5"/>
        <v>Bonne</v>
      </c>
      <c r="O26" s="205" t="str">
        <f t="shared" si="6"/>
        <v>Bonne</v>
      </c>
      <c r="P26" s="205">
        <f t="shared" ref="P26:P42" si="20">IF(AND(L26&lt;=10%,G26&gt;=90%),1,IF(AND(L26&lt;=10%,G26&lt;90%),3,IF(AND(L26&gt;10%,G26&gt;=90%),2,IF(AND(L26&gt;10%,G26&lt;90%),4,))))</f>
        <v>1</v>
      </c>
      <c r="Q26" s="208">
        <f>VLOOKUP(B26,Data_Entry!$AO$4:$AZ$38,12,FALSE)</f>
        <v>0.69023809523809532</v>
      </c>
      <c r="R26" s="205">
        <f t="shared" ref="R26:R41" si="21">_xlfn.IFS(P26=1,4,P26=2,3,P26=3,2,P26=4,1)</f>
        <v>4</v>
      </c>
      <c r="S26" s="223"/>
    </row>
    <row r="27" spans="2:19" x14ac:dyDescent="0.25">
      <c r="B27" s="274" t="s">
        <v>22</v>
      </c>
      <c r="C27" s="213">
        <f>SUMIF(Data_Entry!$C$5:$C$670,B27,Data_Entry!H$5:H$670)</f>
        <v>7013.6785</v>
      </c>
      <c r="D27" s="214">
        <f>SUMIF(Data_Entry!$C$5:$C$670,B27,Data_Entry!O$5:O$670)</f>
        <v>7265</v>
      </c>
      <c r="E27" s="214">
        <f>SUMIF(Data_Entry!$C$5:$C$670,B27,Data_Entry!Q$5:Q$670)</f>
        <v>6711</v>
      </c>
      <c r="F27" s="214">
        <f>SUMIF(Data_Entry!$C$5:$C$670,B27,Data_Entry!X$5:X$670)</f>
        <v>6335</v>
      </c>
      <c r="G27" s="207">
        <f t="shared" si="16"/>
        <v>1.0358330510872433</v>
      </c>
      <c r="H27" s="207">
        <f t="shared" si="17"/>
        <v>0.95684454313096901</v>
      </c>
      <c r="I27" s="207">
        <f t="shared" si="18"/>
        <v>0.90323501426533881</v>
      </c>
      <c r="J27" s="206">
        <f>SUMIF(Data_Entry!$C$5:$C$670,B27,Data_Entry!AK$5:AK$670)</f>
        <v>178.36866666666668</v>
      </c>
      <c r="K27" s="206">
        <f>SUMIF(Data_Entry!$C$5:$C$670,B27,Data_Entry!AL$5:AL$670)</f>
        <v>1119</v>
      </c>
      <c r="L27" s="207">
        <f t="shared" si="3"/>
        <v>7.6256022023399858E-2</v>
      </c>
      <c r="M27" s="207">
        <f t="shared" si="19"/>
        <v>0.12801101169993118</v>
      </c>
      <c r="N27" s="205" t="str">
        <f t="shared" si="5"/>
        <v>Bonne</v>
      </c>
      <c r="O27" s="205" t="str">
        <f t="shared" si="6"/>
        <v>Bonne</v>
      </c>
      <c r="P27" s="205">
        <f t="shared" si="20"/>
        <v>1</v>
      </c>
      <c r="Q27" s="208">
        <f>VLOOKUP(B27,Data_Entry!$AO$4:$AZ$38,12,FALSE)</f>
        <v>0.56607142857142856</v>
      </c>
      <c r="R27" s="205">
        <f t="shared" si="21"/>
        <v>4</v>
      </c>
      <c r="S27" s="223"/>
    </row>
    <row r="28" spans="2:19" x14ac:dyDescent="0.25">
      <c r="B28" s="274" t="s">
        <v>24</v>
      </c>
      <c r="C28" s="213">
        <f>SUMIF(Data_Entry!$C$5:$C$670,B28,Data_Entry!H$5:H$670)</f>
        <v>9584.0925833333349</v>
      </c>
      <c r="D28" s="214">
        <f>SUMIF(Data_Entry!$C$5:$C$670,B28,Data_Entry!O$5:O$670)</f>
        <v>15209</v>
      </c>
      <c r="E28" s="214">
        <f>SUMIF(Data_Entry!$C$5:$C$670,B28,Data_Entry!Q$5:Q$670)</f>
        <v>14284</v>
      </c>
      <c r="F28" s="214">
        <f>SUMIF(Data_Entry!$C$5:$C$670,B28,Data_Entry!X$5:X$670)</f>
        <v>13329</v>
      </c>
      <c r="G28" s="207">
        <f t="shared" si="16"/>
        <v>1.5869003630503671</v>
      </c>
      <c r="H28" s="207">
        <f t="shared" si="17"/>
        <v>1.4903862703538329</v>
      </c>
      <c r="I28" s="207">
        <f t="shared" si="18"/>
        <v>1.3907419908671408</v>
      </c>
      <c r="J28" s="206">
        <f>SUMIF(Data_Entry!$C$5:$C$670,B28,Data_Entry!AK$5:AK$670)</f>
        <v>472.68724999999989</v>
      </c>
      <c r="K28" s="206">
        <f>SUMIF(Data_Entry!$C$5:$C$670,B28,Data_Entry!AL$5:AL$670)</f>
        <v>2190</v>
      </c>
      <c r="L28" s="207">
        <f t="shared" si="3"/>
        <v>6.0819251758827013E-2</v>
      </c>
      <c r="M28" s="207">
        <f t="shared" si="19"/>
        <v>0.12361101979091328</v>
      </c>
      <c r="N28" s="205" t="str">
        <f t="shared" si="5"/>
        <v>Bonne</v>
      </c>
      <c r="O28" s="205" t="str">
        <f t="shared" si="6"/>
        <v>Bonne</v>
      </c>
      <c r="P28" s="205">
        <f t="shared" si="20"/>
        <v>1</v>
      </c>
      <c r="Q28" s="208">
        <f>VLOOKUP(B28,Data_Entry!$AO$4:$AZ$38,12,FALSE)</f>
        <v>0.61764705882352944</v>
      </c>
      <c r="R28" s="205">
        <f t="shared" si="21"/>
        <v>4</v>
      </c>
      <c r="S28" s="223"/>
    </row>
    <row r="29" spans="2:19" x14ac:dyDescent="0.25">
      <c r="B29" s="274" t="s">
        <v>25</v>
      </c>
      <c r="C29" s="213">
        <f>SUMIF(Data_Entry!$C$5:$C$670,B29,Data_Entry!H$5:H$670)</f>
        <v>6924.9452500000007</v>
      </c>
      <c r="D29" s="214">
        <f>SUMIF(Data_Entry!$C$5:$C$670,B29,Data_Entry!O$5:O$670)</f>
        <v>7288</v>
      </c>
      <c r="E29" s="214">
        <f>SUMIF(Data_Entry!$C$5:$C$670,B29,Data_Entry!Q$5:Q$670)</f>
        <v>7278</v>
      </c>
      <c r="F29" s="214">
        <f>SUMIF(Data_Entry!$C$5:$C$670,B29,Data_Entry!X$5:X$670)</f>
        <v>6738</v>
      </c>
      <c r="G29" s="207">
        <f t="shared" si="16"/>
        <v>1.0524270931961519</v>
      </c>
      <c r="H29" s="207">
        <f t="shared" si="17"/>
        <v>1.0509830384579575</v>
      </c>
      <c r="I29" s="207">
        <f t="shared" si="18"/>
        <v>0.97300408259545434</v>
      </c>
      <c r="J29" s="206">
        <f>SUMIF(Data_Entry!$C$5:$C$670,B29,Data_Entry!AK$5:AK$670)</f>
        <v>278.59108333333336</v>
      </c>
      <c r="K29" s="206">
        <f>SUMIF(Data_Entry!$C$5:$C$670,B29,Data_Entry!AL$5:AL$670)</f>
        <v>641</v>
      </c>
      <c r="L29" s="207">
        <f t="shared" si="3"/>
        <v>1.3721185510428102E-3</v>
      </c>
      <c r="M29" s="207">
        <f t="shared" si="19"/>
        <v>7.5466520307354554E-2</v>
      </c>
      <c r="N29" s="205" t="str">
        <f t="shared" si="5"/>
        <v>Bonne</v>
      </c>
      <c r="O29" s="205" t="str">
        <f t="shared" si="6"/>
        <v>Bonne</v>
      </c>
      <c r="P29" s="205">
        <f t="shared" si="20"/>
        <v>1</v>
      </c>
      <c r="Q29" s="208">
        <f>VLOOKUP(B29,Data_Entry!$AO$4:$AZ$38,12,FALSE)</f>
        <v>0.47647058823529409</v>
      </c>
      <c r="R29" s="205">
        <f t="shared" si="21"/>
        <v>4</v>
      </c>
      <c r="S29" s="223"/>
    </row>
    <row r="30" spans="2:19" x14ac:dyDescent="0.25">
      <c r="B30" s="274" t="s">
        <v>28</v>
      </c>
      <c r="C30" s="213">
        <f>SUMIF(Data_Entry!$C$5:$C$670,B30,Data_Entry!H$5:H$670)</f>
        <v>19347.803833333335</v>
      </c>
      <c r="D30" s="214">
        <f>SUMIF(Data_Entry!$C$5:$C$670,B30,Data_Entry!O$5:O$670)</f>
        <v>22683</v>
      </c>
      <c r="E30" s="214">
        <f>SUMIF(Data_Entry!$C$5:$C$670,B30,Data_Entry!Q$5:Q$670)</f>
        <v>20007</v>
      </c>
      <c r="F30" s="214">
        <f>SUMIF(Data_Entry!$C$5:$C$670,B30,Data_Entry!X$5:X$670)</f>
        <v>22618</v>
      </c>
      <c r="G30" s="207">
        <f t="shared" si="16"/>
        <v>1.172381123738738</v>
      </c>
      <c r="H30" s="207">
        <f t="shared" si="17"/>
        <v>1.0340708522964746</v>
      </c>
      <c r="I30" s="207">
        <f t="shared" si="18"/>
        <v>1.1690215693128236</v>
      </c>
      <c r="J30" s="206">
        <f>SUMIF(Data_Entry!$C$5:$C$670,B30,Data_Entry!AK$5:AK$670)</f>
        <v>3803.8785833333327</v>
      </c>
      <c r="K30" s="206">
        <f>SUMIF(Data_Entry!$C$5:$C$670,B30,Data_Entry!AL$5:AL$670)</f>
        <v>1979</v>
      </c>
      <c r="L30" s="207">
        <f t="shared" si="3"/>
        <v>0.11797381298770004</v>
      </c>
      <c r="M30" s="207">
        <f t="shared" si="19"/>
        <v>2.8655821540360623E-3</v>
      </c>
      <c r="N30" s="205" t="str">
        <f t="shared" si="5"/>
        <v>Bonne</v>
      </c>
      <c r="O30" s="205" t="str">
        <f t="shared" si="6"/>
        <v>Mauvaise</v>
      </c>
      <c r="P30" s="205">
        <f t="shared" si="20"/>
        <v>2</v>
      </c>
      <c r="Q30" s="208">
        <f>VLOOKUP(B30,Data_Entry!$AO$4:$AZ$38,12,FALSE)</f>
        <v>0</v>
      </c>
      <c r="R30" s="205">
        <f t="shared" si="21"/>
        <v>3</v>
      </c>
      <c r="S30" s="223"/>
    </row>
    <row r="31" spans="2:19" x14ac:dyDescent="0.25">
      <c r="B31" s="274" t="s">
        <v>29</v>
      </c>
      <c r="C31" s="213">
        <f>SUMIF(Data_Entry!$C$5:$C$670,B31,Data_Entry!H$5:H$670)</f>
        <v>11143.133749999999</v>
      </c>
      <c r="D31" s="214">
        <f>SUMIF(Data_Entry!$C$5:$C$670,B31,Data_Entry!O$5:O$670)</f>
        <v>12921</v>
      </c>
      <c r="E31" s="214">
        <f>SUMIF(Data_Entry!$C$5:$C$670,B31,Data_Entry!Q$5:Q$670)</f>
        <v>12429</v>
      </c>
      <c r="F31" s="214">
        <f>SUMIF(Data_Entry!$C$5:$C$670,B31,Data_Entry!X$5:X$670)</f>
        <v>12266</v>
      </c>
      <c r="G31" s="207">
        <f t="shared" si="16"/>
        <v>1.1595481387809781</v>
      </c>
      <c r="H31" s="207">
        <f t="shared" si="17"/>
        <v>1.1153953886625476</v>
      </c>
      <c r="I31" s="207">
        <f t="shared" si="18"/>
        <v>1.1007675466517668</v>
      </c>
      <c r="J31" s="206">
        <f>SUMIF(Data_Entry!$C$5:$C$670,B31,Data_Entry!AK$5:AK$670)</f>
        <v>29.964833333333218</v>
      </c>
      <c r="K31" s="206">
        <f>SUMIF(Data_Entry!$C$5:$C$670,B31,Data_Entry!AL$5:AL$670)</f>
        <v>1082</v>
      </c>
      <c r="L31" s="207">
        <f t="shared" si="3"/>
        <v>3.8077548177385651E-2</v>
      </c>
      <c r="M31" s="207">
        <f t="shared" si="19"/>
        <v>5.0692670845909761E-2</v>
      </c>
      <c r="N31" s="205" t="str">
        <f t="shared" si="5"/>
        <v>Bonne</v>
      </c>
      <c r="O31" s="205" t="str">
        <f t="shared" si="6"/>
        <v>Bonne</v>
      </c>
      <c r="P31" s="205">
        <f t="shared" si="20"/>
        <v>1</v>
      </c>
      <c r="Q31" s="208">
        <f>VLOOKUP(B31,Data_Entry!$AO$4:$AZ$38,12,FALSE)</f>
        <v>0.48421052631578942</v>
      </c>
      <c r="R31" s="205">
        <f t="shared" si="21"/>
        <v>4</v>
      </c>
      <c r="S31" s="223"/>
    </row>
    <row r="32" spans="2:19" x14ac:dyDescent="0.25">
      <c r="B32" s="274" t="s">
        <v>32</v>
      </c>
      <c r="C32" s="213">
        <f>SUMIF(Data_Entry!$C$5:$C$670,B32,Data_Entry!H$5:H$670)</f>
        <v>12549.661916666664</v>
      </c>
      <c r="D32" s="214">
        <f>SUMIF(Data_Entry!$C$5:$C$670,B32,Data_Entry!O$5:O$670)</f>
        <v>12959</v>
      </c>
      <c r="E32" s="214">
        <f>SUMIF(Data_Entry!$C$5:$C$670,B32,Data_Entry!Q$5:Q$670)</f>
        <v>12176</v>
      </c>
      <c r="F32" s="214">
        <f>SUMIF(Data_Entry!$C$5:$C$670,B32,Data_Entry!X$5:X$670)</f>
        <v>12482</v>
      </c>
      <c r="G32" s="207">
        <f t="shared" si="16"/>
        <v>1.0326174590241122</v>
      </c>
      <c r="H32" s="207">
        <f t="shared" si="17"/>
        <v>0.97022534000135729</v>
      </c>
      <c r="I32" s="207">
        <f t="shared" si="18"/>
        <v>0.99460846697576721</v>
      </c>
      <c r="J32" s="206">
        <f>SUMIF(Data_Entry!$C$5:$C$670,B32,Data_Entry!AK$5:AK$670)</f>
        <v>568.10608333333323</v>
      </c>
      <c r="K32" s="206">
        <f>SUMIF(Data_Entry!$C$5:$C$670,B32,Data_Entry!AL$5:AL$670)</f>
        <v>1032</v>
      </c>
      <c r="L32" s="207">
        <f t="shared" si="3"/>
        <v>6.0421328806235047E-2</v>
      </c>
      <c r="M32" s="207">
        <f t="shared" si="19"/>
        <v>3.6808395709545493E-2</v>
      </c>
      <c r="N32" s="205" t="str">
        <f t="shared" si="5"/>
        <v>Bonne</v>
      </c>
      <c r="O32" s="205" t="str">
        <f t="shared" si="6"/>
        <v>Bonne</v>
      </c>
      <c r="P32" s="205">
        <f t="shared" si="20"/>
        <v>1</v>
      </c>
      <c r="Q32" s="208">
        <f>VLOOKUP(B32,Data_Entry!$AO$4:$AZ$38,12,FALSE)</f>
        <v>0.56789215686274508</v>
      </c>
      <c r="R32" s="205">
        <f t="shared" si="21"/>
        <v>4</v>
      </c>
      <c r="S32" s="223"/>
    </row>
    <row r="33" spans="2:19" x14ac:dyDescent="0.25">
      <c r="B33" s="274" t="s">
        <v>33</v>
      </c>
      <c r="C33" s="213">
        <f>SUMIF(Data_Entry!$C$5:$C$670,B33,Data_Entry!H$5:H$670)</f>
        <v>4165.1404999999995</v>
      </c>
      <c r="D33" s="214">
        <f>SUMIF(Data_Entry!$C$5:$C$670,B33,Data_Entry!O$5:O$670)</f>
        <v>3999</v>
      </c>
      <c r="E33" s="214">
        <f>SUMIF(Data_Entry!$C$5:$C$670,B33,Data_Entry!Q$5:Q$670)</f>
        <v>3759</v>
      </c>
      <c r="F33" s="214">
        <f>SUMIF(Data_Entry!$C$5:$C$670,B33,Data_Entry!X$5:X$670)</f>
        <v>3616</v>
      </c>
      <c r="G33" s="207">
        <f t="shared" si="16"/>
        <v>0.96011166970237871</v>
      </c>
      <c r="H33" s="207">
        <f t="shared" si="17"/>
        <v>0.90249056424387131</v>
      </c>
      <c r="I33" s="207">
        <f t="shared" si="18"/>
        <v>0.86815798890817741</v>
      </c>
      <c r="J33" s="206">
        <f>SUMIF(Data_Entry!$C$5:$C$670,B33,Data_Entry!AK$5:AK$670)</f>
        <v>339.6013333333334</v>
      </c>
      <c r="K33" s="206">
        <f>SUMIF(Data_Entry!$C$5:$C$670,B33,Data_Entry!AL$5:AL$670)</f>
        <v>424</v>
      </c>
      <c r="L33" s="207">
        <f t="shared" si="3"/>
        <v>6.0015003750937733E-2</v>
      </c>
      <c r="M33" s="207">
        <f t="shared" si="19"/>
        <v>9.5773943485871468E-2</v>
      </c>
      <c r="N33" s="205" t="str">
        <f t="shared" si="5"/>
        <v>Bonne</v>
      </c>
      <c r="O33" s="205" t="str">
        <f t="shared" si="6"/>
        <v>Bonne</v>
      </c>
      <c r="P33" s="205">
        <f t="shared" si="20"/>
        <v>1</v>
      </c>
      <c r="Q33" s="208">
        <f>VLOOKUP(B33,Data_Entry!$AO$4:$AZ$38,12,FALSE)</f>
        <v>0.54035087719298247</v>
      </c>
      <c r="R33" s="205">
        <f t="shared" si="21"/>
        <v>4</v>
      </c>
      <c r="S33" s="223"/>
    </row>
    <row r="34" spans="2:19" x14ac:dyDescent="0.25">
      <c r="B34" s="274" t="s">
        <v>34</v>
      </c>
      <c r="C34" s="213">
        <f>SUMIF(Data_Entry!$C$5:$C$670,B34,Data_Entry!H$5:H$670)</f>
        <v>14972.01275</v>
      </c>
      <c r="D34" s="214">
        <f>SUMIF(Data_Entry!$C$5:$C$670,B34,Data_Entry!O$5:O$670)</f>
        <v>9340</v>
      </c>
      <c r="E34" s="214">
        <f>SUMIF(Data_Entry!$C$5:$C$670,B34,Data_Entry!Q$5:Q$670)</f>
        <v>8197</v>
      </c>
      <c r="F34" s="214">
        <f>SUMIF(Data_Entry!$C$5:$C$670,B34,Data_Entry!X$5:X$670)</f>
        <v>8292</v>
      </c>
      <c r="G34" s="207">
        <f t="shared" si="16"/>
        <v>0.62383062023507829</v>
      </c>
      <c r="H34" s="207">
        <f t="shared" si="17"/>
        <v>0.54748817923628867</v>
      </c>
      <c r="I34" s="207">
        <f t="shared" si="18"/>
        <v>0.55383335149778046</v>
      </c>
      <c r="J34" s="206">
        <f>SUMIF(Data_Entry!$C$5:$C$670,B34,Data_Entry!AK$5:AK$670)</f>
        <v>5762.636833333333</v>
      </c>
      <c r="K34" s="206">
        <f>SUMIF(Data_Entry!$C$5:$C$670,B34,Data_Entry!AL$5:AL$670)</f>
        <v>1344</v>
      </c>
      <c r="L34" s="207">
        <f t="shared" si="3"/>
        <v>0.12237687366167023</v>
      </c>
      <c r="M34" s="207">
        <f t="shared" si="19"/>
        <v>0.11220556745182013</v>
      </c>
      <c r="N34" s="205" t="str">
        <f t="shared" si="5"/>
        <v>Mauvaise</v>
      </c>
      <c r="O34" s="205" t="str">
        <f t="shared" si="6"/>
        <v>Mauvaise</v>
      </c>
      <c r="P34" s="205">
        <f t="shared" si="20"/>
        <v>4</v>
      </c>
      <c r="Q34" s="208">
        <f>VLOOKUP(B34,Data_Entry!$AO$4:$AZ$38,12,FALSE)</f>
        <v>0</v>
      </c>
      <c r="R34" s="205">
        <f t="shared" si="21"/>
        <v>1</v>
      </c>
      <c r="S34" s="223"/>
    </row>
    <row r="35" spans="2:19" x14ac:dyDescent="0.25">
      <c r="B35" s="274" t="s">
        <v>40</v>
      </c>
      <c r="C35" s="213">
        <f>SUMIF(Data_Entry!$C$5:$C$670,B35,Data_Entry!H$5:H$670)</f>
        <v>13289.541916666671</v>
      </c>
      <c r="D35" s="214">
        <f>SUMIF(Data_Entry!$C$5:$C$670,B35,Data_Entry!O$5:O$670)</f>
        <v>18088</v>
      </c>
      <c r="E35" s="214">
        <f>SUMIF(Data_Entry!$C$5:$C$670,B35,Data_Entry!Q$5:Q$670)</f>
        <v>16374</v>
      </c>
      <c r="F35" s="214">
        <f>SUMIF(Data_Entry!$C$5:$C$670,B35,Data_Entry!X$5:X$670)</f>
        <v>18696</v>
      </c>
      <c r="G35" s="207">
        <f t="shared" si="16"/>
        <v>1.3610702395479479</v>
      </c>
      <c r="H35" s="207">
        <f t="shared" si="17"/>
        <v>1.2320966443143575</v>
      </c>
      <c r="I35" s="207">
        <f t="shared" si="18"/>
        <v>1.40682049970082</v>
      </c>
      <c r="J35" s="206">
        <f>SUMIF(Data_Entry!$C$5:$C$670,B35,Data_Entry!AK$5:AK$670)</f>
        <v>995.03466666666668</v>
      </c>
      <c r="K35" s="206">
        <f>SUMIF(Data_Entry!$C$5:$C$670,B35,Data_Entry!AL$5:AL$670)</f>
        <v>2524</v>
      </c>
      <c r="L35" s="207">
        <f t="shared" si="3"/>
        <v>9.4758956214064577E-2</v>
      </c>
      <c r="M35" s="207">
        <f t="shared" si="19"/>
        <v>0</v>
      </c>
      <c r="N35" s="205" t="str">
        <f t="shared" si="5"/>
        <v>Bonne</v>
      </c>
      <c r="O35" s="205" t="str">
        <f t="shared" si="6"/>
        <v>Bonne</v>
      </c>
      <c r="P35" s="205">
        <f t="shared" si="20"/>
        <v>1</v>
      </c>
      <c r="Q35" s="208">
        <f>VLOOKUP(B35,Data_Entry!$AO$4:$AZ$38,12,FALSE)</f>
        <v>6.7873303167420816E-3</v>
      </c>
      <c r="R35" s="205">
        <f t="shared" si="21"/>
        <v>4</v>
      </c>
      <c r="S35" s="223"/>
    </row>
    <row r="36" spans="2:19" x14ac:dyDescent="0.25">
      <c r="B36" s="274" t="s">
        <v>43</v>
      </c>
      <c r="C36" s="213">
        <f>SUMIF(Data_Entry!$C$5:$C$670,B36,Data_Entry!H$5:H$670)</f>
        <v>15246.414000000001</v>
      </c>
      <c r="D36" s="214">
        <f>SUMIF(Data_Entry!$C$5:$C$670,B36,Data_Entry!O$5:O$670)</f>
        <v>15866</v>
      </c>
      <c r="E36" s="214">
        <f>SUMIF(Data_Entry!$C$5:$C$670,B36,Data_Entry!Q$5:Q$670)</f>
        <v>15186</v>
      </c>
      <c r="F36" s="214">
        <f>SUMIF(Data_Entry!$C$5:$C$670,B36,Data_Entry!X$5:X$670)</f>
        <v>13502</v>
      </c>
      <c r="G36" s="207">
        <f t="shared" si="16"/>
        <v>1.0406381461240657</v>
      </c>
      <c r="H36" s="207">
        <f t="shared" si="17"/>
        <v>0.99603749445607337</v>
      </c>
      <c r="I36" s="207">
        <f t="shared" si="18"/>
        <v>0.88558529238416317</v>
      </c>
      <c r="J36" s="206">
        <f>SUMIF(Data_Entry!$C$5:$C$670,B36,Data_Entry!AK$5:AK$670)</f>
        <v>1208.35475</v>
      </c>
      <c r="K36" s="206">
        <f>SUMIF(Data_Entry!$C$5:$C$670,B36,Data_Entry!AL$5:AL$670)</f>
        <v>3216</v>
      </c>
      <c r="L36" s="207">
        <f t="shared" si="3"/>
        <v>4.2858943653094665E-2</v>
      </c>
      <c r="M36" s="207">
        <f t="shared" si="19"/>
        <v>0.14899785705281735</v>
      </c>
      <c r="N36" s="205" t="str">
        <f t="shared" si="5"/>
        <v>Bonne</v>
      </c>
      <c r="O36" s="205" t="str">
        <f t="shared" si="6"/>
        <v>Bonne</v>
      </c>
      <c r="P36" s="205">
        <f t="shared" si="20"/>
        <v>1</v>
      </c>
      <c r="Q36" s="208">
        <f>VLOOKUP(B36,Data_Entry!$AO$4:$AZ$38,12,FALSE)</f>
        <v>0.50592156862745097</v>
      </c>
      <c r="R36" s="205">
        <f t="shared" si="21"/>
        <v>4</v>
      </c>
      <c r="S36" s="223"/>
    </row>
    <row r="37" spans="2:19" x14ac:dyDescent="0.25">
      <c r="B37" s="274" t="s">
        <v>44</v>
      </c>
      <c r="C37" s="213">
        <f>SUMIF(Data_Entry!$C$5:$C$670,B37,Data_Entry!H$5:H$670)</f>
        <v>10973.054416666666</v>
      </c>
      <c r="D37" s="214">
        <f>SUMIF(Data_Entry!$C$5:$C$670,B37,Data_Entry!O$5:O$670)</f>
        <v>17230</v>
      </c>
      <c r="E37" s="214">
        <f>SUMIF(Data_Entry!$C$5:$C$670,B37,Data_Entry!Q$5:Q$670)</f>
        <v>18843</v>
      </c>
      <c r="F37" s="214">
        <f>SUMIF(Data_Entry!$C$5:$C$670,B37,Data_Entry!X$5:X$670)</f>
        <v>16888</v>
      </c>
      <c r="G37" s="207">
        <f t="shared" si="16"/>
        <v>1.5702100204506262</v>
      </c>
      <c r="H37" s="207">
        <f t="shared" si="17"/>
        <v>1.717206466358163</v>
      </c>
      <c r="I37" s="207">
        <f t="shared" si="18"/>
        <v>1.5390427640957733</v>
      </c>
      <c r="J37" s="206">
        <f>SUMIF(Data_Entry!$C$5:$C$670,B37,Data_Entry!AK$5:AK$670)</f>
        <v>0</v>
      </c>
      <c r="K37" s="206">
        <f>SUMIF(Data_Entry!$C$5:$C$670,B37,Data_Entry!AL$5:AL$670)</f>
        <v>1448</v>
      </c>
      <c r="L37" s="207">
        <f t="shared" si="3"/>
        <v>0</v>
      </c>
      <c r="M37" s="207">
        <f t="shared" si="19"/>
        <v>1.9849100406268139E-2</v>
      </c>
      <c r="N37" s="205" t="str">
        <f t="shared" si="5"/>
        <v>Bonne</v>
      </c>
      <c r="O37" s="205" t="str">
        <f t="shared" si="6"/>
        <v>Bonne</v>
      </c>
      <c r="P37" s="205">
        <f t="shared" si="20"/>
        <v>1</v>
      </c>
      <c r="Q37" s="208">
        <f>VLOOKUP(B37,Data_Entry!$AO$4:$AZ$38,12,FALSE)</f>
        <v>0.52005347593582885</v>
      </c>
      <c r="R37" s="205">
        <f t="shared" si="21"/>
        <v>4</v>
      </c>
      <c r="S37" s="223"/>
    </row>
    <row r="38" spans="2:19" x14ac:dyDescent="0.25">
      <c r="B38" s="274" t="s">
        <v>46</v>
      </c>
      <c r="C38" s="213">
        <f>SUMIF(Data_Entry!$C$5:$C$670,B38,Data_Entry!H$5:H$670)</f>
        <v>6261.5835000000006</v>
      </c>
      <c r="D38" s="214">
        <f>SUMIF(Data_Entry!$C$5:$C$670,B38,Data_Entry!O$5:O$670)</f>
        <v>6990</v>
      </c>
      <c r="E38" s="214">
        <f>SUMIF(Data_Entry!$C$5:$C$670,B38,Data_Entry!Q$5:Q$670)</f>
        <v>6709</v>
      </c>
      <c r="F38" s="214">
        <f>SUMIF(Data_Entry!$C$5:$C$670,B38,Data_Entry!X$5:X$670)</f>
        <v>6367</v>
      </c>
      <c r="G38" s="207">
        <f t="shared" si="16"/>
        <v>1.1163310367098034</v>
      </c>
      <c r="H38" s="207">
        <f t="shared" si="17"/>
        <v>1.0714542096260473</v>
      </c>
      <c r="I38" s="207">
        <f t="shared" si="18"/>
        <v>1.0168354378728639</v>
      </c>
      <c r="J38" s="206">
        <f>SUMIF(Data_Entry!$C$5:$C$670,B38,Data_Entry!AK$5:AK$670)</f>
        <v>738.84316666666666</v>
      </c>
      <c r="K38" s="206">
        <f>SUMIF(Data_Entry!$C$5:$C$670,B38,Data_Entry!AL$5:AL$670)</f>
        <v>827</v>
      </c>
      <c r="L38" s="207">
        <f t="shared" si="3"/>
        <v>4.0200286123032905E-2</v>
      </c>
      <c r="M38" s="207">
        <f t="shared" si="19"/>
        <v>8.9127324749642342E-2</v>
      </c>
      <c r="N38" s="205" t="str">
        <f t="shared" si="5"/>
        <v>Bonne</v>
      </c>
      <c r="O38" s="205" t="str">
        <f t="shared" si="6"/>
        <v>Bonne</v>
      </c>
      <c r="P38" s="205">
        <f t="shared" si="20"/>
        <v>1</v>
      </c>
      <c r="Q38" s="208">
        <f>VLOOKUP(B38,Data_Entry!$AO$4:$AZ$38,12,FALSE)</f>
        <v>0.52312030075187965</v>
      </c>
      <c r="R38" s="205">
        <f t="shared" si="21"/>
        <v>4</v>
      </c>
      <c r="S38" s="223"/>
    </row>
    <row r="39" spans="2:19" x14ac:dyDescent="0.25">
      <c r="B39" s="274" t="s">
        <v>47</v>
      </c>
      <c r="C39" s="213">
        <f>SUMIF(Data_Entry!$C$5:$C$670,B39,Data_Entry!H$5:H$670)</f>
        <v>9604.4509166666667</v>
      </c>
      <c r="D39" s="214">
        <f>SUMIF(Data_Entry!$C$5:$C$670,B39,Data_Entry!O$5:O$670)</f>
        <v>10177</v>
      </c>
      <c r="E39" s="214">
        <f>SUMIF(Data_Entry!$C$5:$C$670,B39,Data_Entry!Q$5:Q$670)</f>
        <v>9660</v>
      </c>
      <c r="F39" s="214">
        <f>SUMIF(Data_Entry!$C$5:$C$670,B39,Data_Entry!X$5:X$670)</f>
        <v>10150</v>
      </c>
      <c r="G39" s="207">
        <f t="shared" si="16"/>
        <v>1.0596128907629467</v>
      </c>
      <c r="H39" s="207">
        <f t="shared" si="17"/>
        <v>1.0057836813176835</v>
      </c>
      <c r="I39" s="207">
        <f t="shared" si="18"/>
        <v>1.0568016941381457</v>
      </c>
      <c r="J39" s="206">
        <f>SUMIF(Data_Entry!$C$5:$C$670,B39,Data_Entry!AK$5:AK$670)</f>
        <v>543.05424999999991</v>
      </c>
      <c r="K39" s="206">
        <f>SUMIF(Data_Entry!$C$5:$C$670,B39,Data_Entry!AL$5:AL$670)</f>
        <v>486</v>
      </c>
      <c r="L39" s="207">
        <f t="shared" si="3"/>
        <v>5.0800825390586619E-2</v>
      </c>
      <c r="M39" s="207">
        <f t="shared" si="19"/>
        <v>2.6530411712685467E-3</v>
      </c>
      <c r="N39" s="205" t="str">
        <f t="shared" si="5"/>
        <v>Bonne</v>
      </c>
      <c r="O39" s="205" t="str">
        <f t="shared" si="6"/>
        <v>Bonne</v>
      </c>
      <c r="P39" s="205">
        <f t="shared" si="20"/>
        <v>1</v>
      </c>
      <c r="Q39" s="208">
        <f>VLOOKUP(B39,Data_Entry!$AO$4:$AZ$38,12,FALSE)</f>
        <v>0.62769607843137265</v>
      </c>
      <c r="R39" s="205">
        <f t="shared" si="21"/>
        <v>4</v>
      </c>
      <c r="S39" s="223"/>
    </row>
    <row r="40" spans="2:19" x14ac:dyDescent="0.25">
      <c r="B40" s="274" t="s">
        <v>48</v>
      </c>
      <c r="C40" s="213">
        <f>SUMIF(Data_Entry!$C$5:$C$670,B40,Data_Entry!H$5:H$670)</f>
        <v>9813.3564999999999</v>
      </c>
      <c r="D40" s="214">
        <f>SUMIF(Data_Entry!$C$5:$C$670,B40,Data_Entry!O$5:O$670)</f>
        <v>9682</v>
      </c>
      <c r="E40" s="214">
        <f>SUMIF(Data_Entry!$C$5:$C$670,B40,Data_Entry!Q$5:Q$670)</f>
        <v>9366</v>
      </c>
      <c r="F40" s="214">
        <f>SUMIF(Data_Entry!$C$5:$C$670,B40,Data_Entry!X$5:X$670)</f>
        <v>9120</v>
      </c>
      <c r="G40" s="207">
        <f t="shared" si="16"/>
        <v>0.98661451869194805</v>
      </c>
      <c r="H40" s="207">
        <f t="shared" si="17"/>
        <v>0.95441350775343792</v>
      </c>
      <c r="I40" s="207">
        <f t="shared" si="18"/>
        <v>0.9293456321494078</v>
      </c>
      <c r="J40" s="206">
        <f>SUMIF(Data_Entry!$C$5:$C$670,B40,Data_Entry!AK$5:AK$670)</f>
        <v>728.31941666666671</v>
      </c>
      <c r="K40" s="206">
        <f>SUMIF(Data_Entry!$C$5:$C$670,B40,Data_Entry!AL$5:AL$670)</f>
        <v>1032</v>
      </c>
      <c r="L40" s="207">
        <f t="shared" si="3"/>
        <v>3.2637884734558975E-2</v>
      </c>
      <c r="M40" s="207">
        <f t="shared" si="19"/>
        <v>5.8045858293740961E-2</v>
      </c>
      <c r="N40" s="205" t="str">
        <f t="shared" si="5"/>
        <v>Bonne</v>
      </c>
      <c r="O40" s="205" t="str">
        <f t="shared" si="6"/>
        <v>Bonne</v>
      </c>
      <c r="P40" s="205">
        <f t="shared" si="20"/>
        <v>1</v>
      </c>
      <c r="Q40" s="208">
        <f>VLOOKUP(B40,Data_Entry!$AO$4:$AZ$38,12,FALSE)</f>
        <v>0.65982142857142856</v>
      </c>
      <c r="R40" s="205">
        <f t="shared" si="21"/>
        <v>4</v>
      </c>
      <c r="S40" s="223"/>
    </row>
    <row r="41" spans="2:19" ht="13" thickBot="1" x14ac:dyDescent="0.3">
      <c r="B41" s="275" t="s">
        <v>50</v>
      </c>
      <c r="C41" s="213">
        <f>SUMIF(Data_Entry!$C$5:$C$670,B41,Data_Entry!H$5:H$670)</f>
        <v>6022.9838333333337</v>
      </c>
      <c r="D41" s="214">
        <f>SUMIF(Data_Entry!$C$5:$C$670,B41,Data_Entry!O$5:O$670)</f>
        <v>7013</v>
      </c>
      <c r="E41" s="214">
        <f>SUMIF(Data_Entry!$C$5:$C$670,B41,Data_Entry!Q$5:Q$670)</f>
        <v>6822</v>
      </c>
      <c r="F41" s="214">
        <f>SUMIF(Data_Entry!$C$5:$C$670,B41,Data_Entry!X$5:X$670)</f>
        <v>6082</v>
      </c>
      <c r="G41" s="211">
        <f t="shared" si="16"/>
        <v>1.164373040682521</v>
      </c>
      <c r="H41" s="211">
        <f t="shared" si="17"/>
        <v>1.1326611840205558</v>
      </c>
      <c r="I41" s="211">
        <f t="shared" si="18"/>
        <v>1.0097984932883348</v>
      </c>
      <c r="J41" s="209">
        <f>SUMIF(Data_Entry!$C$5:$C$670,B41,Data_Entry!AK$5:AK$670)</f>
        <v>118.87275000000005</v>
      </c>
      <c r="K41" s="209">
        <f>SUMIF(Data_Entry!$C$5:$C$670,B41,Data_Entry!AL$5:AL$670)</f>
        <v>1015</v>
      </c>
      <c r="L41" s="211">
        <f t="shared" si="3"/>
        <v>2.7235134749750464E-2</v>
      </c>
      <c r="M41" s="211">
        <f t="shared" si="19"/>
        <v>0.13275345786396692</v>
      </c>
      <c r="N41" s="210" t="str">
        <f t="shared" si="5"/>
        <v>Bonne</v>
      </c>
      <c r="O41" s="210" t="str">
        <f t="shared" si="6"/>
        <v>Bonne</v>
      </c>
      <c r="P41" s="210">
        <f t="shared" si="20"/>
        <v>1</v>
      </c>
      <c r="Q41" s="212">
        <f>VLOOKUP(B41,Data_Entry!$AO$4:$AZ$38,12,FALSE)</f>
        <v>0</v>
      </c>
      <c r="R41" s="210">
        <f t="shared" si="21"/>
        <v>4</v>
      </c>
      <c r="S41" s="224"/>
    </row>
    <row r="42" spans="2:19" ht="13.5" thickBot="1" x14ac:dyDescent="0.35">
      <c r="B42" s="220" t="s">
        <v>806</v>
      </c>
      <c r="C42" s="229">
        <f>SUM(C25:C41)</f>
        <v>169504.53033333333</v>
      </c>
      <c r="D42" s="229">
        <f t="shared" ref="D42:F42" si="22">SUM(D25:D41)</f>
        <v>189689</v>
      </c>
      <c r="E42" s="229">
        <f t="shared" si="22"/>
        <v>180550</v>
      </c>
      <c r="F42" s="229">
        <f t="shared" si="22"/>
        <v>179207</v>
      </c>
      <c r="G42" s="230">
        <f t="shared" si="16"/>
        <v>1.1190792342067413</v>
      </c>
      <c r="H42" s="230">
        <f t="shared" si="17"/>
        <v>1.0651632711228756</v>
      </c>
      <c r="I42" s="230">
        <f t="shared" si="18"/>
        <v>1.0572401790535428</v>
      </c>
      <c r="J42" s="229">
        <f>SUM(J25:J41)</f>
        <v>16273.050333333334</v>
      </c>
      <c r="K42" s="229">
        <f>SUM(K25:K41)</f>
        <v>21046</v>
      </c>
      <c r="L42" s="230">
        <f t="shared" ref="L42" si="23">IF(((D42-E42)/D42)&lt;0,0,(D42-E42)/D42)</f>
        <v>4.8178861188577095E-2</v>
      </c>
      <c r="M42" s="230">
        <f t="shared" si="19"/>
        <v>5.5258871099536609E-2</v>
      </c>
      <c r="N42" s="231" t="str">
        <f t="shared" si="5"/>
        <v>Bonne</v>
      </c>
      <c r="O42" s="231" t="str">
        <f t="shared" si="6"/>
        <v>Bonne</v>
      </c>
      <c r="P42" s="231">
        <f t="shared" si="20"/>
        <v>1</v>
      </c>
      <c r="Q42" s="235"/>
      <c r="R42" s="234"/>
      <c r="S42" s="233"/>
    </row>
    <row r="43" spans="2:19" ht="13.5" thickBot="1" x14ac:dyDescent="0.35">
      <c r="B43" s="221" t="s">
        <v>808</v>
      </c>
      <c r="C43" s="226">
        <f>SUM(C42,C24)</f>
        <v>314166.60083333333</v>
      </c>
      <c r="D43" s="226">
        <f t="shared" ref="D43:F43" si="24">SUM(D42,D24)</f>
        <v>326126</v>
      </c>
      <c r="E43" s="226">
        <f t="shared" si="24"/>
        <v>311674</v>
      </c>
      <c r="F43" s="226">
        <f t="shared" si="24"/>
        <v>316046</v>
      </c>
      <c r="G43" s="230">
        <f t="shared" ref="G43" si="25">D43/C43</f>
        <v>1.0380670610273153</v>
      </c>
      <c r="H43" s="230">
        <f t="shared" ref="H43" si="26">E43/C43</f>
        <v>0.99206599037987597</v>
      </c>
      <c r="I43" s="230">
        <f t="shared" ref="I43" si="27">F43/C43</f>
        <v>1.005982173667352</v>
      </c>
      <c r="J43" s="226">
        <f>SUM(J24,J42)</f>
        <v>33217.047250000003</v>
      </c>
      <c r="K43" s="226">
        <f>SUM(K24,K42)</f>
        <v>29601</v>
      </c>
      <c r="L43" s="227">
        <f>IF(((D43-E43)/D43)&lt;0,0,(D43-E43)/D43)</f>
        <v>4.4314160784482075E-2</v>
      </c>
      <c r="M43" s="227">
        <f t="shared" si="19"/>
        <v>3.0908299246303575E-2</v>
      </c>
      <c r="N43" s="228" t="str">
        <f t="shared" si="5"/>
        <v>Bonne</v>
      </c>
      <c r="O43" s="228" t="str">
        <f t="shared" si="6"/>
        <v>Bonne</v>
      </c>
      <c r="P43" s="228">
        <f t="shared" ref="P43" si="28">IF(AND(L43&lt;=10%,G43&gt;=90%),1,IF(AND(L43&lt;=10%,G43&lt;90%),3,IF(AND(L43&gt;10%,G43&gt;=90%),2,IF(AND(L43&gt;10%,G43&lt;90%),4,))))</f>
        <v>1</v>
      </c>
      <c r="Q43" s="218"/>
      <c r="R43" s="218"/>
      <c r="S43" s="219"/>
    </row>
  </sheetData>
  <sheetProtection password="EF87" sheet="1" objects="1" scenarios="1"/>
  <mergeCells count="14">
    <mergeCell ref="B3:B6"/>
    <mergeCell ref="C3:I3"/>
    <mergeCell ref="J3:Q3"/>
    <mergeCell ref="R3:R5"/>
    <mergeCell ref="S3:S6"/>
    <mergeCell ref="C4:C5"/>
    <mergeCell ref="D4:F5"/>
    <mergeCell ref="G4:I5"/>
    <mergeCell ref="J4:J5"/>
    <mergeCell ref="K4:K5"/>
    <mergeCell ref="L4:M5"/>
    <mergeCell ref="N4:O5"/>
    <mergeCell ref="P4:P5"/>
    <mergeCell ref="Q4:Q6"/>
  </mergeCells>
  <conditionalFormatting sqref="G7:I23">
    <cfRule type="cellIs" dxfId="328" priority="43" operator="between">
      <formula>0.5</formula>
      <formula>0.945</formula>
    </cfRule>
    <cfRule type="cellIs" dxfId="327" priority="41" operator="greaterThan">
      <formula>0.944</formula>
    </cfRule>
    <cfRule type="cellIs" dxfId="326" priority="42" operator="lessThan">
      <formula>0.5</formula>
    </cfRule>
  </conditionalFormatting>
  <conditionalFormatting sqref="G25:I43">
    <cfRule type="cellIs" dxfId="325" priority="11" operator="between">
      <formula>0.5</formula>
      <formula>0.945</formula>
    </cfRule>
    <cfRule type="cellIs" dxfId="324" priority="9" operator="greaterThan">
      <formula>0.944</formula>
    </cfRule>
    <cfRule type="cellIs" dxfId="323" priority="10" operator="lessThan">
      <formula>0.5</formula>
    </cfRule>
  </conditionalFormatting>
  <conditionalFormatting sqref="L7:L23">
    <cfRule type="cellIs" dxfId="322" priority="39" operator="between">
      <formula>0</formula>
      <formula>0.1</formula>
    </cfRule>
    <cfRule type="cellIs" dxfId="321" priority="40" operator="greaterThan">
      <formula>0.1</formula>
    </cfRule>
  </conditionalFormatting>
  <conditionalFormatting sqref="L25:L42">
    <cfRule type="cellIs" dxfId="320" priority="31" operator="greaterThan">
      <formula>0.1</formula>
    </cfRule>
    <cfRule type="cellIs" dxfId="319" priority="30" operator="between">
      <formula>0</formula>
      <formula>0.1</formula>
    </cfRule>
  </conditionalFormatting>
  <conditionalFormatting sqref="N7:O23">
    <cfRule type="cellIs" dxfId="318" priority="22" operator="equal">
      <formula>"Mauvaise"</formula>
    </cfRule>
    <cfRule type="cellIs" dxfId="317" priority="23" operator="equal">
      <formula>"Bonne"</formula>
    </cfRule>
  </conditionalFormatting>
  <conditionalFormatting sqref="N25:O41">
    <cfRule type="cellIs" dxfId="316" priority="20" operator="equal">
      <formula>"Mauvaise"</formula>
    </cfRule>
    <cfRule type="cellIs" dxfId="315" priority="21" operator="equal">
      <formula>"Bonne"</formula>
    </cfRule>
  </conditionalFormatting>
  <conditionalFormatting sqref="P7:P23">
    <cfRule type="cellIs" dxfId="314" priority="5" operator="equal">
      <formula>4</formula>
    </cfRule>
    <cfRule type="cellIs" dxfId="313" priority="6" operator="equal">
      <formula>3</formula>
    </cfRule>
    <cfRule type="cellIs" dxfId="312" priority="7" operator="equal">
      <formula>2</formula>
    </cfRule>
    <cfRule type="cellIs" dxfId="311" priority="8" operator="equal">
      <formula>1</formula>
    </cfRule>
  </conditionalFormatting>
  <conditionalFormatting sqref="P25:P41">
    <cfRule type="cellIs" dxfId="310" priority="2" operator="equal">
      <formula>3</formula>
    </cfRule>
    <cfRule type="cellIs" dxfId="309" priority="3" operator="equal">
      <formula>2</formula>
    </cfRule>
    <cfRule type="cellIs" dxfId="308" priority="4" operator="equal">
      <formula>1</formula>
    </cfRule>
    <cfRule type="cellIs" dxfId="307" priority="1" operator="equal">
      <formula>4</formula>
    </cfRule>
  </conditionalFormatting>
  <conditionalFormatting sqref="Q7:Q23">
    <cfRule type="cellIs" dxfId="306" priority="36" operator="between">
      <formula>0.5</formula>
      <formula>0.795</formula>
    </cfRule>
    <cfRule type="cellIs" dxfId="305" priority="35" operator="lessThan">
      <formula>0.5</formula>
    </cfRule>
  </conditionalFormatting>
  <conditionalFormatting sqref="Q25:Q41">
    <cfRule type="cellIs" dxfId="304" priority="26" operator="lessThan">
      <formula>0.5</formula>
    </cfRule>
    <cfRule type="cellIs" dxfId="303" priority="27" operator="between">
      <formula>0.5</formula>
      <formula>0.795</formula>
    </cfRule>
  </conditionalFormatting>
  <conditionalFormatting sqref="R7:R23">
    <cfRule type="cellIs" dxfId="302" priority="17" operator="equal">
      <formula>3</formula>
    </cfRule>
    <cfRule type="cellIs" dxfId="301" priority="18" operator="equal">
      <formula>2</formula>
    </cfRule>
    <cfRule type="cellIs" dxfId="300" priority="16" operator="equal">
      <formula>4</formula>
    </cfRule>
    <cfRule type="cellIs" dxfId="299" priority="19" operator="equal">
      <formula>1</formula>
    </cfRule>
  </conditionalFormatting>
  <conditionalFormatting sqref="R25:R41">
    <cfRule type="cellIs" dxfId="298" priority="15" operator="equal">
      <formula>1</formula>
    </cfRule>
    <cfRule type="cellIs" dxfId="297" priority="14" operator="equal">
      <formula>2</formula>
    </cfRule>
    <cfRule type="cellIs" dxfId="296" priority="13" operator="equal">
      <formula>3</formula>
    </cfRule>
    <cfRule type="cellIs" dxfId="295" priority="12" operator="equal">
      <formula>4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9D2A"/>
  </sheetPr>
  <dimension ref="A1:N151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25" sqref="B25"/>
    </sheetView>
  </sheetViews>
  <sheetFormatPr baseColWidth="10" defaultColWidth="11.453125" defaultRowHeight="12.5" x14ac:dyDescent="0.25"/>
  <cols>
    <col min="1" max="16384" width="11.453125" style="31"/>
  </cols>
  <sheetData>
    <row r="1" spans="1:13" ht="13" x14ac:dyDescent="0.3">
      <c r="A1" s="52" t="s">
        <v>881</v>
      </c>
      <c r="B1" s="236">
        <f>Data_Entry!AZ3</f>
        <v>45596</v>
      </c>
      <c r="C1" s="289" t="s">
        <v>917</v>
      </c>
      <c r="D1" s="290"/>
      <c r="E1" s="291"/>
    </row>
    <row r="2" spans="1:13" ht="13" x14ac:dyDescent="0.3">
      <c r="A2" s="52"/>
      <c r="B2" s="104"/>
      <c r="C2" s="295" t="s">
        <v>882</v>
      </c>
      <c r="D2" s="296"/>
      <c r="E2" s="297"/>
    </row>
    <row r="3" spans="1:13" ht="13" x14ac:dyDescent="0.3">
      <c r="A3" s="52"/>
      <c r="B3" s="104"/>
      <c r="C3" s="295" t="s">
        <v>883</v>
      </c>
      <c r="D3" s="296"/>
      <c r="E3" s="297"/>
    </row>
    <row r="4" spans="1:13" ht="13.5" thickBot="1" x14ac:dyDescent="0.35">
      <c r="A4" s="52"/>
      <c r="B4" s="104"/>
      <c r="C4" s="195" t="s">
        <v>950</v>
      </c>
      <c r="D4" s="184"/>
      <c r="E4" s="185"/>
    </row>
    <row r="5" spans="1:13" ht="13" x14ac:dyDescent="0.3">
      <c r="A5" s="52"/>
      <c r="B5" s="104"/>
    </row>
    <row r="6" spans="1:13" ht="13" x14ac:dyDescent="0.3">
      <c r="A6" s="52"/>
      <c r="B6" s="104"/>
    </row>
    <row r="7" spans="1:13" ht="46" x14ac:dyDescent="0.25">
      <c r="A7" s="105" t="s">
        <v>853</v>
      </c>
      <c r="B7" s="106" t="s">
        <v>4</v>
      </c>
      <c r="C7" s="106" t="s">
        <v>837</v>
      </c>
      <c r="D7" s="106" t="s">
        <v>854</v>
      </c>
      <c r="E7" s="106" t="s">
        <v>839</v>
      </c>
      <c r="F7" s="106" t="s">
        <v>840</v>
      </c>
      <c r="G7" s="106" t="s">
        <v>841</v>
      </c>
      <c r="H7" s="106" t="s">
        <v>842</v>
      </c>
      <c r="I7" s="106" t="s">
        <v>843</v>
      </c>
      <c r="J7" s="106" t="s">
        <v>844</v>
      </c>
      <c r="K7" s="106" t="s">
        <v>845</v>
      </c>
      <c r="L7" s="106" t="s">
        <v>846</v>
      </c>
      <c r="M7" s="106" t="s">
        <v>847</v>
      </c>
    </row>
    <row r="8" spans="1:13" ht="14" hidden="1" x14ac:dyDescent="0.3">
      <c r="A8" s="292" t="s">
        <v>739</v>
      </c>
      <c r="B8" s="107" t="s">
        <v>17</v>
      </c>
      <c r="C8" s="108">
        <f>VLOOKUP($B8,Data_Entry!$AO$4:$AZ$38,2,FALSE)</f>
        <v>0</v>
      </c>
      <c r="D8" s="108">
        <f>VLOOKUP($B8,Data_Entry!$AO$4:$AZ$38,3,FALSE)</f>
        <v>0.61904761904761907</v>
      </c>
      <c r="E8" s="108">
        <f>VLOOKUP($B8,Data_Entry!$AO$4:$AZ$38,4,FALSE)</f>
        <v>0.69230769230769229</v>
      </c>
      <c r="F8" s="108">
        <f>VLOOKUP($B8,Data_Entry!$AO$4:$AZ$38,5,FALSE)</f>
        <v>1</v>
      </c>
      <c r="G8" s="108">
        <f>VLOOKUP($B8,Data_Entry!$AO$4:$AZ$38,6,FALSE)</f>
        <v>0.38461538461538464</v>
      </c>
      <c r="H8" s="108">
        <f>VLOOKUP($B8,Data_Entry!$AO$4:$AZ$38,7,FALSE)</f>
        <v>0.77777777777777779</v>
      </c>
      <c r="I8" s="108">
        <f>VLOOKUP($B8,Data_Entry!$AO$4:$AZ$38,8,FALSE)</f>
        <v>1</v>
      </c>
      <c r="J8" s="108">
        <f>VLOOKUP($B8,Data_Entry!$AO$4:$AZ$38,9,FALSE)</f>
        <v>0.38461538461538464</v>
      </c>
      <c r="K8" s="108">
        <f>VLOOKUP($B8,Data_Entry!$AO$4:$AZ$38,10,FALSE)</f>
        <v>0</v>
      </c>
      <c r="L8" s="108">
        <f>VLOOKUP($B8,Data_Entry!$AO$4:$AZ$38,11,FALSE)</f>
        <v>0</v>
      </c>
      <c r="M8" s="108">
        <f>VLOOKUP($B8,Data_Entry!$AO$4:$AZ$38,12,FALSE)</f>
        <v>0.60952380952380969</v>
      </c>
    </row>
    <row r="9" spans="1:13" ht="14" hidden="1" x14ac:dyDescent="0.3">
      <c r="A9" s="292"/>
      <c r="B9" s="107" t="s">
        <v>19</v>
      </c>
      <c r="C9" s="108">
        <f>VLOOKUP($B9,Data_Entry!$AO$4:$AZ$38,2,FALSE)</f>
        <v>0</v>
      </c>
      <c r="D9" s="108">
        <f>VLOOKUP($B9,Data_Entry!$AO$4:$AZ$38,3,FALSE)</f>
        <v>0</v>
      </c>
      <c r="E9" s="108">
        <f>VLOOKUP($B9,Data_Entry!$AO$4:$AZ$38,4,FALSE)</f>
        <v>0</v>
      </c>
      <c r="F9" s="108">
        <f>VLOOKUP($B9,Data_Entry!$AO$4:$AZ$38,5,FALSE)</f>
        <v>0</v>
      </c>
      <c r="G9" s="108">
        <f>VLOOKUP($B9,Data_Entry!$AO$4:$AZ$38,6,FALSE)</f>
        <v>0</v>
      </c>
      <c r="H9" s="108">
        <f>VLOOKUP($B9,Data_Entry!$AO$4:$AZ$38,7,FALSE)</f>
        <v>0</v>
      </c>
      <c r="I9" s="108">
        <f>VLOOKUP($B9,Data_Entry!$AO$4:$AZ$38,8,FALSE)</f>
        <v>0</v>
      </c>
      <c r="J9" s="108">
        <f>VLOOKUP($B9,Data_Entry!$AO$4:$AZ$38,9,FALSE)</f>
        <v>0</v>
      </c>
      <c r="K9" s="108">
        <f>VLOOKUP($B9,Data_Entry!$AO$4:$AZ$38,10,FALSE)</f>
        <v>0</v>
      </c>
      <c r="L9" s="108">
        <f>VLOOKUP($B9,Data_Entry!$AO$4:$AZ$38,11,FALSE)</f>
        <v>0</v>
      </c>
      <c r="M9" s="108">
        <f>VLOOKUP($B9,Data_Entry!$AO$4:$AZ$38,12,FALSE)</f>
        <v>0</v>
      </c>
    </row>
    <row r="10" spans="1:13" ht="14" hidden="1" x14ac:dyDescent="0.3">
      <c r="A10" s="292"/>
      <c r="B10" s="107" t="s">
        <v>20</v>
      </c>
      <c r="C10" s="108">
        <f>VLOOKUP($B10,Data_Entry!$AO$4:$AZ$38,2,FALSE)</f>
        <v>0</v>
      </c>
      <c r="D10" s="108">
        <f>VLOOKUP($B10,Data_Entry!$AO$4:$AZ$38,3,FALSE)</f>
        <v>0.75</v>
      </c>
      <c r="E10" s="108">
        <f>VLOOKUP($B10,Data_Entry!$AO$4:$AZ$38,4,FALSE)</f>
        <v>0.36363636363636365</v>
      </c>
      <c r="F10" s="108">
        <f>VLOOKUP($B10,Data_Entry!$AO$4:$AZ$38,5,FALSE)</f>
        <v>0.90909090909090906</v>
      </c>
      <c r="G10" s="108">
        <f>VLOOKUP($B10,Data_Entry!$AO$4:$AZ$38,6,FALSE)</f>
        <v>0.41666666666666669</v>
      </c>
      <c r="H10" s="108">
        <f>VLOOKUP($B10,Data_Entry!$AO$4:$AZ$38,7,FALSE)</f>
        <v>0.75</v>
      </c>
      <c r="I10" s="108">
        <f>VLOOKUP($B10,Data_Entry!$AO$4:$AZ$38,8,FALSE)</f>
        <v>0.75</v>
      </c>
      <c r="J10" s="108">
        <f>VLOOKUP($B10,Data_Entry!$AO$4:$AZ$38,9,FALSE)</f>
        <v>0.41666666666666669</v>
      </c>
      <c r="K10" s="108">
        <f>VLOOKUP($B10,Data_Entry!$AO$4:$AZ$38,10,FALSE)</f>
        <v>0</v>
      </c>
      <c r="L10" s="108">
        <f>VLOOKUP($B10,Data_Entry!$AO$4:$AZ$38,11,FALSE)</f>
        <v>0</v>
      </c>
      <c r="M10" s="108">
        <f>VLOOKUP($B10,Data_Entry!$AO$4:$AZ$38,12,FALSE)</f>
        <v>0.5276515151515152</v>
      </c>
    </row>
    <row r="11" spans="1:13" ht="14" hidden="1" x14ac:dyDescent="0.3">
      <c r="A11" s="292"/>
      <c r="B11" s="107" t="s">
        <v>23</v>
      </c>
      <c r="C11" s="108">
        <f>VLOOKUP($B11,Data_Entry!$AO$4:$AZ$38,2,FALSE)</f>
        <v>0</v>
      </c>
      <c r="D11" s="108">
        <f>VLOOKUP($B11,Data_Entry!$AO$4:$AZ$38,3,FALSE)</f>
        <v>0.875</v>
      </c>
      <c r="E11" s="108">
        <f>VLOOKUP($B11,Data_Entry!$AO$4:$AZ$38,4,FALSE)</f>
        <v>0.5</v>
      </c>
      <c r="F11" s="108">
        <f>VLOOKUP($B11,Data_Entry!$AO$4:$AZ$38,5,FALSE)</f>
        <v>1</v>
      </c>
      <c r="G11" s="108">
        <f>VLOOKUP($B11,Data_Entry!$AO$4:$AZ$38,6,FALSE)</f>
        <v>0.6428571428571429</v>
      </c>
      <c r="H11" s="108">
        <f>VLOOKUP($B11,Data_Entry!$AO$4:$AZ$38,7,FALSE)</f>
        <v>1</v>
      </c>
      <c r="I11" s="108">
        <f>VLOOKUP($B11,Data_Entry!$AO$4:$AZ$38,8,FALSE)</f>
        <v>0.8571428571428571</v>
      </c>
      <c r="J11" s="108">
        <f>VLOOKUP($B11,Data_Entry!$AO$4:$AZ$38,9,FALSE)</f>
        <v>0.42857142857142855</v>
      </c>
      <c r="K11" s="108">
        <f>VLOOKUP($B11,Data_Entry!$AO$4:$AZ$38,10,FALSE)</f>
        <v>0</v>
      </c>
      <c r="L11" s="108">
        <f>VLOOKUP($B11,Data_Entry!$AO$4:$AZ$38,11,FALSE)</f>
        <v>0</v>
      </c>
      <c r="M11" s="108">
        <f>VLOOKUP($B11,Data_Entry!$AO$4:$AZ$38,12,FALSE)</f>
        <v>0.66696428571428568</v>
      </c>
    </row>
    <row r="12" spans="1:13" ht="14" hidden="1" x14ac:dyDescent="0.3">
      <c r="A12" s="292"/>
      <c r="B12" s="107" t="s">
        <v>26</v>
      </c>
      <c r="C12" s="108">
        <f>VLOOKUP($B12,Data_Entry!$AO$4:$AZ$38,2,FALSE)</f>
        <v>0</v>
      </c>
      <c r="D12" s="108">
        <f>VLOOKUP($B12,Data_Entry!$AO$4:$AZ$38,3,FALSE)</f>
        <v>0.33333333333333331</v>
      </c>
      <c r="E12" s="108">
        <f>VLOOKUP($B12,Data_Entry!$AO$4:$AZ$38,4,FALSE)</f>
        <v>0.66666666666666663</v>
      </c>
      <c r="F12" s="108">
        <f>VLOOKUP($B12,Data_Entry!$AO$4:$AZ$38,5,FALSE)</f>
        <v>1</v>
      </c>
      <c r="G12" s="108">
        <f>VLOOKUP($B12,Data_Entry!$AO$4:$AZ$38,6,FALSE)</f>
        <v>0.33333333333333331</v>
      </c>
      <c r="H12" s="108">
        <f>VLOOKUP($B12,Data_Entry!$AO$4:$AZ$38,7,FALSE)</f>
        <v>1</v>
      </c>
      <c r="I12" s="108">
        <f>VLOOKUP($B12,Data_Entry!$AO$4:$AZ$38,8,FALSE)</f>
        <v>1</v>
      </c>
      <c r="J12" s="108">
        <f>VLOOKUP($B12,Data_Entry!$AO$4:$AZ$38,9,FALSE)</f>
        <v>0.66666666666666663</v>
      </c>
      <c r="K12" s="108">
        <f>VLOOKUP($B12,Data_Entry!$AO$4:$AZ$38,10,FALSE)</f>
        <v>0</v>
      </c>
      <c r="L12" s="108">
        <f>VLOOKUP($B12,Data_Entry!$AO$4:$AZ$38,11,FALSE)</f>
        <v>0</v>
      </c>
      <c r="M12" s="108">
        <f>VLOOKUP($B12,Data_Entry!$AO$4:$AZ$38,12,FALSE)</f>
        <v>0.6</v>
      </c>
    </row>
    <row r="13" spans="1:13" ht="14" hidden="1" x14ac:dyDescent="0.3">
      <c r="A13" s="292"/>
      <c r="B13" s="107" t="s">
        <v>27</v>
      </c>
      <c r="C13" s="108">
        <f>VLOOKUP($B13,Data_Entry!$AO$4:$AZ$38,2,FALSE)</f>
        <v>0</v>
      </c>
      <c r="D13" s="108">
        <f>VLOOKUP($B13,Data_Entry!$AO$4:$AZ$38,3,FALSE)</f>
        <v>0.14285714285714285</v>
      </c>
      <c r="E13" s="108">
        <f>VLOOKUP($B13,Data_Entry!$AO$4:$AZ$38,4,FALSE)</f>
        <v>0</v>
      </c>
      <c r="F13" s="108">
        <f>VLOOKUP($B13,Data_Entry!$AO$4:$AZ$38,5,FALSE)</f>
        <v>0</v>
      </c>
      <c r="G13" s="108">
        <f>VLOOKUP($B13,Data_Entry!$AO$4:$AZ$38,6,FALSE)</f>
        <v>0.5</v>
      </c>
      <c r="H13" s="108">
        <f>VLOOKUP($B13,Data_Entry!$AO$4:$AZ$38,7,FALSE)</f>
        <v>1</v>
      </c>
      <c r="I13" s="108">
        <f>VLOOKUP($B13,Data_Entry!$AO$4:$AZ$38,8,FALSE)</f>
        <v>0</v>
      </c>
      <c r="J13" s="108">
        <f>VLOOKUP($B13,Data_Entry!$AO$4:$AZ$38,9,FALSE)</f>
        <v>0.5</v>
      </c>
      <c r="K13" s="108">
        <f>VLOOKUP($B13,Data_Entry!$AO$4:$AZ$38,10,FALSE)</f>
        <v>0</v>
      </c>
      <c r="L13" s="108">
        <f>VLOOKUP($B13,Data_Entry!$AO$4:$AZ$38,11,FALSE)</f>
        <v>0</v>
      </c>
      <c r="M13" s="108">
        <f>VLOOKUP($B13,Data_Entry!$AO$4:$AZ$38,12,FALSE)</f>
        <v>0.27142857142857141</v>
      </c>
    </row>
    <row r="14" spans="1:13" ht="14" hidden="1" x14ac:dyDescent="0.3">
      <c r="A14" s="292"/>
      <c r="B14" s="107" t="s">
        <v>30</v>
      </c>
      <c r="C14" s="108">
        <f>VLOOKUP($B14,Data_Entry!$AO$4:$AZ$38,2,FALSE)</f>
        <v>0</v>
      </c>
      <c r="D14" s="108">
        <f>VLOOKUP($B14,Data_Entry!$AO$4:$AZ$38,3,FALSE)</f>
        <v>0.65</v>
      </c>
      <c r="E14" s="108">
        <f>VLOOKUP($B14,Data_Entry!$AO$4:$AZ$38,4,FALSE)</f>
        <v>0.625</v>
      </c>
      <c r="F14" s="108">
        <f>VLOOKUP($B14,Data_Entry!$AO$4:$AZ$38,5,FALSE)</f>
        <v>1</v>
      </c>
      <c r="G14" s="108">
        <f>VLOOKUP($B14,Data_Entry!$AO$4:$AZ$38,6,FALSE)</f>
        <v>0.30769230769230771</v>
      </c>
      <c r="H14" s="108">
        <f>VLOOKUP($B14,Data_Entry!$AO$4:$AZ$38,7,FALSE)</f>
        <v>1</v>
      </c>
      <c r="I14" s="108">
        <f>VLOOKUP($B14,Data_Entry!$AO$4:$AZ$38,8,FALSE)</f>
        <v>0.46153846153846156</v>
      </c>
      <c r="J14" s="108">
        <f>VLOOKUP($B14,Data_Entry!$AO$4:$AZ$38,9,FALSE)</f>
        <v>0.76923076923076927</v>
      </c>
      <c r="K14" s="108">
        <f>VLOOKUP($B14,Data_Entry!$AO$4:$AZ$38,10,FALSE)</f>
        <v>0</v>
      </c>
      <c r="L14" s="108">
        <f>VLOOKUP($B14,Data_Entry!$AO$4:$AZ$38,11,FALSE)</f>
        <v>0</v>
      </c>
      <c r="M14" s="108">
        <f>VLOOKUP($B14,Data_Entry!$AO$4:$AZ$38,12,FALSE)</f>
        <v>0.61144230769230767</v>
      </c>
    </row>
    <row r="15" spans="1:13" ht="14" hidden="1" x14ac:dyDescent="0.3">
      <c r="A15" s="292"/>
      <c r="B15" s="107" t="s">
        <v>31</v>
      </c>
      <c r="C15" s="108">
        <f>VLOOKUP($B15,Data_Entry!$AO$4:$AZ$38,2,FALSE)</f>
        <v>0</v>
      </c>
      <c r="D15" s="108">
        <f>VLOOKUP($B15,Data_Entry!$AO$4:$AZ$38,3,FALSE)</f>
        <v>4.3478260869565216E-2</v>
      </c>
      <c r="E15" s="108">
        <f>VLOOKUP($B15,Data_Entry!$AO$4:$AZ$38,4,FALSE)</f>
        <v>0</v>
      </c>
      <c r="F15" s="108">
        <f>VLOOKUP($B15,Data_Entry!$AO$4:$AZ$38,5,FALSE)</f>
        <v>0</v>
      </c>
      <c r="G15" s="108">
        <f>VLOOKUP($B15,Data_Entry!$AO$4:$AZ$38,6,FALSE)</f>
        <v>1</v>
      </c>
      <c r="H15" s="108">
        <f>VLOOKUP($B15,Data_Entry!$AO$4:$AZ$38,7,FALSE)</f>
        <v>0</v>
      </c>
      <c r="I15" s="108">
        <f>VLOOKUP($B15,Data_Entry!$AO$4:$AZ$38,8,FALSE)</f>
        <v>0</v>
      </c>
      <c r="J15" s="108">
        <f>VLOOKUP($B15,Data_Entry!$AO$4:$AZ$38,9,FALSE)</f>
        <v>1</v>
      </c>
      <c r="K15" s="108">
        <f>VLOOKUP($B15,Data_Entry!$AO$4:$AZ$38,10,FALSE)</f>
        <v>0</v>
      </c>
      <c r="L15" s="108">
        <f>VLOOKUP($B15,Data_Entry!$AO$4:$AZ$38,11,FALSE)</f>
        <v>0</v>
      </c>
      <c r="M15" s="108">
        <f>VLOOKUP($B15,Data_Entry!$AO$4:$AZ$38,12,FALSE)</f>
        <v>0.24296675191815853</v>
      </c>
    </row>
    <row r="16" spans="1:13" ht="14" hidden="1" x14ac:dyDescent="0.3">
      <c r="A16" s="292"/>
      <c r="B16" s="107" t="s">
        <v>35</v>
      </c>
      <c r="C16" s="108">
        <f>VLOOKUP($B16,Data_Entry!$AO$4:$AZ$38,2,FALSE)</f>
        <v>0</v>
      </c>
      <c r="D16" s="108">
        <f>VLOOKUP($B16,Data_Entry!$AO$4:$AZ$38,3,FALSE)</f>
        <v>0.39130434782608697</v>
      </c>
      <c r="E16" s="108">
        <f>VLOOKUP($B16,Data_Entry!$AO$4:$AZ$38,4,FALSE)</f>
        <v>0.7142857142857143</v>
      </c>
      <c r="F16" s="108">
        <f>VLOOKUP($B16,Data_Entry!$AO$4:$AZ$38,5,FALSE)</f>
        <v>1</v>
      </c>
      <c r="G16" s="108">
        <f>VLOOKUP($B16,Data_Entry!$AO$4:$AZ$38,6,FALSE)</f>
        <v>0.55555555555555558</v>
      </c>
      <c r="H16" s="108">
        <f>VLOOKUP($B16,Data_Entry!$AO$4:$AZ$38,7,FALSE)</f>
        <v>1</v>
      </c>
      <c r="I16" s="108">
        <f>VLOOKUP($B16,Data_Entry!$AO$4:$AZ$38,8,FALSE)</f>
        <v>0.77777777777777779</v>
      </c>
      <c r="J16" s="108">
        <f>VLOOKUP($B16,Data_Entry!$AO$4:$AZ$38,9,FALSE)</f>
        <v>0.88888888888888884</v>
      </c>
      <c r="K16" s="108">
        <f>VLOOKUP($B16,Data_Entry!$AO$4:$AZ$38,10,FALSE)</f>
        <v>0</v>
      </c>
      <c r="L16" s="108">
        <f>VLOOKUP($B16,Data_Entry!$AO$4:$AZ$38,11,FALSE)</f>
        <v>0</v>
      </c>
      <c r="M16" s="108">
        <f>VLOOKUP($B16,Data_Entry!$AO$4:$AZ$38,12,FALSE)</f>
        <v>0.65393374741200816</v>
      </c>
    </row>
    <row r="17" spans="1:13" ht="14" hidden="1" x14ac:dyDescent="0.3">
      <c r="A17" s="292"/>
      <c r="B17" s="107" t="s">
        <v>36</v>
      </c>
      <c r="C17" s="108">
        <f>VLOOKUP($B17,Data_Entry!$AO$4:$AZ$38,2,FALSE)</f>
        <v>0</v>
      </c>
      <c r="D17" s="108">
        <f>VLOOKUP($B17,Data_Entry!$AO$4:$AZ$38,3,FALSE)</f>
        <v>0</v>
      </c>
      <c r="E17" s="108">
        <f>VLOOKUP($B17,Data_Entry!$AO$4:$AZ$38,4,FALSE)</f>
        <v>0</v>
      </c>
      <c r="F17" s="108">
        <f>VLOOKUP($B17,Data_Entry!$AO$4:$AZ$38,5,FALSE)</f>
        <v>0</v>
      </c>
      <c r="G17" s="108">
        <f>VLOOKUP($B17,Data_Entry!$AO$4:$AZ$38,6,FALSE)</f>
        <v>0</v>
      </c>
      <c r="H17" s="108">
        <f>VLOOKUP($B17,Data_Entry!$AO$4:$AZ$38,7,FALSE)</f>
        <v>0</v>
      </c>
      <c r="I17" s="108">
        <f>VLOOKUP($B17,Data_Entry!$AO$4:$AZ$38,8,FALSE)</f>
        <v>0</v>
      </c>
      <c r="J17" s="108">
        <f>VLOOKUP($B17,Data_Entry!$AO$4:$AZ$38,9,FALSE)</f>
        <v>0</v>
      </c>
      <c r="K17" s="108">
        <f>VLOOKUP($B17,Data_Entry!$AO$4:$AZ$38,10,FALSE)</f>
        <v>0</v>
      </c>
      <c r="L17" s="108">
        <f>VLOOKUP($B17,Data_Entry!$AO$4:$AZ$38,11,FALSE)</f>
        <v>0</v>
      </c>
      <c r="M17" s="108">
        <f>VLOOKUP($B17,Data_Entry!$AO$4:$AZ$38,12,FALSE)</f>
        <v>0</v>
      </c>
    </row>
    <row r="18" spans="1:13" ht="14" hidden="1" x14ac:dyDescent="0.3">
      <c r="A18" s="292"/>
      <c r="B18" s="107" t="s">
        <v>37</v>
      </c>
      <c r="C18" s="108">
        <f>VLOOKUP($B18,Data_Entry!$AO$4:$AZ$38,2,FALSE)</f>
        <v>0</v>
      </c>
      <c r="D18" s="108">
        <f>VLOOKUP($B18,Data_Entry!$AO$4:$AZ$38,3,FALSE)</f>
        <v>0.125</v>
      </c>
      <c r="E18" s="108">
        <f>VLOOKUP($B18,Data_Entry!$AO$4:$AZ$38,4,FALSE)</f>
        <v>0.5</v>
      </c>
      <c r="F18" s="108">
        <f>VLOOKUP($B18,Data_Entry!$AO$4:$AZ$38,5,FALSE)</f>
        <v>1</v>
      </c>
      <c r="G18" s="108">
        <f>VLOOKUP($B18,Data_Entry!$AO$4:$AZ$38,6,FALSE)</f>
        <v>0</v>
      </c>
      <c r="H18" s="108">
        <f>VLOOKUP($B18,Data_Entry!$AO$4:$AZ$38,7,FALSE)</f>
        <v>1</v>
      </c>
      <c r="I18" s="108">
        <f>VLOOKUP($B18,Data_Entry!$AO$4:$AZ$38,8,FALSE)</f>
        <v>0.5</v>
      </c>
      <c r="J18" s="108">
        <f>VLOOKUP($B18,Data_Entry!$AO$4:$AZ$38,9,FALSE)</f>
        <v>0.5</v>
      </c>
      <c r="K18" s="108">
        <f>VLOOKUP($B18,Data_Entry!$AO$4:$AZ$38,10,FALSE)</f>
        <v>0</v>
      </c>
      <c r="L18" s="108">
        <f>VLOOKUP($B18,Data_Entry!$AO$4:$AZ$38,11,FALSE)</f>
        <v>0</v>
      </c>
      <c r="M18" s="108">
        <f>VLOOKUP($B18,Data_Entry!$AO$4:$AZ$38,12,FALSE)</f>
        <v>0.44375000000000009</v>
      </c>
    </row>
    <row r="19" spans="1:13" ht="14" hidden="1" x14ac:dyDescent="0.3">
      <c r="A19" s="292"/>
      <c r="B19" s="107" t="s">
        <v>38</v>
      </c>
      <c r="C19" s="108">
        <f>VLOOKUP($B19,Data_Entry!$AO$4:$AZ$38,2,FALSE)</f>
        <v>0</v>
      </c>
      <c r="D19" s="108">
        <f>VLOOKUP($B19,Data_Entry!$AO$4:$AZ$38,3,FALSE)</f>
        <v>0.5</v>
      </c>
      <c r="E19" s="108">
        <f>VLOOKUP($B19,Data_Entry!$AO$4:$AZ$38,4,FALSE)</f>
        <v>1</v>
      </c>
      <c r="F19" s="108">
        <f>VLOOKUP($B19,Data_Entry!$AO$4:$AZ$38,5,FALSE)</f>
        <v>1</v>
      </c>
      <c r="G19" s="108">
        <f>VLOOKUP($B19,Data_Entry!$AO$4:$AZ$38,6,FALSE)</f>
        <v>0.6</v>
      </c>
      <c r="H19" s="108">
        <f>VLOOKUP($B19,Data_Entry!$AO$4:$AZ$38,7,FALSE)</f>
        <v>0.5</v>
      </c>
      <c r="I19" s="108">
        <f>VLOOKUP($B19,Data_Entry!$AO$4:$AZ$38,8,FALSE)</f>
        <v>1</v>
      </c>
      <c r="J19" s="108">
        <f>VLOOKUP($B19,Data_Entry!$AO$4:$AZ$38,9,FALSE)</f>
        <v>0.2</v>
      </c>
      <c r="K19" s="108">
        <f>VLOOKUP($B19,Data_Entry!$AO$4:$AZ$38,10,FALSE)</f>
        <v>0</v>
      </c>
      <c r="L19" s="108">
        <f>VLOOKUP($B19,Data_Entry!$AO$4:$AZ$38,11,FALSE)</f>
        <v>0</v>
      </c>
      <c r="M19" s="108">
        <f>VLOOKUP($B19,Data_Entry!$AO$4:$AZ$38,12,FALSE)</f>
        <v>0.65</v>
      </c>
    </row>
    <row r="20" spans="1:13" ht="14" hidden="1" x14ac:dyDescent="0.3">
      <c r="A20" s="292"/>
      <c r="B20" s="107" t="s">
        <v>39</v>
      </c>
      <c r="C20" s="108">
        <f>VLOOKUP($B20,Data_Entry!$AO$4:$AZ$38,2,FALSE)</f>
        <v>0</v>
      </c>
      <c r="D20" s="108">
        <f>VLOOKUP($B20,Data_Entry!$AO$4:$AZ$38,3,FALSE)</f>
        <v>0.125</v>
      </c>
      <c r="E20" s="108">
        <f>VLOOKUP($B20,Data_Entry!$AO$4:$AZ$38,4,FALSE)</f>
        <v>0</v>
      </c>
      <c r="F20" s="108">
        <f>VLOOKUP($B20,Data_Entry!$AO$4:$AZ$38,5,FALSE)</f>
        <v>1</v>
      </c>
      <c r="G20" s="108">
        <f>VLOOKUP($B20,Data_Entry!$AO$4:$AZ$38,6,FALSE)</f>
        <v>0</v>
      </c>
      <c r="H20" s="108">
        <f>VLOOKUP($B20,Data_Entry!$AO$4:$AZ$38,7,FALSE)</f>
        <v>0</v>
      </c>
      <c r="I20" s="108">
        <f>VLOOKUP($B20,Data_Entry!$AO$4:$AZ$38,8,FALSE)</f>
        <v>1</v>
      </c>
      <c r="J20" s="108">
        <f>VLOOKUP($B20,Data_Entry!$AO$4:$AZ$38,9,FALSE)</f>
        <v>1</v>
      </c>
      <c r="K20" s="108">
        <f>VLOOKUP($B20,Data_Entry!$AO$4:$AZ$38,10,FALSE)</f>
        <v>0</v>
      </c>
      <c r="L20" s="108">
        <f>VLOOKUP($B20,Data_Entry!$AO$4:$AZ$38,11,FALSE)</f>
        <v>0</v>
      </c>
      <c r="M20" s="108">
        <f>VLOOKUP($B20,Data_Entry!$AO$4:$AZ$38,12,FALSE)</f>
        <v>0.25735294117647062</v>
      </c>
    </row>
    <row r="21" spans="1:13" ht="14" hidden="1" x14ac:dyDescent="0.3">
      <c r="A21" s="292"/>
      <c r="B21" s="107" t="s">
        <v>41</v>
      </c>
      <c r="C21" s="108">
        <f>VLOOKUP($B21,Data_Entry!$AO$4:$AZ$38,2,FALSE)</f>
        <v>0</v>
      </c>
      <c r="D21" s="108">
        <f>VLOOKUP($B21,Data_Entry!$AO$4:$AZ$38,3,FALSE)</f>
        <v>0.15</v>
      </c>
      <c r="E21" s="108">
        <f>VLOOKUP($B21,Data_Entry!$AO$4:$AZ$38,4,FALSE)</f>
        <v>0</v>
      </c>
      <c r="F21" s="108">
        <f>VLOOKUP($B21,Data_Entry!$AO$4:$AZ$38,5,FALSE)</f>
        <v>1</v>
      </c>
      <c r="G21" s="108">
        <f>VLOOKUP($B21,Data_Entry!$AO$4:$AZ$38,6,FALSE)</f>
        <v>0.66666666666666663</v>
      </c>
      <c r="H21" s="108">
        <f>VLOOKUP($B21,Data_Entry!$AO$4:$AZ$38,7,FALSE)</f>
        <v>0.5</v>
      </c>
      <c r="I21" s="108">
        <f>VLOOKUP($B21,Data_Entry!$AO$4:$AZ$38,8,FALSE)</f>
        <v>1</v>
      </c>
      <c r="J21" s="108">
        <f>VLOOKUP($B21,Data_Entry!$AO$4:$AZ$38,9,FALSE)</f>
        <v>0</v>
      </c>
      <c r="K21" s="108">
        <f>VLOOKUP($B21,Data_Entry!$AO$4:$AZ$38,10,FALSE)</f>
        <v>0</v>
      </c>
      <c r="L21" s="108">
        <f>VLOOKUP($B21,Data_Entry!$AO$4:$AZ$38,11,FALSE)</f>
        <v>0</v>
      </c>
      <c r="M21" s="108">
        <f>VLOOKUP($B21,Data_Entry!$AO$4:$AZ$38,12,FALSE)</f>
        <v>0.34749999999999998</v>
      </c>
    </row>
    <row r="22" spans="1:13" ht="14" hidden="1" x14ac:dyDescent="0.3">
      <c r="A22" s="292"/>
      <c r="B22" s="107" t="s">
        <v>42</v>
      </c>
      <c r="C22" s="108">
        <f>VLOOKUP($B22,Data_Entry!$AO$4:$AZ$38,2,FALSE)</f>
        <v>0</v>
      </c>
      <c r="D22" s="108">
        <f>VLOOKUP($B22,Data_Entry!$AO$4:$AZ$38,3,FALSE)</f>
        <v>0.25</v>
      </c>
      <c r="E22" s="108">
        <f>VLOOKUP($B22,Data_Entry!$AO$4:$AZ$38,4,FALSE)</f>
        <v>0.66666666666666663</v>
      </c>
      <c r="F22" s="108">
        <f>VLOOKUP($B22,Data_Entry!$AO$4:$AZ$38,5,FALSE)</f>
        <v>1</v>
      </c>
      <c r="G22" s="108">
        <f>VLOOKUP($B22,Data_Entry!$AO$4:$AZ$38,6,FALSE)</f>
        <v>0.6</v>
      </c>
      <c r="H22" s="108">
        <f>VLOOKUP($B22,Data_Entry!$AO$4:$AZ$38,7,FALSE)</f>
        <v>0.33333333333333331</v>
      </c>
      <c r="I22" s="108">
        <f>VLOOKUP($B22,Data_Entry!$AO$4:$AZ$38,8,FALSE)</f>
        <v>0.6</v>
      </c>
      <c r="J22" s="108">
        <f>VLOOKUP($B22,Data_Entry!$AO$4:$AZ$38,9,FALSE)</f>
        <v>0</v>
      </c>
      <c r="K22" s="108">
        <f>VLOOKUP($B22,Data_Entry!$AO$4:$AZ$38,10,FALSE)</f>
        <v>0</v>
      </c>
      <c r="L22" s="108">
        <f>VLOOKUP($B22,Data_Entry!$AO$4:$AZ$38,11,FALSE)</f>
        <v>0</v>
      </c>
      <c r="M22" s="108">
        <f>VLOOKUP($B22,Data_Entry!$AO$4:$AZ$38,12,FALSE)</f>
        <v>0.47416666666666663</v>
      </c>
    </row>
    <row r="23" spans="1:13" ht="14" hidden="1" x14ac:dyDescent="0.3">
      <c r="A23" s="292"/>
      <c r="B23" s="107" t="s">
        <v>45</v>
      </c>
      <c r="C23" s="108">
        <f>VLOOKUP($B23,Data_Entry!$AO$4:$AZ$38,2,FALSE)</f>
        <v>0</v>
      </c>
      <c r="D23" s="108">
        <f>VLOOKUP($B23,Data_Entry!$AO$4:$AZ$38,3,FALSE)</f>
        <v>0.18518518518518517</v>
      </c>
      <c r="E23" s="108">
        <f>VLOOKUP($B23,Data_Entry!$AO$4:$AZ$38,4,FALSE)</f>
        <v>0.33333333333333331</v>
      </c>
      <c r="F23" s="108">
        <f>VLOOKUP($B23,Data_Entry!$AO$4:$AZ$38,5,FALSE)</f>
        <v>1</v>
      </c>
      <c r="G23" s="108">
        <f>VLOOKUP($B23,Data_Entry!$AO$4:$AZ$38,6,FALSE)</f>
        <v>0.2</v>
      </c>
      <c r="H23" s="108">
        <f>VLOOKUP($B23,Data_Entry!$AO$4:$AZ$38,7,FALSE)</f>
        <v>0</v>
      </c>
      <c r="I23" s="108">
        <f>VLOOKUP($B23,Data_Entry!$AO$4:$AZ$38,8,FALSE)</f>
        <v>0.4</v>
      </c>
      <c r="J23" s="108">
        <f>VLOOKUP($B23,Data_Entry!$AO$4:$AZ$38,9,FALSE)</f>
        <v>0.6</v>
      </c>
      <c r="K23" s="108">
        <f>VLOOKUP($B23,Data_Entry!$AO$4:$AZ$38,10,FALSE)</f>
        <v>0</v>
      </c>
      <c r="L23" s="108">
        <f>VLOOKUP($B23,Data_Entry!$AO$4:$AZ$38,11,FALSE)</f>
        <v>0</v>
      </c>
      <c r="M23" s="108">
        <f>VLOOKUP($B23,Data_Entry!$AO$4:$AZ$38,12,FALSE)</f>
        <v>0.2911111111111111</v>
      </c>
    </row>
    <row r="24" spans="1:13" ht="14.5" hidden="1" thickBot="1" x14ac:dyDescent="0.35">
      <c r="A24" s="293"/>
      <c r="B24" s="109" t="s">
        <v>49</v>
      </c>
      <c r="C24" s="110">
        <f>VLOOKUP($B24,Data_Entry!$AO$4:$AZ$38,2,FALSE)</f>
        <v>0</v>
      </c>
      <c r="D24" s="110">
        <f>VLOOKUP($B24,Data_Entry!$AO$4:$AZ$38,3,FALSE)</f>
        <v>0</v>
      </c>
      <c r="E24" s="110">
        <f>VLOOKUP($B24,Data_Entry!$AO$4:$AZ$38,4,FALSE)</f>
        <v>0</v>
      </c>
      <c r="F24" s="110">
        <f>VLOOKUP($B24,Data_Entry!$AO$4:$AZ$38,5,FALSE)</f>
        <v>0</v>
      </c>
      <c r="G24" s="110">
        <f>VLOOKUP($B24,Data_Entry!$AO$4:$AZ$38,6,FALSE)</f>
        <v>0</v>
      </c>
      <c r="H24" s="110">
        <f>VLOOKUP($B24,Data_Entry!$AO$4:$AZ$38,7,FALSE)</f>
        <v>0</v>
      </c>
      <c r="I24" s="110">
        <f>VLOOKUP($B24,Data_Entry!$AO$4:$AZ$38,8,FALSE)</f>
        <v>0</v>
      </c>
      <c r="J24" s="110">
        <f>VLOOKUP($B24,Data_Entry!$AO$4:$AZ$38,9,FALSE)</f>
        <v>0</v>
      </c>
      <c r="K24" s="110">
        <f>VLOOKUP($B24,Data_Entry!$AO$4:$AZ$38,10,FALSE)</f>
        <v>0</v>
      </c>
      <c r="L24" s="110">
        <f>VLOOKUP($B24,Data_Entry!$AO$4:$AZ$38,11,FALSE)</f>
        <v>0</v>
      </c>
      <c r="M24" s="110">
        <f>VLOOKUP($B24,Data_Entry!$AO$4:$AZ$38,12,FALSE)</f>
        <v>0</v>
      </c>
    </row>
    <row r="25" spans="1:13" ht="14" x14ac:dyDescent="0.3">
      <c r="A25" s="294" t="s">
        <v>740</v>
      </c>
      <c r="B25" s="111" t="s">
        <v>18</v>
      </c>
      <c r="C25" s="112">
        <f>VLOOKUP($B25,Data_Entry!$AO$4:$AZ$38,2,FALSE)</f>
        <v>0</v>
      </c>
      <c r="D25" s="112">
        <f>VLOOKUP($B25,Data_Entry!$AO$4:$AZ$38,3,FALSE)</f>
        <v>0.92307692307692313</v>
      </c>
      <c r="E25" s="112">
        <f>VLOOKUP($B25,Data_Entry!$AO$4:$AZ$38,4,FALSE)</f>
        <v>1</v>
      </c>
      <c r="F25" s="112">
        <f>VLOOKUP($B25,Data_Entry!$AO$4:$AZ$38,5,FALSE)</f>
        <v>1</v>
      </c>
      <c r="G25" s="112">
        <f>VLOOKUP($B25,Data_Entry!$AO$4:$AZ$38,6,FALSE)</f>
        <v>0.25</v>
      </c>
      <c r="H25" s="112">
        <f>VLOOKUP($B25,Data_Entry!$AO$4:$AZ$38,7,FALSE)</f>
        <v>1</v>
      </c>
      <c r="I25" s="112">
        <f>VLOOKUP($B25,Data_Entry!$AO$4:$AZ$38,8,FALSE)</f>
        <v>1</v>
      </c>
      <c r="J25" s="112">
        <f>VLOOKUP($B25,Data_Entry!$AO$4:$AZ$38,9,FALSE)</f>
        <v>1</v>
      </c>
      <c r="K25" s="112">
        <f>VLOOKUP($B25,Data_Entry!$AO$4:$AZ$38,10,FALSE)</f>
        <v>0</v>
      </c>
      <c r="L25" s="112">
        <f>VLOOKUP($B25,Data_Entry!$AO$4:$AZ$38,11,FALSE)</f>
        <v>0</v>
      </c>
      <c r="M25" s="112">
        <f>VLOOKUP($B25,Data_Entry!$AO$4:$AZ$38,12,FALSE)</f>
        <v>0.77596153846153859</v>
      </c>
    </row>
    <row r="26" spans="1:13" ht="14" x14ac:dyDescent="0.3">
      <c r="A26" s="292"/>
      <c r="B26" s="107" t="s">
        <v>21</v>
      </c>
      <c r="C26" s="108">
        <f>VLOOKUP($B26,Data_Entry!$AO$4:$AZ$38,2,FALSE)</f>
        <v>0</v>
      </c>
      <c r="D26" s="108">
        <f>VLOOKUP($B26,Data_Entry!$AO$4:$AZ$38,3,FALSE)</f>
        <v>0.35714285714285715</v>
      </c>
      <c r="E26" s="108">
        <f>VLOOKUP($B26,Data_Entry!$AO$4:$AZ$38,4,FALSE)</f>
        <v>0.66666666666666663</v>
      </c>
      <c r="F26" s="108">
        <f>VLOOKUP($B26,Data_Entry!$AO$4:$AZ$38,5,FALSE)</f>
        <v>1</v>
      </c>
      <c r="G26" s="108">
        <f>VLOOKUP($B26,Data_Entry!$AO$4:$AZ$38,6,FALSE)</f>
        <v>1</v>
      </c>
      <c r="H26" s="108">
        <f>VLOOKUP($B26,Data_Entry!$AO$4:$AZ$38,7,FALSE)</f>
        <v>1</v>
      </c>
      <c r="I26" s="108">
        <f>VLOOKUP($B26,Data_Entry!$AO$4:$AZ$38,8,FALSE)</f>
        <v>0.6</v>
      </c>
      <c r="J26" s="108">
        <f>VLOOKUP($B26,Data_Entry!$AO$4:$AZ$38,9,FALSE)</f>
        <v>0.8</v>
      </c>
      <c r="K26" s="108">
        <f>VLOOKUP($B26,Data_Entry!$AO$4:$AZ$38,10,FALSE)</f>
        <v>0</v>
      </c>
      <c r="L26" s="108">
        <f>VLOOKUP($B26,Data_Entry!$AO$4:$AZ$38,11,FALSE)</f>
        <v>0</v>
      </c>
      <c r="M26" s="108">
        <f>VLOOKUP($B26,Data_Entry!$AO$4:$AZ$38,12,FALSE)</f>
        <v>0.69023809523809532</v>
      </c>
    </row>
    <row r="27" spans="1:13" ht="14" x14ac:dyDescent="0.3">
      <c r="A27" s="292"/>
      <c r="B27" s="107" t="s">
        <v>22</v>
      </c>
      <c r="C27" s="108">
        <f>VLOOKUP($B27,Data_Entry!$AO$4:$AZ$38,2,FALSE)</f>
        <v>0</v>
      </c>
      <c r="D27" s="108">
        <f>VLOOKUP($B27,Data_Entry!$AO$4:$AZ$38,3,FALSE)</f>
        <v>0.5</v>
      </c>
      <c r="E27" s="108">
        <f>VLOOKUP($B27,Data_Entry!$AO$4:$AZ$38,4,FALSE)</f>
        <v>0.75</v>
      </c>
      <c r="F27" s="108">
        <f>VLOOKUP($B27,Data_Entry!$AO$4:$AZ$38,5,FALSE)</f>
        <v>0.75</v>
      </c>
      <c r="G27" s="108">
        <f>VLOOKUP($B27,Data_Entry!$AO$4:$AZ$38,6,FALSE)</f>
        <v>0.14285714285714285</v>
      </c>
      <c r="H27" s="108">
        <f>VLOOKUP($B27,Data_Entry!$AO$4:$AZ$38,7,FALSE)</f>
        <v>1</v>
      </c>
      <c r="I27" s="108">
        <f>VLOOKUP($B27,Data_Entry!$AO$4:$AZ$38,8,FALSE)</f>
        <v>0.42857142857142855</v>
      </c>
      <c r="J27" s="108">
        <f>VLOOKUP($B27,Data_Entry!$AO$4:$AZ$38,9,FALSE)</f>
        <v>0.7142857142857143</v>
      </c>
      <c r="K27" s="108">
        <f>VLOOKUP($B27,Data_Entry!$AO$4:$AZ$38,10,FALSE)</f>
        <v>0</v>
      </c>
      <c r="L27" s="108">
        <f>VLOOKUP($B27,Data_Entry!$AO$4:$AZ$38,11,FALSE)</f>
        <v>0</v>
      </c>
      <c r="M27" s="108">
        <f>VLOOKUP($B27,Data_Entry!$AO$4:$AZ$38,12,FALSE)</f>
        <v>0.56607142857142856</v>
      </c>
    </row>
    <row r="28" spans="1:13" ht="14" x14ac:dyDescent="0.3">
      <c r="A28" s="292"/>
      <c r="B28" s="107" t="s">
        <v>24</v>
      </c>
      <c r="C28" s="108">
        <f>VLOOKUP($B28,Data_Entry!$AO$4:$AZ$38,2,FALSE)</f>
        <v>0</v>
      </c>
      <c r="D28" s="108">
        <f>VLOOKUP($B28,Data_Entry!$AO$4:$AZ$38,3,FALSE)</f>
        <v>0.5</v>
      </c>
      <c r="E28" s="108">
        <f>VLOOKUP($B28,Data_Entry!$AO$4:$AZ$38,4,FALSE)</f>
        <v>1</v>
      </c>
      <c r="F28" s="108">
        <f>VLOOKUP($B28,Data_Entry!$AO$4:$AZ$38,5,FALSE)</f>
        <v>1</v>
      </c>
      <c r="G28" s="108">
        <f>VLOOKUP($B28,Data_Entry!$AO$4:$AZ$38,6,FALSE)</f>
        <v>0.2</v>
      </c>
      <c r="H28" s="108">
        <f>VLOOKUP($B28,Data_Entry!$AO$4:$AZ$38,7,FALSE)</f>
        <v>0</v>
      </c>
      <c r="I28" s="108">
        <f>VLOOKUP($B28,Data_Entry!$AO$4:$AZ$38,8,FALSE)</f>
        <v>0.8</v>
      </c>
      <c r="J28" s="108">
        <f>VLOOKUP($B28,Data_Entry!$AO$4:$AZ$38,9,FALSE)</f>
        <v>0.6</v>
      </c>
      <c r="K28" s="108">
        <f>VLOOKUP($B28,Data_Entry!$AO$4:$AZ$38,10,FALSE)</f>
        <v>0</v>
      </c>
      <c r="L28" s="108">
        <f>VLOOKUP($B28,Data_Entry!$AO$4:$AZ$38,11,FALSE)</f>
        <v>0</v>
      </c>
      <c r="M28" s="108">
        <f>VLOOKUP($B28,Data_Entry!$AO$4:$AZ$38,12,FALSE)</f>
        <v>0.61764705882352944</v>
      </c>
    </row>
    <row r="29" spans="1:13" ht="14" x14ac:dyDescent="0.3">
      <c r="A29" s="292"/>
      <c r="B29" s="107" t="s">
        <v>25</v>
      </c>
      <c r="C29" s="108">
        <f>VLOOKUP($B29,Data_Entry!$AO$4:$AZ$38,2,FALSE)</f>
        <v>0</v>
      </c>
      <c r="D29" s="108">
        <f>VLOOKUP($B29,Data_Entry!$AO$4:$AZ$38,3,FALSE)</f>
        <v>3.3333333333333333E-2</v>
      </c>
      <c r="E29" s="108">
        <f>VLOOKUP($B29,Data_Entry!$AO$4:$AZ$38,4,FALSE)</f>
        <v>1</v>
      </c>
      <c r="F29" s="108">
        <f>VLOOKUP($B29,Data_Entry!$AO$4:$AZ$38,5,FALSE)</f>
        <v>1</v>
      </c>
      <c r="G29" s="108">
        <f>VLOOKUP($B29,Data_Entry!$AO$4:$AZ$38,6,FALSE)</f>
        <v>0</v>
      </c>
      <c r="H29" s="108">
        <f>VLOOKUP($B29,Data_Entry!$AO$4:$AZ$38,7,FALSE)</f>
        <v>0</v>
      </c>
      <c r="I29" s="108">
        <f>VLOOKUP($B29,Data_Entry!$AO$4:$AZ$38,8,FALSE)</f>
        <v>0</v>
      </c>
      <c r="J29" s="108">
        <f>VLOOKUP($B29,Data_Entry!$AO$4:$AZ$38,9,FALSE)</f>
        <v>1</v>
      </c>
      <c r="K29" s="108">
        <f>VLOOKUP($B29,Data_Entry!$AO$4:$AZ$38,10,FALSE)</f>
        <v>0</v>
      </c>
      <c r="L29" s="108">
        <f>VLOOKUP($B29,Data_Entry!$AO$4:$AZ$38,11,FALSE)</f>
        <v>0</v>
      </c>
      <c r="M29" s="108">
        <f>VLOOKUP($B29,Data_Entry!$AO$4:$AZ$38,12,FALSE)</f>
        <v>0.47647058823529409</v>
      </c>
    </row>
    <row r="30" spans="1:13" ht="14" x14ac:dyDescent="0.3">
      <c r="A30" s="292"/>
      <c r="B30" s="107" t="s">
        <v>28</v>
      </c>
      <c r="C30" s="108">
        <f>VLOOKUP($B30,Data_Entry!$AO$4:$AZ$38,2,FALSE)</f>
        <v>0</v>
      </c>
      <c r="D30" s="108">
        <f>VLOOKUP($B30,Data_Entry!$AO$4:$AZ$38,3,FALSE)</f>
        <v>0</v>
      </c>
      <c r="E30" s="108">
        <f>VLOOKUP($B30,Data_Entry!$AO$4:$AZ$38,4,FALSE)</f>
        <v>0</v>
      </c>
      <c r="F30" s="108">
        <f>VLOOKUP($B30,Data_Entry!$AO$4:$AZ$38,5,FALSE)</f>
        <v>0</v>
      </c>
      <c r="G30" s="108">
        <f>VLOOKUP($B30,Data_Entry!$AO$4:$AZ$38,6,FALSE)</f>
        <v>0</v>
      </c>
      <c r="H30" s="108">
        <f>VLOOKUP($B30,Data_Entry!$AO$4:$AZ$38,7,FALSE)</f>
        <v>0</v>
      </c>
      <c r="I30" s="108">
        <f>VLOOKUP($B30,Data_Entry!$AO$4:$AZ$38,8,FALSE)</f>
        <v>0</v>
      </c>
      <c r="J30" s="108">
        <f>VLOOKUP($B30,Data_Entry!$AO$4:$AZ$38,9,FALSE)</f>
        <v>0</v>
      </c>
      <c r="K30" s="108">
        <f>VLOOKUP($B30,Data_Entry!$AO$4:$AZ$38,10,FALSE)</f>
        <v>0</v>
      </c>
      <c r="L30" s="108">
        <f>VLOOKUP($B30,Data_Entry!$AO$4:$AZ$38,11,FALSE)</f>
        <v>0</v>
      </c>
      <c r="M30" s="108">
        <f>VLOOKUP($B30,Data_Entry!$AO$4:$AZ$38,12,FALSE)</f>
        <v>0</v>
      </c>
    </row>
    <row r="31" spans="1:13" ht="14" x14ac:dyDescent="0.3">
      <c r="A31" s="292"/>
      <c r="B31" s="107" t="s">
        <v>29</v>
      </c>
      <c r="C31" s="108">
        <f>VLOOKUP($B31,Data_Entry!$AO$4:$AZ$38,2,FALSE)</f>
        <v>0</v>
      </c>
      <c r="D31" s="108">
        <f>VLOOKUP($B31,Data_Entry!$AO$4:$AZ$38,3,FALSE)</f>
        <v>1</v>
      </c>
      <c r="E31" s="108">
        <f>VLOOKUP($B31,Data_Entry!$AO$4:$AZ$38,4,FALSE)</f>
        <v>0.15789473684210525</v>
      </c>
      <c r="F31" s="108">
        <f>VLOOKUP($B31,Data_Entry!$AO$4:$AZ$38,5,FALSE)</f>
        <v>0.94736842105263153</v>
      </c>
      <c r="G31" s="108">
        <f>VLOOKUP($B31,Data_Entry!$AO$4:$AZ$38,6,FALSE)</f>
        <v>0.14285714285714285</v>
      </c>
      <c r="H31" s="108">
        <f>VLOOKUP($B31,Data_Entry!$AO$4:$AZ$38,7,FALSE)</f>
        <v>1</v>
      </c>
      <c r="I31" s="108">
        <f>VLOOKUP($B31,Data_Entry!$AO$4:$AZ$38,8,FALSE)</f>
        <v>0.5714285714285714</v>
      </c>
      <c r="J31" s="108">
        <f>VLOOKUP($B31,Data_Entry!$AO$4:$AZ$38,9,FALSE)</f>
        <v>0</v>
      </c>
      <c r="K31" s="108">
        <f>VLOOKUP($B31,Data_Entry!$AO$4:$AZ$38,10,FALSE)</f>
        <v>0</v>
      </c>
      <c r="L31" s="108">
        <f>VLOOKUP($B31,Data_Entry!$AO$4:$AZ$38,11,FALSE)</f>
        <v>0</v>
      </c>
      <c r="M31" s="108">
        <f>VLOOKUP($B31,Data_Entry!$AO$4:$AZ$38,12,FALSE)</f>
        <v>0.48421052631578942</v>
      </c>
    </row>
    <row r="32" spans="1:13" ht="14" x14ac:dyDescent="0.3">
      <c r="A32" s="292"/>
      <c r="B32" s="107" t="s">
        <v>32</v>
      </c>
      <c r="C32" s="108">
        <f>VLOOKUP($B32,Data_Entry!$AO$4:$AZ$38,2,FALSE)</f>
        <v>0</v>
      </c>
      <c r="D32" s="108">
        <f>VLOOKUP($B32,Data_Entry!$AO$4:$AZ$38,3,FALSE)</f>
        <v>0.75</v>
      </c>
      <c r="E32" s="108">
        <f>VLOOKUP($B32,Data_Entry!$AO$4:$AZ$38,4,FALSE)</f>
        <v>0.41176470588235292</v>
      </c>
      <c r="F32" s="108">
        <f>VLOOKUP($B32,Data_Entry!$AO$4:$AZ$38,5,FALSE)</f>
        <v>0.94117647058823528</v>
      </c>
      <c r="G32" s="108">
        <f>VLOOKUP($B32,Data_Entry!$AO$4:$AZ$38,6,FALSE)</f>
        <v>0.33333333333333331</v>
      </c>
      <c r="H32" s="108">
        <f>VLOOKUP($B32,Data_Entry!$AO$4:$AZ$38,7,FALSE)</f>
        <v>1</v>
      </c>
      <c r="I32" s="108">
        <f>VLOOKUP($B32,Data_Entry!$AO$4:$AZ$38,8,FALSE)</f>
        <v>0.77777777777777779</v>
      </c>
      <c r="J32" s="108">
        <f>VLOOKUP($B32,Data_Entry!$AO$4:$AZ$38,9,FALSE)</f>
        <v>0.3888888888888889</v>
      </c>
      <c r="K32" s="108">
        <f>VLOOKUP($B32,Data_Entry!$AO$4:$AZ$38,10,FALSE)</f>
        <v>0</v>
      </c>
      <c r="L32" s="108">
        <f>VLOOKUP($B32,Data_Entry!$AO$4:$AZ$38,11,FALSE)</f>
        <v>0</v>
      </c>
      <c r="M32" s="108">
        <f>VLOOKUP($B32,Data_Entry!$AO$4:$AZ$38,12,FALSE)</f>
        <v>0.56789215686274508</v>
      </c>
    </row>
    <row r="33" spans="1:13" ht="14" x14ac:dyDescent="0.3">
      <c r="A33" s="292"/>
      <c r="B33" s="107" t="s">
        <v>33</v>
      </c>
      <c r="C33" s="108">
        <f>VLOOKUP($B33,Data_Entry!$AO$4:$AZ$38,2,FALSE)</f>
        <v>0</v>
      </c>
      <c r="D33" s="108">
        <f>VLOOKUP($B33,Data_Entry!$AO$4:$AZ$38,3,FALSE)</f>
        <v>0.15789473684210525</v>
      </c>
      <c r="E33" s="108">
        <f>VLOOKUP($B33,Data_Entry!$AO$4:$AZ$38,4,FALSE)</f>
        <v>1</v>
      </c>
      <c r="F33" s="108">
        <f>VLOOKUP($B33,Data_Entry!$AO$4:$AZ$38,5,FALSE)</f>
        <v>1</v>
      </c>
      <c r="G33" s="108">
        <f>VLOOKUP($B33,Data_Entry!$AO$4:$AZ$38,6,FALSE)</f>
        <v>0</v>
      </c>
      <c r="H33" s="108">
        <f>VLOOKUP($B33,Data_Entry!$AO$4:$AZ$38,7,FALSE)</f>
        <v>1</v>
      </c>
      <c r="I33" s="108">
        <f>VLOOKUP($B33,Data_Entry!$AO$4:$AZ$38,8,FALSE)</f>
        <v>0.33333333333333331</v>
      </c>
      <c r="J33" s="108">
        <f>VLOOKUP($B33,Data_Entry!$AO$4:$AZ$38,9,FALSE)</f>
        <v>0</v>
      </c>
      <c r="K33" s="108">
        <f>VLOOKUP($B33,Data_Entry!$AO$4:$AZ$38,10,FALSE)</f>
        <v>0</v>
      </c>
      <c r="L33" s="108">
        <f>VLOOKUP($B33,Data_Entry!$AO$4:$AZ$38,11,FALSE)</f>
        <v>0</v>
      </c>
      <c r="M33" s="108">
        <f>VLOOKUP($B33,Data_Entry!$AO$4:$AZ$38,12,FALSE)</f>
        <v>0.54035087719298247</v>
      </c>
    </row>
    <row r="34" spans="1:13" ht="14" x14ac:dyDescent="0.3">
      <c r="A34" s="292"/>
      <c r="B34" s="107" t="s">
        <v>34</v>
      </c>
      <c r="C34" s="108">
        <f>VLOOKUP($B34,Data_Entry!$AO$4:$AZ$38,2,FALSE)</f>
        <v>0</v>
      </c>
      <c r="D34" s="108">
        <f>VLOOKUP($B34,Data_Entry!$AO$4:$AZ$38,3,FALSE)</f>
        <v>0</v>
      </c>
      <c r="E34" s="108">
        <f>VLOOKUP($B34,Data_Entry!$AO$4:$AZ$38,4,FALSE)</f>
        <v>0</v>
      </c>
      <c r="F34" s="108">
        <f>VLOOKUP($B34,Data_Entry!$AO$4:$AZ$38,5,FALSE)</f>
        <v>0</v>
      </c>
      <c r="G34" s="108">
        <f>VLOOKUP($B34,Data_Entry!$AO$4:$AZ$38,6,FALSE)</f>
        <v>0</v>
      </c>
      <c r="H34" s="108">
        <f>VLOOKUP($B34,Data_Entry!$AO$4:$AZ$38,7,FALSE)</f>
        <v>0</v>
      </c>
      <c r="I34" s="108">
        <f>VLOOKUP($B34,Data_Entry!$AO$4:$AZ$38,8,FALSE)</f>
        <v>0</v>
      </c>
      <c r="J34" s="108">
        <f>VLOOKUP($B34,Data_Entry!$AO$4:$AZ$38,9,FALSE)</f>
        <v>0</v>
      </c>
      <c r="K34" s="108">
        <f>VLOOKUP($B34,Data_Entry!$AO$4:$AZ$38,10,FALSE)</f>
        <v>0</v>
      </c>
      <c r="L34" s="108">
        <f>VLOOKUP($B34,Data_Entry!$AO$4:$AZ$38,11,FALSE)</f>
        <v>0</v>
      </c>
      <c r="M34" s="108">
        <f>VLOOKUP($B34,Data_Entry!$AO$4:$AZ$38,12,FALSE)</f>
        <v>0</v>
      </c>
    </row>
    <row r="35" spans="1:13" ht="14" x14ac:dyDescent="0.3">
      <c r="A35" s="292"/>
      <c r="B35" s="107" t="s">
        <v>40</v>
      </c>
      <c r="C35" s="108">
        <f>VLOOKUP($B35,Data_Entry!$AO$4:$AZ$38,2,FALSE)</f>
        <v>0</v>
      </c>
      <c r="D35" s="108">
        <f>VLOOKUP($B35,Data_Entry!$AO$4:$AZ$38,3,FALSE)</f>
        <v>3.8461538461538464E-2</v>
      </c>
      <c r="E35" s="108">
        <f>VLOOKUP($B35,Data_Entry!$AO$4:$AZ$38,4,FALSE)</f>
        <v>0</v>
      </c>
      <c r="F35" s="108">
        <f>VLOOKUP($B35,Data_Entry!$AO$4:$AZ$38,5,FALSE)</f>
        <v>0</v>
      </c>
      <c r="G35" s="108">
        <f>VLOOKUP($B35,Data_Entry!$AO$4:$AZ$38,6,FALSE)</f>
        <v>0</v>
      </c>
      <c r="H35" s="108">
        <f>VLOOKUP($B35,Data_Entry!$AO$4:$AZ$38,7,FALSE)</f>
        <v>0</v>
      </c>
      <c r="I35" s="108">
        <f>VLOOKUP($B35,Data_Entry!$AO$4:$AZ$38,8,FALSE)</f>
        <v>0</v>
      </c>
      <c r="J35" s="108">
        <f>VLOOKUP($B35,Data_Entry!$AO$4:$AZ$38,9,FALSE)</f>
        <v>0</v>
      </c>
      <c r="K35" s="108">
        <f>VLOOKUP($B35,Data_Entry!$AO$4:$AZ$38,10,FALSE)</f>
        <v>0</v>
      </c>
      <c r="L35" s="108">
        <f>VLOOKUP($B35,Data_Entry!$AO$4:$AZ$38,11,FALSE)</f>
        <v>0</v>
      </c>
      <c r="M35" s="108">
        <f>VLOOKUP($B35,Data_Entry!$AO$4:$AZ$38,12,FALSE)</f>
        <v>6.7873303167420816E-3</v>
      </c>
    </row>
    <row r="36" spans="1:13" ht="14" x14ac:dyDescent="0.3">
      <c r="A36" s="292"/>
      <c r="B36" s="107" t="s">
        <v>43</v>
      </c>
      <c r="C36" s="108">
        <f>VLOOKUP($B36,Data_Entry!$AO$4:$AZ$38,2,FALSE)</f>
        <v>0</v>
      </c>
      <c r="D36" s="108">
        <f>VLOOKUP($B36,Data_Entry!$AO$4:$AZ$38,3,FALSE)</f>
        <v>0.68</v>
      </c>
      <c r="E36" s="108">
        <f>VLOOKUP($B36,Data_Entry!$AO$4:$AZ$38,4,FALSE)</f>
        <v>0.13333333333333333</v>
      </c>
      <c r="F36" s="108">
        <f>VLOOKUP($B36,Data_Entry!$AO$4:$AZ$38,5,FALSE)</f>
        <v>1</v>
      </c>
      <c r="G36" s="108">
        <f>VLOOKUP($B36,Data_Entry!$AO$4:$AZ$38,6,FALSE)</f>
        <v>0.47058823529411764</v>
      </c>
      <c r="H36" s="108">
        <f>VLOOKUP($B36,Data_Entry!$AO$4:$AZ$38,7,FALSE)</f>
        <v>1</v>
      </c>
      <c r="I36" s="108">
        <f>VLOOKUP($B36,Data_Entry!$AO$4:$AZ$38,8,FALSE)</f>
        <v>0.41176470588235292</v>
      </c>
      <c r="J36" s="108">
        <f>VLOOKUP($B36,Data_Entry!$AO$4:$AZ$38,9,FALSE)</f>
        <v>0.58823529411764708</v>
      </c>
      <c r="K36" s="108">
        <f>VLOOKUP($B36,Data_Entry!$AO$4:$AZ$38,10,FALSE)</f>
        <v>0</v>
      </c>
      <c r="L36" s="108">
        <f>VLOOKUP($B36,Data_Entry!$AO$4:$AZ$38,11,FALSE)</f>
        <v>0</v>
      </c>
      <c r="M36" s="108">
        <f>VLOOKUP($B36,Data_Entry!$AO$4:$AZ$38,12,FALSE)</f>
        <v>0.50592156862745097</v>
      </c>
    </row>
    <row r="37" spans="1:13" ht="14" x14ac:dyDescent="0.3">
      <c r="A37" s="292"/>
      <c r="B37" s="107" t="s">
        <v>44</v>
      </c>
      <c r="C37" s="108">
        <f>VLOOKUP($B37,Data_Entry!$AO$4:$AZ$38,2,FALSE)</f>
        <v>0</v>
      </c>
      <c r="D37" s="108">
        <f>VLOOKUP($B37,Data_Entry!$AO$4:$AZ$38,3,FALSE)</f>
        <v>0.36363636363636365</v>
      </c>
      <c r="E37" s="108">
        <f>VLOOKUP($B37,Data_Entry!$AO$4:$AZ$38,4,FALSE)</f>
        <v>0.5</v>
      </c>
      <c r="F37" s="108">
        <f>VLOOKUP($B37,Data_Entry!$AO$4:$AZ$38,5,FALSE)</f>
        <v>1</v>
      </c>
      <c r="G37" s="108">
        <f>VLOOKUP($B37,Data_Entry!$AO$4:$AZ$38,6,FALSE)</f>
        <v>0.5</v>
      </c>
      <c r="H37" s="108">
        <f>VLOOKUP($B37,Data_Entry!$AO$4:$AZ$38,7,FALSE)</f>
        <v>0</v>
      </c>
      <c r="I37" s="108">
        <f>VLOOKUP($B37,Data_Entry!$AO$4:$AZ$38,8,FALSE)</f>
        <v>1</v>
      </c>
      <c r="J37" s="108">
        <f>VLOOKUP($B37,Data_Entry!$AO$4:$AZ$38,9,FALSE)</f>
        <v>0.75</v>
      </c>
      <c r="K37" s="108">
        <f>VLOOKUP($B37,Data_Entry!$AO$4:$AZ$38,10,FALSE)</f>
        <v>0</v>
      </c>
      <c r="L37" s="108">
        <f>VLOOKUP($B37,Data_Entry!$AO$4:$AZ$38,11,FALSE)</f>
        <v>0</v>
      </c>
      <c r="M37" s="108">
        <f>VLOOKUP($B37,Data_Entry!$AO$4:$AZ$38,12,FALSE)</f>
        <v>0.52005347593582885</v>
      </c>
    </row>
    <row r="38" spans="1:13" ht="14" x14ac:dyDescent="0.3">
      <c r="A38" s="292"/>
      <c r="B38" s="107" t="s">
        <v>46</v>
      </c>
      <c r="C38" s="108">
        <f>VLOOKUP($B38,Data_Entry!$AO$4:$AZ$38,2,FALSE)</f>
        <v>0</v>
      </c>
      <c r="D38" s="108">
        <f>VLOOKUP($B38,Data_Entry!$AO$4:$AZ$38,3,FALSE)</f>
        <v>0.36842105263157893</v>
      </c>
      <c r="E38" s="108">
        <f>VLOOKUP($B38,Data_Entry!$AO$4:$AZ$38,4,FALSE)</f>
        <v>0.5</v>
      </c>
      <c r="F38" s="108">
        <f>VLOOKUP($B38,Data_Entry!$AO$4:$AZ$38,5,FALSE)</f>
        <v>1</v>
      </c>
      <c r="G38" s="108">
        <f>VLOOKUP($B38,Data_Entry!$AO$4:$AZ$38,6,FALSE)</f>
        <v>0.42857142857142855</v>
      </c>
      <c r="H38" s="108">
        <f>VLOOKUP($B38,Data_Entry!$AO$4:$AZ$38,7,FALSE)</f>
        <v>0.8571428571428571</v>
      </c>
      <c r="I38" s="108">
        <f>VLOOKUP($B38,Data_Entry!$AO$4:$AZ$38,8,FALSE)</f>
        <v>0.8571428571428571</v>
      </c>
      <c r="J38" s="108">
        <f>VLOOKUP($B38,Data_Entry!$AO$4:$AZ$38,9,FALSE)</f>
        <v>0.14285714285714285</v>
      </c>
      <c r="K38" s="108">
        <f>VLOOKUP($B38,Data_Entry!$AO$4:$AZ$38,10,FALSE)</f>
        <v>0</v>
      </c>
      <c r="L38" s="108">
        <f>VLOOKUP($B38,Data_Entry!$AO$4:$AZ$38,11,FALSE)</f>
        <v>0</v>
      </c>
      <c r="M38" s="108">
        <f>VLOOKUP($B38,Data_Entry!$AO$4:$AZ$38,12,FALSE)</f>
        <v>0.52312030075187965</v>
      </c>
    </row>
    <row r="39" spans="1:13" ht="14" x14ac:dyDescent="0.3">
      <c r="A39" s="292"/>
      <c r="B39" s="107" t="s">
        <v>47</v>
      </c>
      <c r="C39" s="108">
        <f>VLOOKUP($B39,Data_Entry!$AO$4:$AZ$38,2,FALSE)</f>
        <v>0</v>
      </c>
      <c r="D39" s="108">
        <f>VLOOKUP($B39,Data_Entry!$AO$4:$AZ$38,3,FALSE)</f>
        <v>0.3125</v>
      </c>
      <c r="E39" s="108">
        <f>VLOOKUP($B39,Data_Entry!$AO$4:$AZ$38,4,FALSE)</f>
        <v>0.66666666666666663</v>
      </c>
      <c r="F39" s="108">
        <f>VLOOKUP($B39,Data_Entry!$AO$4:$AZ$38,5,FALSE)</f>
        <v>1</v>
      </c>
      <c r="G39" s="108">
        <f>VLOOKUP($B39,Data_Entry!$AO$4:$AZ$38,6,FALSE)</f>
        <v>1</v>
      </c>
      <c r="H39" s="108">
        <f>VLOOKUP($B39,Data_Entry!$AO$4:$AZ$38,7,FALSE)</f>
        <v>0</v>
      </c>
      <c r="I39" s="108">
        <f>VLOOKUP($B39,Data_Entry!$AO$4:$AZ$38,8,FALSE)</f>
        <v>0.4</v>
      </c>
      <c r="J39" s="108">
        <f>VLOOKUP($B39,Data_Entry!$AO$4:$AZ$38,9,FALSE)</f>
        <v>1</v>
      </c>
      <c r="K39" s="108">
        <f>VLOOKUP($B39,Data_Entry!$AO$4:$AZ$38,10,FALSE)</f>
        <v>0</v>
      </c>
      <c r="L39" s="108">
        <f>VLOOKUP($B39,Data_Entry!$AO$4:$AZ$38,11,FALSE)</f>
        <v>0</v>
      </c>
      <c r="M39" s="108">
        <f>VLOOKUP($B39,Data_Entry!$AO$4:$AZ$38,12,FALSE)</f>
        <v>0.62769607843137265</v>
      </c>
    </row>
    <row r="40" spans="1:13" ht="14" x14ac:dyDescent="0.3">
      <c r="A40" s="292"/>
      <c r="B40" s="107" t="s">
        <v>48</v>
      </c>
      <c r="C40" s="108">
        <f>VLOOKUP($B40,Data_Entry!$AO$4:$AZ$38,2,FALSE)</f>
        <v>0</v>
      </c>
      <c r="D40" s="108">
        <f>VLOOKUP($B40,Data_Entry!$AO$4:$AZ$38,3,FALSE)</f>
        <v>0.66666666666666663</v>
      </c>
      <c r="E40" s="108">
        <f>VLOOKUP($B40,Data_Entry!$AO$4:$AZ$38,4,FALSE)</f>
        <v>0.875</v>
      </c>
      <c r="F40" s="108">
        <f>VLOOKUP($B40,Data_Entry!$AO$4:$AZ$38,5,FALSE)</f>
        <v>0.875</v>
      </c>
      <c r="G40" s="108">
        <f>VLOOKUP($B40,Data_Entry!$AO$4:$AZ$38,6,FALSE)</f>
        <v>0.2857142857142857</v>
      </c>
      <c r="H40" s="108">
        <f>VLOOKUP($B40,Data_Entry!$AO$4:$AZ$38,7,FALSE)</f>
        <v>1</v>
      </c>
      <c r="I40" s="108">
        <f>VLOOKUP($B40,Data_Entry!$AO$4:$AZ$38,8,FALSE)</f>
        <v>0.5714285714285714</v>
      </c>
      <c r="J40" s="108">
        <f>VLOOKUP($B40,Data_Entry!$AO$4:$AZ$38,9,FALSE)</f>
        <v>0.6428571428571429</v>
      </c>
      <c r="K40" s="108">
        <f>VLOOKUP($B40,Data_Entry!$AO$4:$AZ$38,10,FALSE)</f>
        <v>0</v>
      </c>
      <c r="L40" s="108">
        <f>VLOOKUP($B40,Data_Entry!$AO$4:$AZ$38,11,FALSE)</f>
        <v>0</v>
      </c>
      <c r="M40" s="108">
        <f>VLOOKUP($B40,Data_Entry!$AO$4:$AZ$38,12,FALSE)</f>
        <v>0.65982142857142856</v>
      </c>
    </row>
    <row r="41" spans="1:13" ht="14" x14ac:dyDescent="0.3">
      <c r="A41" s="292"/>
      <c r="B41" s="107" t="s">
        <v>50</v>
      </c>
      <c r="C41" s="108">
        <f>VLOOKUP($B41,Data_Entry!$AO$4:$AZ$38,2,FALSE)</f>
        <v>0</v>
      </c>
      <c r="D41" s="108">
        <f>VLOOKUP($B41,Data_Entry!$AO$4:$AZ$38,3,FALSE)</f>
        <v>0</v>
      </c>
      <c r="E41" s="108">
        <f>VLOOKUP($B41,Data_Entry!$AO$4:$AZ$38,4,FALSE)</f>
        <v>0</v>
      </c>
      <c r="F41" s="108">
        <f>VLOOKUP($B41,Data_Entry!$AO$4:$AZ$38,5,FALSE)</f>
        <v>0</v>
      </c>
      <c r="G41" s="108">
        <f>VLOOKUP($B41,Data_Entry!$AO$4:$AZ$38,6,FALSE)</f>
        <v>0</v>
      </c>
      <c r="H41" s="108">
        <f>VLOOKUP($B41,Data_Entry!$AO$4:$AZ$38,7,FALSE)</f>
        <v>0</v>
      </c>
      <c r="I41" s="108">
        <f>VLOOKUP($B41,Data_Entry!$AO$4:$AZ$38,8,FALSE)</f>
        <v>0</v>
      </c>
      <c r="J41" s="108">
        <f>VLOOKUP($B41,Data_Entry!$AO$4:$AZ$38,9,FALSE)</f>
        <v>0</v>
      </c>
      <c r="K41" s="108">
        <f>VLOOKUP($B41,Data_Entry!$AO$4:$AZ$38,10,FALSE)</f>
        <v>0</v>
      </c>
      <c r="L41" s="108">
        <f>VLOOKUP($B41,Data_Entry!$AO$4:$AZ$38,11,FALSE)</f>
        <v>0</v>
      </c>
      <c r="M41" s="108">
        <f>VLOOKUP($B41,Data_Entry!$AO$4:$AZ$38,12,FALSE)</f>
        <v>0</v>
      </c>
    </row>
    <row r="43" spans="1:13" ht="14" x14ac:dyDescent="0.3">
      <c r="B43" s="113"/>
      <c r="C43" s="113"/>
      <c r="D43" s="113"/>
      <c r="E43" s="113"/>
      <c r="F43" s="113"/>
      <c r="G43" s="113"/>
      <c r="H43" s="113"/>
      <c r="I43" s="113"/>
      <c r="J43" s="113"/>
      <c r="K43" s="113"/>
    </row>
    <row r="44" spans="1:13" ht="46" x14ac:dyDescent="0.25">
      <c r="B44" s="114"/>
      <c r="C44" s="115" t="s">
        <v>837</v>
      </c>
      <c r="D44" s="115" t="s">
        <v>855</v>
      </c>
      <c r="E44" s="115" t="s">
        <v>856</v>
      </c>
      <c r="F44" s="115" t="s">
        <v>857</v>
      </c>
      <c r="G44" s="115" t="s">
        <v>858</v>
      </c>
      <c r="H44" s="115" t="s">
        <v>859</v>
      </c>
      <c r="I44" s="115" t="s">
        <v>860</v>
      </c>
      <c r="J44" s="115" t="s">
        <v>861</v>
      </c>
      <c r="K44" s="115" t="s">
        <v>862</v>
      </c>
      <c r="L44" s="116" t="s">
        <v>863</v>
      </c>
      <c r="M44" s="116" t="s">
        <v>864</v>
      </c>
    </row>
    <row r="45" spans="1:13" ht="14" x14ac:dyDescent="0.25">
      <c r="B45" s="117" t="s">
        <v>865</v>
      </c>
      <c r="C45" s="118">
        <f>COUNTIF(C8:C24,"&gt;="&amp;80%)</f>
        <v>0</v>
      </c>
      <c r="D45" s="118">
        <f t="shared" ref="D45:I45" si="0">COUNTIF(D8:D24,"&gt;="&amp;80%)</f>
        <v>1</v>
      </c>
      <c r="E45" s="118">
        <f t="shared" si="0"/>
        <v>1</v>
      </c>
      <c r="F45" s="118">
        <f t="shared" si="0"/>
        <v>12</v>
      </c>
      <c r="G45" s="118">
        <f t="shared" si="0"/>
        <v>1</v>
      </c>
      <c r="H45" s="118">
        <f t="shared" si="0"/>
        <v>6</v>
      </c>
      <c r="I45" s="118">
        <f t="shared" si="0"/>
        <v>6</v>
      </c>
      <c r="J45" s="118">
        <f>COUNTIF(J8:J24,"&gt;="&amp;90%)</f>
        <v>2</v>
      </c>
      <c r="K45" s="118">
        <f>COUNTIF(K8:K24,"&gt;="&amp;100%)</f>
        <v>0</v>
      </c>
      <c r="L45" s="118">
        <f>COUNTIF(L8:L24,"&gt;="&amp;100%)</f>
        <v>0</v>
      </c>
      <c r="M45" s="118">
        <f>COUNTIF(M8:M24,"&gt;="&amp;100%)</f>
        <v>0</v>
      </c>
    </row>
    <row r="46" spans="1:13" ht="14" x14ac:dyDescent="0.25">
      <c r="B46" s="117" t="s">
        <v>866</v>
      </c>
      <c r="C46" s="118">
        <f>COUNTIF(C25:C41,"&gt;="&amp;80%)</f>
        <v>0</v>
      </c>
      <c r="D46" s="118">
        <f t="shared" ref="D46:I46" si="1">COUNTIF(D25:D41,"&gt;="&amp;80%)</f>
        <v>2</v>
      </c>
      <c r="E46" s="118">
        <f t="shared" si="1"/>
        <v>5</v>
      </c>
      <c r="F46" s="118">
        <f t="shared" si="1"/>
        <v>12</v>
      </c>
      <c r="G46" s="118">
        <f t="shared" si="1"/>
        <v>2</v>
      </c>
      <c r="H46" s="118">
        <f t="shared" si="1"/>
        <v>9</v>
      </c>
      <c r="I46" s="118">
        <f t="shared" si="1"/>
        <v>4</v>
      </c>
      <c r="J46" s="118">
        <f>COUNTIF(J25:J41,"&gt;="&amp;90%)</f>
        <v>3</v>
      </c>
      <c r="K46" s="118">
        <f>COUNTIF(K25:K41,"&gt;="&amp;100%)</f>
        <v>0</v>
      </c>
      <c r="L46" s="118">
        <f>COUNTIF(L25:L41,"&gt;="&amp;100%)</f>
        <v>0</v>
      </c>
      <c r="M46" s="118">
        <f>COUNTIF(M25:M41,"&gt;="&amp;100%)</f>
        <v>0</v>
      </c>
    </row>
    <row r="47" spans="1:13" ht="14" x14ac:dyDescent="0.25">
      <c r="B47" s="117" t="s">
        <v>867</v>
      </c>
      <c r="C47" s="119">
        <f>COUNTIF(C8:C41,"&gt;="&amp;80%)</f>
        <v>0</v>
      </c>
      <c r="D47" s="119">
        <f t="shared" ref="D47:I47" si="2">COUNTIF(D8:D41,"&gt;="&amp;80%)</f>
        <v>3</v>
      </c>
      <c r="E47" s="119">
        <f t="shared" si="2"/>
        <v>6</v>
      </c>
      <c r="F47" s="119">
        <f t="shared" si="2"/>
        <v>24</v>
      </c>
      <c r="G47" s="119">
        <f t="shared" si="2"/>
        <v>3</v>
      </c>
      <c r="H47" s="119">
        <f t="shared" si="2"/>
        <v>15</v>
      </c>
      <c r="I47" s="119">
        <f t="shared" si="2"/>
        <v>10</v>
      </c>
      <c r="J47" s="119">
        <f>COUNTIF(J8:J41,"&gt;="&amp;90%)</f>
        <v>5</v>
      </c>
      <c r="K47" s="119">
        <f>COUNTIF(K8:K41,"&gt;="&amp;100%)</f>
        <v>0</v>
      </c>
      <c r="L47" s="119">
        <f>COUNTIF(L8:L41,"&gt;="&amp;100%)</f>
        <v>0</v>
      </c>
      <c r="M47" s="119">
        <f>COUNTIF(M8:M41,"&gt;="&amp;100%)</f>
        <v>0</v>
      </c>
    </row>
    <row r="48" spans="1:13" ht="14" x14ac:dyDescent="0.25">
      <c r="B48" s="117" t="s">
        <v>868</v>
      </c>
      <c r="C48" s="120">
        <f>C47/34</f>
        <v>0</v>
      </c>
      <c r="D48" s="120">
        <f t="shared" ref="D48:M48" si="3">D47/34</f>
        <v>8.8235294117647065E-2</v>
      </c>
      <c r="E48" s="120">
        <f t="shared" si="3"/>
        <v>0.17647058823529413</v>
      </c>
      <c r="F48" s="120">
        <f t="shared" si="3"/>
        <v>0.70588235294117652</v>
      </c>
      <c r="G48" s="120">
        <f t="shared" si="3"/>
        <v>8.8235294117647065E-2</v>
      </c>
      <c r="H48" s="120">
        <f t="shared" si="3"/>
        <v>0.44117647058823528</v>
      </c>
      <c r="I48" s="120">
        <f t="shared" si="3"/>
        <v>0.29411764705882354</v>
      </c>
      <c r="J48" s="120">
        <f t="shared" si="3"/>
        <v>0.14705882352941177</v>
      </c>
      <c r="K48" s="120">
        <f t="shared" si="3"/>
        <v>0</v>
      </c>
      <c r="L48" s="120">
        <f t="shared" si="3"/>
        <v>0</v>
      </c>
      <c r="M48" s="120">
        <f t="shared" si="3"/>
        <v>0</v>
      </c>
    </row>
    <row r="49" spans="1:14" ht="14" x14ac:dyDescent="0.25">
      <c r="B49" s="117" t="s">
        <v>869</v>
      </c>
      <c r="C49" s="121">
        <f>COUNTIF(C8:C41,"="&amp;0%)</f>
        <v>34</v>
      </c>
      <c r="D49" s="121">
        <f t="shared" ref="D49:I49" si="4">COUNTIF(D8:D41,"="&amp;0%)</f>
        <v>6</v>
      </c>
      <c r="E49" s="121">
        <f t="shared" si="4"/>
        <v>11</v>
      </c>
      <c r="F49" s="121">
        <f t="shared" si="4"/>
        <v>9</v>
      </c>
      <c r="G49" s="121">
        <f t="shared" si="4"/>
        <v>11</v>
      </c>
      <c r="H49" s="121">
        <f t="shared" si="4"/>
        <v>14</v>
      </c>
      <c r="I49" s="121">
        <f t="shared" si="4"/>
        <v>10</v>
      </c>
      <c r="J49" s="121">
        <f>COUNTIF(J8:J41,"="&amp;0%)</f>
        <v>11</v>
      </c>
      <c r="K49" s="121">
        <f>COUNTIF(K8:K41,"="&amp;0%)</f>
        <v>34</v>
      </c>
      <c r="L49" s="121">
        <f>COUNTIF(L8:L41,"="&amp;0%)</f>
        <v>34</v>
      </c>
      <c r="M49" s="121">
        <f>COUNTIF(M8:M41,"="&amp;0%)</f>
        <v>6</v>
      </c>
    </row>
    <row r="52" spans="1:14" x14ac:dyDescent="0.25">
      <c r="A52" s="122" t="s">
        <v>738</v>
      </c>
      <c r="B52" s="123" t="s">
        <v>4</v>
      </c>
      <c r="C52" s="123" t="s">
        <v>824</v>
      </c>
      <c r="D52" s="123" t="s">
        <v>825</v>
      </c>
      <c r="E52" s="123" t="s">
        <v>826</v>
      </c>
      <c r="F52" s="123" t="s">
        <v>827</v>
      </c>
      <c r="G52" s="123" t="s">
        <v>828</v>
      </c>
      <c r="H52" s="123" t="s">
        <v>829</v>
      </c>
      <c r="I52" s="123" t="s">
        <v>830</v>
      </c>
      <c r="J52" s="123" t="s">
        <v>831</v>
      </c>
      <c r="K52" s="123" t="s">
        <v>832</v>
      </c>
      <c r="L52" s="123" t="s">
        <v>833</v>
      </c>
      <c r="M52" s="123" t="s">
        <v>834</v>
      </c>
      <c r="N52" s="123" t="s">
        <v>835</v>
      </c>
    </row>
    <row r="53" spans="1:14" ht="14" hidden="1" x14ac:dyDescent="0.3">
      <c r="A53" s="292" t="s">
        <v>739</v>
      </c>
      <c r="B53" s="107" t="s">
        <v>884</v>
      </c>
      <c r="C53" s="108">
        <v>0.63655388471177943</v>
      </c>
      <c r="D53" s="108">
        <v>0.59023809523809523</v>
      </c>
      <c r="E53" s="108">
        <v>0.42306547619047624</v>
      </c>
      <c r="F53" s="108">
        <v>0.72734432234432234</v>
      </c>
      <c r="G53" s="108">
        <v>0.62095238095238092</v>
      </c>
      <c r="H53" s="108">
        <v>0.68452380952380953</v>
      </c>
      <c r="I53" s="108">
        <v>0.49534798534798535</v>
      </c>
      <c r="J53" s="108">
        <v>0.46642857142857147</v>
      </c>
      <c r="K53" s="108">
        <v>0.52547619047619043</v>
      </c>
      <c r="L53" s="124"/>
    </row>
    <row r="54" spans="1:14" ht="14" hidden="1" x14ac:dyDescent="0.3">
      <c r="A54" s="292"/>
      <c r="B54" s="107" t="s">
        <v>885</v>
      </c>
      <c r="C54" s="108">
        <v>0.40568181818181814</v>
      </c>
      <c r="D54" s="108">
        <v>0.20454545454545456</v>
      </c>
      <c r="E54" s="108">
        <v>0</v>
      </c>
      <c r="F54" s="108">
        <v>0.5</v>
      </c>
      <c r="G54" s="108">
        <v>0.55465367965367962</v>
      </c>
      <c r="H54" s="108">
        <v>0.8779220779220781</v>
      </c>
      <c r="I54" s="108">
        <v>0.63538961038961039</v>
      </c>
      <c r="J54" s="108">
        <v>0.5926136363636364</v>
      </c>
      <c r="K54" s="108">
        <v>0.44345433977786913</v>
      </c>
      <c r="L54" s="124"/>
    </row>
    <row r="55" spans="1:14" ht="14" hidden="1" x14ac:dyDescent="0.3">
      <c r="A55" s="292"/>
      <c r="B55" s="107" t="s">
        <v>886</v>
      </c>
      <c r="C55" s="108">
        <v>0.45125000000000004</v>
      </c>
      <c r="D55" s="108">
        <v>0.45750000000000002</v>
      </c>
      <c r="E55" s="108">
        <v>0.3125</v>
      </c>
      <c r="F55" s="108">
        <v>0.40625</v>
      </c>
      <c r="G55" s="108">
        <v>0.5497727272727273</v>
      </c>
      <c r="H55" s="108">
        <v>0.58125000000000004</v>
      </c>
      <c r="I55" s="108">
        <v>0.46250000000000008</v>
      </c>
      <c r="J55" s="108">
        <v>0.30624999999999997</v>
      </c>
      <c r="K55" s="108">
        <v>0.49187500000000006</v>
      </c>
      <c r="L55" s="124"/>
    </row>
    <row r="56" spans="1:14" ht="14" hidden="1" x14ac:dyDescent="0.3">
      <c r="A56" s="292"/>
      <c r="B56" s="107" t="s">
        <v>739</v>
      </c>
      <c r="C56" s="108">
        <v>0.41708333333333336</v>
      </c>
      <c r="D56" s="108">
        <v>0.44663461538461541</v>
      </c>
      <c r="E56" s="108">
        <v>0.46875</v>
      </c>
      <c r="F56" s="108">
        <v>0.5</v>
      </c>
      <c r="G56" s="108">
        <v>0.35089285714285717</v>
      </c>
      <c r="H56" s="108">
        <v>0.58894230769230771</v>
      </c>
      <c r="I56" s="108">
        <v>0.66511363636363641</v>
      </c>
      <c r="J56" s="108">
        <v>0.72831730769230774</v>
      </c>
      <c r="K56" s="108">
        <v>0.32720588235294112</v>
      </c>
      <c r="L56" s="124"/>
    </row>
    <row r="57" spans="1:14" ht="14" hidden="1" x14ac:dyDescent="0.3">
      <c r="A57" s="292"/>
      <c r="B57" s="107" t="s">
        <v>887</v>
      </c>
      <c r="C57" s="108">
        <v>0</v>
      </c>
      <c r="D57" s="108">
        <v>0.2</v>
      </c>
      <c r="E57" s="108">
        <v>0</v>
      </c>
      <c r="F57" s="108">
        <v>0.5</v>
      </c>
      <c r="G57" s="108">
        <v>0.46292929292929291</v>
      </c>
      <c r="H57" s="108">
        <v>0.78531746031746041</v>
      </c>
      <c r="I57" s="108">
        <v>0.64722222222222225</v>
      </c>
      <c r="J57" s="108">
        <v>0.64238095238095239</v>
      </c>
      <c r="K57" s="108">
        <v>0.68790849673202625</v>
      </c>
      <c r="L57" s="124"/>
    </row>
    <row r="58" spans="1:14" ht="14" hidden="1" x14ac:dyDescent="0.3">
      <c r="A58" s="292"/>
      <c r="B58" s="107" t="s">
        <v>888</v>
      </c>
      <c r="C58" s="108">
        <v>5.7142857142857148E-2</v>
      </c>
      <c r="D58" s="108">
        <v>0</v>
      </c>
      <c r="E58" s="108">
        <v>0</v>
      </c>
      <c r="F58" s="108">
        <v>0</v>
      </c>
      <c r="G58" s="108">
        <v>0</v>
      </c>
      <c r="H58" s="108">
        <v>0.45821428571428574</v>
      </c>
      <c r="I58" s="108">
        <v>0</v>
      </c>
      <c r="J58" s="108">
        <v>0</v>
      </c>
      <c r="K58" s="108">
        <v>0.63214285714285712</v>
      </c>
      <c r="L58" s="124"/>
    </row>
    <row r="59" spans="1:14" ht="14" hidden="1" x14ac:dyDescent="0.3">
      <c r="A59" s="292"/>
      <c r="B59" s="107" t="s">
        <v>889</v>
      </c>
      <c r="C59" s="108">
        <v>0.62032894736842115</v>
      </c>
      <c r="D59" s="108">
        <v>0.57029411764705884</v>
      </c>
      <c r="E59" s="108">
        <v>0.36590909090909096</v>
      </c>
      <c r="F59" s="108">
        <v>0.43500000000000005</v>
      </c>
      <c r="G59" s="108">
        <v>0.64750000000000008</v>
      </c>
      <c r="H59" s="108">
        <v>0.76777777777777778</v>
      </c>
      <c r="I59" s="108">
        <v>0.73480769230769227</v>
      </c>
      <c r="J59" s="108">
        <v>0.59352272727272737</v>
      </c>
      <c r="K59" s="108">
        <v>0.52352941176470591</v>
      </c>
      <c r="L59" s="124"/>
    </row>
    <row r="60" spans="1:14" ht="14" hidden="1" x14ac:dyDescent="0.3">
      <c r="A60" s="292"/>
      <c r="B60" s="107" t="s">
        <v>890</v>
      </c>
      <c r="C60" s="108">
        <v>0.46940885201754767</v>
      </c>
      <c r="D60" s="108">
        <v>0.50461261850277872</v>
      </c>
      <c r="E60" s="108">
        <v>0</v>
      </c>
      <c r="F60" s="108">
        <v>0.2</v>
      </c>
      <c r="G60" s="108">
        <v>0.47938405797101452</v>
      </c>
      <c r="H60" s="108">
        <v>0.64480560200668902</v>
      </c>
      <c r="I60" s="108">
        <v>0.39239130434782615</v>
      </c>
      <c r="J60" s="108">
        <v>0.3974749163879599</v>
      </c>
      <c r="K60" s="108">
        <v>0</v>
      </c>
      <c r="L60" s="124"/>
    </row>
    <row r="61" spans="1:14" ht="14" hidden="1" x14ac:dyDescent="0.3">
      <c r="A61" s="292"/>
      <c r="B61" s="107" t="s">
        <v>891</v>
      </c>
      <c r="C61" s="108">
        <v>0.55082815734989643</v>
      </c>
      <c r="D61" s="108">
        <v>0.52783461210571181</v>
      </c>
      <c r="E61" s="108">
        <v>0.32847826086956522</v>
      </c>
      <c r="F61" s="108">
        <v>0.496371237458194</v>
      </c>
      <c r="G61" s="108">
        <v>0.67203631608665937</v>
      </c>
      <c r="H61" s="108">
        <v>0.78674403399803861</v>
      </c>
      <c r="I61" s="108">
        <v>0.71352657004830922</v>
      </c>
      <c r="J61" s="108">
        <v>0.66596241922328892</v>
      </c>
      <c r="K61" s="108">
        <v>0.64278812974465149</v>
      </c>
      <c r="L61" s="124"/>
    </row>
    <row r="62" spans="1:14" ht="14" hidden="1" x14ac:dyDescent="0.3">
      <c r="A62" s="292"/>
      <c r="B62" s="107" t="s">
        <v>892</v>
      </c>
      <c r="C62" s="108">
        <v>0.50763125763125772</v>
      </c>
      <c r="D62" s="108">
        <v>0.41190476190476194</v>
      </c>
      <c r="E62" s="108">
        <v>0.30952380952380948</v>
      </c>
      <c r="F62" s="108">
        <v>0.38928571428571429</v>
      </c>
      <c r="G62" s="108">
        <v>0.51349206349206344</v>
      </c>
      <c r="H62" s="108">
        <v>0.73952380952380958</v>
      </c>
      <c r="I62" s="108">
        <v>0.50261904761904763</v>
      </c>
      <c r="J62" s="108">
        <v>0.46309523809523806</v>
      </c>
      <c r="K62" s="108">
        <v>0.26610644257703081</v>
      </c>
      <c r="L62" s="124"/>
    </row>
    <row r="63" spans="1:14" ht="14" hidden="1" x14ac:dyDescent="0.3">
      <c r="A63" s="292"/>
      <c r="B63" s="107" t="s">
        <v>893</v>
      </c>
      <c r="C63" s="108">
        <v>0</v>
      </c>
      <c r="D63" s="108">
        <v>0.2</v>
      </c>
      <c r="E63" s="108">
        <v>0</v>
      </c>
      <c r="F63" s="108">
        <v>0</v>
      </c>
      <c r="G63" s="108">
        <v>0.57589285714285721</v>
      </c>
      <c r="H63" s="108">
        <v>0.64583333333333326</v>
      </c>
      <c r="I63" s="108">
        <v>0.47960858585858579</v>
      </c>
      <c r="J63" s="108">
        <v>0.34791666666666665</v>
      </c>
      <c r="K63" s="108">
        <v>0.30312499999999998</v>
      </c>
      <c r="L63" s="124"/>
    </row>
    <row r="64" spans="1:14" ht="14" hidden="1" x14ac:dyDescent="0.3">
      <c r="A64" s="292"/>
      <c r="B64" s="107" t="s">
        <v>894</v>
      </c>
      <c r="C64" s="108">
        <v>0.52</v>
      </c>
      <c r="D64" s="108">
        <v>0.60708333333333331</v>
      </c>
      <c r="E64" s="108">
        <v>0.39250000000000002</v>
      </c>
      <c r="F64" s="108">
        <v>0.67732142857142852</v>
      </c>
      <c r="G64" s="108">
        <v>0.73863636363636365</v>
      </c>
      <c r="H64" s="108">
        <v>0.72750000000000015</v>
      </c>
      <c r="I64" s="108">
        <v>0.55928571428571427</v>
      </c>
      <c r="J64" s="108">
        <v>0.51166666666666671</v>
      </c>
      <c r="K64" s="108">
        <v>0.73000000000000009</v>
      </c>
      <c r="L64" s="124"/>
    </row>
    <row r="65" spans="1:12" ht="14" hidden="1" x14ac:dyDescent="0.3">
      <c r="A65" s="292"/>
      <c r="B65" s="107" t="s">
        <v>895</v>
      </c>
      <c r="C65" s="108">
        <v>0.44184523809523812</v>
      </c>
      <c r="D65" s="108">
        <v>0.25041666666666668</v>
      </c>
      <c r="E65" s="108">
        <v>0.27375000000000005</v>
      </c>
      <c r="F65" s="108">
        <v>0.59464285714285703</v>
      </c>
      <c r="G65" s="108">
        <v>0.70041666666666658</v>
      </c>
      <c r="H65" s="108">
        <v>0.61041666666666661</v>
      </c>
      <c r="I65" s="108">
        <v>0.59821428571428559</v>
      </c>
      <c r="J65" s="108">
        <v>0.72174369747899181</v>
      </c>
      <c r="K65" s="108">
        <v>0.39918300653594768</v>
      </c>
      <c r="L65" s="124"/>
    </row>
    <row r="66" spans="1:12" ht="14" hidden="1" x14ac:dyDescent="0.3">
      <c r="A66" s="292"/>
      <c r="B66" s="107" t="s">
        <v>896</v>
      </c>
      <c r="C66" s="108">
        <v>0.45611111111111113</v>
      </c>
      <c r="D66" s="108">
        <v>0.47714285714285715</v>
      </c>
      <c r="E66" s="108">
        <v>0.185</v>
      </c>
      <c r="F66" s="108">
        <v>0.53166666666666662</v>
      </c>
      <c r="G66" s="108">
        <v>0.61935897435897436</v>
      </c>
      <c r="H66" s="108">
        <v>0.73583333333333345</v>
      </c>
      <c r="I66" s="108">
        <v>0.56846153846153846</v>
      </c>
      <c r="J66" s="108">
        <v>0.55200980392156873</v>
      </c>
      <c r="K66" s="108">
        <v>4.7058823529411764E-2</v>
      </c>
      <c r="L66" s="124"/>
    </row>
    <row r="67" spans="1:12" ht="14" hidden="1" x14ac:dyDescent="0.3">
      <c r="A67" s="292"/>
      <c r="B67" s="107" t="s">
        <v>897</v>
      </c>
      <c r="C67" s="108">
        <v>0.22653846153846158</v>
      </c>
      <c r="D67" s="108">
        <v>0.40590909090909089</v>
      </c>
      <c r="E67" s="108">
        <v>0.26875000000000004</v>
      </c>
      <c r="F67" s="108">
        <v>0.37333333333333335</v>
      </c>
      <c r="G67" s="108">
        <v>0.43178571428571433</v>
      </c>
      <c r="H67" s="108">
        <v>0.62785714285714289</v>
      </c>
      <c r="I67" s="108">
        <v>0.56500000000000006</v>
      </c>
      <c r="J67" s="108">
        <v>0.45068181818181824</v>
      </c>
      <c r="K67" s="108">
        <v>0.36142857142857143</v>
      </c>
      <c r="L67" s="124"/>
    </row>
    <row r="68" spans="1:12" ht="14" hidden="1" x14ac:dyDescent="0.3">
      <c r="A68" s="292"/>
      <c r="B68" s="107" t="s">
        <v>898</v>
      </c>
      <c r="C68" s="108">
        <v>0</v>
      </c>
      <c r="D68" s="108">
        <v>0.2</v>
      </c>
      <c r="E68" s="108">
        <v>0</v>
      </c>
      <c r="F68" s="108">
        <v>0</v>
      </c>
      <c r="G68" s="108">
        <v>0.48703703703703705</v>
      </c>
      <c r="H68" s="108">
        <v>0.55851851851851853</v>
      </c>
      <c r="I68" s="108">
        <v>0.45555555555555555</v>
      </c>
      <c r="J68" s="108">
        <v>0.25972222222222224</v>
      </c>
      <c r="K68" s="108">
        <v>0.16013071895424838</v>
      </c>
      <c r="L68" s="124"/>
    </row>
    <row r="69" spans="1:12" ht="14.5" hidden="1" thickBot="1" x14ac:dyDescent="0.35">
      <c r="A69" s="293"/>
      <c r="B69" s="109" t="s">
        <v>899</v>
      </c>
      <c r="C69" s="110">
        <v>0.62307692307692297</v>
      </c>
      <c r="D69" s="110">
        <v>0.51162587412587412</v>
      </c>
      <c r="E69" s="110">
        <v>0.43814102564102564</v>
      </c>
      <c r="F69" s="110">
        <v>0.3397435897435897</v>
      </c>
      <c r="G69" s="110">
        <v>0.63862179487179493</v>
      </c>
      <c r="H69" s="110">
        <v>0.64597902097902093</v>
      </c>
      <c r="I69" s="110">
        <v>0.82147435897435905</v>
      </c>
      <c r="J69" s="110">
        <v>0.60209790209790215</v>
      </c>
      <c r="K69" s="110">
        <v>0.60294117647058831</v>
      </c>
      <c r="L69" s="124"/>
    </row>
    <row r="70" spans="1:12" ht="14" x14ac:dyDescent="0.3">
      <c r="A70" s="294" t="s">
        <v>740</v>
      </c>
      <c r="B70" s="111" t="s">
        <v>900</v>
      </c>
      <c r="C70" s="112">
        <v>0.72552447552447563</v>
      </c>
      <c r="D70" s="112">
        <v>0.79825174825174827</v>
      </c>
      <c r="E70" s="112">
        <v>0.80734265734265742</v>
      </c>
      <c r="F70" s="112">
        <v>0.76188811188811201</v>
      </c>
      <c r="G70" s="112">
        <v>0.80897435897435899</v>
      </c>
      <c r="H70" s="112">
        <v>0.85480769230769238</v>
      </c>
      <c r="I70" s="112">
        <v>0.73814102564102568</v>
      </c>
      <c r="J70" s="112">
        <v>0</v>
      </c>
      <c r="K70" s="112">
        <v>0.89230769230769236</v>
      </c>
      <c r="L70" s="124"/>
    </row>
    <row r="71" spans="1:12" ht="14" x14ac:dyDescent="0.3">
      <c r="A71" s="292"/>
      <c r="B71" s="107" t="s">
        <v>901</v>
      </c>
      <c r="C71" s="108">
        <v>0</v>
      </c>
      <c r="D71" s="108">
        <v>0</v>
      </c>
      <c r="E71" s="108">
        <v>0</v>
      </c>
      <c r="F71" s="108">
        <v>0.16428571428571428</v>
      </c>
      <c r="G71" s="108">
        <v>0.54126984126984135</v>
      </c>
      <c r="H71" s="108">
        <v>0.8365476190476191</v>
      </c>
      <c r="I71" s="108">
        <v>0.65779220779220782</v>
      </c>
      <c r="J71" s="108">
        <v>0.76801948051948055</v>
      </c>
      <c r="K71" s="108">
        <v>0.68767507002801109</v>
      </c>
      <c r="L71" s="124"/>
    </row>
    <row r="72" spans="1:12" ht="14" x14ac:dyDescent="0.3">
      <c r="A72" s="292"/>
      <c r="B72" s="107" t="s">
        <v>902</v>
      </c>
      <c r="C72" s="108">
        <v>0.47142857142857142</v>
      </c>
      <c r="D72" s="108">
        <v>0.50119047619047619</v>
      </c>
      <c r="E72" s="108">
        <v>0.4322802197802198</v>
      </c>
      <c r="F72" s="108">
        <v>0.70476190476190481</v>
      </c>
      <c r="G72" s="108">
        <v>0.49780219780219781</v>
      </c>
      <c r="H72" s="108">
        <v>0.67428571428571427</v>
      </c>
      <c r="I72" s="108">
        <v>0.68928571428571428</v>
      </c>
      <c r="J72" s="108">
        <v>0.3928571428571429</v>
      </c>
      <c r="K72" s="108">
        <v>0.48928571428571427</v>
      </c>
      <c r="L72" s="124"/>
    </row>
    <row r="73" spans="1:12" ht="14" x14ac:dyDescent="0.3">
      <c r="A73" s="292"/>
      <c r="B73" s="107" t="s">
        <v>740</v>
      </c>
      <c r="C73" s="108">
        <v>0.67500000000000016</v>
      </c>
      <c r="D73" s="108">
        <v>0.67272727272727284</v>
      </c>
      <c r="E73" s="108">
        <v>0.59000000000000008</v>
      </c>
      <c r="F73" s="108">
        <v>0.47714285714285704</v>
      </c>
      <c r="G73" s="108">
        <v>0.53863636363636369</v>
      </c>
      <c r="H73" s="108">
        <v>0.64545454545454561</v>
      </c>
      <c r="I73" s="108">
        <v>0.59818181818181826</v>
      </c>
      <c r="J73" s="108">
        <v>0.62941176470588245</v>
      </c>
      <c r="K73" s="108">
        <v>0.53529411764705881</v>
      </c>
      <c r="L73" s="124"/>
    </row>
    <row r="74" spans="1:12" ht="14" x14ac:dyDescent="0.3">
      <c r="A74" s="292"/>
      <c r="B74" s="107" t="s">
        <v>903</v>
      </c>
      <c r="C74" s="108">
        <v>0.45333333333333331</v>
      </c>
      <c r="D74" s="108">
        <v>0</v>
      </c>
      <c r="E74" s="108">
        <v>0.80333333333333345</v>
      </c>
      <c r="F74" s="108">
        <v>0</v>
      </c>
      <c r="G74" s="108">
        <v>0</v>
      </c>
      <c r="H74" s="108">
        <v>3.1666666666666669E-2</v>
      </c>
      <c r="I74" s="108">
        <v>0.49595238095238098</v>
      </c>
      <c r="J74" s="108">
        <v>0.33529411764705885</v>
      </c>
      <c r="K74" s="108">
        <v>0</v>
      </c>
      <c r="L74" s="124"/>
    </row>
    <row r="75" spans="1:12" ht="14" x14ac:dyDescent="0.3">
      <c r="A75" s="292"/>
      <c r="B75" s="107" t="s">
        <v>904</v>
      </c>
      <c r="C75" s="108">
        <v>0.55894736842105264</v>
      </c>
      <c r="D75" s="108">
        <v>0.74880382775119614</v>
      </c>
      <c r="E75" s="108">
        <v>0.60631578947368425</v>
      </c>
      <c r="F75" s="108">
        <v>0.45526315789473681</v>
      </c>
      <c r="G75" s="108">
        <v>0.59681174089068822</v>
      </c>
      <c r="H75" s="108">
        <v>0.83399122807017556</v>
      </c>
      <c r="I75" s="108">
        <v>0.76925837320574153</v>
      </c>
      <c r="J75" s="108">
        <v>0.64290271132376398</v>
      </c>
      <c r="K75" s="108">
        <v>0.66563467492260076</v>
      </c>
      <c r="L75" s="124"/>
    </row>
    <row r="76" spans="1:12" ht="14" x14ac:dyDescent="0.3">
      <c r="A76" s="292"/>
      <c r="B76" s="107" t="s">
        <v>905</v>
      </c>
      <c r="C76" s="108">
        <v>0.34523809523809523</v>
      </c>
      <c r="D76" s="108">
        <v>0</v>
      </c>
      <c r="E76" s="108">
        <v>0.23095238095238096</v>
      </c>
      <c r="F76" s="108">
        <v>0.46041666666666664</v>
      </c>
      <c r="G76" s="108">
        <v>0</v>
      </c>
      <c r="H76" s="108">
        <v>0.66892230576441114</v>
      </c>
      <c r="I76" s="108">
        <v>0.27023809523809522</v>
      </c>
      <c r="J76" s="108">
        <v>0.42487468671679196</v>
      </c>
      <c r="K76" s="108">
        <v>0.38489010989010991</v>
      </c>
      <c r="L76" s="124"/>
    </row>
    <row r="77" spans="1:12" ht="14" x14ac:dyDescent="0.3">
      <c r="A77" s="292"/>
      <c r="B77" s="107" t="s">
        <v>906</v>
      </c>
      <c r="C77" s="108">
        <v>0.4505952380952381</v>
      </c>
      <c r="D77" s="108">
        <v>0.30037878787878786</v>
      </c>
      <c r="E77" s="108">
        <v>0.27916666666666667</v>
      </c>
      <c r="F77" s="108">
        <v>0.27916666666666667</v>
      </c>
      <c r="G77" s="108">
        <v>0.40416666666666667</v>
      </c>
      <c r="H77" s="108">
        <v>0.36833333333333335</v>
      </c>
      <c r="I77" s="108">
        <v>0.56401515151515147</v>
      </c>
      <c r="J77" s="108">
        <v>0.65312500000000018</v>
      </c>
      <c r="K77" s="108">
        <v>0.53000730994152045</v>
      </c>
      <c r="L77" s="124"/>
    </row>
    <row r="78" spans="1:12" ht="14" x14ac:dyDescent="0.3">
      <c r="A78" s="292"/>
      <c r="B78" s="107" t="s">
        <v>907</v>
      </c>
      <c r="C78" s="108">
        <v>0</v>
      </c>
      <c r="D78" s="108">
        <v>0.50526315789473686</v>
      </c>
      <c r="E78" s="108">
        <v>0.25526315789473686</v>
      </c>
      <c r="F78" s="108">
        <v>0</v>
      </c>
      <c r="G78" s="108">
        <v>0.6210526315789473</v>
      </c>
      <c r="H78" s="108">
        <v>0.42653508771929827</v>
      </c>
      <c r="I78" s="108">
        <v>0.73568409145034519</v>
      </c>
      <c r="J78" s="108">
        <v>0.70199248120300761</v>
      </c>
      <c r="K78" s="108">
        <v>0.41697368421052627</v>
      </c>
      <c r="L78" s="124"/>
    </row>
    <row r="79" spans="1:12" ht="14" x14ac:dyDescent="0.3">
      <c r="A79" s="292"/>
      <c r="B79" s="107" t="s">
        <v>908</v>
      </c>
      <c r="C79" s="108">
        <v>0.30790322580645163</v>
      </c>
      <c r="D79" s="108">
        <v>0</v>
      </c>
      <c r="E79" s="108">
        <v>0.45322580645161287</v>
      </c>
      <c r="F79" s="108">
        <v>0.30967741935483867</v>
      </c>
      <c r="G79" s="108">
        <v>0.13145161290322582</v>
      </c>
      <c r="H79" s="108">
        <v>0.65158846529814274</v>
      </c>
      <c r="I79" s="108">
        <v>0.40322580645161293</v>
      </c>
      <c r="J79" s="108">
        <v>0.1821631878557875</v>
      </c>
      <c r="K79" s="108">
        <v>0.1821631878557875</v>
      </c>
      <c r="L79" s="124"/>
    </row>
    <row r="80" spans="1:12" ht="14" x14ac:dyDescent="0.3">
      <c r="A80" s="292"/>
      <c r="B80" s="107" t="s">
        <v>909</v>
      </c>
      <c r="C80" s="108">
        <v>0.30769230769230765</v>
      </c>
      <c r="D80" s="108">
        <v>0.16153846153846155</v>
      </c>
      <c r="E80" s="108">
        <v>0.25923076923076926</v>
      </c>
      <c r="F80" s="108">
        <v>0.30769230769230765</v>
      </c>
      <c r="G80" s="108">
        <v>0.50454545454545452</v>
      </c>
      <c r="H80" s="108">
        <v>0.48461538461538456</v>
      </c>
      <c r="I80" s="108">
        <v>0.40923076923076929</v>
      </c>
      <c r="J80" s="108">
        <v>0.54807692307692313</v>
      </c>
      <c r="K80" s="108">
        <v>0</v>
      </c>
      <c r="L80" s="124"/>
    </row>
    <row r="81" spans="1:12" ht="14" x14ac:dyDescent="0.3">
      <c r="A81" s="292"/>
      <c r="B81" s="107" t="s">
        <v>910</v>
      </c>
      <c r="C81" s="108">
        <v>0.44871428571428573</v>
      </c>
      <c r="D81" s="108">
        <v>0.46307575757575764</v>
      </c>
      <c r="E81" s="108">
        <v>0.49722115384615384</v>
      </c>
      <c r="F81" s="108">
        <v>0.56088888888888888</v>
      </c>
      <c r="G81" s="108">
        <v>0.48512280701754379</v>
      </c>
      <c r="H81" s="108">
        <v>0.53125</v>
      </c>
      <c r="I81" s="108">
        <v>0.59083333333333321</v>
      </c>
      <c r="J81" s="108">
        <v>0.5590357142857143</v>
      </c>
      <c r="K81" s="108">
        <v>0.60411111111111115</v>
      </c>
      <c r="L81" s="124"/>
    </row>
    <row r="82" spans="1:12" ht="14" x14ac:dyDescent="0.3">
      <c r="A82" s="292"/>
      <c r="B82" s="107" t="s">
        <v>911</v>
      </c>
      <c r="C82" s="108">
        <v>0.71558441558441555</v>
      </c>
      <c r="D82" s="108">
        <v>0.72077922077922096</v>
      </c>
      <c r="E82" s="108">
        <v>0</v>
      </c>
      <c r="F82" s="108">
        <v>0</v>
      </c>
      <c r="G82" s="108">
        <v>0.82077922077922083</v>
      </c>
      <c r="H82" s="108">
        <v>0.83731060606060603</v>
      </c>
      <c r="I82" s="108">
        <v>0.72792207792207786</v>
      </c>
      <c r="J82" s="108">
        <v>0.73831168831168836</v>
      </c>
      <c r="K82" s="108">
        <v>0.70855614973262049</v>
      </c>
      <c r="L82" s="124"/>
    </row>
    <row r="83" spans="1:12" ht="14" x14ac:dyDescent="0.3">
      <c r="A83" s="292"/>
      <c r="B83" s="107" t="s">
        <v>912</v>
      </c>
      <c r="C83" s="108">
        <v>0.38552631578947366</v>
      </c>
      <c r="D83" s="108">
        <v>0.37514619883040934</v>
      </c>
      <c r="E83" s="108">
        <v>0.45855263157894743</v>
      </c>
      <c r="F83" s="108">
        <v>0.33355263157894738</v>
      </c>
      <c r="G83" s="108">
        <v>0.33824561403508774</v>
      </c>
      <c r="H83" s="108">
        <v>0.48763157894736847</v>
      </c>
      <c r="I83" s="108">
        <v>0.51006191950464397</v>
      </c>
      <c r="J83" s="108">
        <v>0.53631578947368419</v>
      </c>
      <c r="K83" s="108">
        <v>0.48923245614035082</v>
      </c>
      <c r="L83" s="124"/>
    </row>
    <row r="84" spans="1:12" ht="14" x14ac:dyDescent="0.3">
      <c r="A84" s="292"/>
      <c r="B84" s="107" t="s">
        <v>913</v>
      </c>
      <c r="C84" s="108">
        <v>0.27500000000000002</v>
      </c>
      <c r="D84" s="108">
        <v>0.54511363636363641</v>
      </c>
      <c r="E84" s="108">
        <v>0.55208333333333337</v>
      </c>
      <c r="F84" s="108">
        <v>0</v>
      </c>
      <c r="G84" s="108">
        <v>0.71845238095238095</v>
      </c>
      <c r="H84" s="108">
        <v>0.83854166666666663</v>
      </c>
      <c r="I84" s="108">
        <v>0.7008522727272728</v>
      </c>
      <c r="J84" s="108">
        <v>0.75909090909090904</v>
      </c>
      <c r="K84" s="108">
        <v>0.63715277777777779</v>
      </c>
      <c r="L84" s="124"/>
    </row>
    <row r="85" spans="1:12" ht="14" x14ac:dyDescent="0.3">
      <c r="A85" s="292"/>
      <c r="B85" s="107" t="s">
        <v>914</v>
      </c>
      <c r="C85" s="108">
        <v>0</v>
      </c>
      <c r="D85" s="108">
        <v>0.1</v>
      </c>
      <c r="E85" s="108">
        <v>0</v>
      </c>
      <c r="F85" s="108">
        <v>0.16428571428571428</v>
      </c>
      <c r="G85" s="108">
        <v>0.49690476190476196</v>
      </c>
      <c r="H85" s="108">
        <v>0.63306547619047615</v>
      </c>
      <c r="I85" s="108">
        <v>0.52869047619047627</v>
      </c>
      <c r="J85" s="108">
        <v>0.5705627705627706</v>
      </c>
      <c r="K85" s="108">
        <v>0.7238095238095239</v>
      </c>
      <c r="L85" s="124"/>
    </row>
    <row r="86" spans="1:12" ht="14" x14ac:dyDescent="0.3">
      <c r="A86" s="292"/>
      <c r="B86" s="107" t="s">
        <v>915</v>
      </c>
      <c r="C86" s="108">
        <v>0.2361111111111111</v>
      </c>
      <c r="D86" s="108">
        <v>0</v>
      </c>
      <c r="E86" s="108">
        <v>0</v>
      </c>
      <c r="F86" s="108">
        <v>0.76428571428571435</v>
      </c>
      <c r="G86" s="108">
        <v>0.58311965811965805</v>
      </c>
      <c r="H86" s="108">
        <v>0.30555555555555552</v>
      </c>
      <c r="I86" s="108">
        <v>0.7396650326797386</v>
      </c>
      <c r="J86" s="108">
        <v>0.69791666666666685</v>
      </c>
      <c r="K86" s="108">
        <v>0.66666666666666674</v>
      </c>
      <c r="L86" s="124"/>
    </row>
    <row r="89" spans="1:12" ht="57.5" x14ac:dyDescent="0.25">
      <c r="B89" s="190" t="s">
        <v>870</v>
      </c>
      <c r="C89" s="191" t="s">
        <v>837</v>
      </c>
      <c r="D89" s="191" t="s">
        <v>871</v>
      </c>
      <c r="E89" s="191" t="s">
        <v>872</v>
      </c>
      <c r="F89" s="191" t="s">
        <v>873</v>
      </c>
      <c r="G89" s="191" t="s">
        <v>874</v>
      </c>
      <c r="H89" s="191" t="s">
        <v>875</v>
      </c>
      <c r="I89" s="191" t="s">
        <v>876</v>
      </c>
      <c r="J89" s="191" t="s">
        <v>877</v>
      </c>
      <c r="K89" s="192" t="s">
        <v>878</v>
      </c>
    </row>
    <row r="90" spans="1:12" ht="14" x14ac:dyDescent="0.3">
      <c r="B90" s="193" t="s">
        <v>824</v>
      </c>
      <c r="C90" s="194">
        <v>0.38235294117647056</v>
      </c>
      <c r="D90" s="194">
        <v>0.39721792890262753</v>
      </c>
      <c r="E90" s="194">
        <v>0.61428571428571432</v>
      </c>
      <c r="F90" s="194">
        <v>0.29182879377431908</v>
      </c>
      <c r="G90" s="194">
        <v>0.95132743362831862</v>
      </c>
      <c r="H90" s="194">
        <v>0.35398230088495575</v>
      </c>
      <c r="I90" s="194">
        <v>0.8132295719844358</v>
      </c>
      <c r="J90" s="194">
        <v>0.31517509727626458</v>
      </c>
      <c r="K90" s="194">
        <v>0.47162193030826849</v>
      </c>
    </row>
    <row r="91" spans="1:12" ht="14" x14ac:dyDescent="0.3">
      <c r="B91" s="193" t="s">
        <v>825</v>
      </c>
      <c r="C91" s="194">
        <v>0.55882352941176472</v>
      </c>
      <c r="D91" s="194">
        <v>0.40185471406491502</v>
      </c>
      <c r="E91" s="194">
        <v>0.73076923076923073</v>
      </c>
      <c r="F91" s="194">
        <v>0.33461538461538459</v>
      </c>
      <c r="G91" s="194">
        <v>0.95061728395061729</v>
      </c>
      <c r="H91" s="194">
        <v>0.27160493827160492</v>
      </c>
      <c r="I91" s="194">
        <v>0.78076923076923077</v>
      </c>
      <c r="J91" s="194">
        <v>0.28076923076923077</v>
      </c>
      <c r="K91" s="194">
        <v>0.48549564960882657</v>
      </c>
    </row>
    <row r="92" spans="1:12" ht="14" x14ac:dyDescent="0.3">
      <c r="B92" s="193" t="s">
        <v>826</v>
      </c>
      <c r="C92" s="194">
        <v>5.8823529411764705E-2</v>
      </c>
      <c r="D92" s="194">
        <v>0.26893353941267389</v>
      </c>
      <c r="E92" s="194">
        <v>0.74576271186440679</v>
      </c>
      <c r="F92" s="194">
        <v>0.28735632183908044</v>
      </c>
      <c r="G92" s="194">
        <v>0.94968553459119498</v>
      </c>
      <c r="H92" s="194">
        <v>0.29559748427672955</v>
      </c>
      <c r="I92" s="194">
        <v>0.79885057471264365</v>
      </c>
      <c r="J92" s="194">
        <v>0.41954022988505746</v>
      </c>
      <c r="K92" s="194">
        <v>0.43231090090999036</v>
      </c>
    </row>
    <row r="93" spans="1:12" ht="14" x14ac:dyDescent="0.3">
      <c r="B93" s="193" t="s">
        <v>827</v>
      </c>
      <c r="C93" s="194">
        <v>0.38235294117647056</v>
      </c>
      <c r="D93" s="194">
        <v>0.23647604327666152</v>
      </c>
      <c r="E93" s="194">
        <v>0.81481481481481477</v>
      </c>
      <c r="F93" s="194">
        <v>0.28104575163398693</v>
      </c>
      <c r="G93" s="194">
        <v>0.95890410958904104</v>
      </c>
      <c r="H93" s="194">
        <v>0.49315068493150682</v>
      </c>
      <c r="I93" s="194">
        <v>0.81699346405228757</v>
      </c>
      <c r="J93" s="194">
        <v>0.37254901960784315</v>
      </c>
      <c r="K93" s="194">
        <v>0.52957472403399619</v>
      </c>
    </row>
    <row r="94" spans="1:12" ht="14" x14ac:dyDescent="0.3">
      <c r="B94" s="193" t="s">
        <v>828</v>
      </c>
      <c r="C94" s="194">
        <v>0.6470588235294118</v>
      </c>
      <c r="D94" s="194">
        <v>0.55641421947449765</v>
      </c>
      <c r="E94" s="194">
        <v>0.75438596491228072</v>
      </c>
      <c r="F94" s="194">
        <v>0.38055555555555554</v>
      </c>
      <c r="G94" s="194">
        <v>0.92638036809815949</v>
      </c>
      <c r="H94" s="194">
        <v>0.45092024539877301</v>
      </c>
      <c r="I94" s="194">
        <v>0.76666666666666672</v>
      </c>
      <c r="J94" s="194">
        <v>0.36388888888888887</v>
      </c>
      <c r="K94" s="194">
        <v>0.57503042057779197</v>
      </c>
    </row>
    <row r="95" spans="1:12" ht="14" x14ac:dyDescent="0.3">
      <c r="B95" s="193" t="s">
        <v>829</v>
      </c>
      <c r="C95" s="194">
        <v>0.67647058823529416</v>
      </c>
      <c r="D95" s="194">
        <v>0.59659969088098919</v>
      </c>
      <c r="E95" s="194">
        <v>0.76576576576576572</v>
      </c>
      <c r="F95" s="194">
        <v>0.38341968911917096</v>
      </c>
      <c r="G95" s="194">
        <v>0.92625368731563418</v>
      </c>
      <c r="H95" s="194">
        <v>0.74631268436578169</v>
      </c>
      <c r="I95" s="194">
        <v>0.72279792746113991</v>
      </c>
      <c r="J95" s="194">
        <v>0.3704663212435233</v>
      </c>
      <c r="K95" s="194">
        <v>0.67086723262089987</v>
      </c>
    </row>
    <row r="96" spans="1:12" ht="14" x14ac:dyDescent="0.3">
      <c r="B96" s="193" t="s">
        <v>830</v>
      </c>
      <c r="C96" s="194">
        <v>0.47058823529411764</v>
      </c>
      <c r="D96" s="194">
        <v>0.60896445131375576</v>
      </c>
      <c r="E96" s="194">
        <v>0.70802919708029199</v>
      </c>
      <c r="F96" s="194">
        <v>0.38324873096446699</v>
      </c>
      <c r="G96" s="194">
        <v>0.90119760479041922</v>
      </c>
      <c r="H96" s="194">
        <v>0.64371257485029942</v>
      </c>
      <c r="I96" s="194">
        <v>0.7258883248730964</v>
      </c>
      <c r="J96" s="194">
        <v>0.39593908629441626</v>
      </c>
      <c r="K96" s="194">
        <v>0.61097186136000858</v>
      </c>
    </row>
    <row r="97" spans="2:11" ht="14" x14ac:dyDescent="0.3">
      <c r="B97" s="193" t="s">
        <v>831</v>
      </c>
      <c r="C97" s="194">
        <v>0.52941176470588236</v>
      </c>
      <c r="D97" s="194">
        <v>0.58578052550231841</v>
      </c>
      <c r="E97" s="194">
        <v>0.70588235294117652</v>
      </c>
      <c r="F97" s="194">
        <v>0.40897097625329815</v>
      </c>
      <c r="G97" s="194">
        <v>0.93865030674846628</v>
      </c>
      <c r="H97" s="194">
        <v>0.60429447852760731</v>
      </c>
      <c r="I97" s="194">
        <v>0.73614775725593673</v>
      </c>
      <c r="J97" s="194">
        <v>0.32189973614775724</v>
      </c>
      <c r="K97" s="194">
        <v>0.60680297730330479</v>
      </c>
    </row>
    <row r="98" spans="2:11" ht="14" x14ac:dyDescent="0.3">
      <c r="B98" s="193" t="s">
        <v>832</v>
      </c>
      <c r="C98" s="194">
        <v>0.61764705882352944</v>
      </c>
      <c r="D98" s="194">
        <v>0.57187017001545593</v>
      </c>
      <c r="E98" s="194">
        <v>0.68907563025210083</v>
      </c>
      <c r="F98" s="194">
        <v>0.39729729729729729</v>
      </c>
      <c r="G98" s="194">
        <v>0.9487951807228916</v>
      </c>
      <c r="H98" s="194">
        <v>0.62048192771084343</v>
      </c>
      <c r="I98" s="194">
        <v>0.71621621621621623</v>
      </c>
      <c r="J98" s="194">
        <v>0.37297297297297299</v>
      </c>
      <c r="K98" s="194">
        <v>0.6173912178613099</v>
      </c>
    </row>
    <row r="99" spans="2:11" ht="14" x14ac:dyDescent="0.3">
      <c r="B99" s="193" t="s">
        <v>833</v>
      </c>
      <c r="C99" s="194">
        <v>0.58823529411764708</v>
      </c>
      <c r="D99" s="194">
        <v>0.3848531684698609</v>
      </c>
      <c r="E99" s="194">
        <v>0.72527472527472525</v>
      </c>
      <c r="F99" s="194">
        <v>0.38554216867469882</v>
      </c>
      <c r="G99" s="194">
        <v>0.93693693693693691</v>
      </c>
      <c r="H99" s="194">
        <v>0.72972972972972971</v>
      </c>
      <c r="I99" s="194">
        <v>0.71887550200803207</v>
      </c>
      <c r="J99" s="194">
        <v>0.43373493975903615</v>
      </c>
      <c r="K99" s="194">
        <v>0.63417451505213041</v>
      </c>
    </row>
    <row r="100" spans="2:11" ht="14" x14ac:dyDescent="0.3">
      <c r="B100" s="193" t="s">
        <v>834</v>
      </c>
      <c r="C100" s="194"/>
      <c r="D100" s="194"/>
      <c r="E100" s="194"/>
      <c r="F100" s="194"/>
      <c r="G100" s="194"/>
      <c r="H100" s="194"/>
      <c r="I100" s="194"/>
      <c r="J100" s="194"/>
      <c r="K100" s="194"/>
    </row>
    <row r="101" spans="2:11" ht="14" x14ac:dyDescent="0.3">
      <c r="B101" s="193" t="s">
        <v>835</v>
      </c>
      <c r="C101" s="194"/>
      <c r="D101" s="194"/>
      <c r="E101" s="194"/>
      <c r="F101" s="194"/>
      <c r="G101" s="194"/>
      <c r="H101" s="194"/>
      <c r="I101" s="194"/>
      <c r="J101" s="194"/>
      <c r="K101" s="194"/>
    </row>
    <row r="139" spans="2:12" ht="57.5" x14ac:dyDescent="0.25">
      <c r="B139" s="105" t="s">
        <v>870</v>
      </c>
      <c r="C139" s="106" t="s">
        <v>837</v>
      </c>
      <c r="D139" s="106" t="s">
        <v>871</v>
      </c>
      <c r="E139" s="106" t="s">
        <v>872</v>
      </c>
      <c r="F139" s="106" t="s">
        <v>873</v>
      </c>
      <c r="G139" s="106" t="s">
        <v>874</v>
      </c>
      <c r="H139" s="106" t="s">
        <v>875</v>
      </c>
      <c r="I139" s="106" t="s">
        <v>876</v>
      </c>
      <c r="J139" s="106" t="s">
        <v>877</v>
      </c>
      <c r="K139" s="125" t="s">
        <v>878</v>
      </c>
      <c r="L139" s="126" t="s">
        <v>879</v>
      </c>
    </row>
    <row r="140" spans="2:12" ht="14" x14ac:dyDescent="0.3">
      <c r="B140" s="107" t="s">
        <v>824</v>
      </c>
      <c r="C140" s="108">
        <v>0.38235294117647056</v>
      </c>
      <c r="D140" s="108">
        <v>0.39721792890262753</v>
      </c>
      <c r="E140" s="108">
        <v>0.61428571428571432</v>
      </c>
      <c r="F140" s="108">
        <v>0.29182879377431908</v>
      </c>
      <c r="G140" s="108">
        <v>0.95132743362831862</v>
      </c>
      <c r="H140" s="108">
        <v>0.35398230088495575</v>
      </c>
      <c r="I140" s="108">
        <v>0.8132295719844358</v>
      </c>
      <c r="J140" s="108">
        <v>0.31517509727626458</v>
      </c>
      <c r="K140" s="108">
        <v>0.47162193030826849</v>
      </c>
      <c r="L140" s="127">
        <v>1</v>
      </c>
    </row>
    <row r="141" spans="2:12" ht="14" x14ac:dyDescent="0.3">
      <c r="B141" s="107" t="s">
        <v>825</v>
      </c>
      <c r="C141" s="108">
        <v>0.55882352941176472</v>
      </c>
      <c r="D141" s="108">
        <v>0.40185471406491502</v>
      </c>
      <c r="E141" s="108">
        <v>0.73076923076923073</v>
      </c>
      <c r="F141" s="108">
        <v>0.33461538461538459</v>
      </c>
      <c r="G141" s="108">
        <v>0.95061728395061729</v>
      </c>
      <c r="H141" s="108">
        <v>0.27160493827160492</v>
      </c>
      <c r="I141" s="108">
        <v>0.78076923076923077</v>
      </c>
      <c r="J141" s="108">
        <v>0.28076923076923077</v>
      </c>
      <c r="K141" s="108">
        <v>0.48549564960882657</v>
      </c>
      <c r="L141" s="127">
        <v>1</v>
      </c>
    </row>
    <row r="142" spans="2:12" ht="14" x14ac:dyDescent="0.3">
      <c r="B142" s="107" t="s">
        <v>826</v>
      </c>
      <c r="C142" s="108">
        <v>5.8823529411764705E-2</v>
      </c>
      <c r="D142" s="108">
        <v>0.26893353941267389</v>
      </c>
      <c r="E142" s="108">
        <v>0.74576271186440679</v>
      </c>
      <c r="F142" s="108">
        <v>0.28735632183908044</v>
      </c>
      <c r="G142" s="108">
        <v>0.94968553459119498</v>
      </c>
      <c r="H142" s="108">
        <v>0.29559748427672955</v>
      </c>
      <c r="I142" s="108">
        <v>0.79885057471264365</v>
      </c>
      <c r="J142" s="108">
        <v>0.41954022988505746</v>
      </c>
      <c r="K142" s="108">
        <v>0.43231090090999036</v>
      </c>
      <c r="L142" s="127">
        <v>1</v>
      </c>
    </row>
    <row r="143" spans="2:12" ht="14" x14ac:dyDescent="0.3">
      <c r="B143" s="107" t="s">
        <v>827</v>
      </c>
      <c r="C143" s="108">
        <v>0.38235294117647056</v>
      </c>
      <c r="D143" s="108">
        <v>0.23647604327666152</v>
      </c>
      <c r="E143" s="108">
        <v>0.81481481481481477</v>
      </c>
      <c r="F143" s="108">
        <v>0.28104575163398693</v>
      </c>
      <c r="G143" s="108">
        <v>0.95890410958904104</v>
      </c>
      <c r="H143" s="108">
        <v>0.49315068493150682</v>
      </c>
      <c r="I143" s="108">
        <v>0.81699346405228757</v>
      </c>
      <c r="J143" s="108">
        <v>0.37254901960784315</v>
      </c>
      <c r="K143" s="108">
        <v>0.52957472403399619</v>
      </c>
      <c r="L143" s="127">
        <v>1</v>
      </c>
    </row>
    <row r="144" spans="2:12" ht="14" x14ac:dyDescent="0.3">
      <c r="B144" s="107" t="s">
        <v>828</v>
      </c>
      <c r="C144" s="108">
        <v>0.6470588235294118</v>
      </c>
      <c r="D144" s="108">
        <v>0.54868624420401857</v>
      </c>
      <c r="E144" s="108">
        <v>0.75221238938053092</v>
      </c>
      <c r="F144" s="108">
        <v>0.37746478873239436</v>
      </c>
      <c r="G144" s="108">
        <v>0.92834890965732086</v>
      </c>
      <c r="H144" s="108">
        <v>0.45794392523364486</v>
      </c>
      <c r="I144" s="108">
        <v>0.76338028169014083</v>
      </c>
      <c r="J144" s="108">
        <v>0.36338028169014086</v>
      </c>
      <c r="K144" s="108">
        <v>0.57558218019512142</v>
      </c>
      <c r="L144" s="127">
        <v>1</v>
      </c>
    </row>
    <row r="145" spans="2:12" ht="14" x14ac:dyDescent="0.3">
      <c r="B145" s="107" t="s">
        <v>829</v>
      </c>
      <c r="C145" s="108">
        <v>0.67647058823529416</v>
      </c>
      <c r="D145" s="108">
        <v>0.59350850077279749</v>
      </c>
      <c r="E145" s="108">
        <v>0.76576576576576572</v>
      </c>
      <c r="F145" s="108">
        <v>0.3828125</v>
      </c>
      <c r="G145" s="108">
        <v>0.9258160237388724</v>
      </c>
      <c r="H145" s="108">
        <v>0.75074183976261133</v>
      </c>
      <c r="I145" s="108">
        <v>0.72135416666666663</v>
      </c>
      <c r="J145" s="108">
        <v>0.36979166666666669</v>
      </c>
      <c r="K145" s="108">
        <v>0.67164609473501113</v>
      </c>
      <c r="L145" s="127">
        <v>1</v>
      </c>
    </row>
    <row r="146" spans="2:12" ht="14" x14ac:dyDescent="0.3">
      <c r="B146" s="107" t="s">
        <v>830</v>
      </c>
      <c r="C146" s="108">
        <v>0.47058823529411764</v>
      </c>
      <c r="D146" s="108">
        <v>0.57187017001545593</v>
      </c>
      <c r="E146" s="108">
        <v>0.70542635658914732</v>
      </c>
      <c r="F146" s="108">
        <v>0.39189189189189189</v>
      </c>
      <c r="G146" s="108">
        <v>0.90793650793650793</v>
      </c>
      <c r="H146" s="108">
        <v>0.64126984126984132</v>
      </c>
      <c r="I146" s="108">
        <v>0.72702702702702704</v>
      </c>
      <c r="J146" s="108">
        <v>0.41351351351351351</v>
      </c>
      <c r="K146" s="108">
        <v>0.60904520800474349</v>
      </c>
      <c r="L146" s="127">
        <v>1</v>
      </c>
    </row>
    <row r="147" spans="2:12" ht="14" x14ac:dyDescent="0.3">
      <c r="B147" s="107" t="s">
        <v>831</v>
      </c>
      <c r="C147" s="128">
        <v>0</v>
      </c>
      <c r="D147" s="128">
        <v>0</v>
      </c>
      <c r="E147" s="128">
        <v>0</v>
      </c>
      <c r="F147" s="128">
        <v>0</v>
      </c>
      <c r="G147" s="128">
        <v>0</v>
      </c>
      <c r="H147" s="128">
        <v>0</v>
      </c>
      <c r="I147" s="128">
        <v>0</v>
      </c>
      <c r="J147" s="128">
        <v>0</v>
      </c>
      <c r="K147" s="128">
        <v>0</v>
      </c>
      <c r="L147" s="127">
        <v>1</v>
      </c>
    </row>
    <row r="148" spans="2:12" ht="14" x14ac:dyDescent="0.3">
      <c r="B148" s="107" t="s">
        <v>832</v>
      </c>
      <c r="C148" s="129">
        <v>0</v>
      </c>
      <c r="D148" s="128">
        <v>0</v>
      </c>
      <c r="E148" s="128">
        <v>0</v>
      </c>
      <c r="F148" s="128">
        <v>0</v>
      </c>
      <c r="G148" s="128">
        <v>0</v>
      </c>
      <c r="H148" s="128">
        <v>0</v>
      </c>
      <c r="I148" s="128">
        <v>0</v>
      </c>
      <c r="J148" s="128">
        <v>0</v>
      </c>
      <c r="K148" s="128">
        <v>0</v>
      </c>
      <c r="L148" s="127">
        <v>1</v>
      </c>
    </row>
    <row r="149" spans="2:12" ht="14" x14ac:dyDescent="0.3">
      <c r="B149" s="107" t="s">
        <v>833</v>
      </c>
      <c r="C149" s="129">
        <v>0</v>
      </c>
      <c r="D149" s="129">
        <v>0</v>
      </c>
      <c r="E149" s="129">
        <v>0</v>
      </c>
      <c r="F149" s="129">
        <v>0</v>
      </c>
      <c r="G149" s="129">
        <v>0</v>
      </c>
      <c r="H149" s="129">
        <v>0</v>
      </c>
      <c r="I149" s="129">
        <v>0</v>
      </c>
      <c r="J149" s="129">
        <v>0</v>
      </c>
      <c r="K149" s="129">
        <v>0</v>
      </c>
      <c r="L149" s="127">
        <v>1</v>
      </c>
    </row>
    <row r="150" spans="2:12" ht="14" x14ac:dyDescent="0.3">
      <c r="B150" s="107" t="s">
        <v>834</v>
      </c>
      <c r="C150" s="129">
        <v>0</v>
      </c>
      <c r="D150" s="129">
        <v>0</v>
      </c>
      <c r="E150" s="129">
        <v>0</v>
      </c>
      <c r="F150" s="129">
        <v>0</v>
      </c>
      <c r="G150" s="129">
        <v>0</v>
      </c>
      <c r="H150" s="129">
        <v>0</v>
      </c>
      <c r="I150" s="129">
        <v>0</v>
      </c>
      <c r="J150" s="129">
        <v>0</v>
      </c>
      <c r="K150" s="129">
        <v>0</v>
      </c>
      <c r="L150" s="127">
        <v>1</v>
      </c>
    </row>
    <row r="151" spans="2:12" ht="14" x14ac:dyDescent="0.3">
      <c r="B151" s="107" t="s">
        <v>835</v>
      </c>
      <c r="C151" s="129">
        <v>0</v>
      </c>
      <c r="D151" s="129">
        <v>0</v>
      </c>
      <c r="E151" s="129">
        <v>0</v>
      </c>
      <c r="F151" s="129">
        <v>0</v>
      </c>
      <c r="G151" s="129">
        <v>0</v>
      </c>
      <c r="H151" s="129">
        <v>0</v>
      </c>
      <c r="I151" s="129">
        <v>0</v>
      </c>
      <c r="J151" s="129">
        <v>0</v>
      </c>
      <c r="K151" s="129">
        <v>0</v>
      </c>
      <c r="L151" s="127">
        <v>1</v>
      </c>
    </row>
  </sheetData>
  <sheetProtection password="EF87" sheet="1" objects="1" scenarios="1"/>
  <mergeCells count="7">
    <mergeCell ref="C1:E1"/>
    <mergeCell ref="A8:A24"/>
    <mergeCell ref="A25:A41"/>
    <mergeCell ref="A53:A69"/>
    <mergeCell ref="A70:A86"/>
    <mergeCell ref="C2:E2"/>
    <mergeCell ref="C3:E3"/>
  </mergeCells>
  <conditionalFormatting sqref="C53:K86">
    <cfRule type="cellIs" dxfId="294" priority="1" operator="greaterThan">
      <formula>0.8</formula>
    </cfRule>
    <cfRule type="cellIs" dxfId="293" priority="2" operator="between">
      <formula>0.5</formula>
      <formula>0.8</formula>
    </cfRule>
    <cfRule type="cellIs" dxfId="292" priority="3" operator="lessThan">
      <formula>0.5</formula>
    </cfRule>
  </conditionalFormatting>
  <conditionalFormatting sqref="C90:K101">
    <cfRule type="cellIs" dxfId="291" priority="4" operator="equal">
      <formula>0</formula>
    </cfRule>
    <cfRule type="cellIs" dxfId="290" priority="5" operator="greaterThan">
      <formula>0.8</formula>
    </cfRule>
    <cfRule type="cellIs" dxfId="289" priority="6" operator="between">
      <formula>0.5</formula>
      <formula>0.8</formula>
    </cfRule>
    <cfRule type="cellIs" dxfId="288" priority="7" operator="lessThan">
      <formula>0.5</formula>
    </cfRule>
  </conditionalFormatting>
  <conditionalFormatting sqref="C140:K146">
    <cfRule type="cellIs" dxfId="287" priority="15" operator="greaterThan">
      <formula>0.8</formula>
    </cfRule>
    <cfRule type="cellIs" dxfId="286" priority="16" operator="between">
      <formula>0.5</formula>
      <formula>0.8</formula>
    </cfRule>
    <cfRule type="cellIs" dxfId="285" priority="17" operator="lessThan">
      <formula>0.5</formula>
    </cfRule>
  </conditionalFormatting>
  <conditionalFormatting sqref="C8:M41">
    <cfRule type="cellIs" dxfId="284" priority="21" operator="greaterThan">
      <formula>0.8</formula>
    </cfRule>
    <cfRule type="cellIs" dxfId="283" priority="22" operator="between">
      <formula>0.5</formula>
      <formula>0.8</formula>
    </cfRule>
    <cfRule type="cellIs" dxfId="282" priority="23" operator="lessThan">
      <formula>0.5</formula>
    </cfRule>
  </conditionalFormatting>
  <conditionalFormatting sqref="C45:M47">
    <cfRule type="cellIs" dxfId="281" priority="14" operator="equal">
      <formula>0</formula>
    </cfRule>
  </conditionalFormatting>
  <conditionalFormatting sqref="C48:M48">
    <cfRule type="cellIs" dxfId="280" priority="18" operator="greaterThan">
      <formula>0.8</formula>
    </cfRule>
    <cfRule type="cellIs" dxfId="279" priority="19" operator="between">
      <formula>0.5</formula>
      <formula>0.8</formula>
    </cfRule>
    <cfRule type="cellIs" dxfId="278" priority="20" operator="lessThan">
      <formula>0.5</formula>
    </cfRule>
  </conditionalFormatting>
  <hyperlinks>
    <hyperlink ref="C3" location="MASHAKO!A73" display="Tendences annuelle des Scores par ZS"/>
    <hyperlink ref="C2" location="MASHAKO!A6" display="Evolution des Scores par ZS"/>
    <hyperlink ref="C3:E3" location="MASHAKO!B73" display="Tendences annuelle des Scores par ZS"/>
    <hyperlink ref="C4" location="MASHAKO!A105" display="Tendences annuelle des Scores par ZS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G723"/>
  <sheetViews>
    <sheetView showGridLines="0" zoomScaleNormal="100" workbookViewId="0">
      <pane xSplit="3" ySplit="17" topLeftCell="N37" activePane="bottomRight" state="frozen"/>
      <selection pane="topRight" activeCell="D1" sqref="D1"/>
      <selection pane="bottomLeft" activeCell="A11" sqref="A11"/>
      <selection pane="bottomRight" activeCell="C15" sqref="C15"/>
    </sheetView>
  </sheetViews>
  <sheetFormatPr baseColWidth="10" defaultColWidth="11.453125" defaultRowHeight="12.5" x14ac:dyDescent="0.25"/>
  <cols>
    <col min="1" max="1" width="11.26953125" style="31" customWidth="1"/>
    <col min="2" max="2" width="16.81640625" style="31" customWidth="1"/>
    <col min="3" max="3" width="19.26953125" style="31" customWidth="1"/>
    <col min="4" max="4" width="8.7265625" style="31" customWidth="1"/>
    <col min="5" max="6" width="11.453125" style="31" customWidth="1"/>
    <col min="7" max="7" width="8.1796875" style="31" customWidth="1"/>
    <col min="8" max="9" width="11.453125" style="31" customWidth="1"/>
    <col min="10" max="10" width="7.7265625" style="31" customWidth="1"/>
    <col min="11" max="12" width="11.453125" style="31" customWidth="1"/>
    <col min="13" max="13" width="8.54296875" style="31" customWidth="1"/>
    <col min="14" max="15" width="11.453125" style="31" customWidth="1"/>
    <col min="16" max="16" width="8.26953125" style="31" customWidth="1"/>
    <col min="17" max="20" width="11.453125" style="31" customWidth="1"/>
    <col min="21" max="27" width="11.453125" style="103" customWidth="1"/>
    <col min="28" max="28" width="8.26953125" style="31" customWidth="1"/>
    <col min="29" max="31" width="11.453125" style="31"/>
    <col min="32" max="32" width="12" style="31" customWidth="1"/>
    <col min="33" max="33" width="5.54296875" style="31" customWidth="1"/>
    <col min="34" max="16384" width="11.453125" style="31"/>
  </cols>
  <sheetData>
    <row r="1" spans="1:29" ht="23" x14ac:dyDescent="0.35">
      <c r="A1" s="30" t="str">
        <f>INDEX(Tableau1[ZS],MATCH(1,Tableau1[Visu],0))</f>
        <v xml:space="preserve"> Itebero</v>
      </c>
      <c r="B1" s="30"/>
      <c r="D1" s="32" t="str">
        <f>"ZS DE"&amp;UPPER(B8)&amp;" : "&amp;"CV SELON LE CALENDRIER VACCINAL DE "&amp;UPPER(B7)</f>
        <v>ZS DE ITEBERO : CV SELON LE CALENDRIER VACCINAL DE JANVIER-OCTOBRE 2024</v>
      </c>
      <c r="E1" s="55"/>
      <c r="F1" s="56"/>
      <c r="G1" s="57"/>
      <c r="H1" s="57"/>
      <c r="I1" s="58"/>
      <c r="J1" s="59"/>
      <c r="K1" s="59"/>
      <c r="L1" s="59"/>
      <c r="M1" s="59"/>
      <c r="N1" s="59"/>
      <c r="O1" s="59"/>
      <c r="P1" s="59"/>
      <c r="Q1" s="56"/>
      <c r="R1" s="60"/>
      <c r="S1" s="304" t="str">
        <f>"Synthèse Mashako"&amp;" ZS"&amp;" "&amp;B8</f>
        <v>Synthèse Mashako ZS  Itebero</v>
      </c>
      <c r="T1" s="304"/>
      <c r="U1" s="304"/>
      <c r="V1" s="304"/>
      <c r="W1" s="31"/>
      <c r="X1" s="31"/>
      <c r="Y1" s="31"/>
      <c r="Z1" s="31"/>
      <c r="AA1" s="31"/>
    </row>
    <row r="2" spans="1:29" ht="18" customHeight="1" x14ac:dyDescent="0.25">
      <c r="A2" s="85"/>
      <c r="D2" s="32" t="e">
        <f ca="1">_xlfn.IFS(F8="CAT1",Dico!B2,F8="CAT2",Dico!B3,F8="CAT3",Dico!B4,F8="CAT4",Dico!B5)</f>
        <v>#NAME?</v>
      </c>
      <c r="E2" s="309" t="s">
        <v>765</v>
      </c>
      <c r="F2" s="310"/>
      <c r="H2" s="306" t="s">
        <v>766</v>
      </c>
      <c r="I2" s="310"/>
      <c r="K2" s="306" t="s">
        <v>767</v>
      </c>
      <c r="L2" s="310"/>
      <c r="N2" s="306" t="s">
        <v>768</v>
      </c>
      <c r="O2" s="310"/>
      <c r="Q2" s="306" t="s">
        <v>787</v>
      </c>
      <c r="R2" s="307"/>
      <c r="S2" s="305" t="s">
        <v>849</v>
      </c>
      <c r="T2" s="305"/>
      <c r="U2" s="305"/>
      <c r="V2" s="99" t="s">
        <v>850</v>
      </c>
      <c r="W2" s="31"/>
      <c r="X2" s="31"/>
      <c r="Y2" s="31"/>
      <c r="Z2" s="31"/>
      <c r="AA2" s="31"/>
    </row>
    <row r="3" spans="1:29" ht="18" customHeight="1" x14ac:dyDescent="0.25">
      <c r="A3" s="89" t="s">
        <v>697</v>
      </c>
      <c r="B3" s="33"/>
      <c r="C3" s="33"/>
      <c r="D3" s="33"/>
      <c r="E3" s="61" t="s">
        <v>7</v>
      </c>
      <c r="F3" s="35">
        <f>VLOOKUP($B$8,Analyses_CV_ZS!$C$15:$AB$52,2,FALSE)</f>
        <v>0.92114049565951428</v>
      </c>
      <c r="H3" s="62" t="s">
        <v>746</v>
      </c>
      <c r="I3" s="36">
        <f>VLOOKUP($B$8,Analyses_CV_ZS!$C$15:$AB$52,4,FALSE)</f>
        <v>1.0000079061996916</v>
      </c>
      <c r="K3" s="62" t="s">
        <v>747</v>
      </c>
      <c r="L3" s="36">
        <f>VLOOKUP($B$8,Analyses_CV_ZS!$C$15:$AB$52,5,FALSE)</f>
        <v>0.94325655498864769</v>
      </c>
      <c r="N3" s="62" t="s">
        <v>748</v>
      </c>
      <c r="O3" s="36">
        <f>VLOOKUP($B$8,Analyses_CV_ZS!$C$15:$AB$52,6,FALSE)</f>
        <v>0.96491737606156514</v>
      </c>
      <c r="Q3" s="62" t="s">
        <v>760</v>
      </c>
      <c r="R3" s="63">
        <f>VLOOKUP($B$8,Analyses_CV_ZS!$C$15:$AB$52,16,FALSE)</f>
        <v>0.97300408259545434</v>
      </c>
      <c r="S3" s="298" t="s">
        <v>838</v>
      </c>
      <c r="T3" s="298"/>
      <c r="U3" s="298"/>
      <c r="V3" s="130">
        <f>VLOOKUP($B$8,Data_Entry!$AO$4:$AZ$38,3,FALSE)</f>
        <v>3.3333333333333333E-2</v>
      </c>
      <c r="W3" s="31"/>
      <c r="X3" s="31"/>
      <c r="Y3" s="31"/>
      <c r="Z3" s="31"/>
      <c r="AA3" s="31"/>
    </row>
    <row r="4" spans="1:29" ht="18" customHeight="1" x14ac:dyDescent="0.25">
      <c r="A4" s="89"/>
      <c r="B4" s="33"/>
      <c r="C4" s="33"/>
      <c r="D4" s="33"/>
      <c r="E4" s="64" t="s">
        <v>745</v>
      </c>
      <c r="F4" s="35">
        <f>VLOOKUP($B$8,Analyses_CV_ZS!$C$15:$AB$52,3,FALSE)</f>
        <v>0.51624956890453388</v>
      </c>
      <c r="H4" s="62" t="s">
        <v>758</v>
      </c>
      <c r="I4" s="36">
        <f>VLOOKUP($B$8,Analyses_CV_ZS!$C$15:$AB$52,7,FALSE)</f>
        <v>1.0524270931961519</v>
      </c>
      <c r="K4" s="62" t="s">
        <v>759</v>
      </c>
      <c r="L4" s="36">
        <f>VLOOKUP($B$8,Analyses_CV_ZS!$C$15:$AB$52,8,FALSE)</f>
        <v>1.0157481028460116</v>
      </c>
      <c r="N4" s="62" t="s">
        <v>753</v>
      </c>
      <c r="O4" s="36">
        <f>VLOOKUP($B$8,Analyses_CV_ZS!$C$15:$AB$52,9,FALSE)</f>
        <v>1.0509830384579575</v>
      </c>
      <c r="Q4" s="62" t="s">
        <v>13</v>
      </c>
      <c r="R4" s="63">
        <f>VLOOKUP($B$8,Analyses_CV_ZS!$C$15:$AB$52,18,FALSE)</f>
        <v>0.96766108006413476</v>
      </c>
      <c r="S4" s="298" t="s">
        <v>839</v>
      </c>
      <c r="T4" s="298"/>
      <c r="U4" s="298"/>
      <c r="V4" s="130">
        <f>VLOOKUP($B$8,Data_Entry!$AO$4:$AZ$38,4,FALSE)</f>
        <v>1</v>
      </c>
      <c r="W4" s="31"/>
      <c r="X4" s="31"/>
      <c r="Y4" s="31"/>
      <c r="Z4" s="31"/>
      <c r="AA4" s="31"/>
    </row>
    <row r="5" spans="1:29" ht="18" customHeight="1" x14ac:dyDescent="0.35">
      <c r="A5" s="90" t="s">
        <v>698</v>
      </c>
      <c r="B5" s="80"/>
      <c r="C5" s="80"/>
      <c r="D5" s="33"/>
      <c r="E5" s="77"/>
      <c r="F5" s="65"/>
      <c r="G5" s="65"/>
      <c r="H5" s="62" t="s">
        <v>752</v>
      </c>
      <c r="I5" s="36">
        <f>VLOOKUP($B$8,Analyses_CV_ZS!$C$15:$AB$52,10,FALSE)</f>
        <v>1.0408746552905959</v>
      </c>
      <c r="K5" s="62" t="s">
        <v>754</v>
      </c>
      <c r="L5" s="36">
        <f>VLOOKUP($B$8,Analyses_CV_ZS!$C$15:$AB$52,11,FALSE)</f>
        <v>1.0186362123224006</v>
      </c>
      <c r="N5" s="62" t="s">
        <v>8</v>
      </c>
      <c r="O5" s="36">
        <f>VLOOKUP($B$8,Analyses_CV_ZS!$C$15:$AB$52,19,FALSE)</f>
        <v>0.89155939536128459</v>
      </c>
      <c r="Q5" s="62" t="s">
        <v>14</v>
      </c>
      <c r="R5" s="63">
        <f>VLOOKUP($B$8,Analyses_CV_ZS!$C$15:$AB$52,20,FALSE)</f>
        <v>0.70267703560544392</v>
      </c>
      <c r="S5" s="298" t="s">
        <v>840</v>
      </c>
      <c r="T5" s="298"/>
      <c r="U5" s="298"/>
      <c r="V5" s="130">
        <f>VLOOKUP($B$8,Data_Entry!$AO$4:$AZ$38,5,FALSE)</f>
        <v>1</v>
      </c>
      <c r="W5" s="31"/>
      <c r="X5" s="31"/>
      <c r="Y5" s="31"/>
      <c r="Z5" s="31"/>
      <c r="AA5" s="31"/>
    </row>
    <row r="6" spans="1:29" ht="18" customHeight="1" x14ac:dyDescent="0.35">
      <c r="A6" s="90"/>
      <c r="B6" s="80"/>
      <c r="C6" s="80"/>
      <c r="D6" s="33"/>
      <c r="F6" s="52" t="s">
        <v>816</v>
      </c>
      <c r="G6" s="65"/>
      <c r="H6" s="62" t="s">
        <v>757</v>
      </c>
      <c r="I6" s="36">
        <f>VLOOKUP($B$8,Analyses_CV_ZS!$C$15:$AB$52,13,FALSE)</f>
        <v>1.0205134834820535</v>
      </c>
      <c r="K6" s="62" t="s">
        <v>756</v>
      </c>
      <c r="L6" s="36">
        <f>VLOOKUP($B$8,Analyses_CV_ZS!$C$15:$AB$52,14,FALSE)</f>
        <v>0.9493215848890646</v>
      </c>
      <c r="N6" s="62" t="s">
        <v>722</v>
      </c>
      <c r="O6" s="36">
        <f>VLOOKUP($B$8,Analyses_CV_ZS!$C$15:$AB$52,12,FALSE)</f>
        <v>1.030333055701776</v>
      </c>
      <c r="R6" s="66"/>
      <c r="S6" s="298" t="s">
        <v>841</v>
      </c>
      <c r="T6" s="298"/>
      <c r="U6" s="298"/>
      <c r="V6" s="130">
        <f>VLOOKUP($B$8,Data_Entry!$AO$4:$AZ$38,6,FALSE)</f>
        <v>0</v>
      </c>
      <c r="W6" s="31"/>
      <c r="X6" s="31"/>
      <c r="Y6" s="31"/>
      <c r="Z6" s="31"/>
      <c r="AA6" s="31"/>
    </row>
    <row r="7" spans="1:29" ht="18" customHeight="1" x14ac:dyDescent="0.35">
      <c r="A7" s="81" t="s">
        <v>819</v>
      </c>
      <c r="B7" s="308" t="str">
        <f>"Janvier-"&amp;(_xlfn.IFS(Data_Entry!C1=1,"Janvier",Data_Entry!C1=2,"Février",Data_Entry!C1=3,"Mars",Data_Entry!C1=4,"Avril",Data_Entry!C1=5,"Mai",Data_Entry!C1=6,"Juin",Data_Entry!C1=7,"Juillet",Data_Entry!C1=8,"Août",Data_Entry!C1=9,"Septembre",Data_Entry!C1=10,"Octobre",Data_Entry!C1=11,"Novembre",Data_Entry!C1=12,"Décembre"))&amp;" "&amp;"2024"</f>
        <v>Janvier-Octobre 2024</v>
      </c>
      <c r="C7" s="308"/>
      <c r="D7" s="33"/>
      <c r="E7" s="311" t="str">
        <f>IF($A$1="","",$A$1)</f>
        <v xml:space="preserve"> Itebero</v>
      </c>
      <c r="F7" s="312"/>
      <c r="G7" s="65"/>
      <c r="H7" s="65"/>
      <c r="I7" s="65"/>
      <c r="N7" s="62" t="s">
        <v>755</v>
      </c>
      <c r="O7" s="36">
        <f>VLOOKUP($B$8,Analyses_CV_ZS!$C$15:$AB$52,15,FALSE)</f>
        <v>1.0036180430451778</v>
      </c>
      <c r="Q7" s="306" t="s">
        <v>769</v>
      </c>
      <c r="R7" s="307"/>
      <c r="S7" s="298" t="s">
        <v>842</v>
      </c>
      <c r="T7" s="298"/>
      <c r="U7" s="298"/>
      <c r="V7" s="130">
        <f>VLOOKUP($B$8,Data_Entry!$AO$4:$AZ$38,7,FALSE)</f>
        <v>0</v>
      </c>
      <c r="W7" s="31"/>
      <c r="X7" s="31"/>
      <c r="Y7" s="31"/>
      <c r="Z7" s="31"/>
      <c r="AA7" s="31"/>
    </row>
    <row r="8" spans="1:29" ht="18" customHeight="1" x14ac:dyDescent="0.35">
      <c r="A8" s="81" t="s">
        <v>4</v>
      </c>
      <c r="B8" s="82" t="str">
        <f>A1</f>
        <v xml:space="preserve"> Itebero</v>
      </c>
      <c r="C8" s="82"/>
      <c r="D8" s="33"/>
      <c r="E8" s="67" t="s">
        <v>762</v>
      </c>
      <c r="F8" s="131" t="str">
        <f>VLOOKUP($B$8,Analyses_CV_ZS!$C$15:$AC$52,27,FALSE)</f>
        <v>CAT1</v>
      </c>
      <c r="G8" s="74"/>
      <c r="H8" s="65"/>
      <c r="I8" s="65"/>
      <c r="Q8" s="62" t="s">
        <v>761</v>
      </c>
      <c r="R8" s="63">
        <f>VLOOKUP($B$8,Analyses_CV_ZS!$C$15:$AB$52,17,FALSE)</f>
        <v>0.70007773707669374</v>
      </c>
      <c r="S8" s="303" t="s">
        <v>848</v>
      </c>
      <c r="T8" s="303"/>
      <c r="U8" s="303"/>
      <c r="V8" s="130">
        <f>VLOOKUP($B$8,Data_Entry!$AO$4:$AZ$38,8,FALSE)</f>
        <v>0</v>
      </c>
      <c r="W8" s="31"/>
      <c r="X8" s="31"/>
      <c r="Y8" s="31"/>
      <c r="Z8" s="31"/>
      <c r="AA8" s="31"/>
    </row>
    <row r="9" spans="1:29" ht="18" customHeight="1" x14ac:dyDescent="0.35">
      <c r="A9" s="81" t="s">
        <v>818</v>
      </c>
      <c r="B9" s="83">
        <f>SUMIF(Data_Entry!C5:C671,Analyses_CV_AS!B8,Data_Entry!E5:E671)</f>
        <v>238107</v>
      </c>
      <c r="C9" s="84"/>
      <c r="E9" s="67" t="s">
        <v>764</v>
      </c>
      <c r="F9" s="39">
        <f>VLOOKUP($B$8,Analyses_CV_ZS!$C$15:$AC$52,24,FALSE)</f>
        <v>278.59108333333336</v>
      </c>
      <c r="G9" s="65"/>
      <c r="H9" s="65"/>
      <c r="I9" s="65"/>
      <c r="R9" s="66"/>
      <c r="S9" s="298" t="s">
        <v>844</v>
      </c>
      <c r="T9" s="298"/>
      <c r="U9" s="298"/>
      <c r="V9" s="130">
        <f>VLOOKUP($B$8,Data_Entry!$AO$4:$AZ$38,9,FALSE)</f>
        <v>1</v>
      </c>
      <c r="W9" s="31"/>
      <c r="X9" s="31"/>
      <c r="Y9" s="31"/>
      <c r="Z9" s="31"/>
      <c r="AA9" s="31"/>
    </row>
    <row r="10" spans="1:29" ht="18" customHeight="1" x14ac:dyDescent="0.35">
      <c r="A10" s="81" t="s">
        <v>817</v>
      </c>
      <c r="B10" s="83" t="e">
        <f>IF(SUMIF(C16:C676,B8,#REF!)&gt;1,SUMIF(C16:C676,B8,#REF!),"")</f>
        <v>#REF!</v>
      </c>
      <c r="C10" s="85"/>
      <c r="E10" s="67" t="s">
        <v>714</v>
      </c>
      <c r="F10" s="39">
        <f>VLOOKUP($B$8,Analyses_CV_ZS!$C$15:$AC$52,25,FALSE)</f>
        <v>641</v>
      </c>
      <c r="G10" s="65"/>
      <c r="H10" s="65"/>
      <c r="I10" s="65"/>
      <c r="Q10" s="306" t="s">
        <v>781</v>
      </c>
      <c r="R10" s="307"/>
      <c r="S10" s="298" t="s">
        <v>845</v>
      </c>
      <c r="T10" s="298"/>
      <c r="U10" s="298"/>
      <c r="V10" s="130">
        <f>VLOOKUP($B$8,Data_Entry!$AO$4:$AZ$38,10,FALSE)</f>
        <v>0</v>
      </c>
      <c r="W10" s="31"/>
      <c r="X10" s="31"/>
      <c r="Y10" s="31"/>
      <c r="Z10" s="31"/>
      <c r="AA10" s="31"/>
    </row>
    <row r="11" spans="1:29" ht="18" customHeight="1" x14ac:dyDescent="0.35">
      <c r="A11" s="81" t="s">
        <v>823</v>
      </c>
      <c r="B11" s="83">
        <f>VLOOKUP($B$8,VAL!A1:E38,2,FALSE)</f>
        <v>6924.9452500000007</v>
      </c>
      <c r="C11" s="85"/>
      <c r="E11" s="67" t="s">
        <v>771</v>
      </c>
      <c r="F11" s="132">
        <f>VLOOKUP($B$8,Analyses_CV_ZS!$C$15:$AC$52,26,FALSE)</f>
        <v>1.3721185510428102E-3</v>
      </c>
      <c r="G11" s="65"/>
      <c r="H11" s="65"/>
      <c r="I11" s="65"/>
      <c r="Q11" s="34" t="s">
        <v>782</v>
      </c>
      <c r="R11" s="63">
        <f>VLOOKUP($B$8,Analyses_CV_ZS!$C$15:$AB$52,21,FALSE)</f>
        <v>0.77851554133225809</v>
      </c>
      <c r="S11" s="298" t="s">
        <v>846</v>
      </c>
      <c r="T11" s="298"/>
      <c r="U11" s="298"/>
      <c r="V11" s="130">
        <f>VLOOKUP($B$8,Data_Entry!$AO$4:$AZ$38,11,FALSE)</f>
        <v>0</v>
      </c>
      <c r="W11" s="31"/>
      <c r="X11" s="31"/>
      <c r="Y11" s="31"/>
      <c r="Z11" s="31"/>
      <c r="AA11" s="31"/>
    </row>
    <row r="12" spans="1:29" ht="18" customHeight="1" thickBot="1" x14ac:dyDescent="0.4">
      <c r="A12" s="86" t="s">
        <v>811</v>
      </c>
      <c r="B12" s="83">
        <f>VLOOKUP($B$8,VAL!A1:F38,6,FALSE)</f>
        <v>7936.9000000000015</v>
      </c>
      <c r="C12" s="87"/>
      <c r="E12" s="68" t="s">
        <v>958</v>
      </c>
      <c r="F12" s="239">
        <f>VLOOKUP($B$8,Analyses_CV_ZS!$C$15:$AC$52,23,FALSE)</f>
        <v>0.96766108006413476</v>
      </c>
      <c r="G12" s="69"/>
      <c r="H12" s="69"/>
      <c r="I12" s="69"/>
      <c r="J12" s="70"/>
      <c r="K12" s="70"/>
      <c r="L12" s="70"/>
      <c r="M12" s="70"/>
      <c r="N12" s="70"/>
      <c r="O12" s="70"/>
      <c r="P12" s="70"/>
      <c r="Q12" s="71" t="s">
        <v>723</v>
      </c>
      <c r="R12" s="72">
        <f>VLOOKUP($B$8,Analyses_CV_ZS!$C$15:$AB$52,22,FALSE)</f>
        <v>1.2354949665486523</v>
      </c>
      <c r="S12" s="299" t="s">
        <v>851</v>
      </c>
      <c r="T12" s="299"/>
      <c r="U12" s="299"/>
      <c r="V12" s="133">
        <f>VLOOKUP($B$8,Data_Entry!$AO$4:$AZ$38,12,FALSE)</f>
        <v>0.47647058823529409</v>
      </c>
      <c r="W12" s="31"/>
      <c r="X12" s="31"/>
      <c r="Y12" s="31"/>
      <c r="Z12" s="31"/>
      <c r="AA12" s="31"/>
    </row>
    <row r="13" spans="1:29" ht="18" customHeight="1" x14ac:dyDescent="0.3">
      <c r="A13" s="88" t="s">
        <v>812</v>
      </c>
      <c r="B13" s="83"/>
      <c r="C13" s="87"/>
      <c r="S13" s="300" t="str">
        <f>"Mise à jour du"</f>
        <v>Mise à jour du</v>
      </c>
      <c r="T13" s="301"/>
      <c r="U13" s="301">
        <f>Analyses_CV_AS!V13</f>
        <v>45596</v>
      </c>
      <c r="V13" s="302"/>
      <c r="W13" s="31"/>
      <c r="X13" s="31"/>
      <c r="Y13" s="31"/>
      <c r="Z13" s="31"/>
      <c r="AA13" s="31"/>
    </row>
    <row r="14" spans="1:29" ht="12.75" customHeight="1" thickBot="1" x14ac:dyDescent="0.3">
      <c r="G14" s="52" t="s">
        <v>790</v>
      </c>
      <c r="U14" s="31"/>
      <c r="V14" s="31"/>
      <c r="W14" s="31"/>
      <c r="X14" s="31"/>
      <c r="Y14" s="31"/>
      <c r="Z14" s="31"/>
      <c r="AA14" s="31"/>
    </row>
    <row r="15" spans="1:29" ht="20.25" customHeight="1" thickBot="1" x14ac:dyDescent="0.3">
      <c r="C15" s="134" t="s">
        <v>4</v>
      </c>
      <c r="D15" s="135" t="s">
        <v>7</v>
      </c>
      <c r="E15" s="135" t="s">
        <v>745</v>
      </c>
      <c r="F15" s="135" t="s">
        <v>746</v>
      </c>
      <c r="G15" s="135" t="s">
        <v>747</v>
      </c>
      <c r="H15" s="135" t="s">
        <v>748</v>
      </c>
      <c r="I15" s="135" t="s">
        <v>749</v>
      </c>
      <c r="J15" s="135" t="s">
        <v>750</v>
      </c>
      <c r="K15" s="135" t="s">
        <v>751</v>
      </c>
      <c r="L15" s="135" t="s">
        <v>752</v>
      </c>
      <c r="M15" s="135" t="s">
        <v>754</v>
      </c>
      <c r="N15" s="135" t="s">
        <v>722</v>
      </c>
      <c r="O15" s="135" t="s">
        <v>0</v>
      </c>
      <c r="P15" s="135" t="s">
        <v>743</v>
      </c>
      <c r="Q15" s="135" t="s">
        <v>1</v>
      </c>
      <c r="R15" s="135" t="s">
        <v>780</v>
      </c>
      <c r="S15" s="135" t="s">
        <v>761</v>
      </c>
      <c r="T15" s="135" t="s">
        <v>13</v>
      </c>
      <c r="U15" s="135" t="s">
        <v>744</v>
      </c>
      <c r="V15" s="135" t="s">
        <v>14</v>
      </c>
      <c r="W15" s="135" t="s">
        <v>15</v>
      </c>
      <c r="X15" s="135" t="s">
        <v>723</v>
      </c>
      <c r="Y15" s="135" t="s">
        <v>956</v>
      </c>
      <c r="Z15" s="135" t="s">
        <v>763</v>
      </c>
      <c r="AA15" s="135" t="s">
        <v>676</v>
      </c>
      <c r="AB15" s="136" t="s">
        <v>957</v>
      </c>
      <c r="AC15" s="136" t="s">
        <v>733</v>
      </c>
    </row>
    <row r="16" spans="1:29" ht="13" hidden="1" thickBot="1" x14ac:dyDescent="0.3">
      <c r="C16" s="137"/>
      <c r="D16" s="138" t="s">
        <v>681</v>
      </c>
      <c r="E16" s="139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1"/>
    </row>
    <row r="17" spans="3:33" ht="13" hidden="1" thickBot="1" x14ac:dyDescent="0.3">
      <c r="C17" s="138" t="s">
        <v>4</v>
      </c>
      <c r="D17" s="143" t="s">
        <v>679</v>
      </c>
      <c r="E17" s="143" t="s">
        <v>776</v>
      </c>
      <c r="F17" s="143" t="s">
        <v>772</v>
      </c>
      <c r="G17" s="143" t="s">
        <v>773</v>
      </c>
      <c r="H17" s="143" t="s">
        <v>682</v>
      </c>
      <c r="I17" s="143" t="s">
        <v>683</v>
      </c>
      <c r="J17" s="143" t="s">
        <v>774</v>
      </c>
      <c r="K17" s="143" t="s">
        <v>684</v>
      </c>
      <c r="L17" s="143" t="s">
        <v>685</v>
      </c>
      <c r="M17" s="143" t="s">
        <v>775</v>
      </c>
      <c r="N17" s="143" t="s">
        <v>686</v>
      </c>
      <c r="O17" s="143" t="s">
        <v>687</v>
      </c>
      <c r="P17" s="143" t="s">
        <v>777</v>
      </c>
      <c r="Q17" s="143" t="s">
        <v>688</v>
      </c>
      <c r="R17" s="143" t="s">
        <v>689</v>
      </c>
      <c r="S17" s="143" t="s">
        <v>690</v>
      </c>
      <c r="T17" s="143" t="s">
        <v>691</v>
      </c>
      <c r="U17" s="143" t="s">
        <v>680</v>
      </c>
      <c r="V17" s="143" t="s">
        <v>692</v>
      </c>
      <c r="W17" s="143" t="s">
        <v>693</v>
      </c>
      <c r="X17" s="143" t="s">
        <v>694</v>
      </c>
      <c r="Y17" s="143" t="s">
        <v>959</v>
      </c>
      <c r="Z17" s="143" t="s">
        <v>778</v>
      </c>
      <c r="AA17" s="143" t="s">
        <v>702</v>
      </c>
      <c r="AB17" s="144" t="s">
        <v>695</v>
      </c>
      <c r="AF17" s="145" t="s">
        <v>703</v>
      </c>
    </row>
    <row r="18" spans="3:33" ht="15.5" x14ac:dyDescent="0.35">
      <c r="C18" s="248" t="s">
        <v>17</v>
      </c>
      <c r="D18" s="249">
        <v>0.70478474653269563</v>
      </c>
      <c r="E18" s="250">
        <v>0.74299791369463042</v>
      </c>
      <c r="F18" s="250">
        <v>0.97132993602032613</v>
      </c>
      <c r="G18" s="250">
        <v>0.88346575237889902</v>
      </c>
      <c r="H18" s="250">
        <v>0.90253170595337862</v>
      </c>
      <c r="I18" s="250">
        <v>0.96179695923308628</v>
      </c>
      <c r="J18" s="250">
        <v>0.88622227578725743</v>
      </c>
      <c r="K18" s="250">
        <v>0.87680415414203261</v>
      </c>
      <c r="L18" s="250">
        <v>0.91849657069345492</v>
      </c>
      <c r="M18" s="250">
        <v>0.84188819096949163</v>
      </c>
      <c r="N18" s="250">
        <v>0.83235521418225178</v>
      </c>
      <c r="O18" s="250">
        <v>0.96420891721540003</v>
      </c>
      <c r="P18" s="250">
        <v>0.87002770076315128</v>
      </c>
      <c r="Q18" s="250">
        <v>0.87795270556218197</v>
      </c>
      <c r="R18" s="250">
        <v>1.0450669371939161</v>
      </c>
      <c r="S18" s="250">
        <v>0.38510929117608533</v>
      </c>
      <c r="T18" s="250">
        <v>0.97810638939920747</v>
      </c>
      <c r="U18" s="250">
        <v>0.92389476236815693</v>
      </c>
      <c r="V18" s="250">
        <v>0.68074642672253438</v>
      </c>
      <c r="W18" s="250">
        <v>0.44644050132278673</v>
      </c>
      <c r="X18" s="250">
        <v>0.83676278025707496</v>
      </c>
      <c r="Y18" s="250">
        <v>0.97810638939920747</v>
      </c>
      <c r="Z18" s="251">
        <v>1138.1322500000006</v>
      </c>
      <c r="AA18" s="264">
        <v>297</v>
      </c>
      <c r="AB18" s="252">
        <v>8.8368760449008835E-2</v>
      </c>
      <c r="AC18" s="238" t="str">
        <f>IFERROR(IF(AND(AB18&lt;=10%,I18&gt;=90%),"CAT1",IF(AND(AB18&lt;=10%,I18&lt;90%),"CAT3",IF(AND(AB18&gt;10%,I18&gt;=90%),"CAT2",IF(AND(AB18&gt;10%,I18&lt;90%),"CAT4",)))),"ND")</f>
        <v>CAT1</v>
      </c>
      <c r="AF18" s="146" t="s">
        <v>707</v>
      </c>
      <c r="AG18" s="147">
        <v>0.97214662281056485</v>
      </c>
    </row>
    <row r="19" spans="3:33" ht="15.5" x14ac:dyDescent="0.35">
      <c r="C19" s="253" t="s">
        <v>18</v>
      </c>
      <c r="D19" s="254">
        <v>1.0989852125606361</v>
      </c>
      <c r="E19" s="255">
        <v>0.79198170062098705</v>
      </c>
      <c r="F19" s="255">
        <v>0.93907554960482376</v>
      </c>
      <c r="G19" s="255">
        <v>0.87642745585539605</v>
      </c>
      <c r="H19" s="255">
        <v>0.89709486822634132</v>
      </c>
      <c r="I19" s="255">
        <v>1.0130261344946121</v>
      </c>
      <c r="J19" s="255">
        <v>0.94924779163114836</v>
      </c>
      <c r="K19" s="255">
        <v>0.97104545311612966</v>
      </c>
      <c r="L19" s="255">
        <v>1.0118958853805762</v>
      </c>
      <c r="M19" s="255">
        <v>0.95070096906348045</v>
      </c>
      <c r="N19" s="255">
        <v>0.97120691727527764</v>
      </c>
      <c r="O19" s="255">
        <v>1.0152866327226844</v>
      </c>
      <c r="P19" s="255">
        <v>0.94504972349330008</v>
      </c>
      <c r="Q19" s="255">
        <v>0.97104545311612966</v>
      </c>
      <c r="R19" s="255">
        <v>0.97879573275523413</v>
      </c>
      <c r="S19" s="255">
        <v>0.46372506507308353</v>
      </c>
      <c r="T19" s="255">
        <v>0.90177732884163353</v>
      </c>
      <c r="U19" s="255">
        <v>0.92325206200831877</v>
      </c>
      <c r="V19" s="255">
        <v>0.44257326022469429</v>
      </c>
      <c r="W19" s="255">
        <v>0.46038760090349423</v>
      </c>
      <c r="X19" s="255">
        <v>0.75932961103728092</v>
      </c>
      <c r="Y19" s="255">
        <v>0.90177732884163353</v>
      </c>
      <c r="Z19" s="256">
        <v>293.24883333333321</v>
      </c>
      <c r="AA19" s="265">
        <v>367</v>
      </c>
      <c r="AB19" s="257">
        <v>4.1440867070449472E-2</v>
      </c>
      <c r="AC19" s="238" t="str">
        <f t="shared" ref="AC19:AC52" si="0">IFERROR(IF(AND(AB19&lt;=10%,I19&gt;=90%),"CAT1",IF(AND(AB19&lt;=10%,I19&lt;90%),"CAT3",IF(AND(AB19&gt;10%,I19&gt;=90%),"CAT2",IF(AND(AB19&gt;10%,I19&lt;90%),"CAT4",)))),"ND")</f>
        <v>CAT1</v>
      </c>
      <c r="AF19" s="146" t="s">
        <v>713</v>
      </c>
      <c r="AG19" s="147">
        <v>1.0017614831277371</v>
      </c>
    </row>
    <row r="20" spans="3:33" ht="15.5" x14ac:dyDescent="0.35">
      <c r="C20" s="253" t="s">
        <v>19</v>
      </c>
      <c r="D20" s="254">
        <v>0.7954743450671371</v>
      </c>
      <c r="E20" s="255">
        <v>0.46613401278786115</v>
      </c>
      <c r="F20" s="255">
        <v>1.1596661827262404</v>
      </c>
      <c r="G20" s="255">
        <v>1.1588287390880092</v>
      </c>
      <c r="H20" s="255">
        <v>1.1715836498856869</v>
      </c>
      <c r="I20" s="255">
        <v>1.0368196428718388</v>
      </c>
      <c r="J20" s="255">
        <v>1.0586575962072569</v>
      </c>
      <c r="K20" s="255">
        <v>1.0995634969977892</v>
      </c>
      <c r="L20" s="255">
        <v>0.97549300105674153</v>
      </c>
      <c r="M20" s="255">
        <v>0.90585634160073292</v>
      </c>
      <c r="N20" s="255">
        <v>1.0706394821081056</v>
      </c>
      <c r="O20" s="255">
        <v>0.96808484579546394</v>
      </c>
      <c r="P20" s="255">
        <v>0.91416635924164424</v>
      </c>
      <c r="Q20" s="255">
        <v>0.85863740415276413</v>
      </c>
      <c r="R20" s="255">
        <v>1.0573692213792085</v>
      </c>
      <c r="S20" s="255">
        <v>0.43431115453506908</v>
      </c>
      <c r="T20" s="255">
        <v>0.91513264036268038</v>
      </c>
      <c r="U20" s="255">
        <v>1.0900939420116345</v>
      </c>
      <c r="V20" s="255">
        <v>0.95384830394553066</v>
      </c>
      <c r="W20" s="255">
        <v>0.38596215131604822</v>
      </c>
      <c r="X20" s="255">
        <v>0.969823346579061</v>
      </c>
      <c r="Y20" s="255">
        <v>0.91513264036268038</v>
      </c>
      <c r="Z20" s="256">
        <v>996.17141666666646</v>
      </c>
      <c r="AA20" s="265">
        <v>764</v>
      </c>
      <c r="AB20" s="257">
        <v>0</v>
      </c>
      <c r="AC20" s="238" t="str">
        <f t="shared" si="0"/>
        <v>CAT1</v>
      </c>
      <c r="AF20" s="146" t="s">
        <v>705</v>
      </c>
      <c r="AG20" s="147">
        <v>0.99771904196234495</v>
      </c>
    </row>
    <row r="21" spans="3:33" ht="15.5" x14ac:dyDescent="0.35">
      <c r="C21" s="253" t="s">
        <v>20</v>
      </c>
      <c r="D21" s="254">
        <v>0.51696070037502873</v>
      </c>
      <c r="E21" s="255">
        <v>0.32506927848959438</v>
      </c>
      <c r="F21" s="255">
        <v>0.78489304104694146</v>
      </c>
      <c r="G21" s="255">
        <v>0.73762531432779133</v>
      </c>
      <c r="H21" s="255">
        <v>0.71108904669598771</v>
      </c>
      <c r="I21" s="255">
        <v>0.85019713717208323</v>
      </c>
      <c r="J21" s="255">
        <v>0.75483242537028894</v>
      </c>
      <c r="K21" s="255">
        <v>0.74840567305321148</v>
      </c>
      <c r="L21" s="255">
        <v>0.69636971074397158</v>
      </c>
      <c r="M21" s="255">
        <v>0.58773686512627554</v>
      </c>
      <c r="N21" s="255">
        <v>0.54710320531507628</v>
      </c>
      <c r="O21" s="255">
        <v>0.75524705455203589</v>
      </c>
      <c r="P21" s="255">
        <v>0.64226060252599704</v>
      </c>
      <c r="Q21" s="255">
        <v>0.60204157189654472</v>
      </c>
      <c r="R21" s="255">
        <v>0.83879483467404259</v>
      </c>
      <c r="S21" s="255">
        <v>0.26785045140851782</v>
      </c>
      <c r="T21" s="255">
        <v>0.77908823250248449</v>
      </c>
      <c r="U21" s="255">
        <v>0.74073503319089329</v>
      </c>
      <c r="V21" s="255">
        <v>0.67999185806496787</v>
      </c>
      <c r="W21" s="255">
        <v>0.24364802778347228</v>
      </c>
      <c r="X21" s="255">
        <v>0.5005004401461528</v>
      </c>
      <c r="Y21" s="255">
        <v>0.77908823250248449</v>
      </c>
      <c r="Z21" s="256">
        <v>864.00800000000027</v>
      </c>
      <c r="AA21" s="265">
        <v>268</v>
      </c>
      <c r="AB21" s="257">
        <v>0.11972689587905389</v>
      </c>
      <c r="AC21" s="238" t="str">
        <f t="shared" si="0"/>
        <v>CAT4</v>
      </c>
      <c r="AF21" s="146" t="s">
        <v>710</v>
      </c>
      <c r="AG21" s="147">
        <v>0.94196836714986931</v>
      </c>
    </row>
    <row r="22" spans="3:33" ht="15.5" x14ac:dyDescent="0.35">
      <c r="C22" s="253" t="s">
        <v>21</v>
      </c>
      <c r="D22" s="254">
        <v>0.93421501124821027</v>
      </c>
      <c r="E22" s="255">
        <v>0.61115570113454865</v>
      </c>
      <c r="F22" s="255">
        <v>1.0354174573555406</v>
      </c>
      <c r="G22" s="255">
        <v>1.0247913802199873</v>
      </c>
      <c r="H22" s="255">
        <v>1.040886761763546</v>
      </c>
      <c r="I22" s="255">
        <v>1.0477624587336101</v>
      </c>
      <c r="J22" s="255">
        <v>1.0241663168590722</v>
      </c>
      <c r="K22" s="255">
        <v>1.0524504339404717</v>
      </c>
      <c r="L22" s="255">
        <v>1.0496376488163546</v>
      </c>
      <c r="M22" s="255">
        <v>1.0211972658947266</v>
      </c>
      <c r="N22" s="255">
        <v>1.0491688512956685</v>
      </c>
      <c r="O22" s="255">
        <v>1.0135402397235189</v>
      </c>
      <c r="P22" s="255">
        <v>0.98541238848234813</v>
      </c>
      <c r="Q22" s="255">
        <v>1.0202596708533542</v>
      </c>
      <c r="R22" s="255">
        <v>1.0413555592842321</v>
      </c>
      <c r="S22" s="255">
        <v>0.74507552621056705</v>
      </c>
      <c r="T22" s="255">
        <v>1.0258852411015882</v>
      </c>
      <c r="U22" s="255">
        <v>1.0572946749875622</v>
      </c>
      <c r="V22" s="255">
        <v>1.0086959986764283</v>
      </c>
      <c r="W22" s="255">
        <v>0.2064217056377394</v>
      </c>
      <c r="X22" s="255">
        <v>0.68743608971300008</v>
      </c>
      <c r="Y22" s="255">
        <v>1.0258852411015882</v>
      </c>
      <c r="Z22" s="256">
        <v>213.48783333333338</v>
      </c>
      <c r="AA22" s="265">
        <v>320</v>
      </c>
      <c r="AB22" s="257">
        <v>0</v>
      </c>
      <c r="AC22" s="238" t="str">
        <f t="shared" si="0"/>
        <v>CAT1</v>
      </c>
      <c r="AF22" s="146" t="s">
        <v>706</v>
      </c>
      <c r="AG22" s="147">
        <v>0.9920659903798752</v>
      </c>
    </row>
    <row r="23" spans="3:33" ht="15.5" x14ac:dyDescent="0.35">
      <c r="C23" s="253" t="s">
        <v>22</v>
      </c>
      <c r="D23" s="254">
        <v>0.88435797278132999</v>
      </c>
      <c r="E23" s="255">
        <v>0.69179104802137703</v>
      </c>
      <c r="F23" s="255">
        <v>1.0178681557758884</v>
      </c>
      <c r="G23" s="255">
        <v>0.92733078654802892</v>
      </c>
      <c r="H23" s="255">
        <v>0.93816675514852865</v>
      </c>
      <c r="I23" s="255">
        <v>1.0358330510872433</v>
      </c>
      <c r="J23" s="255">
        <v>0.94928788081746263</v>
      </c>
      <c r="K23" s="255">
        <v>0.95684454313096901</v>
      </c>
      <c r="L23" s="255">
        <v>1.0372588364294144</v>
      </c>
      <c r="M23" s="255">
        <v>0.95000077348854817</v>
      </c>
      <c r="N23" s="255">
        <v>0.95827032847313998</v>
      </c>
      <c r="O23" s="255">
        <v>0.98493251437173801</v>
      </c>
      <c r="P23" s="255">
        <v>0.90266470012847044</v>
      </c>
      <c r="Q23" s="255">
        <v>0.90965104830510835</v>
      </c>
      <c r="R23" s="255">
        <v>0.90323501426533881</v>
      </c>
      <c r="S23" s="255">
        <v>0.56789030178671573</v>
      </c>
      <c r="T23" s="255">
        <v>0.92134248811091068</v>
      </c>
      <c r="U23" s="255">
        <v>0.91977412423452254</v>
      </c>
      <c r="V23" s="255">
        <v>0.73228335173903392</v>
      </c>
      <c r="W23" s="255">
        <v>0.4921254944890901</v>
      </c>
      <c r="X23" s="255">
        <v>0.67511755778369364</v>
      </c>
      <c r="Y23" s="255">
        <v>0.90323501426533881</v>
      </c>
      <c r="Z23" s="256">
        <v>178.36866666666668</v>
      </c>
      <c r="AA23" s="265">
        <v>1119</v>
      </c>
      <c r="AB23" s="257">
        <v>7.6256022023399858E-2</v>
      </c>
      <c r="AC23" s="238" t="str">
        <f t="shared" si="0"/>
        <v>CAT1</v>
      </c>
      <c r="AF23" s="146" t="s">
        <v>712</v>
      </c>
      <c r="AG23" s="147">
        <v>0.8488339046628075</v>
      </c>
    </row>
    <row r="24" spans="3:33" ht="15.5" x14ac:dyDescent="0.35">
      <c r="C24" s="253" t="s">
        <v>23</v>
      </c>
      <c r="D24" s="254">
        <v>0.73109149815663044</v>
      </c>
      <c r="E24" s="255">
        <v>0.180799699350075</v>
      </c>
      <c r="F24" s="255">
        <v>0.89388293283489639</v>
      </c>
      <c r="G24" s="255">
        <v>0.81513518842958743</v>
      </c>
      <c r="H24" s="255">
        <v>0.85431699296296071</v>
      </c>
      <c r="I24" s="255">
        <v>0.86059120349281459</v>
      </c>
      <c r="J24" s="255">
        <v>0.75981969967659002</v>
      </c>
      <c r="K24" s="255">
        <v>0.78069105307181819</v>
      </c>
      <c r="L24" s="255">
        <v>0.87339571477823064</v>
      </c>
      <c r="M24" s="255">
        <v>0.78184345908750563</v>
      </c>
      <c r="N24" s="255">
        <v>0.78927007563304696</v>
      </c>
      <c r="O24" s="255">
        <v>0.84676233130456513</v>
      </c>
      <c r="P24" s="255">
        <v>0.83523827114769067</v>
      </c>
      <c r="Q24" s="255">
        <v>0.7278084214630498</v>
      </c>
      <c r="R24" s="255">
        <v>0.88440759448368844</v>
      </c>
      <c r="S24" s="255">
        <v>0.13585586473826458</v>
      </c>
      <c r="T24" s="255">
        <v>0.79298338390581768</v>
      </c>
      <c r="U24" s="255">
        <v>0.87838947417954294</v>
      </c>
      <c r="V24" s="255">
        <v>0.83421391024485747</v>
      </c>
      <c r="W24" s="255">
        <v>0.34443078985588194</v>
      </c>
      <c r="X24" s="255">
        <v>0.48229248128700691</v>
      </c>
      <c r="Y24" s="255">
        <v>0.79298338390581768</v>
      </c>
      <c r="Z24" s="256">
        <v>1251.2745833333331</v>
      </c>
      <c r="AA24" s="265">
        <v>256</v>
      </c>
      <c r="AB24" s="257">
        <v>9.2843326885880081E-2</v>
      </c>
      <c r="AC24" s="238" t="str">
        <f t="shared" si="0"/>
        <v>CAT3</v>
      </c>
      <c r="AF24" s="146" t="s">
        <v>708</v>
      </c>
      <c r="AG24" s="147">
        <v>0.91734767233545322</v>
      </c>
    </row>
    <row r="25" spans="3:33" ht="15.5" x14ac:dyDescent="0.35">
      <c r="C25" s="253" t="s">
        <v>24</v>
      </c>
      <c r="D25" s="254">
        <v>1.6521261519880801</v>
      </c>
      <c r="E25" s="255">
        <v>0.88469512645828541</v>
      </c>
      <c r="F25" s="255">
        <v>1.5905522476388847</v>
      </c>
      <c r="G25" s="255">
        <v>1.4632579848391314</v>
      </c>
      <c r="H25" s="255">
        <v>1.4908036285925206</v>
      </c>
      <c r="I25" s="255">
        <v>1.5869003630503671</v>
      </c>
      <c r="J25" s="255">
        <v>1.4676402463453524</v>
      </c>
      <c r="K25" s="255">
        <v>1.4903862703538329</v>
      </c>
      <c r="L25" s="255">
        <v>1.5919086619146197</v>
      </c>
      <c r="M25" s="255">
        <v>1.4664925111889611</v>
      </c>
      <c r="N25" s="255">
        <v>1.4878821209217066</v>
      </c>
      <c r="O25" s="255">
        <v>1.5850222509762724</v>
      </c>
      <c r="P25" s="255">
        <v>1.4556411969830805</v>
      </c>
      <c r="Q25" s="255">
        <v>1.4805783517446716</v>
      </c>
      <c r="R25" s="255">
        <v>1.3907419908671408</v>
      </c>
      <c r="S25" s="255">
        <v>0.5880577583109915</v>
      </c>
      <c r="T25" s="255">
        <v>1.3322074978911886</v>
      </c>
      <c r="U25" s="255">
        <v>1.477030806715826</v>
      </c>
      <c r="V25" s="255">
        <v>1.171733255115762</v>
      </c>
      <c r="W25" s="255">
        <v>0.41512537211073647</v>
      </c>
      <c r="X25" s="255">
        <v>0.99557260293925742</v>
      </c>
      <c r="Y25" s="255">
        <v>1.3322074978911886</v>
      </c>
      <c r="Z25" s="256">
        <v>472.68724999999989</v>
      </c>
      <c r="AA25" s="265">
        <v>2190</v>
      </c>
      <c r="AB25" s="257">
        <v>6.0819251758827013E-2</v>
      </c>
      <c r="AC25" s="238" t="str">
        <f t="shared" si="0"/>
        <v>CAT1</v>
      </c>
      <c r="AF25" s="146" t="s">
        <v>711</v>
      </c>
      <c r="AG25" s="147">
        <v>0.77584631642402857</v>
      </c>
    </row>
    <row r="26" spans="3:33" ht="15.5" x14ac:dyDescent="0.35">
      <c r="C26" s="253" t="s">
        <v>25</v>
      </c>
      <c r="D26" s="254">
        <v>0.92114049565951428</v>
      </c>
      <c r="E26" s="255">
        <v>0.51624956890453388</v>
      </c>
      <c r="F26" s="255">
        <v>1.0000079061996916</v>
      </c>
      <c r="G26" s="255">
        <v>0.94325655498864769</v>
      </c>
      <c r="H26" s="255">
        <v>0.96491737606156514</v>
      </c>
      <c r="I26" s="255">
        <v>1.0524270931961519</v>
      </c>
      <c r="J26" s="255">
        <v>1.0157481028460116</v>
      </c>
      <c r="K26" s="255">
        <v>1.0509830384579575</v>
      </c>
      <c r="L26" s="255">
        <v>1.0408746552905959</v>
      </c>
      <c r="M26" s="255">
        <v>1.0186362123224006</v>
      </c>
      <c r="N26" s="255">
        <v>1.030333055701776</v>
      </c>
      <c r="O26" s="255">
        <v>1.0205134834820535</v>
      </c>
      <c r="P26" s="255">
        <v>0.9493215848890646</v>
      </c>
      <c r="Q26" s="255">
        <v>1.0036180430451778</v>
      </c>
      <c r="R26" s="255">
        <v>0.97300408259545434</v>
      </c>
      <c r="S26" s="255">
        <v>0.70007773707669374</v>
      </c>
      <c r="T26" s="255">
        <v>0.96766108006413476</v>
      </c>
      <c r="U26" s="255">
        <v>0.89155939536128459</v>
      </c>
      <c r="V26" s="255">
        <v>0.70267703560544392</v>
      </c>
      <c r="W26" s="255">
        <v>0.77851554133225809</v>
      </c>
      <c r="X26" s="255">
        <v>1.2354949665486523</v>
      </c>
      <c r="Y26" s="255">
        <v>0.96766108006413476</v>
      </c>
      <c r="Z26" s="256">
        <v>278.59108333333336</v>
      </c>
      <c r="AA26" s="265">
        <v>641</v>
      </c>
      <c r="AB26" s="257">
        <v>1.3721185510428102E-3</v>
      </c>
      <c r="AC26" s="238" t="str">
        <f t="shared" si="0"/>
        <v>CAT1</v>
      </c>
      <c r="AF26" s="146" t="s">
        <v>704</v>
      </c>
      <c r="AG26" s="147">
        <v>0.8859482572676719</v>
      </c>
    </row>
    <row r="27" spans="3:33" ht="15.5" x14ac:dyDescent="0.35">
      <c r="C27" s="253" t="s">
        <v>26</v>
      </c>
      <c r="D27" s="254">
        <v>0.89116626724094594</v>
      </c>
      <c r="E27" s="255">
        <v>0.73298345346517879</v>
      </c>
      <c r="F27" s="255">
        <v>0.99964075935433871</v>
      </c>
      <c r="G27" s="255">
        <v>0.92487298963177034</v>
      </c>
      <c r="H27" s="255">
        <v>0.95613427292617759</v>
      </c>
      <c r="I27" s="255">
        <v>0.94417719221910013</v>
      </c>
      <c r="J27" s="255">
        <v>0.81437803900130801</v>
      </c>
      <c r="K27" s="255">
        <v>0.92833045875188913</v>
      </c>
      <c r="L27" s="255">
        <v>0.90744158281783827</v>
      </c>
      <c r="M27" s="255">
        <v>0.84117342468222855</v>
      </c>
      <c r="N27" s="255">
        <v>0.86955348370987007</v>
      </c>
      <c r="O27" s="255">
        <v>0.91089905193795695</v>
      </c>
      <c r="P27" s="255">
        <v>0.84852054656248088</v>
      </c>
      <c r="Q27" s="255">
        <v>0.90700939917782342</v>
      </c>
      <c r="R27" s="255">
        <v>0.96492200693981278</v>
      </c>
      <c r="S27" s="255">
        <v>0.53000120387153937</v>
      </c>
      <c r="T27" s="255">
        <v>0.91522088833810544</v>
      </c>
      <c r="U27" s="255">
        <v>0.93366072364540553</v>
      </c>
      <c r="V27" s="255">
        <v>0.77850679688007585</v>
      </c>
      <c r="W27" s="255">
        <v>0.47600093851078457</v>
      </c>
      <c r="X27" s="255">
        <v>0.62922120364008116</v>
      </c>
      <c r="Y27" s="255">
        <v>0.91522088833810544</v>
      </c>
      <c r="Z27" s="256">
        <v>948.6139166666668</v>
      </c>
      <c r="AA27" s="265">
        <v>507</v>
      </c>
      <c r="AB27" s="257">
        <v>1.6783643576441867E-2</v>
      </c>
      <c r="AC27" s="238" t="str">
        <f t="shared" si="0"/>
        <v>CAT1</v>
      </c>
      <c r="AF27" s="146" t="s">
        <v>709</v>
      </c>
      <c r="AG27" s="147">
        <v>0.49006164115350004</v>
      </c>
    </row>
    <row r="28" spans="3:33" ht="15.5" x14ac:dyDescent="0.35">
      <c r="C28" s="253" t="s">
        <v>27</v>
      </c>
      <c r="D28" s="254">
        <v>0.86421767597446308</v>
      </c>
      <c r="E28" s="255">
        <v>0.95590857105052274</v>
      </c>
      <c r="F28" s="255">
        <v>1.156020514513288</v>
      </c>
      <c r="G28" s="255">
        <v>1.0183266655651937</v>
      </c>
      <c r="H28" s="255">
        <v>1.0524579082586092</v>
      </c>
      <c r="I28" s="255">
        <v>1.1815020587159064</v>
      </c>
      <c r="J28" s="255">
        <v>1.0396002483398568</v>
      </c>
      <c r="K28" s="255">
        <v>1.0756016961123636</v>
      </c>
      <c r="L28" s="255">
        <v>1.0725626128588404</v>
      </c>
      <c r="M28" s="255">
        <v>0.9647920451762062</v>
      </c>
      <c r="N28" s="255">
        <v>0.99424777517189367</v>
      </c>
      <c r="O28" s="255">
        <v>1.1160448809477121</v>
      </c>
      <c r="P28" s="255">
        <v>0.99658553152075768</v>
      </c>
      <c r="Q28" s="255">
        <v>0.98536430104621009</v>
      </c>
      <c r="R28" s="255">
        <v>1.0957064007125947</v>
      </c>
      <c r="S28" s="255">
        <v>0.25084125623311587</v>
      </c>
      <c r="T28" s="255">
        <v>0.97157153858791201</v>
      </c>
      <c r="U28" s="255">
        <v>1.0421717803236072</v>
      </c>
      <c r="V28" s="255">
        <v>0.51594282619430265</v>
      </c>
      <c r="W28" s="255">
        <v>0.40039162094356173</v>
      </c>
      <c r="X28" s="255">
        <v>0.69063985151039231</v>
      </c>
      <c r="Y28" s="255">
        <v>0.97157153858791201</v>
      </c>
      <c r="Z28" s="256">
        <v>265.77391666666665</v>
      </c>
      <c r="AA28" s="265">
        <v>740</v>
      </c>
      <c r="AB28" s="257">
        <v>8.9631974673525919E-2</v>
      </c>
      <c r="AC28" s="238" t="str">
        <f t="shared" si="0"/>
        <v>CAT1</v>
      </c>
    </row>
    <row r="29" spans="3:33" ht="15.5" x14ac:dyDescent="0.35">
      <c r="C29" s="253" t="s">
        <v>28</v>
      </c>
      <c r="D29" s="254">
        <v>1.1826760906360576</v>
      </c>
      <c r="E29" s="255">
        <v>0.57412200866243013</v>
      </c>
      <c r="F29" s="255">
        <v>1.1729496637185082</v>
      </c>
      <c r="G29" s="255">
        <v>1.0403247920739462</v>
      </c>
      <c r="H29" s="255">
        <v>1.0364483831209679</v>
      </c>
      <c r="I29" s="255">
        <v>1.172381123738738</v>
      </c>
      <c r="J29" s="255">
        <v>1.01174273672732</v>
      </c>
      <c r="K29" s="255">
        <v>1.0340708522964746</v>
      </c>
      <c r="L29" s="255">
        <v>1.2070103770520104</v>
      </c>
      <c r="M29" s="255">
        <v>1.0270416307284074</v>
      </c>
      <c r="N29" s="255">
        <v>1.0635315603391091</v>
      </c>
      <c r="O29" s="255">
        <v>1.1062237442745761</v>
      </c>
      <c r="P29" s="255">
        <v>0.94961682257425539</v>
      </c>
      <c r="Q29" s="255">
        <v>0.96000559856823708</v>
      </c>
      <c r="R29" s="255">
        <v>1.1690215693128236</v>
      </c>
      <c r="S29" s="255">
        <v>0.40040720211629871</v>
      </c>
      <c r="T29" s="255">
        <v>0.982230343231979</v>
      </c>
      <c r="U29" s="255">
        <v>1.1344956869049641</v>
      </c>
      <c r="V29" s="255">
        <v>0.6730479651424347</v>
      </c>
      <c r="W29" s="255">
        <v>0.41275963767222734</v>
      </c>
      <c r="X29" s="255">
        <v>0.87873203317830462</v>
      </c>
      <c r="Y29" s="255">
        <v>0.982230343231979</v>
      </c>
      <c r="Z29" s="256">
        <v>3803.8785833333327</v>
      </c>
      <c r="AA29" s="265">
        <v>1979</v>
      </c>
      <c r="AB29" s="257">
        <v>0.11797381298770004</v>
      </c>
      <c r="AC29" s="238" t="str">
        <f t="shared" si="0"/>
        <v>CAT2</v>
      </c>
    </row>
    <row r="30" spans="3:33" ht="15.5" x14ac:dyDescent="0.35">
      <c r="C30" s="253" t="s">
        <v>29</v>
      </c>
      <c r="D30" s="254">
        <v>0.99792506753317922</v>
      </c>
      <c r="E30" s="255">
        <v>0.63931746309694981</v>
      </c>
      <c r="F30" s="255">
        <v>1.0479098844164911</v>
      </c>
      <c r="G30" s="255">
        <v>0.99675730805977281</v>
      </c>
      <c r="H30" s="255">
        <v>0.99819316985224205</v>
      </c>
      <c r="I30" s="255">
        <v>1.1595481387809781</v>
      </c>
      <c r="J30" s="255">
        <v>1.1101903896648464</v>
      </c>
      <c r="K30" s="255">
        <v>1.1153953886625476</v>
      </c>
      <c r="L30" s="255">
        <v>1.1625096037279461</v>
      </c>
      <c r="M30" s="255">
        <v>1.1012162534619134</v>
      </c>
      <c r="N30" s="255">
        <v>1.1286771102428885</v>
      </c>
      <c r="O30" s="255">
        <v>1.2395974337111408</v>
      </c>
      <c r="P30" s="255">
        <v>1.163586500072298</v>
      </c>
      <c r="Q30" s="255">
        <v>1.183688565166868</v>
      </c>
      <c r="R30" s="255">
        <v>1.1007675466517668</v>
      </c>
      <c r="S30" s="255">
        <v>1.0637043641336532</v>
      </c>
      <c r="T30" s="255">
        <v>1.0769860857139941</v>
      </c>
      <c r="U30" s="255">
        <v>1.020718251721604</v>
      </c>
      <c r="V30" s="255">
        <v>1.1980471830915609</v>
      </c>
      <c r="W30" s="255">
        <v>0.40104921113416586</v>
      </c>
      <c r="X30" s="255">
        <v>0.90279137141291144</v>
      </c>
      <c r="Y30" s="255">
        <v>1.0769860857139941</v>
      </c>
      <c r="Z30" s="256">
        <v>29.964833333333218</v>
      </c>
      <c r="AA30" s="265">
        <v>1082</v>
      </c>
      <c r="AB30" s="257">
        <v>3.8077548177385651E-2</v>
      </c>
      <c r="AC30" s="238" t="str">
        <f t="shared" si="0"/>
        <v>CAT1</v>
      </c>
    </row>
    <row r="31" spans="3:33" ht="15.5" x14ac:dyDescent="0.35">
      <c r="C31" s="253" t="s">
        <v>30</v>
      </c>
      <c r="D31" s="254">
        <v>0.90889528228701222</v>
      </c>
      <c r="E31" s="255">
        <v>0.69128410670552776</v>
      </c>
      <c r="F31" s="255">
        <v>1.0326981227084107</v>
      </c>
      <c r="G31" s="255">
        <v>0.97493567126665548</v>
      </c>
      <c r="H31" s="255">
        <v>0.97686315888204234</v>
      </c>
      <c r="I31" s="255">
        <v>1.0640353407134104</v>
      </c>
      <c r="J31" s="255">
        <v>1.0057754731128457</v>
      </c>
      <c r="K31" s="255">
        <v>1.0772790459417139</v>
      </c>
      <c r="L31" s="255">
        <v>1.0838076330260888</v>
      </c>
      <c r="M31" s="255">
        <v>1.0167808056265062</v>
      </c>
      <c r="N31" s="255">
        <v>1.0474340764131427</v>
      </c>
      <c r="O31" s="255">
        <v>1.0287809704577857</v>
      </c>
      <c r="P31" s="255">
        <v>1.065838474289095</v>
      </c>
      <c r="Q31" s="255">
        <v>0.9628111523956735</v>
      </c>
      <c r="R31" s="255">
        <v>1.0644705798523688</v>
      </c>
      <c r="S31" s="255">
        <v>0.28775524787130624</v>
      </c>
      <c r="T31" s="255">
        <v>0.9993090630483219</v>
      </c>
      <c r="U31" s="255">
        <v>1.1159531522891539</v>
      </c>
      <c r="V31" s="255">
        <v>0.96660395060659599</v>
      </c>
      <c r="W31" s="255">
        <v>0.438118556747637</v>
      </c>
      <c r="X31" s="255">
        <v>0.64985415939573354</v>
      </c>
      <c r="Y31" s="255">
        <v>0.9993090630483219</v>
      </c>
      <c r="Z31" s="256">
        <v>835.01691666666659</v>
      </c>
      <c r="AA31" s="265">
        <v>928</v>
      </c>
      <c r="AB31" s="257">
        <v>0</v>
      </c>
      <c r="AC31" s="238" t="str">
        <f t="shared" si="0"/>
        <v>CAT1</v>
      </c>
    </row>
    <row r="32" spans="3:33" ht="15.5" x14ac:dyDescent="0.35">
      <c r="C32" s="253" t="s">
        <v>31</v>
      </c>
      <c r="D32" s="254">
        <v>0.69205561991006037</v>
      </c>
      <c r="E32" s="255">
        <v>0.73798568802986486</v>
      </c>
      <c r="F32" s="255">
        <v>1.0950144710239971</v>
      </c>
      <c r="G32" s="255">
        <v>1.0186110686823047</v>
      </c>
      <c r="H32" s="255">
        <v>0.95553472165492148</v>
      </c>
      <c r="I32" s="255">
        <v>0.872013460224905</v>
      </c>
      <c r="J32" s="255">
        <v>0.83665133049886897</v>
      </c>
      <c r="K32" s="255">
        <v>0.77130332631563758</v>
      </c>
      <c r="L32" s="255">
        <v>0.99983203619396022</v>
      </c>
      <c r="M32" s="255">
        <v>0.86232105635995293</v>
      </c>
      <c r="N32" s="255">
        <v>0.84702523151057552</v>
      </c>
      <c r="O32" s="255">
        <v>0.9753738608159952</v>
      </c>
      <c r="P32" s="255">
        <v>0.8158278065702611</v>
      </c>
      <c r="Q32" s="255">
        <v>0.75911209957925252</v>
      </c>
      <c r="R32" s="255">
        <v>0.95349023021465817</v>
      </c>
      <c r="S32" s="255">
        <v>0.22974026036144163</v>
      </c>
      <c r="T32" s="255">
        <v>0.84755528484693998</v>
      </c>
      <c r="U32" s="255">
        <v>0.9663629540977976</v>
      </c>
      <c r="V32" s="255">
        <v>0.78977947118320246</v>
      </c>
      <c r="W32" s="255">
        <v>0.47026748472742813</v>
      </c>
      <c r="X32" s="255">
        <v>0.68373113226245485</v>
      </c>
      <c r="Y32" s="255">
        <v>0.84755528484693998</v>
      </c>
      <c r="Z32" s="256">
        <v>2123.1976666666669</v>
      </c>
      <c r="AA32" s="265">
        <v>622</v>
      </c>
      <c r="AB32" s="257">
        <v>0.11549149010072941</v>
      </c>
      <c r="AC32" s="238" t="str">
        <f t="shared" si="0"/>
        <v>CAT4</v>
      </c>
    </row>
    <row r="33" spans="3:30" ht="15.5" x14ac:dyDescent="0.35">
      <c r="C33" s="253" t="s">
        <v>32</v>
      </c>
      <c r="D33" s="254">
        <v>0.94183871872298719</v>
      </c>
      <c r="E33" s="255">
        <v>0.67675129867210315</v>
      </c>
      <c r="F33" s="255">
        <v>0.92568230739124246</v>
      </c>
      <c r="G33" s="255">
        <v>0.88607964691319752</v>
      </c>
      <c r="H33" s="255">
        <v>0.88496407901240759</v>
      </c>
      <c r="I33" s="255">
        <v>1.0326174590241122</v>
      </c>
      <c r="J33" s="255">
        <v>0.96879103841462733</v>
      </c>
      <c r="K33" s="255">
        <v>0.97022534000135729</v>
      </c>
      <c r="L33" s="255">
        <v>1.0202665286939372</v>
      </c>
      <c r="M33" s="255">
        <v>0.95524485676217741</v>
      </c>
      <c r="N33" s="255">
        <v>0.96719736998492734</v>
      </c>
      <c r="O33" s="255">
        <v>0.87388808342599256</v>
      </c>
      <c r="P33" s="255">
        <v>0.82902631712993768</v>
      </c>
      <c r="Q33" s="255">
        <v>0.82026114076658774</v>
      </c>
      <c r="R33" s="255">
        <v>0.99460846697576721</v>
      </c>
      <c r="S33" s="255">
        <v>0.71754921047242304</v>
      </c>
      <c r="T33" s="255">
        <v>0.94392981091130745</v>
      </c>
      <c r="U33" s="255">
        <v>0.95787440967118231</v>
      </c>
      <c r="V33" s="255">
        <v>0.8926136874749675</v>
      </c>
      <c r="W33" s="255">
        <v>0.74487783512202588</v>
      </c>
      <c r="X33" s="255">
        <v>1.8802012481836912</v>
      </c>
      <c r="Y33" s="255">
        <v>0.94392981091130745</v>
      </c>
      <c r="Z33" s="256">
        <v>568.10608333333323</v>
      </c>
      <c r="AA33" s="265">
        <v>1032</v>
      </c>
      <c r="AB33" s="257">
        <v>6.0421328806235047E-2</v>
      </c>
      <c r="AC33" s="238" t="str">
        <f t="shared" si="0"/>
        <v>CAT1</v>
      </c>
    </row>
    <row r="34" spans="3:30" ht="15.5" x14ac:dyDescent="0.35">
      <c r="C34" s="253" t="s">
        <v>33</v>
      </c>
      <c r="D34" s="254">
        <v>0.79286941220830376</v>
      </c>
      <c r="E34" s="255">
        <v>0.3610922608733127</v>
      </c>
      <c r="F34" s="255">
        <v>0.75747744883996115</v>
      </c>
      <c r="G34" s="255">
        <v>0.72314487350426726</v>
      </c>
      <c r="H34" s="255">
        <v>0.74283208453592386</v>
      </c>
      <c r="I34" s="255">
        <v>0.96011166970237871</v>
      </c>
      <c r="J34" s="255">
        <v>0.89000599139452807</v>
      </c>
      <c r="K34" s="255">
        <v>0.90249056424387131</v>
      </c>
      <c r="L34" s="255">
        <v>0.93082094109430413</v>
      </c>
      <c r="M34" s="255">
        <v>0.89720862957684155</v>
      </c>
      <c r="N34" s="255">
        <v>0.90705223509266986</v>
      </c>
      <c r="O34" s="255">
        <v>0.94834736067126679</v>
      </c>
      <c r="P34" s="255">
        <v>0.89912933309212506</v>
      </c>
      <c r="Q34" s="255">
        <v>0.91521522503262509</v>
      </c>
      <c r="R34" s="255">
        <v>0.86815798890817741</v>
      </c>
      <c r="S34" s="255">
        <v>0.56372648173573026</v>
      </c>
      <c r="T34" s="255">
        <v>0.95891123000532641</v>
      </c>
      <c r="U34" s="255">
        <v>0.86455666981702073</v>
      </c>
      <c r="V34" s="255">
        <v>0.73010742374717019</v>
      </c>
      <c r="W34" s="255">
        <v>0.23796556202605895</v>
      </c>
      <c r="X34" s="255">
        <v>0.63387657631237182</v>
      </c>
      <c r="Y34" s="255">
        <v>0.86815798890817741</v>
      </c>
      <c r="Z34" s="256">
        <v>339.6013333333334</v>
      </c>
      <c r="AA34" s="265">
        <v>424</v>
      </c>
      <c r="AB34" s="257">
        <v>6.0015003750937733E-2</v>
      </c>
      <c r="AC34" s="238" t="str">
        <f t="shared" si="0"/>
        <v>CAT1</v>
      </c>
    </row>
    <row r="35" spans="3:30" ht="15.5" x14ac:dyDescent="0.35">
      <c r="C35" s="253" t="s">
        <v>34</v>
      </c>
      <c r="D35" s="254">
        <v>0.56666996893921284</v>
      </c>
      <c r="E35" s="255">
        <v>0.30410072954285988</v>
      </c>
      <c r="F35" s="255">
        <v>0.58255360489190078</v>
      </c>
      <c r="G35" s="255">
        <v>0.51382537060690125</v>
      </c>
      <c r="H35" s="255">
        <v>0.50647832904096346</v>
      </c>
      <c r="I35" s="255">
        <v>0.62383062023507829</v>
      </c>
      <c r="J35" s="255">
        <v>0.56164793207245967</v>
      </c>
      <c r="K35" s="255">
        <v>0.54748817923628867</v>
      </c>
      <c r="L35" s="255">
        <v>0.61634999609521435</v>
      </c>
      <c r="M35" s="255">
        <v>0.5479557182450302</v>
      </c>
      <c r="N35" s="255">
        <v>0.53706873847004977</v>
      </c>
      <c r="O35" s="255">
        <v>0.61768582183447585</v>
      </c>
      <c r="P35" s="255">
        <v>0.54608556221006421</v>
      </c>
      <c r="Q35" s="255">
        <v>0.53913926836590487</v>
      </c>
      <c r="R35" s="255">
        <v>0.55383335149778046</v>
      </c>
      <c r="S35" s="255">
        <v>0.27584801515748109</v>
      </c>
      <c r="T35" s="255">
        <v>0.55202998674977755</v>
      </c>
      <c r="U35" s="255">
        <v>0.54354749330546759</v>
      </c>
      <c r="V35" s="255">
        <v>0.37636890203690215</v>
      </c>
      <c r="W35" s="255">
        <v>0.22208754130268824</v>
      </c>
      <c r="X35" s="255">
        <v>0.37960594175956736</v>
      </c>
      <c r="Y35" s="255">
        <v>0.55202998674977755</v>
      </c>
      <c r="Z35" s="256">
        <v>5762.636833333333</v>
      </c>
      <c r="AA35" s="265">
        <v>1344</v>
      </c>
      <c r="AB35" s="257">
        <v>0.12237687366167023</v>
      </c>
      <c r="AC35" s="238" t="str">
        <f t="shared" si="0"/>
        <v>CAT4</v>
      </c>
    </row>
    <row r="36" spans="3:30" ht="15.5" x14ac:dyDescent="0.35">
      <c r="C36" s="253" t="s">
        <v>35</v>
      </c>
      <c r="D36" s="254">
        <v>0.79978799865560113</v>
      </c>
      <c r="E36" s="255">
        <v>0.43203293051003666</v>
      </c>
      <c r="F36" s="255">
        <v>0.95681367120501259</v>
      </c>
      <c r="G36" s="255">
        <v>0.95266520685169265</v>
      </c>
      <c r="H36" s="255">
        <v>0.94584987255695274</v>
      </c>
      <c r="I36" s="255">
        <v>0.92347779693726284</v>
      </c>
      <c r="J36" s="255">
        <v>0.92051460811346286</v>
      </c>
      <c r="K36" s="255">
        <v>0.904513388464943</v>
      </c>
      <c r="L36" s="255">
        <v>0.93029313123200286</v>
      </c>
      <c r="M36" s="255">
        <v>0.90377259125899301</v>
      </c>
      <c r="N36" s="255">
        <v>0.91014344723016294</v>
      </c>
      <c r="O36" s="255">
        <v>0.93577503055603284</v>
      </c>
      <c r="P36" s="255">
        <v>0.94377564038029271</v>
      </c>
      <c r="Q36" s="255">
        <v>0.92495939134916283</v>
      </c>
      <c r="R36" s="255">
        <v>0.94733146696885273</v>
      </c>
      <c r="S36" s="255">
        <v>0.22075756737309829</v>
      </c>
      <c r="T36" s="255">
        <v>0.89532750311116305</v>
      </c>
      <c r="U36" s="255">
        <v>1.0831936745400816</v>
      </c>
      <c r="V36" s="255">
        <v>0.54196723587301587</v>
      </c>
      <c r="W36" s="255">
        <v>0.19248170842058995</v>
      </c>
      <c r="X36" s="255">
        <v>0.48294940406939157</v>
      </c>
      <c r="Y36" s="255">
        <v>0.89532750311116305</v>
      </c>
      <c r="Z36" s="256">
        <v>665.5331666666666</v>
      </c>
      <c r="AA36" s="265">
        <v>273</v>
      </c>
      <c r="AB36" s="257">
        <v>2.0535857532488367E-2</v>
      </c>
      <c r="AC36" s="238" t="str">
        <f t="shared" si="0"/>
        <v>CAT1</v>
      </c>
    </row>
    <row r="37" spans="3:30" ht="15.5" x14ac:dyDescent="0.35">
      <c r="C37" s="253" t="s">
        <v>36</v>
      </c>
      <c r="D37" s="254">
        <v>0.65548198669122648</v>
      </c>
      <c r="E37" s="255">
        <v>0.506773567455304</v>
      </c>
      <c r="F37" s="255">
        <v>0.95886618139460122</v>
      </c>
      <c r="G37" s="255">
        <v>0.92282430072926813</v>
      </c>
      <c r="H37" s="255">
        <v>0.93442617260570782</v>
      </c>
      <c r="I37" s="255">
        <v>0.97322587527445692</v>
      </c>
      <c r="J37" s="255">
        <v>0.94393590365196989</v>
      </c>
      <c r="K37" s="255">
        <v>0.9592465706364518</v>
      </c>
      <c r="L37" s="255">
        <v>0.88944514475688841</v>
      </c>
      <c r="M37" s="255">
        <v>0.81194083672985284</v>
      </c>
      <c r="N37" s="255">
        <v>0.8152692425960445</v>
      </c>
      <c r="O37" s="255">
        <v>0.91369495892485664</v>
      </c>
      <c r="P37" s="255">
        <v>0.85644637802635915</v>
      </c>
      <c r="Q37" s="255">
        <v>0.82572994674693279</v>
      </c>
      <c r="R37" s="255">
        <v>0.92215861955602985</v>
      </c>
      <c r="S37" s="255">
        <v>0.45047595966143272</v>
      </c>
      <c r="T37" s="255">
        <v>0.92215861955602985</v>
      </c>
      <c r="U37" s="255">
        <v>0.99100907233096691</v>
      </c>
      <c r="V37" s="255">
        <v>0.81365258831817999</v>
      </c>
      <c r="W37" s="255">
        <v>0.24269427988251105</v>
      </c>
      <c r="X37" s="255">
        <v>0.61175553011068518</v>
      </c>
      <c r="Y37" s="255">
        <v>0.92215861955602985</v>
      </c>
      <c r="Z37" s="256">
        <v>469.80233333333325</v>
      </c>
      <c r="AA37" s="265">
        <v>670</v>
      </c>
      <c r="AB37" s="257">
        <v>1.4363885088919288E-2</v>
      </c>
      <c r="AC37" s="238" t="str">
        <f t="shared" si="0"/>
        <v>CAT1</v>
      </c>
    </row>
    <row r="38" spans="3:30" ht="15.5" x14ac:dyDescent="0.35">
      <c r="C38" s="253" t="s">
        <v>37</v>
      </c>
      <c r="D38" s="254">
        <v>0.62117739345729084</v>
      </c>
      <c r="E38" s="255">
        <v>0.44911363098150753</v>
      </c>
      <c r="F38" s="255">
        <v>0.9864485194720507</v>
      </c>
      <c r="G38" s="255">
        <v>0.91002755755339559</v>
      </c>
      <c r="H38" s="255">
        <v>0.9341900675717939</v>
      </c>
      <c r="I38" s="255">
        <v>0.88038633886803497</v>
      </c>
      <c r="J38" s="255">
        <v>0.93742110088820763</v>
      </c>
      <c r="K38" s="255">
        <v>0.85903342303782249</v>
      </c>
      <c r="L38" s="255">
        <v>0.86619788821769639</v>
      </c>
      <c r="M38" s="255">
        <v>0.80199866101764983</v>
      </c>
      <c r="N38" s="255">
        <v>0.80185818130824049</v>
      </c>
      <c r="O38" s="255">
        <v>0.82995412319009898</v>
      </c>
      <c r="P38" s="255">
        <v>0.77572895535811215</v>
      </c>
      <c r="Q38" s="255">
        <v>0.80199866101764983</v>
      </c>
      <c r="R38" s="255">
        <v>0.92182785314377613</v>
      </c>
      <c r="S38" s="255">
        <v>0.25426827403081909</v>
      </c>
      <c r="T38" s="255">
        <v>0.78415773792266974</v>
      </c>
      <c r="U38" s="255">
        <v>0.94374268781162574</v>
      </c>
      <c r="V38" s="255">
        <v>0.74805445260448156</v>
      </c>
      <c r="W38" s="255">
        <v>0.42911248115508588</v>
      </c>
      <c r="X38" s="255">
        <v>0.79461188669763549</v>
      </c>
      <c r="Y38" s="255">
        <v>0.78415773792266974</v>
      </c>
      <c r="Z38" s="256">
        <v>1125.3214166666667</v>
      </c>
      <c r="AA38" s="265">
        <v>204</v>
      </c>
      <c r="AB38" s="257">
        <v>2.4254029041008457E-2</v>
      </c>
      <c r="AC38" s="238" t="str">
        <f t="shared" si="0"/>
        <v>CAT3</v>
      </c>
    </row>
    <row r="39" spans="3:30" ht="15.5" x14ac:dyDescent="0.35">
      <c r="C39" s="253" t="s">
        <v>38</v>
      </c>
      <c r="D39" s="254">
        <v>0.61796775019196315</v>
      </c>
      <c r="E39" s="255">
        <v>0.35448827063026245</v>
      </c>
      <c r="F39" s="255">
        <v>1.1067637764265592</v>
      </c>
      <c r="G39" s="255">
        <v>0.9448326895448107</v>
      </c>
      <c r="H39" s="255">
        <v>0.91631873728954627</v>
      </c>
      <c r="I39" s="255">
        <v>1.0032686904630068</v>
      </c>
      <c r="J39" s="255">
        <v>0.87759608607869333</v>
      </c>
      <c r="K39" s="255">
        <v>0.81599186824324554</v>
      </c>
      <c r="L39" s="255">
        <v>0.89730943578603661</v>
      </c>
      <c r="M39" s="255">
        <v>0.71073666177010908</v>
      </c>
      <c r="N39" s="255">
        <v>0.66145328750175081</v>
      </c>
      <c r="O39" s="255">
        <v>0.87442786916144177</v>
      </c>
      <c r="P39" s="255">
        <v>0.69876784230493638</v>
      </c>
      <c r="Q39" s="255">
        <v>0.66074923929791718</v>
      </c>
      <c r="R39" s="255">
        <v>0.83922545896975731</v>
      </c>
      <c r="S39" s="255">
        <v>0.3115413301964074</v>
      </c>
      <c r="T39" s="255">
        <v>0.74347490324837562</v>
      </c>
      <c r="U39" s="255">
        <v>0.8751319173652754</v>
      </c>
      <c r="V39" s="255">
        <v>0.72094536072569759</v>
      </c>
      <c r="W39" s="255">
        <v>0.27427693882774512</v>
      </c>
      <c r="X39" s="255">
        <v>0.5387253647299719</v>
      </c>
      <c r="Y39" s="255">
        <v>0.74347490324837562</v>
      </c>
      <c r="Z39" s="256">
        <v>375.18674999999996</v>
      </c>
      <c r="AA39" s="265">
        <v>522</v>
      </c>
      <c r="AB39" s="257">
        <v>0.18666666666666668</v>
      </c>
      <c r="AC39" s="238" t="str">
        <f t="shared" si="0"/>
        <v>CAT2</v>
      </c>
      <c r="AD39" s="52"/>
    </row>
    <row r="40" spans="3:30" ht="15.5" x14ac:dyDescent="0.35">
      <c r="C40" s="253" t="s">
        <v>39</v>
      </c>
      <c r="D40" s="254">
        <v>0.79857862256752077</v>
      </c>
      <c r="E40" s="255">
        <v>0.437214358331598</v>
      </c>
      <c r="F40" s="255">
        <v>1.0305896119085456</v>
      </c>
      <c r="G40" s="255">
        <v>0.96642628110750506</v>
      </c>
      <c r="H40" s="255">
        <v>0.9731137268529656</v>
      </c>
      <c r="I40" s="255">
        <v>1.0027553782652774</v>
      </c>
      <c r="J40" s="255">
        <v>0.92431344708879382</v>
      </c>
      <c r="K40" s="255">
        <v>0.94654468564802763</v>
      </c>
      <c r="L40" s="255">
        <v>0.94762913630945367</v>
      </c>
      <c r="M40" s="255">
        <v>0.85689676430347506</v>
      </c>
      <c r="N40" s="255">
        <v>0.87750132687056981</v>
      </c>
      <c r="O40" s="255">
        <v>1.0029361200421816</v>
      </c>
      <c r="P40" s="255">
        <v>0.95503954916253164</v>
      </c>
      <c r="Q40" s="255">
        <v>0.89015325125387357</v>
      </c>
      <c r="R40" s="255">
        <v>0.98504268412865204</v>
      </c>
      <c r="S40" s="255">
        <v>0.31828626912854241</v>
      </c>
      <c r="T40" s="255">
        <v>0.90605852762145556</v>
      </c>
      <c r="U40" s="255">
        <v>0.94780987808635797</v>
      </c>
      <c r="V40" s="255">
        <v>0.88726138282340417</v>
      </c>
      <c r="W40" s="255">
        <v>0.21068345966631274</v>
      </c>
      <c r="X40" s="255">
        <v>0.65128943744152068</v>
      </c>
      <c r="Y40" s="255">
        <v>0.90605852762145556</v>
      </c>
      <c r="Z40" s="256">
        <v>215.84383333333321</v>
      </c>
      <c r="AA40" s="265">
        <v>238</v>
      </c>
      <c r="AB40" s="257">
        <v>5.6056236481614993E-2</v>
      </c>
      <c r="AC40" s="238" t="str">
        <f t="shared" si="0"/>
        <v>CAT1</v>
      </c>
      <c r="AD40" s="52"/>
    </row>
    <row r="41" spans="3:30" ht="15.5" x14ac:dyDescent="0.35">
      <c r="C41" s="253" t="s">
        <v>40</v>
      </c>
      <c r="D41" s="254">
        <v>1.022219207041517</v>
      </c>
      <c r="E41" s="255">
        <v>1.2725796047785767</v>
      </c>
      <c r="F41" s="255">
        <v>1.4187095475694942</v>
      </c>
      <c r="G41" s="255">
        <v>1.2863498311074839</v>
      </c>
      <c r="H41" s="255">
        <v>1.2706984263183434</v>
      </c>
      <c r="I41" s="255">
        <v>1.3610702395479479</v>
      </c>
      <c r="J41" s="255">
        <v>1.2457163763664461</v>
      </c>
      <c r="K41" s="255">
        <v>1.2320966443143575</v>
      </c>
      <c r="L41" s="255">
        <v>1.2939497920868261</v>
      </c>
      <c r="M41" s="255">
        <v>1.210049232760424</v>
      </c>
      <c r="N41" s="255">
        <v>1.1980849377533407</v>
      </c>
      <c r="O41" s="255">
        <v>1.2588093784496694</v>
      </c>
      <c r="P41" s="255">
        <v>1.0980814908073422</v>
      </c>
      <c r="Q41" s="255">
        <v>1.0766360563606832</v>
      </c>
      <c r="R41" s="255">
        <v>1.40682049970082</v>
      </c>
      <c r="S41" s="255">
        <v>0.35629520036817408</v>
      </c>
      <c r="T41" s="255">
        <v>1.2846191469240693</v>
      </c>
      <c r="U41" s="255">
        <v>1.1918394252653663</v>
      </c>
      <c r="V41" s="255">
        <v>0.48090446157402339</v>
      </c>
      <c r="W41" s="255">
        <v>0.40219106373386854</v>
      </c>
      <c r="X41" s="255">
        <v>1.1001494702886769</v>
      </c>
      <c r="Y41" s="255">
        <v>1.2846191469240693</v>
      </c>
      <c r="Z41" s="256">
        <v>995.03466666666668</v>
      </c>
      <c r="AA41" s="265">
        <v>2524</v>
      </c>
      <c r="AB41" s="257">
        <v>9.4758956214064577E-2</v>
      </c>
      <c r="AC41" s="238" t="str">
        <f t="shared" si="0"/>
        <v>CAT1</v>
      </c>
    </row>
    <row r="42" spans="3:30" ht="15.5" x14ac:dyDescent="0.35">
      <c r="C42" s="253" t="s">
        <v>41</v>
      </c>
      <c r="D42" s="254">
        <v>0.70131488790433372</v>
      </c>
      <c r="E42" s="255">
        <v>0.5054127949586078</v>
      </c>
      <c r="F42" s="255">
        <v>1.0821441218360741</v>
      </c>
      <c r="G42" s="255">
        <v>1.0247908031928066</v>
      </c>
      <c r="H42" s="255">
        <v>1.2443964470685147</v>
      </c>
      <c r="I42" s="255">
        <v>1.0220190814739871</v>
      </c>
      <c r="J42" s="255">
        <v>0.9898244676630823</v>
      </c>
      <c r="K42" s="255">
        <v>0.99920567963447171</v>
      </c>
      <c r="L42" s="255">
        <v>1.0108255899172156</v>
      </c>
      <c r="M42" s="255">
        <v>0.91637384211436246</v>
      </c>
      <c r="N42" s="255">
        <v>0.95080715423662154</v>
      </c>
      <c r="O42" s="255">
        <v>0.93780138309446792</v>
      </c>
      <c r="P42" s="255">
        <v>0.82437400198584976</v>
      </c>
      <c r="Q42" s="255">
        <v>0.79239259753793112</v>
      </c>
      <c r="R42" s="255">
        <v>1.0291615951340223</v>
      </c>
      <c r="S42" s="255">
        <v>0.82863818924557231</v>
      </c>
      <c r="T42" s="255">
        <v>0.99547451578221458</v>
      </c>
      <c r="U42" s="255">
        <v>1.0543202999663848</v>
      </c>
      <c r="V42" s="255">
        <v>0.99312921278936717</v>
      </c>
      <c r="W42" s="255">
        <v>0.2628535640872211</v>
      </c>
      <c r="X42" s="255">
        <v>0.88557281800227594</v>
      </c>
      <c r="Y42" s="255">
        <v>0.99547451578221458</v>
      </c>
      <c r="Z42" s="256">
        <v>236.46191666666658</v>
      </c>
      <c r="AA42" s="265">
        <v>365</v>
      </c>
      <c r="AB42" s="257">
        <v>2.232189423177219E-2</v>
      </c>
      <c r="AC42" s="238" t="str">
        <f t="shared" si="0"/>
        <v>CAT1</v>
      </c>
    </row>
    <row r="43" spans="3:30" ht="15.5" x14ac:dyDescent="0.35">
      <c r="C43" s="253" t="s">
        <v>42</v>
      </c>
      <c r="D43" s="254">
        <v>0.62851940519944693</v>
      </c>
      <c r="E43" s="255">
        <v>0.38791172385168232</v>
      </c>
      <c r="F43" s="255">
        <v>0.82084632773197841</v>
      </c>
      <c r="G43" s="255">
        <v>0.81166784360597344</v>
      </c>
      <c r="H43" s="255">
        <v>0.75891571378703981</v>
      </c>
      <c r="I43" s="255">
        <v>0.78770716925598161</v>
      </c>
      <c r="J43" s="255">
        <v>0.74519629540922194</v>
      </c>
      <c r="K43" s="255">
        <v>0.69582571237355328</v>
      </c>
      <c r="L43" s="255">
        <v>0.82152263708863138</v>
      </c>
      <c r="M43" s="255">
        <v>0.77466406023481671</v>
      </c>
      <c r="N43" s="255">
        <v>0.72278147101729406</v>
      </c>
      <c r="O43" s="255">
        <v>0.87156952948095301</v>
      </c>
      <c r="P43" s="255">
        <v>0.7556307826261538</v>
      </c>
      <c r="Q43" s="255">
        <v>0.70123618722677716</v>
      </c>
      <c r="R43" s="255">
        <v>0.74732183910155991</v>
      </c>
      <c r="S43" s="255">
        <v>9.2557766239081365E-2</v>
      </c>
      <c r="T43" s="255">
        <v>0.68249275648525132</v>
      </c>
      <c r="U43" s="255">
        <v>0.83215035555032135</v>
      </c>
      <c r="V43" s="255">
        <v>0.37767046787950842</v>
      </c>
      <c r="W43" s="255">
        <v>0.43741781029773741</v>
      </c>
      <c r="X43" s="255">
        <v>0.50409684054354786</v>
      </c>
      <c r="Y43" s="255">
        <v>0.68249275648525132</v>
      </c>
      <c r="Z43" s="256">
        <v>2523.8056666666671</v>
      </c>
      <c r="AA43" s="265">
        <v>783</v>
      </c>
      <c r="AB43" s="257">
        <v>0.11664418005642095</v>
      </c>
      <c r="AC43" s="238" t="str">
        <f t="shared" si="0"/>
        <v>CAT4</v>
      </c>
    </row>
    <row r="44" spans="3:30" ht="15.5" x14ac:dyDescent="0.35">
      <c r="C44" s="253" t="s">
        <v>43</v>
      </c>
      <c r="D44" s="254">
        <v>0.80437668818385766</v>
      </c>
      <c r="E44" s="255">
        <v>0.9884947371886923</v>
      </c>
      <c r="F44" s="255">
        <v>1.0210925664225043</v>
      </c>
      <c r="G44" s="255">
        <v>0.9601602055407914</v>
      </c>
      <c r="H44" s="255">
        <v>0.95799576215102122</v>
      </c>
      <c r="I44" s="255">
        <v>1.0406381461240657</v>
      </c>
      <c r="J44" s="255">
        <v>0.97465541733288885</v>
      </c>
      <c r="K44" s="255">
        <v>0.99603749445607337</v>
      </c>
      <c r="L44" s="255">
        <v>1.0237161341676804</v>
      </c>
      <c r="M44" s="255">
        <v>1.0076467817284773</v>
      </c>
      <c r="N44" s="255">
        <v>0.95897960005546223</v>
      </c>
      <c r="O44" s="255">
        <v>0.87627162688878835</v>
      </c>
      <c r="P44" s="255">
        <v>0.82419380714704449</v>
      </c>
      <c r="Q44" s="255">
        <v>0.82419380714704449</v>
      </c>
      <c r="R44" s="255">
        <v>0.88558529238416317</v>
      </c>
      <c r="S44" s="255">
        <v>0.80773091954606502</v>
      </c>
      <c r="T44" s="255">
        <v>0.86623648026349009</v>
      </c>
      <c r="U44" s="255">
        <v>0.94494351261877052</v>
      </c>
      <c r="V44" s="255">
        <v>0.73577957413461281</v>
      </c>
      <c r="W44" s="255">
        <v>0.33139907521860557</v>
      </c>
      <c r="X44" s="255">
        <v>0.91018861877947177</v>
      </c>
      <c r="Y44" s="255">
        <v>0.86623648026349009</v>
      </c>
      <c r="Z44" s="256">
        <v>1208.35475</v>
      </c>
      <c r="AA44" s="265">
        <v>3216</v>
      </c>
      <c r="AB44" s="257">
        <v>4.2858943653094665E-2</v>
      </c>
      <c r="AC44" s="238" t="str">
        <f t="shared" si="0"/>
        <v>CAT1</v>
      </c>
      <c r="AD44" s="52"/>
    </row>
    <row r="45" spans="3:30" ht="15.5" x14ac:dyDescent="0.35">
      <c r="C45" s="253" t="s">
        <v>44</v>
      </c>
      <c r="D45" s="254">
        <v>1.5179023421866593</v>
      </c>
      <c r="E45" s="255">
        <v>0.98796557351742531</v>
      </c>
      <c r="F45" s="255">
        <v>1.6319977391891942</v>
      </c>
      <c r="G45" s="255">
        <v>1.5293827372723394</v>
      </c>
      <c r="H45" s="255">
        <v>1.892545066436341</v>
      </c>
      <c r="I45" s="255">
        <v>1.5702100204506262</v>
      </c>
      <c r="J45" s="255">
        <v>1.4471813769446282</v>
      </c>
      <c r="K45" s="255">
        <v>1.717206466358163</v>
      </c>
      <c r="L45" s="255">
        <v>1.5715770053784706</v>
      </c>
      <c r="M45" s="255">
        <v>1.4367011591644876</v>
      </c>
      <c r="N45" s="255">
        <v>1.7421767243734545</v>
      </c>
      <c r="O45" s="255">
        <v>1.5278334876874491</v>
      </c>
      <c r="P45" s="255">
        <v>1.4096348575931681</v>
      </c>
      <c r="Q45" s="255">
        <v>1.7264108315389821</v>
      </c>
      <c r="R45" s="255">
        <v>1.5390427640957733</v>
      </c>
      <c r="S45" s="255">
        <v>1.1335950344971177</v>
      </c>
      <c r="T45" s="255">
        <v>1.4927475412061091</v>
      </c>
      <c r="U45" s="255">
        <v>1.4963928343470274</v>
      </c>
      <c r="V45" s="255">
        <v>1.1621194533248047</v>
      </c>
      <c r="W45" s="255">
        <v>0.63721683448317901</v>
      </c>
      <c r="X45" s="255">
        <v>1.1064227915938902</v>
      </c>
      <c r="Y45" s="255">
        <v>1.4927475412061091</v>
      </c>
      <c r="Z45" s="256">
        <v>0</v>
      </c>
      <c r="AA45" s="265">
        <v>1448</v>
      </c>
      <c r="AB45" s="257">
        <v>0</v>
      </c>
      <c r="AC45" s="238" t="str">
        <f t="shared" si="0"/>
        <v>CAT1</v>
      </c>
      <c r="AD45" s="52"/>
    </row>
    <row r="46" spans="3:30" ht="15.5" x14ac:dyDescent="0.35">
      <c r="C46" s="253" t="s">
        <v>45</v>
      </c>
      <c r="D46" s="254">
        <v>0.51941110461260342</v>
      </c>
      <c r="E46" s="255">
        <v>0.13874934417000134</v>
      </c>
      <c r="F46" s="255">
        <v>0.71077767363647704</v>
      </c>
      <c r="G46" s="255">
        <v>0.69345806063328685</v>
      </c>
      <c r="H46" s="255">
        <v>0.64188410191267609</v>
      </c>
      <c r="I46" s="255">
        <v>0.77360938080916142</v>
      </c>
      <c r="J46" s="255">
        <v>0.73810417415262164</v>
      </c>
      <c r="K46" s="255">
        <v>0.75032412332709464</v>
      </c>
      <c r="L46" s="255">
        <v>0.75888770975644981</v>
      </c>
      <c r="M46" s="255">
        <v>0.71510757688727467</v>
      </c>
      <c r="N46" s="255">
        <v>0.67450270640201759</v>
      </c>
      <c r="O46" s="255">
        <v>0.73088766873462574</v>
      </c>
      <c r="P46" s="255">
        <v>0.65198720949787037</v>
      </c>
      <c r="Q46" s="255">
        <v>0.59435138622614303</v>
      </c>
      <c r="R46" s="255">
        <v>0.6851831344206516</v>
      </c>
      <c r="S46" s="255">
        <v>0.19272880469661074</v>
      </c>
      <c r="T46" s="255">
        <v>0.66093567621618532</v>
      </c>
      <c r="U46" s="255">
        <v>0.74031723581414033</v>
      </c>
      <c r="V46" s="255">
        <v>0.55413139602984585</v>
      </c>
      <c r="W46" s="255">
        <v>0.37022837745944415</v>
      </c>
      <c r="X46" s="255">
        <v>0.62485483297747002</v>
      </c>
      <c r="Y46" s="255">
        <v>0.66093567621618532</v>
      </c>
      <c r="Z46" s="256">
        <v>2183.7019166666664</v>
      </c>
      <c r="AA46" s="265">
        <v>1035</v>
      </c>
      <c r="AB46" s="257">
        <v>3.0099502487562189E-2</v>
      </c>
      <c r="AC46" s="238" t="str">
        <f t="shared" si="0"/>
        <v>CAT3</v>
      </c>
      <c r="AD46" s="52"/>
    </row>
    <row r="47" spans="3:30" ht="15.5" x14ac:dyDescent="0.35">
      <c r="C47" s="253" t="s">
        <v>46</v>
      </c>
      <c r="D47" s="254">
        <v>1.0205389738873563</v>
      </c>
      <c r="E47" s="255">
        <v>1.126072981379231</v>
      </c>
      <c r="F47" s="255">
        <v>1.0891813548441858</v>
      </c>
      <c r="G47" s="255">
        <v>0.98361700359022597</v>
      </c>
      <c r="H47" s="255">
        <v>1.036479031222693</v>
      </c>
      <c r="I47" s="255">
        <v>1.1163310367098034</v>
      </c>
      <c r="J47" s="255">
        <v>1.0540464724298573</v>
      </c>
      <c r="K47" s="255">
        <v>1.0714542096260473</v>
      </c>
      <c r="L47" s="255">
        <v>1.1263923894011794</v>
      </c>
      <c r="M47" s="255">
        <v>1.0230638943008585</v>
      </c>
      <c r="N47" s="255">
        <v>1.074169177812609</v>
      </c>
      <c r="O47" s="255">
        <v>1.1235177172036432</v>
      </c>
      <c r="P47" s="255">
        <v>1.0284938306739819</v>
      </c>
      <c r="Q47" s="255">
        <v>1.0720930256699441</v>
      </c>
      <c r="R47" s="255">
        <v>1.0168354378728639</v>
      </c>
      <c r="S47" s="255">
        <v>0.57701059164985979</v>
      </c>
      <c r="T47" s="255">
        <v>0.97802736320612815</v>
      </c>
      <c r="U47" s="255">
        <v>1.0029411889181066</v>
      </c>
      <c r="V47" s="255">
        <v>0.64328775620416134</v>
      </c>
      <c r="W47" s="255">
        <v>0.61993144385920917</v>
      </c>
      <c r="X47" s="255">
        <v>1.6237494077975645</v>
      </c>
      <c r="Y47" s="255">
        <v>0.97802736320612815</v>
      </c>
      <c r="Z47" s="256">
        <v>738.84316666666666</v>
      </c>
      <c r="AA47" s="265">
        <v>827</v>
      </c>
      <c r="AB47" s="257">
        <v>4.0200286123032905E-2</v>
      </c>
      <c r="AC47" s="238" t="str">
        <f t="shared" si="0"/>
        <v>CAT1</v>
      </c>
    </row>
    <row r="48" spans="3:30" ht="15.5" x14ac:dyDescent="0.35">
      <c r="C48" s="253" t="s">
        <v>47</v>
      </c>
      <c r="D48" s="254">
        <v>1.0422451618373358</v>
      </c>
      <c r="E48" s="255">
        <v>0.62981216234893034</v>
      </c>
      <c r="F48" s="255">
        <v>0.98641766012461007</v>
      </c>
      <c r="G48" s="255">
        <v>1.0214014403443556</v>
      </c>
      <c r="H48" s="255">
        <v>0.91905305952289773</v>
      </c>
      <c r="I48" s="255">
        <v>1.0596128907629467</v>
      </c>
      <c r="J48" s="255">
        <v>1.0310844509408923</v>
      </c>
      <c r="K48" s="255">
        <v>1.0057836813176835</v>
      </c>
      <c r="L48" s="255">
        <v>1.0625282057812588</v>
      </c>
      <c r="M48" s="255">
        <v>1.0309803325473812</v>
      </c>
      <c r="N48" s="255">
        <v>1.0084907595489734</v>
      </c>
      <c r="O48" s="255">
        <v>1.0554481550225008</v>
      </c>
      <c r="P48" s="255">
        <v>1.0199437828351996</v>
      </c>
      <c r="Q48" s="255">
        <v>0.99443477642496847</v>
      </c>
      <c r="R48" s="255">
        <v>1.0568016941381457</v>
      </c>
      <c r="S48" s="255">
        <v>0.64584639494964713</v>
      </c>
      <c r="T48" s="255">
        <v>1.0256702944783127</v>
      </c>
      <c r="U48" s="255">
        <v>0.96923812519527075</v>
      </c>
      <c r="V48" s="255">
        <v>0.98006643812043015</v>
      </c>
      <c r="W48" s="255">
        <v>0.3560148861884877</v>
      </c>
      <c r="X48" s="255">
        <v>1.0606863514000466</v>
      </c>
      <c r="Y48" s="255">
        <v>1.0256702944783127</v>
      </c>
      <c r="Z48" s="256">
        <v>543.05424999999991</v>
      </c>
      <c r="AA48" s="265">
        <v>486</v>
      </c>
      <c r="AB48" s="257">
        <v>5.0800825390586619E-2</v>
      </c>
      <c r="AC48" s="238" t="str">
        <f t="shared" si="0"/>
        <v>CAT1</v>
      </c>
      <c r="AD48" s="52"/>
    </row>
    <row r="49" spans="2:29" ht="15.5" x14ac:dyDescent="0.35">
      <c r="C49" s="253" t="s">
        <v>48</v>
      </c>
      <c r="D49" s="254">
        <v>0.81681099631914933</v>
      </c>
      <c r="E49" s="255">
        <v>0.95798007542067798</v>
      </c>
      <c r="F49" s="255">
        <v>1.0263562726983373</v>
      </c>
      <c r="G49" s="255">
        <v>0.9516621555529956</v>
      </c>
      <c r="H49" s="255">
        <v>0.96042572182107111</v>
      </c>
      <c r="I49" s="255">
        <v>0.98661451869194805</v>
      </c>
      <c r="J49" s="255">
        <v>0.92007255621458373</v>
      </c>
      <c r="K49" s="255">
        <v>0.95441350775343792</v>
      </c>
      <c r="L49" s="255">
        <v>0.97836046209062111</v>
      </c>
      <c r="M49" s="255">
        <v>0.9025454236784326</v>
      </c>
      <c r="N49" s="255">
        <v>0.93495023848364223</v>
      </c>
      <c r="O49" s="255">
        <v>0.88980768200971805</v>
      </c>
      <c r="P49" s="255">
        <v>0.81378883973083016</v>
      </c>
      <c r="Q49" s="255">
        <v>0.80135680386216479</v>
      </c>
      <c r="R49" s="255">
        <v>0.9293456321494078</v>
      </c>
      <c r="S49" s="255">
        <v>0.5600530256900379</v>
      </c>
      <c r="T49" s="255">
        <v>0.82143148473205885</v>
      </c>
      <c r="U49" s="255">
        <v>0.94096245255127542</v>
      </c>
      <c r="V49" s="255">
        <v>0.7117850044477646</v>
      </c>
      <c r="W49" s="255">
        <v>0.54136956096520084</v>
      </c>
      <c r="X49" s="255">
        <v>0.99889752298308943</v>
      </c>
      <c r="Y49" s="255">
        <v>0.82143148473205885</v>
      </c>
      <c r="Z49" s="256">
        <v>728.31941666666671</v>
      </c>
      <c r="AA49" s="265">
        <v>1032</v>
      </c>
      <c r="AB49" s="257">
        <v>3.2637884734558975E-2</v>
      </c>
      <c r="AC49" s="238" t="str">
        <f t="shared" si="0"/>
        <v>CAT1</v>
      </c>
    </row>
    <row r="50" spans="2:29" ht="15.5" x14ac:dyDescent="0.35">
      <c r="C50" s="253" t="s">
        <v>49</v>
      </c>
      <c r="D50" s="254">
        <v>0.87809896915375629</v>
      </c>
      <c r="E50" s="255">
        <v>0.7231780785199271</v>
      </c>
      <c r="F50" s="255">
        <v>0.97330834525165477</v>
      </c>
      <c r="G50" s="255">
        <v>0.92273803747180416</v>
      </c>
      <c r="H50" s="255">
        <v>0.96673193751346786</v>
      </c>
      <c r="I50" s="255">
        <v>0.90641040446665055</v>
      </c>
      <c r="J50" s="255">
        <v>0.84563532605857894</v>
      </c>
      <c r="K50" s="255">
        <v>0.88940245341961555</v>
      </c>
      <c r="L50" s="255">
        <v>0.89189695290651405</v>
      </c>
      <c r="M50" s="255">
        <v>0.84767628018422314</v>
      </c>
      <c r="N50" s="255">
        <v>0.88078509155578455</v>
      </c>
      <c r="O50" s="255">
        <v>0.84291405389105334</v>
      </c>
      <c r="P50" s="255">
        <v>0.79257051879182983</v>
      </c>
      <c r="Q50" s="255">
        <v>0.82930769305342533</v>
      </c>
      <c r="R50" s="255">
        <v>0.97036030040350207</v>
      </c>
      <c r="S50" s="255">
        <v>0.3583008353908701</v>
      </c>
      <c r="T50" s="255">
        <v>0.86513777659251234</v>
      </c>
      <c r="U50" s="255">
        <v>0.96695871019409507</v>
      </c>
      <c r="V50" s="255">
        <v>0.92727349108434676</v>
      </c>
      <c r="W50" s="255">
        <v>0.19390198057023009</v>
      </c>
      <c r="X50" s="255">
        <v>0.75503056924081435</v>
      </c>
      <c r="Y50" s="255">
        <v>0.86513777659251234</v>
      </c>
      <c r="Z50" s="256">
        <v>726.15125000000012</v>
      </c>
      <c r="AA50" s="265">
        <v>83</v>
      </c>
      <c r="AB50" s="257">
        <v>1.8764073054791094E-2</v>
      </c>
      <c r="AC50" s="238" t="str">
        <f t="shared" si="0"/>
        <v>CAT1</v>
      </c>
    </row>
    <row r="51" spans="2:29" ht="16" thickBot="1" x14ac:dyDescent="0.4">
      <c r="C51" s="258" t="s">
        <v>50</v>
      </c>
      <c r="D51" s="254">
        <v>1.1683100427825044</v>
      </c>
      <c r="E51" s="255">
        <v>1.1422909624833515</v>
      </c>
      <c r="F51" s="255">
        <v>1.1640409793562176</v>
      </c>
      <c r="G51" s="255">
        <v>1.138804318557167</v>
      </c>
      <c r="H51" s="255">
        <v>1.1285104174417646</v>
      </c>
      <c r="I51" s="255">
        <v>1.164373040682521</v>
      </c>
      <c r="J51" s="255">
        <v>1.1200428536210305</v>
      </c>
      <c r="K51" s="255">
        <v>1.1326611840205558</v>
      </c>
      <c r="L51" s="255">
        <v>1.1632108260404594</v>
      </c>
      <c r="M51" s="255">
        <v>1.1213710989262438</v>
      </c>
      <c r="N51" s="255">
        <v>1.12402758953667</v>
      </c>
      <c r="O51" s="255">
        <v>1.1361478279467405</v>
      </c>
      <c r="P51" s="255">
        <v>1.0747164825806301</v>
      </c>
      <c r="Q51" s="255">
        <v>1.1132355964318128</v>
      </c>
      <c r="R51" s="255">
        <v>1.0097984932883348</v>
      </c>
      <c r="S51" s="255">
        <v>0.68255205621643289</v>
      </c>
      <c r="T51" s="255">
        <v>1.0076400946673634</v>
      </c>
      <c r="U51" s="255">
        <v>1.1942585600498179</v>
      </c>
      <c r="V51" s="255">
        <v>0.76291089718183147</v>
      </c>
      <c r="W51" s="255">
        <v>0.42154770297546035</v>
      </c>
      <c r="X51" s="255">
        <v>0.96448955546756532</v>
      </c>
      <c r="Y51" s="255">
        <v>1.0076400946673634</v>
      </c>
      <c r="Z51" s="256">
        <v>118.87275000000005</v>
      </c>
      <c r="AA51" s="265">
        <v>1015</v>
      </c>
      <c r="AB51" s="257">
        <v>2.7235134749750464E-2</v>
      </c>
      <c r="AC51" s="238" t="str">
        <f t="shared" si="0"/>
        <v>CAT1</v>
      </c>
    </row>
    <row r="52" spans="2:29" ht="16" thickBot="1" x14ac:dyDescent="0.4">
      <c r="C52" s="259" t="s">
        <v>16</v>
      </c>
      <c r="D52" s="260">
        <v>0.8859482572676719</v>
      </c>
      <c r="E52" s="261">
        <v>0.6547163175665488</v>
      </c>
      <c r="F52" s="261">
        <v>1.0447864258305766</v>
      </c>
      <c r="G52" s="261">
        <v>0.98111956898791952</v>
      </c>
      <c r="H52" s="261">
        <v>0.99771904196234495</v>
      </c>
      <c r="I52" s="261">
        <v>1.0380670610273144</v>
      </c>
      <c r="J52" s="261">
        <v>0.97353123848532508</v>
      </c>
      <c r="K52" s="261">
        <v>0.9920659903798752</v>
      </c>
      <c r="L52" s="261">
        <v>1.028406581549389</v>
      </c>
      <c r="M52" s="261">
        <v>0.94957579579970186</v>
      </c>
      <c r="N52" s="261">
        <v>0.97214662281056485</v>
      </c>
      <c r="O52" s="261">
        <v>0.99985485142846942</v>
      </c>
      <c r="P52" s="261">
        <v>0.92132326998551217</v>
      </c>
      <c r="Q52" s="261">
        <v>0.91734767233545322</v>
      </c>
      <c r="R52" s="261">
        <v>1.0059821736673513</v>
      </c>
      <c r="S52" s="261">
        <v>0.49006164115350004</v>
      </c>
      <c r="T52" s="261">
        <v>0.94196836714986931</v>
      </c>
      <c r="U52" s="261">
        <v>1.0017614831277371</v>
      </c>
      <c r="V52" s="261">
        <v>0.77584631642402857</v>
      </c>
      <c r="W52" s="261">
        <v>0.40812457358578591</v>
      </c>
      <c r="X52" s="261">
        <v>0.8488339046628075</v>
      </c>
      <c r="Y52" s="261">
        <v>0.94196836714986931</v>
      </c>
      <c r="Z52" s="262">
        <v>33217.047250000003</v>
      </c>
      <c r="AA52" s="266">
        <v>29601</v>
      </c>
      <c r="AB52" s="263">
        <v>4.4314160784482075E-2</v>
      </c>
      <c r="AC52" s="238" t="str">
        <f t="shared" si="0"/>
        <v>CAT1</v>
      </c>
    </row>
    <row r="53" spans="2:29" x14ac:dyDescent="0.25">
      <c r="U53" s="31"/>
      <c r="V53" s="31"/>
      <c r="W53" s="31"/>
      <c r="X53" s="31"/>
      <c r="Y53" s="31"/>
      <c r="Z53" s="31"/>
      <c r="AA53" s="31"/>
    </row>
    <row r="54" spans="2:29" x14ac:dyDescent="0.25">
      <c r="U54" s="31"/>
      <c r="V54" s="31"/>
      <c r="W54" s="31"/>
      <c r="X54" s="31"/>
      <c r="Y54" s="31"/>
      <c r="Z54" s="31"/>
      <c r="AA54" s="31"/>
    </row>
    <row r="55" spans="2:29" x14ac:dyDescent="0.25">
      <c r="U55" s="31"/>
      <c r="V55" s="31"/>
      <c r="W55" s="31"/>
      <c r="X55" s="31"/>
      <c r="Y55" s="31"/>
      <c r="Z55" s="31"/>
      <c r="AA55" s="31"/>
    </row>
    <row r="56" spans="2:29" x14ac:dyDescent="0.25">
      <c r="U56" s="31"/>
      <c r="V56" s="31"/>
      <c r="W56" s="31"/>
      <c r="X56" s="31"/>
      <c r="Y56" s="31"/>
      <c r="Z56" s="31"/>
      <c r="AA56" s="31"/>
    </row>
    <row r="57" spans="2:29" x14ac:dyDescent="0.25">
      <c r="U57" s="31"/>
      <c r="V57" s="31"/>
      <c r="W57" s="31"/>
      <c r="X57" s="31"/>
      <c r="Y57" s="31"/>
      <c r="Z57" s="31"/>
      <c r="AA57" s="31"/>
    </row>
    <row r="58" spans="2:29" x14ac:dyDescent="0.25">
      <c r="U58" s="31"/>
      <c r="V58" s="31"/>
      <c r="W58" s="31"/>
      <c r="X58" s="31"/>
      <c r="Y58" s="31"/>
      <c r="Z58" s="31"/>
      <c r="AA58" s="31"/>
    </row>
    <row r="59" spans="2:29" ht="13" thickBot="1" x14ac:dyDescent="0.3">
      <c r="U59" s="31"/>
      <c r="V59" s="31"/>
      <c r="W59" s="31"/>
      <c r="X59" s="31"/>
      <c r="Y59" s="31"/>
      <c r="Z59" s="31"/>
      <c r="AA59" s="31"/>
    </row>
    <row r="60" spans="2:29" ht="26" x14ac:dyDescent="0.25">
      <c r="B60" s="32"/>
      <c r="C60" s="148" t="s">
        <v>4</v>
      </c>
      <c r="D60" s="135" t="s">
        <v>7</v>
      </c>
      <c r="E60" s="135" t="s">
        <v>745</v>
      </c>
      <c r="F60" s="135" t="s">
        <v>746</v>
      </c>
      <c r="G60" s="135" t="s">
        <v>747</v>
      </c>
      <c r="H60" s="135" t="s">
        <v>748</v>
      </c>
      <c r="I60" s="135" t="s">
        <v>749</v>
      </c>
      <c r="J60" s="135" t="s">
        <v>750</v>
      </c>
      <c r="K60" s="135" t="s">
        <v>751</v>
      </c>
      <c r="L60" s="135" t="s">
        <v>752</v>
      </c>
      <c r="M60" s="135" t="s">
        <v>754</v>
      </c>
      <c r="N60" s="135" t="s">
        <v>722</v>
      </c>
      <c r="O60" s="135" t="s">
        <v>0</v>
      </c>
      <c r="P60" s="135" t="s">
        <v>743</v>
      </c>
      <c r="Q60" s="135" t="s">
        <v>1</v>
      </c>
      <c r="R60" s="135" t="s">
        <v>780</v>
      </c>
      <c r="S60" s="135" t="s">
        <v>761</v>
      </c>
      <c r="T60" s="135" t="s">
        <v>13</v>
      </c>
      <c r="U60" s="135" t="s">
        <v>744</v>
      </c>
      <c r="V60" s="135" t="s">
        <v>14</v>
      </c>
      <c r="W60" s="135" t="s">
        <v>15</v>
      </c>
      <c r="X60" s="135" t="s">
        <v>723</v>
      </c>
      <c r="Y60" s="149" t="s">
        <v>785</v>
      </c>
      <c r="Z60" s="149" t="s">
        <v>786</v>
      </c>
      <c r="AA60" s="149" t="s">
        <v>949</v>
      </c>
      <c r="AB60" s="149" t="s">
        <v>720</v>
      </c>
    </row>
    <row r="61" spans="2:29" x14ac:dyDescent="0.25">
      <c r="B61" s="32"/>
      <c r="C61" s="267" t="str">
        <f>C18</f>
        <v xml:space="preserve"> Alimbongo</v>
      </c>
      <c r="D61" s="150">
        <f>D18</f>
        <v>0.70478474653269563</v>
      </c>
      <c r="E61" s="150">
        <f t="shared" ref="E61:X61" si="1">E18</f>
        <v>0.74299791369463042</v>
      </c>
      <c r="F61" s="150">
        <f t="shared" si="1"/>
        <v>0.97132993602032613</v>
      </c>
      <c r="G61" s="150">
        <f t="shared" si="1"/>
        <v>0.88346575237889902</v>
      </c>
      <c r="H61" s="150">
        <f t="shared" si="1"/>
        <v>0.90253170595337862</v>
      </c>
      <c r="I61" s="150">
        <f t="shared" si="1"/>
        <v>0.96179695923308628</v>
      </c>
      <c r="J61" s="150">
        <f t="shared" si="1"/>
        <v>0.88622227578725743</v>
      </c>
      <c r="K61" s="150">
        <f t="shared" si="1"/>
        <v>0.87680415414203261</v>
      </c>
      <c r="L61" s="150">
        <f t="shared" si="1"/>
        <v>0.91849657069345492</v>
      </c>
      <c r="M61" s="150">
        <f t="shared" si="1"/>
        <v>0.84188819096949163</v>
      </c>
      <c r="N61" s="150">
        <f t="shared" si="1"/>
        <v>0.83235521418225178</v>
      </c>
      <c r="O61" s="150">
        <f t="shared" si="1"/>
        <v>0.96420891721540003</v>
      </c>
      <c r="P61" s="150">
        <f t="shared" si="1"/>
        <v>0.87002770076315128</v>
      </c>
      <c r="Q61" s="150">
        <f t="shared" si="1"/>
        <v>0.87795270556218197</v>
      </c>
      <c r="R61" s="150">
        <f t="shared" si="1"/>
        <v>1.0450669371939161</v>
      </c>
      <c r="S61" s="150">
        <f t="shared" si="1"/>
        <v>0.38510929117608533</v>
      </c>
      <c r="T61" s="150">
        <f t="shared" si="1"/>
        <v>0.97810638939920747</v>
      </c>
      <c r="U61" s="150">
        <f t="shared" si="1"/>
        <v>0.92389476236815693</v>
      </c>
      <c r="V61" s="150">
        <f t="shared" si="1"/>
        <v>0.68074642672253438</v>
      </c>
      <c r="W61" s="150">
        <f t="shared" si="1"/>
        <v>0.44644050132278673</v>
      </c>
      <c r="X61" s="150">
        <f t="shared" si="1"/>
        <v>0.83676278025707496</v>
      </c>
      <c r="Y61" s="151">
        <v>0.95</v>
      </c>
      <c r="Z61" s="151">
        <v>0.9</v>
      </c>
      <c r="AA61" s="103">
        <v>100</v>
      </c>
      <c r="AB61" s="103">
        <v>95.83</v>
      </c>
      <c r="AC61" s="31">
        <v>80</v>
      </c>
    </row>
    <row r="62" spans="2:29" x14ac:dyDescent="0.25">
      <c r="B62" s="32"/>
      <c r="C62" s="267" t="str">
        <f t="shared" ref="C62:X62" si="2">C19</f>
        <v xml:space="preserve"> Bambo</v>
      </c>
      <c r="D62" s="150">
        <f t="shared" si="2"/>
        <v>1.0989852125606361</v>
      </c>
      <c r="E62" s="150">
        <f t="shared" si="2"/>
        <v>0.79198170062098705</v>
      </c>
      <c r="F62" s="150">
        <f t="shared" si="2"/>
        <v>0.93907554960482376</v>
      </c>
      <c r="G62" s="150">
        <f t="shared" si="2"/>
        <v>0.87642745585539605</v>
      </c>
      <c r="H62" s="150">
        <f t="shared" si="2"/>
        <v>0.89709486822634132</v>
      </c>
      <c r="I62" s="150">
        <f t="shared" si="2"/>
        <v>1.0130261344946121</v>
      </c>
      <c r="J62" s="150">
        <f t="shared" si="2"/>
        <v>0.94924779163114836</v>
      </c>
      <c r="K62" s="150">
        <f t="shared" si="2"/>
        <v>0.97104545311612966</v>
      </c>
      <c r="L62" s="150">
        <f t="shared" si="2"/>
        <v>1.0118958853805762</v>
      </c>
      <c r="M62" s="150">
        <f t="shared" si="2"/>
        <v>0.95070096906348045</v>
      </c>
      <c r="N62" s="150">
        <f t="shared" si="2"/>
        <v>0.97120691727527764</v>
      </c>
      <c r="O62" s="150">
        <f t="shared" si="2"/>
        <v>1.0152866327226844</v>
      </c>
      <c r="P62" s="150">
        <f t="shared" si="2"/>
        <v>0.94504972349330008</v>
      </c>
      <c r="Q62" s="150">
        <f t="shared" si="2"/>
        <v>0.97104545311612966</v>
      </c>
      <c r="R62" s="150">
        <f t="shared" si="2"/>
        <v>0.97879573275523413</v>
      </c>
      <c r="S62" s="150">
        <f t="shared" si="2"/>
        <v>0.46372506507308353</v>
      </c>
      <c r="T62" s="150">
        <f t="shared" si="2"/>
        <v>0.90177732884163353</v>
      </c>
      <c r="U62" s="150">
        <f t="shared" si="2"/>
        <v>0.92325206200831877</v>
      </c>
      <c r="V62" s="150">
        <f t="shared" si="2"/>
        <v>0.44257326022469429</v>
      </c>
      <c r="W62" s="150">
        <f t="shared" si="2"/>
        <v>0.46038760090349423</v>
      </c>
      <c r="X62" s="150">
        <f t="shared" si="2"/>
        <v>0.75932961103728092</v>
      </c>
      <c r="Y62" s="152">
        <v>0.95</v>
      </c>
      <c r="Z62" s="152">
        <v>0.9</v>
      </c>
      <c r="AA62" s="103">
        <v>100</v>
      </c>
      <c r="AB62" s="103">
        <v>100</v>
      </c>
      <c r="AC62" s="31">
        <v>80</v>
      </c>
    </row>
    <row r="63" spans="2:29" x14ac:dyDescent="0.25">
      <c r="B63" s="32"/>
      <c r="C63" s="267" t="str">
        <f t="shared" ref="C63:X63" si="3">C20</f>
        <v xml:space="preserve"> Beni</v>
      </c>
      <c r="D63" s="150">
        <f t="shared" si="3"/>
        <v>0.7954743450671371</v>
      </c>
      <c r="E63" s="150">
        <f t="shared" si="3"/>
        <v>0.46613401278786115</v>
      </c>
      <c r="F63" s="150">
        <f t="shared" si="3"/>
        <v>1.1596661827262404</v>
      </c>
      <c r="G63" s="150">
        <f t="shared" si="3"/>
        <v>1.1588287390880092</v>
      </c>
      <c r="H63" s="150">
        <f t="shared" si="3"/>
        <v>1.1715836498856869</v>
      </c>
      <c r="I63" s="150">
        <f t="shared" si="3"/>
        <v>1.0368196428718388</v>
      </c>
      <c r="J63" s="150">
        <f t="shared" si="3"/>
        <v>1.0586575962072569</v>
      </c>
      <c r="K63" s="150">
        <f t="shared" si="3"/>
        <v>1.0995634969977892</v>
      </c>
      <c r="L63" s="150">
        <f t="shared" si="3"/>
        <v>0.97549300105674153</v>
      </c>
      <c r="M63" s="150">
        <f t="shared" si="3"/>
        <v>0.90585634160073292</v>
      </c>
      <c r="N63" s="150">
        <f t="shared" si="3"/>
        <v>1.0706394821081056</v>
      </c>
      <c r="O63" s="150">
        <f t="shared" si="3"/>
        <v>0.96808484579546394</v>
      </c>
      <c r="P63" s="150">
        <f t="shared" si="3"/>
        <v>0.91416635924164424</v>
      </c>
      <c r="Q63" s="150">
        <f t="shared" si="3"/>
        <v>0.85863740415276413</v>
      </c>
      <c r="R63" s="150">
        <f t="shared" si="3"/>
        <v>1.0573692213792085</v>
      </c>
      <c r="S63" s="150">
        <f t="shared" si="3"/>
        <v>0.43431115453506908</v>
      </c>
      <c r="T63" s="150">
        <f t="shared" si="3"/>
        <v>0.91513264036268038</v>
      </c>
      <c r="U63" s="150">
        <f t="shared" si="3"/>
        <v>1.0900939420116345</v>
      </c>
      <c r="V63" s="150">
        <f t="shared" si="3"/>
        <v>0.95384830394553066</v>
      </c>
      <c r="W63" s="150">
        <f t="shared" si="3"/>
        <v>0.38596215131604822</v>
      </c>
      <c r="X63" s="150">
        <f t="shared" si="3"/>
        <v>0.969823346579061</v>
      </c>
      <c r="Y63" s="152">
        <v>0.95</v>
      </c>
      <c r="Z63" s="152">
        <v>0.9</v>
      </c>
      <c r="AA63" s="103">
        <v>100</v>
      </c>
      <c r="AB63" s="103">
        <v>100</v>
      </c>
      <c r="AC63" s="31">
        <v>80</v>
      </c>
    </row>
    <row r="64" spans="2:29" x14ac:dyDescent="0.25">
      <c r="B64" s="32"/>
      <c r="C64" s="267" t="str">
        <f t="shared" ref="C64:X64" si="4">C21</f>
        <v xml:space="preserve"> Biena</v>
      </c>
      <c r="D64" s="150">
        <f t="shared" si="4"/>
        <v>0.51696070037502873</v>
      </c>
      <c r="E64" s="150">
        <f t="shared" si="4"/>
        <v>0.32506927848959438</v>
      </c>
      <c r="F64" s="150">
        <f t="shared" si="4"/>
        <v>0.78489304104694146</v>
      </c>
      <c r="G64" s="150">
        <f t="shared" si="4"/>
        <v>0.73762531432779133</v>
      </c>
      <c r="H64" s="150">
        <f t="shared" si="4"/>
        <v>0.71108904669598771</v>
      </c>
      <c r="I64" s="150">
        <f t="shared" si="4"/>
        <v>0.85019713717208323</v>
      </c>
      <c r="J64" s="150">
        <f t="shared" si="4"/>
        <v>0.75483242537028894</v>
      </c>
      <c r="K64" s="150">
        <f t="shared" si="4"/>
        <v>0.74840567305321148</v>
      </c>
      <c r="L64" s="150">
        <f t="shared" si="4"/>
        <v>0.69636971074397158</v>
      </c>
      <c r="M64" s="150">
        <f t="shared" si="4"/>
        <v>0.58773686512627554</v>
      </c>
      <c r="N64" s="150">
        <f t="shared" si="4"/>
        <v>0.54710320531507628</v>
      </c>
      <c r="O64" s="150">
        <f t="shared" si="4"/>
        <v>0.75524705455203589</v>
      </c>
      <c r="P64" s="150">
        <f t="shared" si="4"/>
        <v>0.64226060252599704</v>
      </c>
      <c r="Q64" s="150">
        <f t="shared" si="4"/>
        <v>0.60204157189654472</v>
      </c>
      <c r="R64" s="150">
        <f t="shared" si="4"/>
        <v>0.83879483467404259</v>
      </c>
      <c r="S64" s="150">
        <f t="shared" si="4"/>
        <v>0.26785045140851782</v>
      </c>
      <c r="T64" s="150">
        <f t="shared" si="4"/>
        <v>0.77908823250248449</v>
      </c>
      <c r="U64" s="150">
        <f t="shared" si="4"/>
        <v>0.74073503319089329</v>
      </c>
      <c r="V64" s="150">
        <f t="shared" si="4"/>
        <v>0.67999185806496787</v>
      </c>
      <c r="W64" s="150">
        <f t="shared" si="4"/>
        <v>0.24364802778347228</v>
      </c>
      <c r="X64" s="150">
        <f t="shared" si="4"/>
        <v>0.5005004401461528</v>
      </c>
      <c r="Y64" s="152">
        <v>0.95</v>
      </c>
      <c r="Z64" s="152">
        <v>0.9</v>
      </c>
      <c r="AA64" s="103">
        <v>100</v>
      </c>
      <c r="AB64" s="103">
        <v>100</v>
      </c>
      <c r="AC64" s="31">
        <v>80</v>
      </c>
    </row>
    <row r="65" spans="2:29" x14ac:dyDescent="0.25">
      <c r="B65" s="32"/>
      <c r="C65" s="267" t="str">
        <f t="shared" ref="C65:X65" si="5">C22</f>
        <v xml:space="preserve"> Binza</v>
      </c>
      <c r="D65" s="150">
        <f t="shared" si="5"/>
        <v>0.93421501124821027</v>
      </c>
      <c r="E65" s="150">
        <f t="shared" si="5"/>
        <v>0.61115570113454865</v>
      </c>
      <c r="F65" s="150">
        <f t="shared" si="5"/>
        <v>1.0354174573555406</v>
      </c>
      <c r="G65" s="150">
        <f t="shared" si="5"/>
        <v>1.0247913802199873</v>
      </c>
      <c r="H65" s="150">
        <f t="shared" si="5"/>
        <v>1.040886761763546</v>
      </c>
      <c r="I65" s="150">
        <f t="shared" si="5"/>
        <v>1.0477624587336101</v>
      </c>
      <c r="J65" s="150">
        <f t="shared" si="5"/>
        <v>1.0241663168590722</v>
      </c>
      <c r="K65" s="150">
        <f t="shared" si="5"/>
        <v>1.0524504339404717</v>
      </c>
      <c r="L65" s="150">
        <f t="shared" si="5"/>
        <v>1.0496376488163546</v>
      </c>
      <c r="M65" s="150">
        <f t="shared" si="5"/>
        <v>1.0211972658947266</v>
      </c>
      <c r="N65" s="150">
        <f t="shared" si="5"/>
        <v>1.0491688512956685</v>
      </c>
      <c r="O65" s="150">
        <f t="shared" si="5"/>
        <v>1.0135402397235189</v>
      </c>
      <c r="P65" s="150">
        <f t="shared" si="5"/>
        <v>0.98541238848234813</v>
      </c>
      <c r="Q65" s="150">
        <f t="shared" si="5"/>
        <v>1.0202596708533542</v>
      </c>
      <c r="R65" s="150">
        <f t="shared" si="5"/>
        <v>1.0413555592842321</v>
      </c>
      <c r="S65" s="150">
        <f t="shared" si="5"/>
        <v>0.74507552621056705</v>
      </c>
      <c r="T65" s="150">
        <f t="shared" si="5"/>
        <v>1.0258852411015882</v>
      </c>
      <c r="U65" s="150">
        <f t="shared" si="5"/>
        <v>1.0572946749875622</v>
      </c>
      <c r="V65" s="150">
        <f t="shared" si="5"/>
        <v>1.0086959986764283</v>
      </c>
      <c r="W65" s="150">
        <f t="shared" si="5"/>
        <v>0.2064217056377394</v>
      </c>
      <c r="X65" s="150">
        <f t="shared" si="5"/>
        <v>0.68743608971300008</v>
      </c>
      <c r="Y65" s="152">
        <v>0.95</v>
      </c>
      <c r="Z65" s="152">
        <v>0.9</v>
      </c>
      <c r="AA65" s="103">
        <v>100</v>
      </c>
      <c r="AB65" s="103">
        <v>100</v>
      </c>
      <c r="AC65" s="31">
        <v>80</v>
      </c>
    </row>
    <row r="66" spans="2:29" x14ac:dyDescent="0.25">
      <c r="B66" s="32"/>
      <c r="C66" s="267" t="str">
        <f t="shared" ref="C66:X66" si="6">C23</f>
        <v xml:space="preserve"> Birambizo</v>
      </c>
      <c r="D66" s="150">
        <f t="shared" si="6"/>
        <v>0.88435797278132999</v>
      </c>
      <c r="E66" s="150">
        <f t="shared" si="6"/>
        <v>0.69179104802137703</v>
      </c>
      <c r="F66" s="150">
        <f t="shared" si="6"/>
        <v>1.0178681557758884</v>
      </c>
      <c r="G66" s="150">
        <f t="shared" si="6"/>
        <v>0.92733078654802892</v>
      </c>
      <c r="H66" s="150">
        <f t="shared" si="6"/>
        <v>0.93816675514852865</v>
      </c>
      <c r="I66" s="150">
        <f t="shared" si="6"/>
        <v>1.0358330510872433</v>
      </c>
      <c r="J66" s="150">
        <f t="shared" si="6"/>
        <v>0.94928788081746263</v>
      </c>
      <c r="K66" s="150">
        <f t="shared" si="6"/>
        <v>0.95684454313096901</v>
      </c>
      <c r="L66" s="150">
        <f t="shared" si="6"/>
        <v>1.0372588364294144</v>
      </c>
      <c r="M66" s="150">
        <f t="shared" si="6"/>
        <v>0.95000077348854817</v>
      </c>
      <c r="N66" s="150">
        <f t="shared" si="6"/>
        <v>0.95827032847313998</v>
      </c>
      <c r="O66" s="150">
        <f t="shared" si="6"/>
        <v>0.98493251437173801</v>
      </c>
      <c r="P66" s="150">
        <f t="shared" si="6"/>
        <v>0.90266470012847044</v>
      </c>
      <c r="Q66" s="150">
        <f t="shared" si="6"/>
        <v>0.90965104830510835</v>
      </c>
      <c r="R66" s="150">
        <f t="shared" si="6"/>
        <v>0.90323501426533881</v>
      </c>
      <c r="S66" s="150">
        <f t="shared" si="6"/>
        <v>0.56789030178671573</v>
      </c>
      <c r="T66" s="150">
        <f t="shared" si="6"/>
        <v>0.92134248811091068</v>
      </c>
      <c r="U66" s="150">
        <f t="shared" si="6"/>
        <v>0.91977412423452254</v>
      </c>
      <c r="V66" s="150">
        <f t="shared" si="6"/>
        <v>0.73228335173903392</v>
      </c>
      <c r="W66" s="150">
        <f t="shared" si="6"/>
        <v>0.4921254944890901</v>
      </c>
      <c r="X66" s="150">
        <f t="shared" si="6"/>
        <v>0.67511755778369364</v>
      </c>
      <c r="Y66" s="152">
        <v>0.95</v>
      </c>
      <c r="Z66" s="152">
        <v>0.9</v>
      </c>
      <c r="AA66" s="103">
        <v>100</v>
      </c>
      <c r="AB66" s="103">
        <v>100</v>
      </c>
      <c r="AC66" s="31">
        <v>80</v>
      </c>
    </row>
    <row r="67" spans="2:29" x14ac:dyDescent="0.25">
      <c r="B67" s="32"/>
      <c r="C67" s="267" t="str">
        <f t="shared" ref="C67:X67" si="7">C24</f>
        <v xml:space="preserve"> Butembo</v>
      </c>
      <c r="D67" s="150">
        <f t="shared" si="7"/>
        <v>0.73109149815663044</v>
      </c>
      <c r="E67" s="150">
        <f t="shared" si="7"/>
        <v>0.180799699350075</v>
      </c>
      <c r="F67" s="150">
        <f t="shared" si="7"/>
        <v>0.89388293283489639</v>
      </c>
      <c r="G67" s="150">
        <f t="shared" si="7"/>
        <v>0.81513518842958743</v>
      </c>
      <c r="H67" s="150">
        <f t="shared" si="7"/>
        <v>0.85431699296296071</v>
      </c>
      <c r="I67" s="150">
        <f t="shared" si="7"/>
        <v>0.86059120349281459</v>
      </c>
      <c r="J67" s="150">
        <f t="shared" si="7"/>
        <v>0.75981969967659002</v>
      </c>
      <c r="K67" s="150">
        <f t="shared" si="7"/>
        <v>0.78069105307181819</v>
      </c>
      <c r="L67" s="150">
        <f t="shared" si="7"/>
        <v>0.87339571477823064</v>
      </c>
      <c r="M67" s="150">
        <f t="shared" si="7"/>
        <v>0.78184345908750563</v>
      </c>
      <c r="N67" s="150">
        <f t="shared" si="7"/>
        <v>0.78927007563304696</v>
      </c>
      <c r="O67" s="150">
        <f t="shared" si="7"/>
        <v>0.84676233130456513</v>
      </c>
      <c r="P67" s="150">
        <f t="shared" si="7"/>
        <v>0.83523827114769067</v>
      </c>
      <c r="Q67" s="150">
        <f t="shared" si="7"/>
        <v>0.7278084214630498</v>
      </c>
      <c r="R67" s="150">
        <f t="shared" si="7"/>
        <v>0.88440759448368844</v>
      </c>
      <c r="S67" s="150">
        <f t="shared" si="7"/>
        <v>0.13585586473826458</v>
      </c>
      <c r="T67" s="150">
        <f t="shared" si="7"/>
        <v>0.79298338390581768</v>
      </c>
      <c r="U67" s="150">
        <f t="shared" si="7"/>
        <v>0.87838947417954294</v>
      </c>
      <c r="V67" s="150">
        <f t="shared" si="7"/>
        <v>0.83421391024485747</v>
      </c>
      <c r="W67" s="150">
        <f t="shared" si="7"/>
        <v>0.34443078985588194</v>
      </c>
      <c r="X67" s="150">
        <f t="shared" si="7"/>
        <v>0.48229248128700691</v>
      </c>
      <c r="Y67" s="152">
        <v>0.95</v>
      </c>
      <c r="Z67" s="152">
        <v>0.9</v>
      </c>
      <c r="AA67" s="103">
        <v>100</v>
      </c>
      <c r="AB67" s="103">
        <v>100</v>
      </c>
      <c r="AC67" s="31">
        <v>80</v>
      </c>
    </row>
    <row r="68" spans="2:29" x14ac:dyDescent="0.25">
      <c r="B68" s="32"/>
      <c r="C68" s="267" t="str">
        <f t="shared" ref="C68:X68" si="8">C25</f>
        <v xml:space="preserve"> Goma</v>
      </c>
      <c r="D68" s="150">
        <f t="shared" si="8"/>
        <v>1.6521261519880801</v>
      </c>
      <c r="E68" s="150">
        <f t="shared" si="8"/>
        <v>0.88469512645828541</v>
      </c>
      <c r="F68" s="150">
        <f t="shared" si="8"/>
        <v>1.5905522476388847</v>
      </c>
      <c r="G68" s="150">
        <f t="shared" si="8"/>
        <v>1.4632579848391314</v>
      </c>
      <c r="H68" s="150">
        <f t="shared" si="8"/>
        <v>1.4908036285925206</v>
      </c>
      <c r="I68" s="150">
        <f t="shared" si="8"/>
        <v>1.5869003630503671</v>
      </c>
      <c r="J68" s="150">
        <f t="shared" si="8"/>
        <v>1.4676402463453524</v>
      </c>
      <c r="K68" s="150">
        <f t="shared" si="8"/>
        <v>1.4903862703538329</v>
      </c>
      <c r="L68" s="150">
        <f t="shared" si="8"/>
        <v>1.5919086619146197</v>
      </c>
      <c r="M68" s="150">
        <f t="shared" si="8"/>
        <v>1.4664925111889611</v>
      </c>
      <c r="N68" s="150">
        <f t="shared" si="8"/>
        <v>1.4878821209217066</v>
      </c>
      <c r="O68" s="150">
        <f t="shared" si="8"/>
        <v>1.5850222509762724</v>
      </c>
      <c r="P68" s="150">
        <f t="shared" si="8"/>
        <v>1.4556411969830805</v>
      </c>
      <c r="Q68" s="150">
        <f t="shared" si="8"/>
        <v>1.4805783517446716</v>
      </c>
      <c r="R68" s="150">
        <f t="shared" si="8"/>
        <v>1.3907419908671408</v>
      </c>
      <c r="S68" s="150">
        <f t="shared" si="8"/>
        <v>0.5880577583109915</v>
      </c>
      <c r="T68" s="150">
        <f t="shared" si="8"/>
        <v>1.3322074978911886</v>
      </c>
      <c r="U68" s="150">
        <f t="shared" si="8"/>
        <v>1.477030806715826</v>
      </c>
      <c r="V68" s="150">
        <f t="shared" si="8"/>
        <v>1.171733255115762</v>
      </c>
      <c r="W68" s="150">
        <f t="shared" si="8"/>
        <v>0.41512537211073647</v>
      </c>
      <c r="X68" s="150">
        <f t="shared" si="8"/>
        <v>0.99557260293925742</v>
      </c>
      <c r="Y68" s="152">
        <v>0.95</v>
      </c>
      <c r="Z68" s="152">
        <v>0.9</v>
      </c>
      <c r="AA68" s="103">
        <v>100</v>
      </c>
      <c r="AB68" s="103">
        <v>92.31</v>
      </c>
      <c r="AC68" s="31">
        <v>80</v>
      </c>
    </row>
    <row r="69" spans="2:29" x14ac:dyDescent="0.25">
      <c r="B69" s="32"/>
      <c r="C69" s="267" t="str">
        <f t="shared" ref="C69:X69" si="9">C26</f>
        <v xml:space="preserve"> Itebero</v>
      </c>
      <c r="D69" s="150">
        <f t="shared" si="9"/>
        <v>0.92114049565951428</v>
      </c>
      <c r="E69" s="150">
        <f t="shared" si="9"/>
        <v>0.51624956890453388</v>
      </c>
      <c r="F69" s="150">
        <f t="shared" si="9"/>
        <v>1.0000079061996916</v>
      </c>
      <c r="G69" s="150">
        <f t="shared" si="9"/>
        <v>0.94325655498864769</v>
      </c>
      <c r="H69" s="150">
        <f t="shared" si="9"/>
        <v>0.96491737606156514</v>
      </c>
      <c r="I69" s="150">
        <f t="shared" si="9"/>
        <v>1.0524270931961519</v>
      </c>
      <c r="J69" s="150">
        <f t="shared" si="9"/>
        <v>1.0157481028460116</v>
      </c>
      <c r="K69" s="150">
        <f t="shared" si="9"/>
        <v>1.0509830384579575</v>
      </c>
      <c r="L69" s="150">
        <f t="shared" si="9"/>
        <v>1.0408746552905959</v>
      </c>
      <c r="M69" s="150">
        <f t="shared" si="9"/>
        <v>1.0186362123224006</v>
      </c>
      <c r="N69" s="150">
        <f t="shared" si="9"/>
        <v>1.030333055701776</v>
      </c>
      <c r="O69" s="150">
        <f t="shared" si="9"/>
        <v>1.0205134834820535</v>
      </c>
      <c r="P69" s="150">
        <f t="shared" si="9"/>
        <v>0.9493215848890646</v>
      </c>
      <c r="Q69" s="150">
        <f t="shared" si="9"/>
        <v>1.0036180430451778</v>
      </c>
      <c r="R69" s="150">
        <f t="shared" si="9"/>
        <v>0.97300408259545434</v>
      </c>
      <c r="S69" s="150">
        <f t="shared" si="9"/>
        <v>0.70007773707669374</v>
      </c>
      <c r="T69" s="150">
        <f t="shared" si="9"/>
        <v>0.96766108006413476</v>
      </c>
      <c r="U69" s="150">
        <f t="shared" si="9"/>
        <v>0.89155939536128459</v>
      </c>
      <c r="V69" s="150">
        <f t="shared" si="9"/>
        <v>0.70267703560544392</v>
      </c>
      <c r="W69" s="150">
        <f t="shared" si="9"/>
        <v>0.77851554133225809</v>
      </c>
      <c r="X69" s="150">
        <f t="shared" si="9"/>
        <v>1.2354949665486523</v>
      </c>
      <c r="Y69" s="152">
        <v>0.95</v>
      </c>
      <c r="Z69" s="152">
        <v>0.9</v>
      </c>
      <c r="AA69" s="103">
        <v>100</v>
      </c>
      <c r="AB69" s="103">
        <v>41.38</v>
      </c>
      <c r="AC69" s="31">
        <v>80</v>
      </c>
    </row>
    <row r="70" spans="2:29" x14ac:dyDescent="0.25">
      <c r="B70" s="32"/>
      <c r="C70" s="267" t="str">
        <f t="shared" ref="C70:X70" si="10">C27</f>
        <v xml:space="preserve"> Kalunguta</v>
      </c>
      <c r="D70" s="150">
        <f t="shared" si="10"/>
        <v>0.89116626724094594</v>
      </c>
      <c r="E70" s="150">
        <f t="shared" si="10"/>
        <v>0.73298345346517879</v>
      </c>
      <c r="F70" s="150">
        <f t="shared" si="10"/>
        <v>0.99964075935433871</v>
      </c>
      <c r="G70" s="150">
        <f t="shared" si="10"/>
        <v>0.92487298963177034</v>
      </c>
      <c r="H70" s="150">
        <f t="shared" si="10"/>
        <v>0.95613427292617759</v>
      </c>
      <c r="I70" s="150">
        <f t="shared" si="10"/>
        <v>0.94417719221910013</v>
      </c>
      <c r="J70" s="150">
        <f t="shared" si="10"/>
        <v>0.81437803900130801</v>
      </c>
      <c r="K70" s="150">
        <f t="shared" si="10"/>
        <v>0.92833045875188913</v>
      </c>
      <c r="L70" s="150">
        <f t="shared" si="10"/>
        <v>0.90744158281783827</v>
      </c>
      <c r="M70" s="150">
        <f t="shared" si="10"/>
        <v>0.84117342468222855</v>
      </c>
      <c r="N70" s="150">
        <f t="shared" si="10"/>
        <v>0.86955348370987007</v>
      </c>
      <c r="O70" s="150">
        <f t="shared" si="10"/>
        <v>0.91089905193795695</v>
      </c>
      <c r="P70" s="150">
        <f t="shared" si="10"/>
        <v>0.84852054656248088</v>
      </c>
      <c r="Q70" s="150">
        <f t="shared" si="10"/>
        <v>0.90700939917782342</v>
      </c>
      <c r="R70" s="150">
        <f t="shared" si="10"/>
        <v>0.96492200693981278</v>
      </c>
      <c r="S70" s="150">
        <f t="shared" si="10"/>
        <v>0.53000120387153937</v>
      </c>
      <c r="T70" s="150">
        <f t="shared" si="10"/>
        <v>0.91522088833810544</v>
      </c>
      <c r="U70" s="150">
        <f t="shared" si="10"/>
        <v>0.93366072364540553</v>
      </c>
      <c r="V70" s="150">
        <f t="shared" si="10"/>
        <v>0.77850679688007585</v>
      </c>
      <c r="W70" s="150">
        <f t="shared" si="10"/>
        <v>0.47600093851078457</v>
      </c>
      <c r="X70" s="150">
        <f t="shared" si="10"/>
        <v>0.62922120364008116</v>
      </c>
      <c r="Y70" s="152">
        <v>0.95</v>
      </c>
      <c r="Z70" s="152">
        <v>0.9</v>
      </c>
      <c r="AA70" s="103">
        <v>100</v>
      </c>
      <c r="AB70" s="103">
        <v>100</v>
      </c>
      <c r="AC70" s="31">
        <v>80</v>
      </c>
    </row>
    <row r="71" spans="2:29" x14ac:dyDescent="0.25">
      <c r="B71" s="32"/>
      <c r="C71" s="267" t="str">
        <f t="shared" ref="C71:X71" si="11">C28</f>
        <v xml:space="preserve"> Kamango</v>
      </c>
      <c r="D71" s="150">
        <f t="shared" si="11"/>
        <v>0.86421767597446308</v>
      </c>
      <c r="E71" s="150">
        <f t="shared" si="11"/>
        <v>0.95590857105052274</v>
      </c>
      <c r="F71" s="150">
        <f t="shared" si="11"/>
        <v>1.156020514513288</v>
      </c>
      <c r="G71" s="150">
        <f t="shared" si="11"/>
        <v>1.0183266655651937</v>
      </c>
      <c r="H71" s="150">
        <f t="shared" si="11"/>
        <v>1.0524579082586092</v>
      </c>
      <c r="I71" s="150">
        <f t="shared" si="11"/>
        <v>1.1815020587159064</v>
      </c>
      <c r="J71" s="150">
        <f t="shared" si="11"/>
        <v>1.0396002483398568</v>
      </c>
      <c r="K71" s="150">
        <f t="shared" si="11"/>
        <v>1.0756016961123636</v>
      </c>
      <c r="L71" s="150">
        <f t="shared" si="11"/>
        <v>1.0725626128588404</v>
      </c>
      <c r="M71" s="150">
        <f t="shared" si="11"/>
        <v>0.9647920451762062</v>
      </c>
      <c r="N71" s="150">
        <f t="shared" si="11"/>
        <v>0.99424777517189367</v>
      </c>
      <c r="O71" s="150">
        <f t="shared" si="11"/>
        <v>1.1160448809477121</v>
      </c>
      <c r="P71" s="150">
        <f t="shared" si="11"/>
        <v>0.99658553152075768</v>
      </c>
      <c r="Q71" s="150">
        <f t="shared" si="11"/>
        <v>0.98536430104621009</v>
      </c>
      <c r="R71" s="150">
        <f t="shared" si="11"/>
        <v>1.0957064007125947</v>
      </c>
      <c r="S71" s="150">
        <f t="shared" si="11"/>
        <v>0.25084125623311587</v>
      </c>
      <c r="T71" s="150">
        <f t="shared" si="11"/>
        <v>0.97157153858791201</v>
      </c>
      <c r="U71" s="150">
        <f t="shared" si="11"/>
        <v>1.0421717803236072</v>
      </c>
      <c r="V71" s="150">
        <f t="shared" si="11"/>
        <v>0.51594282619430265</v>
      </c>
      <c r="W71" s="150">
        <f t="shared" si="11"/>
        <v>0.40039162094356173</v>
      </c>
      <c r="X71" s="150">
        <f t="shared" si="11"/>
        <v>0.69063985151039231</v>
      </c>
      <c r="Y71" s="152">
        <v>0.95</v>
      </c>
      <c r="Z71" s="152">
        <v>0.9</v>
      </c>
      <c r="AA71" s="103">
        <v>100</v>
      </c>
      <c r="AB71" s="103">
        <v>88.89</v>
      </c>
      <c r="AC71" s="31">
        <v>80</v>
      </c>
    </row>
    <row r="72" spans="2:29" x14ac:dyDescent="0.25">
      <c r="B72" s="32"/>
      <c r="C72" s="267" t="str">
        <f t="shared" ref="C72:X72" si="12">C29</f>
        <v xml:space="preserve"> Karisimbi</v>
      </c>
      <c r="D72" s="150">
        <f t="shared" si="12"/>
        <v>1.1826760906360576</v>
      </c>
      <c r="E72" s="150">
        <f t="shared" si="12"/>
        <v>0.57412200866243013</v>
      </c>
      <c r="F72" s="150">
        <f t="shared" si="12"/>
        <v>1.1729496637185082</v>
      </c>
      <c r="G72" s="150">
        <f t="shared" si="12"/>
        <v>1.0403247920739462</v>
      </c>
      <c r="H72" s="150">
        <f t="shared" si="12"/>
        <v>1.0364483831209679</v>
      </c>
      <c r="I72" s="150">
        <f t="shared" si="12"/>
        <v>1.172381123738738</v>
      </c>
      <c r="J72" s="150">
        <f t="shared" si="12"/>
        <v>1.01174273672732</v>
      </c>
      <c r="K72" s="150">
        <f t="shared" si="12"/>
        <v>1.0340708522964746</v>
      </c>
      <c r="L72" s="150">
        <f t="shared" si="12"/>
        <v>1.2070103770520104</v>
      </c>
      <c r="M72" s="150">
        <f t="shared" si="12"/>
        <v>1.0270416307284074</v>
      </c>
      <c r="N72" s="150">
        <f t="shared" si="12"/>
        <v>1.0635315603391091</v>
      </c>
      <c r="O72" s="150">
        <f t="shared" si="12"/>
        <v>1.1062237442745761</v>
      </c>
      <c r="P72" s="150">
        <f t="shared" si="12"/>
        <v>0.94961682257425539</v>
      </c>
      <c r="Q72" s="150">
        <f t="shared" si="12"/>
        <v>0.96000559856823708</v>
      </c>
      <c r="R72" s="150">
        <f t="shared" si="12"/>
        <v>1.1690215693128236</v>
      </c>
      <c r="S72" s="150">
        <f t="shared" si="12"/>
        <v>0.40040720211629871</v>
      </c>
      <c r="T72" s="150">
        <f t="shared" si="12"/>
        <v>0.982230343231979</v>
      </c>
      <c r="U72" s="150">
        <f t="shared" si="12"/>
        <v>1.1344956869049641</v>
      </c>
      <c r="V72" s="150">
        <f t="shared" si="12"/>
        <v>0.6730479651424347</v>
      </c>
      <c r="W72" s="150">
        <f t="shared" si="12"/>
        <v>0.41275963767222734</v>
      </c>
      <c r="X72" s="150">
        <f t="shared" si="12"/>
        <v>0.87873203317830462</v>
      </c>
      <c r="Y72" s="152">
        <v>0.95</v>
      </c>
      <c r="Z72" s="152">
        <v>0.9</v>
      </c>
      <c r="AA72" s="103">
        <v>100</v>
      </c>
      <c r="AB72" s="103">
        <v>76.92</v>
      </c>
      <c r="AC72" s="31">
        <v>80</v>
      </c>
    </row>
    <row r="73" spans="2:29" x14ac:dyDescent="0.25">
      <c r="B73" s="32"/>
      <c r="C73" s="267" t="str">
        <f t="shared" ref="C73:X73" si="13">C30</f>
        <v xml:space="preserve"> Katoyi</v>
      </c>
      <c r="D73" s="150">
        <f t="shared" si="13"/>
        <v>0.99792506753317922</v>
      </c>
      <c r="E73" s="150">
        <f t="shared" si="13"/>
        <v>0.63931746309694981</v>
      </c>
      <c r="F73" s="150">
        <f t="shared" si="13"/>
        <v>1.0479098844164911</v>
      </c>
      <c r="G73" s="150">
        <f t="shared" si="13"/>
        <v>0.99675730805977281</v>
      </c>
      <c r="H73" s="150">
        <f t="shared" si="13"/>
        <v>0.99819316985224205</v>
      </c>
      <c r="I73" s="150">
        <f t="shared" si="13"/>
        <v>1.1595481387809781</v>
      </c>
      <c r="J73" s="150">
        <f t="shared" si="13"/>
        <v>1.1101903896648464</v>
      </c>
      <c r="K73" s="150">
        <f t="shared" si="13"/>
        <v>1.1153953886625476</v>
      </c>
      <c r="L73" s="150">
        <f t="shared" si="13"/>
        <v>1.1625096037279461</v>
      </c>
      <c r="M73" s="150">
        <f t="shared" si="13"/>
        <v>1.1012162534619134</v>
      </c>
      <c r="N73" s="150">
        <f t="shared" si="13"/>
        <v>1.1286771102428885</v>
      </c>
      <c r="O73" s="150">
        <f t="shared" si="13"/>
        <v>1.2395974337111408</v>
      </c>
      <c r="P73" s="150">
        <f t="shared" si="13"/>
        <v>1.163586500072298</v>
      </c>
      <c r="Q73" s="150">
        <f t="shared" si="13"/>
        <v>1.183688565166868</v>
      </c>
      <c r="R73" s="150">
        <f t="shared" si="13"/>
        <v>1.1007675466517668</v>
      </c>
      <c r="S73" s="150">
        <f t="shared" si="13"/>
        <v>1.0637043641336532</v>
      </c>
      <c r="T73" s="150">
        <f t="shared" si="13"/>
        <v>1.0769860857139941</v>
      </c>
      <c r="U73" s="150">
        <f t="shared" si="13"/>
        <v>1.020718251721604</v>
      </c>
      <c r="V73" s="150">
        <f t="shared" si="13"/>
        <v>1.1980471830915609</v>
      </c>
      <c r="W73" s="150">
        <f t="shared" si="13"/>
        <v>0.40104921113416586</v>
      </c>
      <c r="X73" s="150">
        <f t="shared" si="13"/>
        <v>0.90279137141291144</v>
      </c>
      <c r="Y73" s="152">
        <v>0.95</v>
      </c>
      <c r="Z73" s="152">
        <v>0.9</v>
      </c>
      <c r="AA73" s="103">
        <v>100</v>
      </c>
      <c r="AB73" s="103">
        <v>100</v>
      </c>
      <c r="AC73" s="31">
        <v>80</v>
      </c>
    </row>
    <row r="74" spans="2:29" x14ac:dyDescent="0.25">
      <c r="B74" s="32"/>
      <c r="C74" s="267" t="str">
        <f t="shared" ref="C74:X74" si="14">C31</f>
        <v xml:space="preserve"> Katwa</v>
      </c>
      <c r="D74" s="150">
        <f t="shared" si="14"/>
        <v>0.90889528228701222</v>
      </c>
      <c r="E74" s="150">
        <f t="shared" si="14"/>
        <v>0.69128410670552776</v>
      </c>
      <c r="F74" s="150">
        <f t="shared" si="14"/>
        <v>1.0326981227084107</v>
      </c>
      <c r="G74" s="150">
        <f t="shared" si="14"/>
        <v>0.97493567126665548</v>
      </c>
      <c r="H74" s="150">
        <f t="shared" si="14"/>
        <v>0.97686315888204234</v>
      </c>
      <c r="I74" s="150">
        <f t="shared" si="14"/>
        <v>1.0640353407134104</v>
      </c>
      <c r="J74" s="150">
        <f t="shared" si="14"/>
        <v>1.0057754731128457</v>
      </c>
      <c r="K74" s="150">
        <f t="shared" si="14"/>
        <v>1.0772790459417139</v>
      </c>
      <c r="L74" s="150">
        <f t="shared" si="14"/>
        <v>1.0838076330260888</v>
      </c>
      <c r="M74" s="150">
        <f t="shared" si="14"/>
        <v>1.0167808056265062</v>
      </c>
      <c r="N74" s="150">
        <f t="shared" si="14"/>
        <v>1.0474340764131427</v>
      </c>
      <c r="O74" s="150">
        <f t="shared" si="14"/>
        <v>1.0287809704577857</v>
      </c>
      <c r="P74" s="150">
        <f t="shared" si="14"/>
        <v>1.065838474289095</v>
      </c>
      <c r="Q74" s="150">
        <f t="shared" si="14"/>
        <v>0.9628111523956735</v>
      </c>
      <c r="R74" s="150">
        <f t="shared" si="14"/>
        <v>1.0644705798523688</v>
      </c>
      <c r="S74" s="150">
        <f t="shared" si="14"/>
        <v>0.28775524787130624</v>
      </c>
      <c r="T74" s="150">
        <f t="shared" si="14"/>
        <v>0.9993090630483219</v>
      </c>
      <c r="U74" s="150">
        <f t="shared" si="14"/>
        <v>1.1159531522891539</v>
      </c>
      <c r="V74" s="150">
        <f t="shared" si="14"/>
        <v>0.96660395060659599</v>
      </c>
      <c r="W74" s="150">
        <f t="shared" si="14"/>
        <v>0.438118556747637</v>
      </c>
      <c r="X74" s="150">
        <f t="shared" si="14"/>
        <v>0.64985415939573354</v>
      </c>
      <c r="Y74" s="152">
        <v>0.95</v>
      </c>
      <c r="Z74" s="152">
        <v>0.9</v>
      </c>
      <c r="AA74" s="103">
        <v>100</v>
      </c>
      <c r="AB74" s="103">
        <v>100</v>
      </c>
      <c r="AC74" s="31">
        <v>80</v>
      </c>
    </row>
    <row r="75" spans="2:29" x14ac:dyDescent="0.25">
      <c r="B75" s="32"/>
      <c r="C75" s="267" t="str">
        <f t="shared" ref="C75:X75" si="15">C32</f>
        <v xml:space="preserve"> Kayna</v>
      </c>
      <c r="D75" s="150">
        <f t="shared" si="15"/>
        <v>0.69205561991006037</v>
      </c>
      <c r="E75" s="150">
        <f t="shared" si="15"/>
        <v>0.73798568802986486</v>
      </c>
      <c r="F75" s="150">
        <f t="shared" si="15"/>
        <v>1.0950144710239971</v>
      </c>
      <c r="G75" s="150">
        <f t="shared" si="15"/>
        <v>1.0186110686823047</v>
      </c>
      <c r="H75" s="150">
        <f t="shared" si="15"/>
        <v>0.95553472165492148</v>
      </c>
      <c r="I75" s="150">
        <f t="shared" si="15"/>
        <v>0.872013460224905</v>
      </c>
      <c r="J75" s="150">
        <f t="shared" si="15"/>
        <v>0.83665133049886897</v>
      </c>
      <c r="K75" s="150">
        <f t="shared" si="15"/>
        <v>0.77130332631563758</v>
      </c>
      <c r="L75" s="150">
        <f t="shared" si="15"/>
        <v>0.99983203619396022</v>
      </c>
      <c r="M75" s="150">
        <f t="shared" si="15"/>
        <v>0.86232105635995293</v>
      </c>
      <c r="N75" s="150">
        <f t="shared" si="15"/>
        <v>0.84702523151057552</v>
      </c>
      <c r="O75" s="150">
        <f t="shared" si="15"/>
        <v>0.9753738608159952</v>
      </c>
      <c r="P75" s="150">
        <f t="shared" si="15"/>
        <v>0.8158278065702611</v>
      </c>
      <c r="Q75" s="150">
        <f t="shared" si="15"/>
        <v>0.75911209957925252</v>
      </c>
      <c r="R75" s="150">
        <f t="shared" si="15"/>
        <v>0.95349023021465817</v>
      </c>
      <c r="S75" s="150">
        <f t="shared" si="15"/>
        <v>0.22974026036144163</v>
      </c>
      <c r="T75" s="150">
        <f t="shared" si="15"/>
        <v>0.84755528484693998</v>
      </c>
      <c r="U75" s="150">
        <f t="shared" si="15"/>
        <v>0.9663629540977976</v>
      </c>
      <c r="V75" s="150">
        <f t="shared" si="15"/>
        <v>0.78977947118320246</v>
      </c>
      <c r="W75" s="150">
        <f t="shared" si="15"/>
        <v>0.47026748472742813</v>
      </c>
      <c r="X75" s="150">
        <f t="shared" si="15"/>
        <v>0.68373113226245485</v>
      </c>
      <c r="Y75" s="152">
        <v>0.95</v>
      </c>
      <c r="Z75" s="152">
        <v>0.9</v>
      </c>
      <c r="AA75" s="103">
        <v>100</v>
      </c>
      <c r="AB75" s="103">
        <v>100</v>
      </c>
      <c r="AC75" s="31">
        <v>80</v>
      </c>
    </row>
    <row r="76" spans="2:29" x14ac:dyDescent="0.25">
      <c r="B76" s="32"/>
      <c r="C76" s="267" t="str">
        <f t="shared" ref="C76:X76" si="16">C33</f>
        <v xml:space="preserve"> Kibirizi</v>
      </c>
      <c r="D76" s="150">
        <f t="shared" si="16"/>
        <v>0.94183871872298719</v>
      </c>
      <c r="E76" s="150">
        <f t="shared" si="16"/>
        <v>0.67675129867210315</v>
      </c>
      <c r="F76" s="150">
        <f t="shared" si="16"/>
        <v>0.92568230739124246</v>
      </c>
      <c r="G76" s="150">
        <f t="shared" si="16"/>
        <v>0.88607964691319752</v>
      </c>
      <c r="H76" s="150">
        <f t="shared" si="16"/>
        <v>0.88496407901240759</v>
      </c>
      <c r="I76" s="150">
        <f t="shared" si="16"/>
        <v>1.0326174590241122</v>
      </c>
      <c r="J76" s="150">
        <f t="shared" si="16"/>
        <v>0.96879103841462733</v>
      </c>
      <c r="K76" s="150">
        <f t="shared" si="16"/>
        <v>0.97022534000135729</v>
      </c>
      <c r="L76" s="150">
        <f t="shared" si="16"/>
        <v>1.0202665286939372</v>
      </c>
      <c r="M76" s="150">
        <f t="shared" si="16"/>
        <v>0.95524485676217741</v>
      </c>
      <c r="N76" s="150">
        <f t="shared" si="16"/>
        <v>0.96719736998492734</v>
      </c>
      <c r="O76" s="150">
        <f t="shared" si="16"/>
        <v>0.87388808342599256</v>
      </c>
      <c r="P76" s="150">
        <f t="shared" si="16"/>
        <v>0.82902631712993768</v>
      </c>
      <c r="Q76" s="150">
        <f t="shared" si="16"/>
        <v>0.82026114076658774</v>
      </c>
      <c r="R76" s="150">
        <f t="shared" si="16"/>
        <v>0.99460846697576721</v>
      </c>
      <c r="S76" s="150">
        <f t="shared" si="16"/>
        <v>0.71754921047242304</v>
      </c>
      <c r="T76" s="150">
        <f t="shared" si="16"/>
        <v>0.94392981091130745</v>
      </c>
      <c r="U76" s="150">
        <f t="shared" si="16"/>
        <v>0.95787440967118231</v>
      </c>
      <c r="V76" s="150">
        <f t="shared" si="16"/>
        <v>0.8926136874749675</v>
      </c>
      <c r="W76" s="150">
        <f t="shared" si="16"/>
        <v>0.74487783512202588</v>
      </c>
      <c r="X76" s="150">
        <f t="shared" si="16"/>
        <v>1.8802012481836912</v>
      </c>
      <c r="Y76" s="152">
        <v>0.95</v>
      </c>
      <c r="Z76" s="152">
        <v>0.9</v>
      </c>
      <c r="AA76" s="103">
        <v>100</v>
      </c>
      <c r="AB76" s="103">
        <v>100</v>
      </c>
      <c r="AC76" s="31">
        <v>80</v>
      </c>
    </row>
    <row r="77" spans="2:29" x14ac:dyDescent="0.25">
      <c r="B77" s="32"/>
      <c r="C77" s="267" t="str">
        <f t="shared" ref="C77:X77" si="17">C34</f>
        <v xml:space="preserve"> Kibua</v>
      </c>
      <c r="D77" s="150">
        <f t="shared" si="17"/>
        <v>0.79286941220830376</v>
      </c>
      <c r="E77" s="150">
        <f t="shared" si="17"/>
        <v>0.3610922608733127</v>
      </c>
      <c r="F77" s="150">
        <f t="shared" si="17"/>
        <v>0.75747744883996115</v>
      </c>
      <c r="G77" s="150">
        <f t="shared" si="17"/>
        <v>0.72314487350426726</v>
      </c>
      <c r="H77" s="150">
        <f t="shared" si="17"/>
        <v>0.74283208453592386</v>
      </c>
      <c r="I77" s="150">
        <f t="shared" si="17"/>
        <v>0.96011166970237871</v>
      </c>
      <c r="J77" s="150">
        <f t="shared" si="17"/>
        <v>0.89000599139452807</v>
      </c>
      <c r="K77" s="150">
        <f t="shared" si="17"/>
        <v>0.90249056424387131</v>
      </c>
      <c r="L77" s="150">
        <f t="shared" si="17"/>
        <v>0.93082094109430413</v>
      </c>
      <c r="M77" s="150">
        <f t="shared" si="17"/>
        <v>0.89720862957684155</v>
      </c>
      <c r="N77" s="150">
        <f t="shared" si="17"/>
        <v>0.90705223509266986</v>
      </c>
      <c r="O77" s="150">
        <f t="shared" si="17"/>
        <v>0.94834736067126679</v>
      </c>
      <c r="P77" s="150">
        <f t="shared" si="17"/>
        <v>0.89912933309212506</v>
      </c>
      <c r="Q77" s="150">
        <f t="shared" si="17"/>
        <v>0.91521522503262509</v>
      </c>
      <c r="R77" s="150">
        <f t="shared" si="17"/>
        <v>0.86815798890817741</v>
      </c>
      <c r="S77" s="150">
        <f t="shared" si="17"/>
        <v>0.56372648173573026</v>
      </c>
      <c r="T77" s="150">
        <f t="shared" si="17"/>
        <v>0.95891123000532641</v>
      </c>
      <c r="U77" s="150">
        <f t="shared" si="17"/>
        <v>0.86455666981702073</v>
      </c>
      <c r="V77" s="150">
        <f t="shared" si="17"/>
        <v>0.73010742374717019</v>
      </c>
      <c r="W77" s="150">
        <f t="shared" si="17"/>
        <v>0.23796556202605895</v>
      </c>
      <c r="X77" s="150">
        <f t="shared" si="17"/>
        <v>0.63387657631237182</v>
      </c>
      <c r="Y77" s="152">
        <v>0.95</v>
      </c>
      <c r="Z77" s="152">
        <v>0.9</v>
      </c>
      <c r="AB77" s="103">
        <v>0</v>
      </c>
      <c r="AC77" s="31">
        <v>80</v>
      </c>
    </row>
    <row r="78" spans="2:29" x14ac:dyDescent="0.25">
      <c r="B78" s="32"/>
      <c r="C78" s="267" t="str">
        <f t="shared" ref="C78:X78" si="18">C35</f>
        <v xml:space="preserve"> Kirotshe</v>
      </c>
      <c r="D78" s="150">
        <f t="shared" si="18"/>
        <v>0.56666996893921284</v>
      </c>
      <c r="E78" s="150">
        <f t="shared" si="18"/>
        <v>0.30410072954285988</v>
      </c>
      <c r="F78" s="150">
        <f t="shared" si="18"/>
        <v>0.58255360489190078</v>
      </c>
      <c r="G78" s="150">
        <f t="shared" si="18"/>
        <v>0.51382537060690125</v>
      </c>
      <c r="H78" s="150">
        <f t="shared" si="18"/>
        <v>0.50647832904096346</v>
      </c>
      <c r="I78" s="150">
        <f t="shared" si="18"/>
        <v>0.62383062023507829</v>
      </c>
      <c r="J78" s="150">
        <f t="shared" si="18"/>
        <v>0.56164793207245967</v>
      </c>
      <c r="K78" s="150">
        <f t="shared" si="18"/>
        <v>0.54748817923628867</v>
      </c>
      <c r="L78" s="150">
        <f t="shared" si="18"/>
        <v>0.61634999609521435</v>
      </c>
      <c r="M78" s="150">
        <f t="shared" si="18"/>
        <v>0.5479557182450302</v>
      </c>
      <c r="N78" s="150">
        <f t="shared" si="18"/>
        <v>0.53706873847004977</v>
      </c>
      <c r="O78" s="150">
        <f t="shared" si="18"/>
        <v>0.61768582183447585</v>
      </c>
      <c r="P78" s="150">
        <f t="shared" si="18"/>
        <v>0.54608556221006421</v>
      </c>
      <c r="Q78" s="150">
        <f t="shared" si="18"/>
        <v>0.53913926836590487</v>
      </c>
      <c r="R78" s="150">
        <f t="shared" si="18"/>
        <v>0.55383335149778046</v>
      </c>
      <c r="S78" s="150">
        <f t="shared" si="18"/>
        <v>0.27584801515748109</v>
      </c>
      <c r="T78" s="150">
        <f t="shared" si="18"/>
        <v>0.55202998674977755</v>
      </c>
      <c r="U78" s="150">
        <f t="shared" si="18"/>
        <v>0.54354749330546759</v>
      </c>
      <c r="V78" s="150">
        <f t="shared" si="18"/>
        <v>0.37636890203690215</v>
      </c>
      <c r="W78" s="150">
        <f t="shared" si="18"/>
        <v>0.22208754130268824</v>
      </c>
      <c r="X78" s="150">
        <f t="shared" si="18"/>
        <v>0.37960594175956736</v>
      </c>
      <c r="Y78" s="152">
        <v>0.95</v>
      </c>
      <c r="Z78" s="152">
        <v>0.9</v>
      </c>
      <c r="AA78" s="103">
        <v>100</v>
      </c>
      <c r="AB78" s="103">
        <v>62.86</v>
      </c>
      <c r="AC78" s="31">
        <v>80</v>
      </c>
    </row>
    <row r="79" spans="2:29" x14ac:dyDescent="0.25">
      <c r="B79" s="32"/>
      <c r="C79" s="267" t="str">
        <f t="shared" ref="C79:X79" si="19">C36</f>
        <v xml:space="preserve"> Kyondo</v>
      </c>
      <c r="D79" s="150">
        <f t="shared" si="19"/>
        <v>0.79978799865560113</v>
      </c>
      <c r="E79" s="150">
        <f t="shared" si="19"/>
        <v>0.43203293051003666</v>
      </c>
      <c r="F79" s="150">
        <f t="shared" si="19"/>
        <v>0.95681367120501259</v>
      </c>
      <c r="G79" s="150">
        <f t="shared" si="19"/>
        <v>0.95266520685169265</v>
      </c>
      <c r="H79" s="150">
        <f t="shared" si="19"/>
        <v>0.94584987255695274</v>
      </c>
      <c r="I79" s="150">
        <f t="shared" si="19"/>
        <v>0.92347779693726284</v>
      </c>
      <c r="J79" s="150">
        <f t="shared" si="19"/>
        <v>0.92051460811346286</v>
      </c>
      <c r="K79" s="150">
        <f t="shared" si="19"/>
        <v>0.904513388464943</v>
      </c>
      <c r="L79" s="150">
        <f t="shared" si="19"/>
        <v>0.93029313123200286</v>
      </c>
      <c r="M79" s="150">
        <f t="shared" si="19"/>
        <v>0.90377259125899301</v>
      </c>
      <c r="N79" s="150">
        <f t="shared" si="19"/>
        <v>0.91014344723016294</v>
      </c>
      <c r="O79" s="150">
        <f t="shared" si="19"/>
        <v>0.93577503055603284</v>
      </c>
      <c r="P79" s="150">
        <f t="shared" si="19"/>
        <v>0.94377564038029271</v>
      </c>
      <c r="Q79" s="150">
        <f t="shared" si="19"/>
        <v>0.92495939134916283</v>
      </c>
      <c r="R79" s="150">
        <f t="shared" si="19"/>
        <v>0.94733146696885273</v>
      </c>
      <c r="S79" s="150">
        <f t="shared" si="19"/>
        <v>0.22075756737309829</v>
      </c>
      <c r="T79" s="150">
        <f t="shared" si="19"/>
        <v>0.89532750311116305</v>
      </c>
      <c r="U79" s="150">
        <f t="shared" si="19"/>
        <v>1.0831936745400816</v>
      </c>
      <c r="V79" s="150">
        <f t="shared" si="19"/>
        <v>0.54196723587301587</v>
      </c>
      <c r="W79" s="150">
        <f t="shared" si="19"/>
        <v>0.19248170842058995</v>
      </c>
      <c r="X79" s="150">
        <f t="shared" si="19"/>
        <v>0.48294940406939157</v>
      </c>
      <c r="Y79" s="152">
        <v>0.95</v>
      </c>
      <c r="Z79" s="152">
        <v>0.9</v>
      </c>
      <c r="AA79" s="103">
        <v>100</v>
      </c>
      <c r="AB79" s="103">
        <v>94.29</v>
      </c>
      <c r="AC79" s="31">
        <v>80</v>
      </c>
    </row>
    <row r="80" spans="2:29" x14ac:dyDescent="0.25">
      <c r="B80" s="32"/>
      <c r="C80" s="267" t="str">
        <f t="shared" ref="C80:X80" si="20">C37</f>
        <v xml:space="preserve"> Lubero</v>
      </c>
      <c r="D80" s="150">
        <f t="shared" si="20"/>
        <v>0.65548198669122648</v>
      </c>
      <c r="E80" s="150">
        <f t="shared" si="20"/>
        <v>0.506773567455304</v>
      </c>
      <c r="F80" s="150">
        <f t="shared" si="20"/>
        <v>0.95886618139460122</v>
      </c>
      <c r="G80" s="150">
        <f t="shared" si="20"/>
        <v>0.92282430072926813</v>
      </c>
      <c r="H80" s="150">
        <f t="shared" si="20"/>
        <v>0.93442617260570782</v>
      </c>
      <c r="I80" s="150">
        <f t="shared" si="20"/>
        <v>0.97322587527445692</v>
      </c>
      <c r="J80" s="150">
        <f t="shared" si="20"/>
        <v>0.94393590365196989</v>
      </c>
      <c r="K80" s="150">
        <f t="shared" si="20"/>
        <v>0.9592465706364518</v>
      </c>
      <c r="L80" s="150">
        <f t="shared" si="20"/>
        <v>0.88944514475688841</v>
      </c>
      <c r="M80" s="150">
        <f t="shared" si="20"/>
        <v>0.81194083672985284</v>
      </c>
      <c r="N80" s="150">
        <f t="shared" si="20"/>
        <v>0.8152692425960445</v>
      </c>
      <c r="O80" s="150">
        <f t="shared" si="20"/>
        <v>0.91369495892485664</v>
      </c>
      <c r="P80" s="150">
        <f t="shared" si="20"/>
        <v>0.85644637802635915</v>
      </c>
      <c r="Q80" s="150">
        <f t="shared" si="20"/>
        <v>0.82572994674693279</v>
      </c>
      <c r="R80" s="150">
        <f t="shared" si="20"/>
        <v>0.92215861955602985</v>
      </c>
      <c r="S80" s="150">
        <f t="shared" si="20"/>
        <v>0.45047595966143272</v>
      </c>
      <c r="T80" s="150">
        <f t="shared" si="20"/>
        <v>0.92215861955602985</v>
      </c>
      <c r="U80" s="150">
        <f t="shared" si="20"/>
        <v>0.99100907233096691</v>
      </c>
      <c r="V80" s="150">
        <f t="shared" si="20"/>
        <v>0.81365258831817999</v>
      </c>
      <c r="W80" s="150">
        <f t="shared" si="20"/>
        <v>0.24269427988251105</v>
      </c>
      <c r="X80" s="150">
        <f t="shared" si="20"/>
        <v>0.61175553011068518</v>
      </c>
      <c r="Y80" s="152">
        <v>0.95</v>
      </c>
      <c r="Z80" s="152">
        <v>0.9</v>
      </c>
      <c r="AA80" s="103">
        <v>100</v>
      </c>
      <c r="AB80" s="103">
        <v>97.83</v>
      </c>
      <c r="AC80" s="31">
        <v>80</v>
      </c>
    </row>
    <row r="81" spans="2:29" x14ac:dyDescent="0.25">
      <c r="B81" s="32"/>
      <c r="C81" s="267" t="str">
        <f t="shared" ref="C81:X81" si="21">C38</f>
        <v xml:space="preserve"> Mabalako</v>
      </c>
      <c r="D81" s="150">
        <f t="shared" si="21"/>
        <v>0.62117739345729084</v>
      </c>
      <c r="E81" s="150">
        <f t="shared" si="21"/>
        <v>0.44911363098150753</v>
      </c>
      <c r="F81" s="150">
        <f t="shared" si="21"/>
        <v>0.9864485194720507</v>
      </c>
      <c r="G81" s="150">
        <f t="shared" si="21"/>
        <v>0.91002755755339559</v>
      </c>
      <c r="H81" s="150">
        <f t="shared" si="21"/>
        <v>0.9341900675717939</v>
      </c>
      <c r="I81" s="150">
        <f t="shared" si="21"/>
        <v>0.88038633886803497</v>
      </c>
      <c r="J81" s="150">
        <f t="shared" si="21"/>
        <v>0.93742110088820763</v>
      </c>
      <c r="K81" s="150">
        <f t="shared" si="21"/>
        <v>0.85903342303782249</v>
      </c>
      <c r="L81" s="150">
        <f t="shared" si="21"/>
        <v>0.86619788821769639</v>
      </c>
      <c r="M81" s="150">
        <f t="shared" si="21"/>
        <v>0.80199866101764983</v>
      </c>
      <c r="N81" s="150">
        <f t="shared" si="21"/>
        <v>0.80185818130824049</v>
      </c>
      <c r="O81" s="150">
        <f t="shared" si="21"/>
        <v>0.82995412319009898</v>
      </c>
      <c r="P81" s="150">
        <f t="shared" si="21"/>
        <v>0.77572895535811215</v>
      </c>
      <c r="Q81" s="150">
        <f t="shared" si="21"/>
        <v>0.80199866101764983</v>
      </c>
      <c r="R81" s="150">
        <f t="shared" si="21"/>
        <v>0.92182785314377613</v>
      </c>
      <c r="S81" s="150">
        <f t="shared" si="21"/>
        <v>0.25426827403081909</v>
      </c>
      <c r="T81" s="150">
        <f t="shared" si="21"/>
        <v>0.78415773792266974</v>
      </c>
      <c r="U81" s="150">
        <f t="shared" si="21"/>
        <v>0.94374268781162574</v>
      </c>
      <c r="V81" s="150">
        <f t="shared" si="21"/>
        <v>0.74805445260448156</v>
      </c>
      <c r="W81" s="150">
        <f t="shared" si="21"/>
        <v>0.42911248115508588</v>
      </c>
      <c r="X81" s="150">
        <f t="shared" si="21"/>
        <v>0.79461188669763549</v>
      </c>
      <c r="Y81" s="152">
        <v>0.95</v>
      </c>
      <c r="Z81" s="152">
        <v>0.9</v>
      </c>
      <c r="AA81" s="103">
        <v>100</v>
      </c>
      <c r="AB81" s="103">
        <v>96.55</v>
      </c>
      <c r="AC81" s="31">
        <v>80</v>
      </c>
    </row>
    <row r="82" spans="2:29" x14ac:dyDescent="0.25">
      <c r="B82" s="32"/>
      <c r="C82" s="267" t="str">
        <f t="shared" ref="C82:X82" si="22">C39</f>
        <v xml:space="preserve"> Manguredjipa</v>
      </c>
      <c r="D82" s="150">
        <f t="shared" si="22"/>
        <v>0.61796775019196315</v>
      </c>
      <c r="E82" s="150">
        <f t="shared" si="22"/>
        <v>0.35448827063026245</v>
      </c>
      <c r="F82" s="150">
        <f t="shared" si="22"/>
        <v>1.1067637764265592</v>
      </c>
      <c r="G82" s="150">
        <f t="shared" si="22"/>
        <v>0.9448326895448107</v>
      </c>
      <c r="H82" s="150">
        <f t="shared" si="22"/>
        <v>0.91631873728954627</v>
      </c>
      <c r="I82" s="150">
        <f t="shared" si="22"/>
        <v>1.0032686904630068</v>
      </c>
      <c r="J82" s="150">
        <f t="shared" si="22"/>
        <v>0.87759608607869333</v>
      </c>
      <c r="K82" s="150">
        <f t="shared" si="22"/>
        <v>0.81599186824324554</v>
      </c>
      <c r="L82" s="150">
        <f t="shared" si="22"/>
        <v>0.89730943578603661</v>
      </c>
      <c r="M82" s="150">
        <f t="shared" si="22"/>
        <v>0.71073666177010908</v>
      </c>
      <c r="N82" s="150">
        <f t="shared" si="22"/>
        <v>0.66145328750175081</v>
      </c>
      <c r="O82" s="150">
        <f t="shared" si="22"/>
        <v>0.87442786916144177</v>
      </c>
      <c r="P82" s="150">
        <f t="shared" si="22"/>
        <v>0.69876784230493638</v>
      </c>
      <c r="Q82" s="150">
        <f t="shared" si="22"/>
        <v>0.66074923929791718</v>
      </c>
      <c r="R82" s="150">
        <f t="shared" si="22"/>
        <v>0.83922545896975731</v>
      </c>
      <c r="S82" s="150">
        <f t="shared" si="22"/>
        <v>0.3115413301964074</v>
      </c>
      <c r="T82" s="150">
        <f t="shared" si="22"/>
        <v>0.74347490324837562</v>
      </c>
      <c r="U82" s="150">
        <f t="shared" si="22"/>
        <v>0.8751319173652754</v>
      </c>
      <c r="V82" s="150">
        <f t="shared" si="22"/>
        <v>0.72094536072569759</v>
      </c>
      <c r="W82" s="150">
        <f t="shared" si="22"/>
        <v>0.27427693882774512</v>
      </c>
      <c r="X82" s="150">
        <f t="shared" si="22"/>
        <v>0.5387253647299719</v>
      </c>
      <c r="Y82" s="152">
        <v>0.95</v>
      </c>
      <c r="Z82" s="152">
        <v>0.9</v>
      </c>
      <c r="AA82" s="103">
        <v>100</v>
      </c>
      <c r="AB82" s="103">
        <v>100</v>
      </c>
      <c r="AC82" s="31">
        <v>80</v>
      </c>
    </row>
    <row r="83" spans="2:29" x14ac:dyDescent="0.25">
      <c r="B83" s="32"/>
      <c r="C83" s="267" t="str">
        <f t="shared" ref="C83:X83" si="23">C40</f>
        <v xml:space="preserve"> Masereka</v>
      </c>
      <c r="D83" s="150">
        <f t="shared" si="23"/>
        <v>0.79857862256752077</v>
      </c>
      <c r="E83" s="150">
        <f t="shared" si="23"/>
        <v>0.437214358331598</v>
      </c>
      <c r="F83" s="150">
        <f t="shared" si="23"/>
        <v>1.0305896119085456</v>
      </c>
      <c r="G83" s="150">
        <f t="shared" si="23"/>
        <v>0.96642628110750506</v>
      </c>
      <c r="H83" s="150">
        <f t="shared" si="23"/>
        <v>0.9731137268529656</v>
      </c>
      <c r="I83" s="150">
        <f t="shared" si="23"/>
        <v>1.0027553782652774</v>
      </c>
      <c r="J83" s="150">
        <f t="shared" si="23"/>
        <v>0.92431344708879382</v>
      </c>
      <c r="K83" s="150">
        <f t="shared" si="23"/>
        <v>0.94654468564802763</v>
      </c>
      <c r="L83" s="150">
        <f t="shared" si="23"/>
        <v>0.94762913630945367</v>
      </c>
      <c r="M83" s="150">
        <f t="shared" si="23"/>
        <v>0.85689676430347506</v>
      </c>
      <c r="N83" s="150">
        <f t="shared" si="23"/>
        <v>0.87750132687056981</v>
      </c>
      <c r="O83" s="150">
        <f t="shared" si="23"/>
        <v>1.0029361200421816</v>
      </c>
      <c r="P83" s="150">
        <f t="shared" si="23"/>
        <v>0.95503954916253164</v>
      </c>
      <c r="Q83" s="150">
        <f t="shared" si="23"/>
        <v>0.89015325125387357</v>
      </c>
      <c r="R83" s="150">
        <f t="shared" si="23"/>
        <v>0.98504268412865204</v>
      </c>
      <c r="S83" s="150">
        <f t="shared" si="23"/>
        <v>0.31828626912854241</v>
      </c>
      <c r="T83" s="150">
        <f t="shared" si="23"/>
        <v>0.90605852762145556</v>
      </c>
      <c r="U83" s="150">
        <f t="shared" si="23"/>
        <v>0.94780987808635797</v>
      </c>
      <c r="V83" s="150">
        <f t="shared" si="23"/>
        <v>0.88726138282340417</v>
      </c>
      <c r="W83" s="150">
        <f t="shared" si="23"/>
        <v>0.21068345966631274</v>
      </c>
      <c r="X83" s="150">
        <f t="shared" si="23"/>
        <v>0.65128943744152068</v>
      </c>
      <c r="Y83" s="152">
        <v>0.95</v>
      </c>
      <c r="Z83" s="152">
        <v>0.9</v>
      </c>
      <c r="AA83" s="103">
        <v>100</v>
      </c>
      <c r="AB83" s="103">
        <v>100</v>
      </c>
      <c r="AC83" s="31">
        <v>80</v>
      </c>
    </row>
    <row r="84" spans="2:29" x14ac:dyDescent="0.25">
      <c r="B84" s="32"/>
      <c r="C84" s="267" t="str">
        <f t="shared" ref="C84:X84" si="24">C41</f>
        <v xml:space="preserve"> Masisi</v>
      </c>
      <c r="D84" s="150">
        <f t="shared" si="24"/>
        <v>1.022219207041517</v>
      </c>
      <c r="E84" s="150">
        <f t="shared" si="24"/>
        <v>1.2725796047785767</v>
      </c>
      <c r="F84" s="150">
        <f t="shared" si="24"/>
        <v>1.4187095475694942</v>
      </c>
      <c r="G84" s="150">
        <f t="shared" si="24"/>
        <v>1.2863498311074839</v>
      </c>
      <c r="H84" s="150">
        <f t="shared" si="24"/>
        <v>1.2706984263183434</v>
      </c>
      <c r="I84" s="150">
        <f t="shared" si="24"/>
        <v>1.3610702395479479</v>
      </c>
      <c r="J84" s="150">
        <f t="shared" si="24"/>
        <v>1.2457163763664461</v>
      </c>
      <c r="K84" s="150">
        <f t="shared" si="24"/>
        <v>1.2320966443143575</v>
      </c>
      <c r="L84" s="150">
        <f t="shared" si="24"/>
        <v>1.2939497920868261</v>
      </c>
      <c r="M84" s="150">
        <f t="shared" si="24"/>
        <v>1.210049232760424</v>
      </c>
      <c r="N84" s="150">
        <f t="shared" si="24"/>
        <v>1.1980849377533407</v>
      </c>
      <c r="O84" s="150">
        <f t="shared" si="24"/>
        <v>1.2588093784496694</v>
      </c>
      <c r="P84" s="150">
        <f t="shared" si="24"/>
        <v>1.0980814908073422</v>
      </c>
      <c r="Q84" s="150">
        <f t="shared" si="24"/>
        <v>1.0766360563606832</v>
      </c>
      <c r="R84" s="150">
        <f t="shared" si="24"/>
        <v>1.40682049970082</v>
      </c>
      <c r="S84" s="150">
        <f t="shared" si="24"/>
        <v>0.35629520036817408</v>
      </c>
      <c r="T84" s="150">
        <f t="shared" si="24"/>
        <v>1.2846191469240693</v>
      </c>
      <c r="U84" s="150">
        <f t="shared" si="24"/>
        <v>1.1918394252653663</v>
      </c>
      <c r="V84" s="150">
        <f t="shared" si="24"/>
        <v>0.48090446157402339</v>
      </c>
      <c r="W84" s="150">
        <f t="shared" si="24"/>
        <v>0.40219106373386854</v>
      </c>
      <c r="X84" s="150">
        <f t="shared" si="24"/>
        <v>1.1001494702886769</v>
      </c>
      <c r="Y84" s="152">
        <v>0.95</v>
      </c>
      <c r="Z84" s="152">
        <v>0.9</v>
      </c>
      <c r="AA84" s="103">
        <v>100</v>
      </c>
      <c r="AB84" s="103">
        <v>100</v>
      </c>
      <c r="AC84" s="31">
        <v>80</v>
      </c>
    </row>
    <row r="85" spans="2:29" x14ac:dyDescent="0.25">
      <c r="B85" s="32"/>
      <c r="C85" s="267" t="str">
        <f t="shared" ref="C85:X85" si="25">C42</f>
        <v xml:space="preserve"> Musienene</v>
      </c>
      <c r="D85" s="150">
        <f t="shared" si="25"/>
        <v>0.70131488790433372</v>
      </c>
      <c r="E85" s="150">
        <f t="shared" si="25"/>
        <v>0.5054127949586078</v>
      </c>
      <c r="F85" s="150">
        <f t="shared" si="25"/>
        <v>1.0821441218360741</v>
      </c>
      <c r="G85" s="150">
        <f t="shared" si="25"/>
        <v>1.0247908031928066</v>
      </c>
      <c r="H85" s="150">
        <f t="shared" si="25"/>
        <v>1.2443964470685147</v>
      </c>
      <c r="I85" s="150">
        <f t="shared" si="25"/>
        <v>1.0220190814739871</v>
      </c>
      <c r="J85" s="150">
        <f t="shared" si="25"/>
        <v>0.9898244676630823</v>
      </c>
      <c r="K85" s="150">
        <f t="shared" si="25"/>
        <v>0.99920567963447171</v>
      </c>
      <c r="L85" s="150">
        <f t="shared" si="25"/>
        <v>1.0108255899172156</v>
      </c>
      <c r="M85" s="150">
        <f t="shared" si="25"/>
        <v>0.91637384211436246</v>
      </c>
      <c r="N85" s="150">
        <f t="shared" si="25"/>
        <v>0.95080715423662154</v>
      </c>
      <c r="O85" s="150">
        <f t="shared" si="25"/>
        <v>0.93780138309446792</v>
      </c>
      <c r="P85" s="150">
        <f t="shared" si="25"/>
        <v>0.82437400198584976</v>
      </c>
      <c r="Q85" s="150">
        <f t="shared" si="25"/>
        <v>0.79239259753793112</v>
      </c>
      <c r="R85" s="150">
        <f t="shared" si="25"/>
        <v>1.0291615951340223</v>
      </c>
      <c r="S85" s="150">
        <f t="shared" si="25"/>
        <v>0.82863818924557231</v>
      </c>
      <c r="T85" s="150">
        <f t="shared" si="25"/>
        <v>0.99547451578221458</v>
      </c>
      <c r="U85" s="150">
        <f t="shared" si="25"/>
        <v>1.0543202999663848</v>
      </c>
      <c r="V85" s="150">
        <f t="shared" si="25"/>
        <v>0.99312921278936717</v>
      </c>
      <c r="W85" s="150">
        <f t="shared" si="25"/>
        <v>0.2628535640872211</v>
      </c>
      <c r="X85" s="150">
        <f t="shared" si="25"/>
        <v>0.88557281800227594</v>
      </c>
      <c r="Y85" s="152">
        <v>0.95</v>
      </c>
      <c r="Z85" s="152">
        <v>0.9</v>
      </c>
      <c r="AA85" s="103">
        <v>100</v>
      </c>
      <c r="AB85" s="103">
        <v>100</v>
      </c>
      <c r="AC85" s="31">
        <v>80</v>
      </c>
    </row>
    <row r="86" spans="2:29" x14ac:dyDescent="0.25">
      <c r="B86" s="32"/>
      <c r="C86" s="267" t="str">
        <f t="shared" ref="C86:X86" si="26">C43</f>
        <v xml:space="preserve"> Mutwanga</v>
      </c>
      <c r="D86" s="150">
        <f t="shared" si="26"/>
        <v>0.62851940519944693</v>
      </c>
      <c r="E86" s="150">
        <f t="shared" si="26"/>
        <v>0.38791172385168232</v>
      </c>
      <c r="F86" s="150">
        <f t="shared" si="26"/>
        <v>0.82084632773197841</v>
      </c>
      <c r="G86" s="150">
        <f t="shared" si="26"/>
        <v>0.81166784360597344</v>
      </c>
      <c r="H86" s="150">
        <f t="shared" si="26"/>
        <v>0.75891571378703981</v>
      </c>
      <c r="I86" s="150">
        <f t="shared" si="26"/>
        <v>0.78770716925598161</v>
      </c>
      <c r="J86" s="150">
        <f t="shared" si="26"/>
        <v>0.74519629540922194</v>
      </c>
      <c r="K86" s="150">
        <f t="shared" si="26"/>
        <v>0.69582571237355328</v>
      </c>
      <c r="L86" s="150">
        <f t="shared" si="26"/>
        <v>0.82152263708863138</v>
      </c>
      <c r="M86" s="150">
        <f t="shared" si="26"/>
        <v>0.77466406023481671</v>
      </c>
      <c r="N86" s="150">
        <f t="shared" si="26"/>
        <v>0.72278147101729406</v>
      </c>
      <c r="O86" s="150">
        <f t="shared" si="26"/>
        <v>0.87156952948095301</v>
      </c>
      <c r="P86" s="150">
        <f t="shared" si="26"/>
        <v>0.7556307826261538</v>
      </c>
      <c r="Q86" s="150">
        <f t="shared" si="26"/>
        <v>0.70123618722677716</v>
      </c>
      <c r="R86" s="150">
        <f t="shared" si="26"/>
        <v>0.74732183910155991</v>
      </c>
      <c r="S86" s="150">
        <f t="shared" si="26"/>
        <v>9.2557766239081365E-2</v>
      </c>
      <c r="T86" s="150">
        <f t="shared" si="26"/>
        <v>0.68249275648525132</v>
      </c>
      <c r="U86" s="150">
        <f t="shared" si="26"/>
        <v>0.83215035555032135</v>
      </c>
      <c r="V86" s="150">
        <f t="shared" si="26"/>
        <v>0.37767046787950842</v>
      </c>
      <c r="W86" s="150">
        <f t="shared" si="26"/>
        <v>0.43741781029773741</v>
      </c>
      <c r="X86" s="150">
        <f t="shared" si="26"/>
        <v>0.50409684054354786</v>
      </c>
      <c r="Y86" s="152">
        <v>0.95</v>
      </c>
      <c r="Z86" s="152">
        <v>0.9</v>
      </c>
      <c r="AA86" s="103">
        <v>100</v>
      </c>
      <c r="AB86" s="103">
        <v>100</v>
      </c>
      <c r="AC86" s="31">
        <v>80</v>
      </c>
    </row>
    <row r="87" spans="2:29" x14ac:dyDescent="0.25">
      <c r="B87" s="32"/>
      <c r="C87" s="267" t="str">
        <f t="shared" ref="C87:X87" si="27">C44</f>
        <v xml:space="preserve"> Mweso</v>
      </c>
      <c r="D87" s="150">
        <f t="shared" si="27"/>
        <v>0.80437668818385766</v>
      </c>
      <c r="E87" s="150">
        <f t="shared" si="27"/>
        <v>0.9884947371886923</v>
      </c>
      <c r="F87" s="150">
        <f t="shared" si="27"/>
        <v>1.0210925664225043</v>
      </c>
      <c r="G87" s="150">
        <f t="shared" si="27"/>
        <v>0.9601602055407914</v>
      </c>
      <c r="H87" s="150">
        <f t="shared" si="27"/>
        <v>0.95799576215102122</v>
      </c>
      <c r="I87" s="150">
        <f t="shared" si="27"/>
        <v>1.0406381461240657</v>
      </c>
      <c r="J87" s="150">
        <f t="shared" si="27"/>
        <v>0.97465541733288885</v>
      </c>
      <c r="K87" s="150">
        <f t="shared" si="27"/>
        <v>0.99603749445607337</v>
      </c>
      <c r="L87" s="150">
        <f t="shared" si="27"/>
        <v>1.0237161341676804</v>
      </c>
      <c r="M87" s="150">
        <f t="shared" si="27"/>
        <v>1.0076467817284773</v>
      </c>
      <c r="N87" s="150">
        <f t="shared" si="27"/>
        <v>0.95897960005546223</v>
      </c>
      <c r="O87" s="150">
        <f t="shared" si="27"/>
        <v>0.87627162688878835</v>
      </c>
      <c r="P87" s="150">
        <f t="shared" si="27"/>
        <v>0.82419380714704449</v>
      </c>
      <c r="Q87" s="150">
        <f t="shared" si="27"/>
        <v>0.82419380714704449</v>
      </c>
      <c r="R87" s="150">
        <f t="shared" si="27"/>
        <v>0.88558529238416317</v>
      </c>
      <c r="S87" s="150">
        <f t="shared" si="27"/>
        <v>0.80773091954606502</v>
      </c>
      <c r="T87" s="150">
        <f t="shared" si="27"/>
        <v>0.86623648026349009</v>
      </c>
      <c r="U87" s="150">
        <f t="shared" si="27"/>
        <v>0.94494351261877052</v>
      </c>
      <c r="V87" s="150">
        <f t="shared" si="27"/>
        <v>0.73577957413461281</v>
      </c>
      <c r="W87" s="150">
        <f t="shared" si="27"/>
        <v>0.33139907521860557</v>
      </c>
      <c r="X87" s="150">
        <f t="shared" si="27"/>
        <v>0.91018861877947177</v>
      </c>
      <c r="Y87" s="152">
        <v>0.95</v>
      </c>
      <c r="Z87" s="152">
        <v>0.9</v>
      </c>
      <c r="AA87" s="103">
        <v>100</v>
      </c>
      <c r="AB87" s="103">
        <v>100</v>
      </c>
      <c r="AC87" s="31">
        <v>80</v>
      </c>
    </row>
    <row r="88" spans="2:29" x14ac:dyDescent="0.25">
      <c r="B88" s="32"/>
      <c r="C88" s="267" t="str">
        <f t="shared" ref="C88:X88" si="28">C45</f>
        <v xml:space="preserve"> Nyiragongo</v>
      </c>
      <c r="D88" s="150">
        <f t="shared" si="28"/>
        <v>1.5179023421866593</v>
      </c>
      <c r="E88" s="150">
        <f t="shared" si="28"/>
        <v>0.98796557351742531</v>
      </c>
      <c r="F88" s="150">
        <f t="shared" si="28"/>
        <v>1.6319977391891942</v>
      </c>
      <c r="G88" s="150">
        <f t="shared" si="28"/>
        <v>1.5293827372723394</v>
      </c>
      <c r="H88" s="150">
        <f t="shared" si="28"/>
        <v>1.892545066436341</v>
      </c>
      <c r="I88" s="150">
        <f t="shared" si="28"/>
        <v>1.5702100204506262</v>
      </c>
      <c r="J88" s="150">
        <f t="shared" si="28"/>
        <v>1.4471813769446282</v>
      </c>
      <c r="K88" s="150">
        <f t="shared" si="28"/>
        <v>1.717206466358163</v>
      </c>
      <c r="L88" s="150">
        <f t="shared" si="28"/>
        <v>1.5715770053784706</v>
      </c>
      <c r="M88" s="150">
        <f t="shared" si="28"/>
        <v>1.4367011591644876</v>
      </c>
      <c r="N88" s="150">
        <f t="shared" si="28"/>
        <v>1.7421767243734545</v>
      </c>
      <c r="O88" s="150">
        <f t="shared" si="28"/>
        <v>1.5278334876874491</v>
      </c>
      <c r="P88" s="150">
        <f t="shared" si="28"/>
        <v>1.4096348575931681</v>
      </c>
      <c r="Q88" s="150">
        <f t="shared" si="28"/>
        <v>1.7264108315389821</v>
      </c>
      <c r="R88" s="150">
        <f t="shared" si="28"/>
        <v>1.5390427640957733</v>
      </c>
      <c r="S88" s="150">
        <f t="shared" si="28"/>
        <v>1.1335950344971177</v>
      </c>
      <c r="T88" s="150">
        <f t="shared" si="28"/>
        <v>1.4927475412061091</v>
      </c>
      <c r="U88" s="150">
        <f t="shared" si="28"/>
        <v>1.4963928343470274</v>
      </c>
      <c r="V88" s="150">
        <f t="shared" si="28"/>
        <v>1.1621194533248047</v>
      </c>
      <c r="W88" s="150">
        <f t="shared" si="28"/>
        <v>0.63721683448317901</v>
      </c>
      <c r="X88" s="150">
        <f t="shared" si="28"/>
        <v>1.1064227915938902</v>
      </c>
      <c r="Y88" s="152">
        <v>0.95</v>
      </c>
      <c r="Z88" s="152">
        <v>0.9</v>
      </c>
      <c r="AA88" s="103">
        <v>100</v>
      </c>
      <c r="AB88" s="103">
        <v>63.64</v>
      </c>
      <c r="AC88" s="31">
        <v>80</v>
      </c>
    </row>
    <row r="89" spans="2:29" x14ac:dyDescent="0.25">
      <c r="B89" s="32"/>
      <c r="C89" s="267" t="str">
        <f t="shared" ref="C89:X89" si="29">C46</f>
        <v xml:space="preserve"> Oicha</v>
      </c>
      <c r="D89" s="150">
        <f t="shared" si="29"/>
        <v>0.51941110461260342</v>
      </c>
      <c r="E89" s="150">
        <f t="shared" si="29"/>
        <v>0.13874934417000134</v>
      </c>
      <c r="F89" s="150">
        <f t="shared" si="29"/>
        <v>0.71077767363647704</v>
      </c>
      <c r="G89" s="150">
        <f t="shared" si="29"/>
        <v>0.69345806063328685</v>
      </c>
      <c r="H89" s="150">
        <f t="shared" si="29"/>
        <v>0.64188410191267609</v>
      </c>
      <c r="I89" s="150">
        <f t="shared" si="29"/>
        <v>0.77360938080916142</v>
      </c>
      <c r="J89" s="150">
        <f t="shared" si="29"/>
        <v>0.73810417415262164</v>
      </c>
      <c r="K89" s="150">
        <f t="shared" si="29"/>
        <v>0.75032412332709464</v>
      </c>
      <c r="L89" s="150">
        <f t="shared" si="29"/>
        <v>0.75888770975644981</v>
      </c>
      <c r="M89" s="150">
        <f t="shared" si="29"/>
        <v>0.71510757688727467</v>
      </c>
      <c r="N89" s="150">
        <f t="shared" si="29"/>
        <v>0.67450270640201759</v>
      </c>
      <c r="O89" s="150">
        <f t="shared" si="29"/>
        <v>0.73088766873462574</v>
      </c>
      <c r="P89" s="150">
        <f t="shared" si="29"/>
        <v>0.65198720949787037</v>
      </c>
      <c r="Q89" s="150">
        <f t="shared" si="29"/>
        <v>0.59435138622614303</v>
      </c>
      <c r="R89" s="150">
        <f t="shared" si="29"/>
        <v>0.6851831344206516</v>
      </c>
      <c r="S89" s="150">
        <f t="shared" si="29"/>
        <v>0.19272880469661074</v>
      </c>
      <c r="T89" s="150">
        <f t="shared" si="29"/>
        <v>0.66093567621618532</v>
      </c>
      <c r="U89" s="150">
        <f t="shared" si="29"/>
        <v>0.74031723581414033</v>
      </c>
      <c r="V89" s="150">
        <f t="shared" si="29"/>
        <v>0.55413139602984585</v>
      </c>
      <c r="W89" s="150">
        <f t="shared" si="29"/>
        <v>0.37022837745944415</v>
      </c>
      <c r="X89" s="150">
        <f t="shared" si="29"/>
        <v>0.62485483297747002</v>
      </c>
      <c r="Y89" s="152">
        <v>0.95</v>
      </c>
      <c r="Z89" s="152">
        <v>0.9</v>
      </c>
      <c r="AA89" s="103">
        <v>100</v>
      </c>
      <c r="AB89" s="103">
        <v>100</v>
      </c>
      <c r="AC89" s="31">
        <v>80</v>
      </c>
    </row>
    <row r="90" spans="2:29" x14ac:dyDescent="0.25">
      <c r="B90" s="32"/>
      <c r="C90" s="267" t="str">
        <f t="shared" ref="C90:X90" si="30">C47</f>
        <v xml:space="preserve"> Pinga</v>
      </c>
      <c r="D90" s="150">
        <f t="shared" si="30"/>
        <v>1.0205389738873563</v>
      </c>
      <c r="E90" s="150">
        <f t="shared" si="30"/>
        <v>1.126072981379231</v>
      </c>
      <c r="F90" s="150">
        <f t="shared" si="30"/>
        <v>1.0891813548441858</v>
      </c>
      <c r="G90" s="150">
        <f t="shared" si="30"/>
        <v>0.98361700359022597</v>
      </c>
      <c r="H90" s="150">
        <f t="shared" si="30"/>
        <v>1.036479031222693</v>
      </c>
      <c r="I90" s="150">
        <f t="shared" si="30"/>
        <v>1.1163310367098034</v>
      </c>
      <c r="J90" s="150">
        <f t="shared" si="30"/>
        <v>1.0540464724298573</v>
      </c>
      <c r="K90" s="150">
        <f t="shared" si="30"/>
        <v>1.0714542096260473</v>
      </c>
      <c r="L90" s="150">
        <f t="shared" si="30"/>
        <v>1.1263923894011794</v>
      </c>
      <c r="M90" s="150">
        <f t="shared" si="30"/>
        <v>1.0230638943008585</v>
      </c>
      <c r="N90" s="150">
        <f t="shared" si="30"/>
        <v>1.074169177812609</v>
      </c>
      <c r="O90" s="150">
        <f t="shared" si="30"/>
        <v>1.1235177172036432</v>
      </c>
      <c r="P90" s="150">
        <f t="shared" si="30"/>
        <v>1.0284938306739819</v>
      </c>
      <c r="Q90" s="150">
        <f t="shared" si="30"/>
        <v>1.0720930256699441</v>
      </c>
      <c r="R90" s="150">
        <f t="shared" si="30"/>
        <v>1.0168354378728639</v>
      </c>
      <c r="S90" s="150">
        <f t="shared" si="30"/>
        <v>0.57701059164985979</v>
      </c>
      <c r="T90" s="150">
        <f t="shared" si="30"/>
        <v>0.97802736320612815</v>
      </c>
      <c r="U90" s="150">
        <f t="shared" si="30"/>
        <v>1.0029411889181066</v>
      </c>
      <c r="V90" s="150">
        <f t="shared" si="30"/>
        <v>0.64328775620416134</v>
      </c>
      <c r="W90" s="150">
        <f t="shared" si="30"/>
        <v>0.61993144385920917</v>
      </c>
      <c r="X90" s="150">
        <f t="shared" si="30"/>
        <v>1.6237494077975645</v>
      </c>
      <c r="Y90" s="152">
        <v>0.95</v>
      </c>
      <c r="Z90" s="152">
        <v>0.9</v>
      </c>
      <c r="AA90" s="103">
        <v>100</v>
      </c>
      <c r="AB90" s="103">
        <v>90.91</v>
      </c>
      <c r="AC90" s="31">
        <v>80</v>
      </c>
    </row>
    <row r="91" spans="2:29" x14ac:dyDescent="0.25">
      <c r="B91" s="32"/>
      <c r="C91" s="267" t="str">
        <f t="shared" ref="C91:X91" si="31">C48</f>
        <v xml:space="preserve"> Rutshuru</v>
      </c>
      <c r="D91" s="150">
        <f t="shared" si="31"/>
        <v>1.0422451618373358</v>
      </c>
      <c r="E91" s="150">
        <f t="shared" si="31"/>
        <v>0.62981216234893034</v>
      </c>
      <c r="F91" s="150">
        <f t="shared" si="31"/>
        <v>0.98641766012461007</v>
      </c>
      <c r="G91" s="150">
        <f t="shared" si="31"/>
        <v>1.0214014403443556</v>
      </c>
      <c r="H91" s="150">
        <f t="shared" si="31"/>
        <v>0.91905305952289773</v>
      </c>
      <c r="I91" s="150">
        <f t="shared" si="31"/>
        <v>1.0596128907629467</v>
      </c>
      <c r="J91" s="150">
        <f t="shared" si="31"/>
        <v>1.0310844509408923</v>
      </c>
      <c r="K91" s="150">
        <f t="shared" si="31"/>
        <v>1.0057836813176835</v>
      </c>
      <c r="L91" s="150">
        <f t="shared" si="31"/>
        <v>1.0625282057812588</v>
      </c>
      <c r="M91" s="150">
        <f t="shared" si="31"/>
        <v>1.0309803325473812</v>
      </c>
      <c r="N91" s="150">
        <f t="shared" si="31"/>
        <v>1.0084907595489734</v>
      </c>
      <c r="O91" s="150">
        <f t="shared" si="31"/>
        <v>1.0554481550225008</v>
      </c>
      <c r="P91" s="150">
        <f t="shared" si="31"/>
        <v>1.0199437828351996</v>
      </c>
      <c r="Q91" s="150">
        <f t="shared" si="31"/>
        <v>0.99443477642496847</v>
      </c>
      <c r="R91" s="150">
        <f t="shared" si="31"/>
        <v>1.0568016941381457</v>
      </c>
      <c r="S91" s="150">
        <f t="shared" si="31"/>
        <v>0.64584639494964713</v>
      </c>
      <c r="T91" s="150">
        <f t="shared" si="31"/>
        <v>1.0256702944783127</v>
      </c>
      <c r="U91" s="150">
        <f t="shared" si="31"/>
        <v>0.96923812519527075</v>
      </c>
      <c r="V91" s="150">
        <f t="shared" si="31"/>
        <v>0.98006643812043015</v>
      </c>
      <c r="W91" s="150">
        <f t="shared" si="31"/>
        <v>0.3560148861884877</v>
      </c>
      <c r="X91" s="150">
        <f t="shared" si="31"/>
        <v>1.0606863514000466</v>
      </c>
      <c r="Y91" s="152">
        <v>0.95</v>
      </c>
      <c r="Z91" s="152">
        <v>0.9</v>
      </c>
      <c r="AA91" s="103">
        <v>100</v>
      </c>
      <c r="AB91" s="103">
        <v>100</v>
      </c>
      <c r="AC91" s="31">
        <v>80</v>
      </c>
    </row>
    <row r="92" spans="2:29" x14ac:dyDescent="0.25">
      <c r="B92" s="32"/>
      <c r="C92" s="267" t="str">
        <f t="shared" ref="C92:X92" si="32">C49</f>
        <v xml:space="preserve"> Rwanguba</v>
      </c>
      <c r="D92" s="150">
        <f t="shared" si="32"/>
        <v>0.81681099631914933</v>
      </c>
      <c r="E92" s="150">
        <f t="shared" si="32"/>
        <v>0.95798007542067798</v>
      </c>
      <c r="F92" s="150">
        <f t="shared" si="32"/>
        <v>1.0263562726983373</v>
      </c>
      <c r="G92" s="150">
        <f t="shared" si="32"/>
        <v>0.9516621555529956</v>
      </c>
      <c r="H92" s="150">
        <f t="shared" si="32"/>
        <v>0.96042572182107111</v>
      </c>
      <c r="I92" s="150">
        <f t="shared" si="32"/>
        <v>0.98661451869194805</v>
      </c>
      <c r="J92" s="150">
        <f t="shared" si="32"/>
        <v>0.92007255621458373</v>
      </c>
      <c r="K92" s="150">
        <f t="shared" si="32"/>
        <v>0.95441350775343792</v>
      </c>
      <c r="L92" s="150">
        <f t="shared" si="32"/>
        <v>0.97836046209062111</v>
      </c>
      <c r="M92" s="150">
        <f t="shared" si="32"/>
        <v>0.9025454236784326</v>
      </c>
      <c r="N92" s="150">
        <f t="shared" si="32"/>
        <v>0.93495023848364223</v>
      </c>
      <c r="O92" s="150">
        <f t="shared" si="32"/>
        <v>0.88980768200971805</v>
      </c>
      <c r="P92" s="150">
        <f t="shared" si="32"/>
        <v>0.81378883973083016</v>
      </c>
      <c r="Q92" s="150">
        <f t="shared" si="32"/>
        <v>0.80135680386216479</v>
      </c>
      <c r="R92" s="150">
        <f t="shared" si="32"/>
        <v>0.9293456321494078</v>
      </c>
      <c r="S92" s="150">
        <f t="shared" si="32"/>
        <v>0.5600530256900379</v>
      </c>
      <c r="T92" s="150">
        <f t="shared" si="32"/>
        <v>0.82143148473205885</v>
      </c>
      <c r="U92" s="150">
        <f t="shared" si="32"/>
        <v>0.94096245255127542</v>
      </c>
      <c r="V92" s="150">
        <f t="shared" si="32"/>
        <v>0.7117850044477646</v>
      </c>
      <c r="W92" s="150">
        <f t="shared" si="32"/>
        <v>0.54136956096520084</v>
      </c>
      <c r="X92" s="150">
        <f t="shared" si="32"/>
        <v>0.99889752298308943</v>
      </c>
      <c r="Y92" s="152">
        <v>0.95</v>
      </c>
      <c r="Z92" s="152">
        <v>0.9</v>
      </c>
      <c r="AA92" s="103">
        <v>100</v>
      </c>
      <c r="AB92" s="103">
        <v>86.21</v>
      </c>
      <c r="AC92" s="31">
        <v>80</v>
      </c>
    </row>
    <row r="93" spans="2:29" x14ac:dyDescent="0.25">
      <c r="B93" s="32"/>
      <c r="C93" s="267" t="str">
        <f t="shared" ref="C93:X93" si="33">C50</f>
        <v xml:space="preserve"> Vuhovi</v>
      </c>
      <c r="D93" s="150">
        <f t="shared" si="33"/>
        <v>0.87809896915375629</v>
      </c>
      <c r="E93" s="150">
        <f t="shared" si="33"/>
        <v>0.7231780785199271</v>
      </c>
      <c r="F93" s="150">
        <f t="shared" si="33"/>
        <v>0.97330834525165477</v>
      </c>
      <c r="G93" s="150">
        <f t="shared" si="33"/>
        <v>0.92273803747180416</v>
      </c>
      <c r="H93" s="150">
        <f t="shared" si="33"/>
        <v>0.96673193751346786</v>
      </c>
      <c r="I93" s="150">
        <f t="shared" si="33"/>
        <v>0.90641040446665055</v>
      </c>
      <c r="J93" s="150">
        <f t="shared" si="33"/>
        <v>0.84563532605857894</v>
      </c>
      <c r="K93" s="150">
        <f t="shared" si="33"/>
        <v>0.88940245341961555</v>
      </c>
      <c r="L93" s="150">
        <f t="shared" si="33"/>
        <v>0.89189695290651405</v>
      </c>
      <c r="M93" s="150">
        <f t="shared" si="33"/>
        <v>0.84767628018422314</v>
      </c>
      <c r="N93" s="150">
        <f t="shared" si="33"/>
        <v>0.88078509155578455</v>
      </c>
      <c r="O93" s="150">
        <f t="shared" si="33"/>
        <v>0.84291405389105334</v>
      </c>
      <c r="P93" s="150">
        <f t="shared" si="33"/>
        <v>0.79257051879182983</v>
      </c>
      <c r="Q93" s="150">
        <f t="shared" si="33"/>
        <v>0.82930769305342533</v>
      </c>
      <c r="R93" s="150">
        <f t="shared" si="33"/>
        <v>0.97036030040350207</v>
      </c>
      <c r="S93" s="150">
        <f t="shared" si="33"/>
        <v>0.3583008353908701</v>
      </c>
      <c r="T93" s="150">
        <f t="shared" si="33"/>
        <v>0.86513777659251234</v>
      </c>
      <c r="U93" s="150">
        <f t="shared" si="33"/>
        <v>0.96695871019409507</v>
      </c>
      <c r="V93" s="150">
        <f t="shared" si="33"/>
        <v>0.92727349108434676</v>
      </c>
      <c r="W93" s="150">
        <f t="shared" si="33"/>
        <v>0.19390198057023009</v>
      </c>
      <c r="X93" s="150">
        <f t="shared" si="33"/>
        <v>0.75503056924081435</v>
      </c>
      <c r="Y93" s="152">
        <v>0.95</v>
      </c>
      <c r="Z93" s="152">
        <v>0.9</v>
      </c>
      <c r="AA93" s="103">
        <v>100</v>
      </c>
      <c r="AB93" s="103">
        <v>100</v>
      </c>
      <c r="AC93" s="31">
        <v>80</v>
      </c>
    </row>
    <row r="94" spans="2:29" x14ac:dyDescent="0.25">
      <c r="B94" s="32"/>
      <c r="C94" s="267" t="str">
        <f t="shared" ref="C94:X94" si="34">C51</f>
        <v xml:space="preserve"> Walikale</v>
      </c>
      <c r="D94" s="150">
        <f t="shared" si="34"/>
        <v>1.1683100427825044</v>
      </c>
      <c r="E94" s="150">
        <f t="shared" si="34"/>
        <v>1.1422909624833515</v>
      </c>
      <c r="F94" s="150">
        <f t="shared" si="34"/>
        <v>1.1640409793562176</v>
      </c>
      <c r="G94" s="150">
        <f t="shared" si="34"/>
        <v>1.138804318557167</v>
      </c>
      <c r="H94" s="150">
        <f t="shared" si="34"/>
        <v>1.1285104174417646</v>
      </c>
      <c r="I94" s="150">
        <f t="shared" si="34"/>
        <v>1.164373040682521</v>
      </c>
      <c r="J94" s="150">
        <f t="shared" si="34"/>
        <v>1.1200428536210305</v>
      </c>
      <c r="K94" s="150">
        <f t="shared" si="34"/>
        <v>1.1326611840205558</v>
      </c>
      <c r="L94" s="150">
        <f t="shared" si="34"/>
        <v>1.1632108260404594</v>
      </c>
      <c r="M94" s="150">
        <f t="shared" si="34"/>
        <v>1.1213710989262438</v>
      </c>
      <c r="N94" s="150">
        <f t="shared" si="34"/>
        <v>1.12402758953667</v>
      </c>
      <c r="O94" s="150">
        <f t="shared" si="34"/>
        <v>1.1361478279467405</v>
      </c>
      <c r="P94" s="150">
        <f t="shared" si="34"/>
        <v>1.0747164825806301</v>
      </c>
      <c r="Q94" s="150">
        <f t="shared" si="34"/>
        <v>1.1132355964318128</v>
      </c>
      <c r="R94" s="150">
        <f t="shared" si="34"/>
        <v>1.0097984932883348</v>
      </c>
      <c r="S94" s="150">
        <f t="shared" si="34"/>
        <v>0.68255205621643289</v>
      </c>
      <c r="T94" s="150">
        <f t="shared" si="34"/>
        <v>1.0076400946673634</v>
      </c>
      <c r="U94" s="150">
        <f t="shared" si="34"/>
        <v>1.1942585600498179</v>
      </c>
      <c r="V94" s="150">
        <f t="shared" si="34"/>
        <v>0.76291089718183147</v>
      </c>
      <c r="W94" s="150">
        <f t="shared" si="34"/>
        <v>0.42154770297546035</v>
      </c>
      <c r="X94" s="150">
        <f t="shared" si="34"/>
        <v>0.96448955546756532</v>
      </c>
      <c r="Y94" s="152">
        <v>0.95</v>
      </c>
      <c r="Z94" s="152">
        <v>0.9</v>
      </c>
      <c r="AA94" s="103">
        <v>100</v>
      </c>
      <c r="AB94" s="103">
        <v>100</v>
      </c>
      <c r="AC94" s="31">
        <v>80</v>
      </c>
    </row>
    <row r="95" spans="2:29" x14ac:dyDescent="0.25">
      <c r="B95" s="32"/>
      <c r="C95" s="32" t="str">
        <f t="shared" ref="C95:X95" si="35">C52</f>
        <v>Nord Kivu</v>
      </c>
      <c r="D95" s="150">
        <f t="shared" si="35"/>
        <v>0.8859482572676719</v>
      </c>
      <c r="E95" s="150">
        <f t="shared" si="35"/>
        <v>0.6547163175665488</v>
      </c>
      <c r="F95" s="150">
        <f t="shared" si="35"/>
        <v>1.0447864258305766</v>
      </c>
      <c r="G95" s="150">
        <f t="shared" si="35"/>
        <v>0.98111956898791952</v>
      </c>
      <c r="H95" s="150">
        <f t="shared" si="35"/>
        <v>0.99771904196234495</v>
      </c>
      <c r="I95" s="150">
        <f t="shared" si="35"/>
        <v>1.0380670610273144</v>
      </c>
      <c r="J95" s="150">
        <f t="shared" si="35"/>
        <v>0.97353123848532508</v>
      </c>
      <c r="K95" s="150">
        <f t="shared" si="35"/>
        <v>0.9920659903798752</v>
      </c>
      <c r="L95" s="150">
        <f t="shared" si="35"/>
        <v>1.028406581549389</v>
      </c>
      <c r="M95" s="150">
        <f t="shared" si="35"/>
        <v>0.94957579579970186</v>
      </c>
      <c r="N95" s="150">
        <f t="shared" si="35"/>
        <v>0.97214662281056485</v>
      </c>
      <c r="O95" s="150">
        <f t="shared" si="35"/>
        <v>0.99985485142846942</v>
      </c>
      <c r="P95" s="150">
        <f t="shared" si="35"/>
        <v>0.92132326998551217</v>
      </c>
      <c r="Q95" s="150">
        <f t="shared" si="35"/>
        <v>0.91734767233545322</v>
      </c>
      <c r="R95" s="150">
        <f t="shared" si="35"/>
        <v>1.0059821736673513</v>
      </c>
      <c r="S95" s="150">
        <f t="shared" si="35"/>
        <v>0.49006164115350004</v>
      </c>
      <c r="T95" s="150">
        <f t="shared" si="35"/>
        <v>0.94196836714986931</v>
      </c>
      <c r="U95" s="150">
        <f t="shared" si="35"/>
        <v>1.0017614831277371</v>
      </c>
      <c r="V95" s="150">
        <f t="shared" si="35"/>
        <v>0.77584631642402857</v>
      </c>
      <c r="W95" s="150">
        <f t="shared" si="35"/>
        <v>0.40812457358578591</v>
      </c>
      <c r="X95" s="150">
        <f t="shared" si="35"/>
        <v>0.8488339046628075</v>
      </c>
      <c r="Y95" s="152">
        <v>0.95</v>
      </c>
      <c r="Z95" s="152">
        <v>0.9</v>
      </c>
      <c r="AA95" s="31"/>
    </row>
    <row r="96" spans="2:29" x14ac:dyDescent="0.25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1"/>
    </row>
    <row r="97" s="31" customFormat="1" x14ac:dyDescent="0.25"/>
    <row r="98" s="31" customFormat="1" x14ac:dyDescent="0.25"/>
    <row r="99" s="31" customFormat="1" x14ac:dyDescent="0.25"/>
    <row r="100" s="31" customFormat="1" x14ac:dyDescent="0.25"/>
    <row r="101" s="31" customFormat="1" x14ac:dyDescent="0.25"/>
    <row r="102" s="31" customFormat="1" x14ac:dyDescent="0.25"/>
    <row r="103" s="31" customFormat="1" x14ac:dyDescent="0.25"/>
    <row r="104" s="31" customFormat="1" x14ac:dyDescent="0.25"/>
    <row r="105" s="31" customFormat="1" x14ac:dyDescent="0.25"/>
    <row r="106" s="31" customFormat="1" x14ac:dyDescent="0.25"/>
    <row r="107" s="31" customFormat="1" x14ac:dyDescent="0.25"/>
    <row r="108" s="31" customFormat="1" x14ac:dyDescent="0.25"/>
    <row r="109" s="31" customFormat="1" x14ac:dyDescent="0.25"/>
    <row r="110" s="31" customFormat="1" x14ac:dyDescent="0.25"/>
    <row r="111" s="31" customFormat="1" x14ac:dyDescent="0.25"/>
    <row r="112" s="31" customFormat="1" x14ac:dyDescent="0.25"/>
    <row r="113" s="31" customFormat="1" x14ac:dyDescent="0.25"/>
    <row r="114" s="31" customFormat="1" x14ac:dyDescent="0.25"/>
    <row r="115" s="31" customFormat="1" x14ac:dyDescent="0.25"/>
    <row r="116" s="31" customFormat="1" x14ac:dyDescent="0.25"/>
    <row r="117" s="31" customFormat="1" x14ac:dyDescent="0.25"/>
    <row r="118" s="31" customFormat="1" x14ac:dyDescent="0.25"/>
    <row r="119" s="31" customFormat="1" x14ac:dyDescent="0.25"/>
    <row r="120" s="31" customFormat="1" x14ac:dyDescent="0.25"/>
    <row r="121" s="31" customFormat="1" x14ac:dyDescent="0.25"/>
    <row r="122" s="31" customFormat="1" x14ac:dyDescent="0.25"/>
    <row r="123" s="31" customFormat="1" x14ac:dyDescent="0.25"/>
    <row r="124" s="31" customFormat="1" x14ac:dyDescent="0.25"/>
    <row r="125" s="31" customFormat="1" x14ac:dyDescent="0.25"/>
    <row r="126" s="31" customFormat="1" x14ac:dyDescent="0.25"/>
    <row r="127" s="31" customFormat="1" x14ac:dyDescent="0.25"/>
    <row r="128" s="31" customFormat="1" x14ac:dyDescent="0.25"/>
    <row r="129" s="31" customFormat="1" x14ac:dyDescent="0.25"/>
    <row r="130" s="31" customFormat="1" x14ac:dyDescent="0.25"/>
    <row r="131" s="31" customFormat="1" x14ac:dyDescent="0.25"/>
    <row r="132" s="31" customFormat="1" x14ac:dyDescent="0.25"/>
    <row r="133" s="31" customFormat="1" x14ac:dyDescent="0.25"/>
    <row r="134" s="31" customFormat="1" x14ac:dyDescent="0.25"/>
    <row r="135" s="31" customFormat="1" x14ac:dyDescent="0.25"/>
    <row r="136" s="31" customFormat="1" x14ac:dyDescent="0.25"/>
    <row r="137" s="31" customFormat="1" x14ac:dyDescent="0.25"/>
    <row r="138" s="31" customFormat="1" x14ac:dyDescent="0.25"/>
    <row r="139" s="31" customFormat="1" x14ac:dyDescent="0.25"/>
    <row r="140" s="31" customFormat="1" x14ac:dyDescent="0.25"/>
    <row r="141" s="31" customFormat="1" x14ac:dyDescent="0.25"/>
    <row r="142" s="31" customFormat="1" x14ac:dyDescent="0.25"/>
    <row r="143" s="31" customFormat="1" x14ac:dyDescent="0.25"/>
    <row r="144" s="31" customFormat="1" x14ac:dyDescent="0.25"/>
    <row r="145" s="31" customFormat="1" x14ac:dyDescent="0.25"/>
    <row r="146" s="31" customFormat="1" x14ac:dyDescent="0.25"/>
    <row r="147" s="31" customFormat="1" x14ac:dyDescent="0.25"/>
    <row r="148" s="31" customFormat="1" x14ac:dyDescent="0.25"/>
    <row r="149" s="31" customFormat="1" x14ac:dyDescent="0.25"/>
    <row r="150" s="31" customFormat="1" x14ac:dyDescent="0.25"/>
    <row r="151" s="31" customFormat="1" x14ac:dyDescent="0.25"/>
    <row r="152" s="31" customFormat="1" x14ac:dyDescent="0.25"/>
    <row r="153" s="31" customFormat="1" x14ac:dyDescent="0.25"/>
    <row r="154" s="31" customFormat="1" x14ac:dyDescent="0.25"/>
    <row r="155" s="31" customFormat="1" x14ac:dyDescent="0.25"/>
    <row r="156" s="31" customFormat="1" x14ac:dyDescent="0.25"/>
    <row r="157" s="31" customFormat="1" x14ac:dyDescent="0.25"/>
    <row r="158" s="31" customFormat="1" x14ac:dyDescent="0.25"/>
    <row r="159" s="31" customFormat="1" x14ac:dyDescent="0.25"/>
    <row r="160" s="31" customFormat="1" x14ac:dyDescent="0.25"/>
    <row r="161" s="31" customFormat="1" x14ac:dyDescent="0.25"/>
    <row r="162" s="31" customFormat="1" x14ac:dyDescent="0.25"/>
    <row r="163" s="31" customFormat="1" x14ac:dyDescent="0.25"/>
    <row r="164" s="31" customFormat="1" x14ac:dyDescent="0.25"/>
    <row r="165" s="31" customFormat="1" x14ac:dyDescent="0.25"/>
    <row r="166" s="31" customFormat="1" x14ac:dyDescent="0.25"/>
    <row r="167" s="31" customFormat="1" x14ac:dyDescent="0.25"/>
    <row r="168" s="31" customFormat="1" x14ac:dyDescent="0.25"/>
    <row r="169" s="31" customFormat="1" x14ac:dyDescent="0.25"/>
    <row r="170" s="31" customFormat="1" x14ac:dyDescent="0.25"/>
    <row r="171" s="31" customFormat="1" x14ac:dyDescent="0.25"/>
    <row r="172" s="31" customFormat="1" x14ac:dyDescent="0.25"/>
    <row r="173" s="31" customFormat="1" x14ac:dyDescent="0.25"/>
    <row r="174" s="31" customFormat="1" x14ac:dyDescent="0.25"/>
    <row r="175" s="31" customFormat="1" x14ac:dyDescent="0.25"/>
    <row r="176" s="31" customFormat="1" x14ac:dyDescent="0.25"/>
    <row r="177" s="31" customFormat="1" x14ac:dyDescent="0.25"/>
    <row r="178" s="31" customFormat="1" x14ac:dyDescent="0.25"/>
    <row r="179" s="31" customFormat="1" x14ac:dyDescent="0.25"/>
    <row r="180" s="31" customFormat="1" x14ac:dyDescent="0.25"/>
    <row r="181" s="31" customFormat="1" x14ac:dyDescent="0.25"/>
    <row r="182" s="31" customFormat="1" x14ac:dyDescent="0.25"/>
    <row r="183" s="31" customFormat="1" x14ac:dyDescent="0.25"/>
    <row r="184" s="31" customFormat="1" x14ac:dyDescent="0.25"/>
    <row r="185" s="31" customFormat="1" x14ac:dyDescent="0.25"/>
    <row r="186" s="31" customFormat="1" x14ac:dyDescent="0.25"/>
    <row r="187" s="31" customFormat="1" x14ac:dyDescent="0.25"/>
    <row r="188" s="31" customFormat="1" x14ac:dyDescent="0.25"/>
    <row r="189" s="31" customFormat="1" x14ac:dyDescent="0.25"/>
    <row r="190" s="31" customFormat="1" x14ac:dyDescent="0.25"/>
    <row r="191" s="31" customFormat="1" x14ac:dyDescent="0.25"/>
    <row r="192" s="31" customFormat="1" x14ac:dyDescent="0.25"/>
    <row r="193" s="31" customFormat="1" x14ac:dyDescent="0.25"/>
    <row r="194" s="31" customFormat="1" x14ac:dyDescent="0.25"/>
    <row r="195" s="31" customFormat="1" x14ac:dyDescent="0.25"/>
    <row r="196" s="31" customFormat="1" x14ac:dyDescent="0.25"/>
    <row r="197" s="31" customFormat="1" x14ac:dyDescent="0.25"/>
    <row r="198" s="31" customFormat="1" x14ac:dyDescent="0.25"/>
    <row r="199" s="31" customFormat="1" x14ac:dyDescent="0.25"/>
    <row r="200" s="31" customFormat="1" x14ac:dyDescent="0.25"/>
    <row r="201" s="31" customFormat="1" x14ac:dyDescent="0.25"/>
    <row r="202" s="31" customFormat="1" x14ac:dyDescent="0.25"/>
    <row r="203" s="31" customFormat="1" x14ac:dyDescent="0.25"/>
    <row r="204" s="31" customFormat="1" x14ac:dyDescent="0.25"/>
    <row r="205" s="31" customFormat="1" x14ac:dyDescent="0.25"/>
    <row r="206" s="31" customFormat="1" x14ac:dyDescent="0.25"/>
    <row r="207" s="31" customFormat="1" x14ac:dyDescent="0.25"/>
    <row r="208" s="31" customFormat="1" x14ac:dyDescent="0.25"/>
    <row r="209" s="31" customFormat="1" x14ac:dyDescent="0.25"/>
    <row r="210" s="31" customFormat="1" x14ac:dyDescent="0.25"/>
    <row r="211" s="31" customFormat="1" x14ac:dyDescent="0.25"/>
    <row r="212" s="31" customFormat="1" x14ac:dyDescent="0.25"/>
    <row r="213" s="31" customFormat="1" x14ac:dyDescent="0.25"/>
    <row r="214" s="31" customFormat="1" x14ac:dyDescent="0.25"/>
    <row r="215" s="31" customFormat="1" x14ac:dyDescent="0.25"/>
    <row r="216" s="31" customFormat="1" x14ac:dyDescent="0.25"/>
    <row r="217" s="31" customFormat="1" x14ac:dyDescent="0.25"/>
    <row r="218" s="31" customFormat="1" x14ac:dyDescent="0.25"/>
    <row r="219" s="31" customFormat="1" x14ac:dyDescent="0.25"/>
    <row r="220" s="31" customFormat="1" x14ac:dyDescent="0.25"/>
    <row r="221" s="31" customFormat="1" x14ac:dyDescent="0.25"/>
    <row r="222" s="31" customFormat="1" x14ac:dyDescent="0.25"/>
    <row r="223" s="31" customFormat="1" x14ac:dyDescent="0.25"/>
    <row r="224" s="31" customFormat="1" x14ac:dyDescent="0.25"/>
    <row r="225" s="31" customFormat="1" x14ac:dyDescent="0.25"/>
    <row r="226" s="31" customFormat="1" x14ac:dyDescent="0.25"/>
    <row r="227" s="31" customFormat="1" x14ac:dyDescent="0.25"/>
    <row r="228" s="31" customFormat="1" x14ac:dyDescent="0.25"/>
    <row r="229" s="31" customFormat="1" x14ac:dyDescent="0.25"/>
    <row r="230" s="31" customFormat="1" x14ac:dyDescent="0.25"/>
    <row r="231" s="31" customFormat="1" x14ac:dyDescent="0.25"/>
    <row r="232" s="31" customFormat="1" x14ac:dyDescent="0.25"/>
    <row r="233" s="31" customFormat="1" x14ac:dyDescent="0.25"/>
    <row r="234" s="31" customFormat="1" x14ac:dyDescent="0.25"/>
    <row r="235" s="31" customFormat="1" x14ac:dyDescent="0.25"/>
    <row r="236" s="31" customFormat="1" x14ac:dyDescent="0.25"/>
    <row r="237" s="31" customFormat="1" x14ac:dyDescent="0.25"/>
    <row r="238" s="31" customFormat="1" x14ac:dyDescent="0.25"/>
    <row r="239" s="31" customFormat="1" x14ac:dyDescent="0.25"/>
    <row r="240" s="31" customFormat="1" x14ac:dyDescent="0.25"/>
    <row r="241" s="31" customFormat="1" x14ac:dyDescent="0.25"/>
    <row r="242" s="31" customFormat="1" x14ac:dyDescent="0.25"/>
    <row r="243" s="31" customFormat="1" x14ac:dyDescent="0.25"/>
    <row r="244" s="31" customFormat="1" x14ac:dyDescent="0.25"/>
    <row r="245" s="31" customFormat="1" x14ac:dyDescent="0.25"/>
    <row r="246" s="31" customFormat="1" x14ac:dyDescent="0.25"/>
    <row r="247" s="31" customFormat="1" x14ac:dyDescent="0.25"/>
    <row r="248" s="31" customFormat="1" x14ac:dyDescent="0.25"/>
    <row r="249" s="31" customFormat="1" x14ac:dyDescent="0.25"/>
    <row r="250" s="31" customFormat="1" x14ac:dyDescent="0.25"/>
    <row r="251" s="31" customFormat="1" x14ac:dyDescent="0.25"/>
    <row r="252" s="31" customFormat="1" x14ac:dyDescent="0.25"/>
    <row r="253" s="31" customFormat="1" x14ac:dyDescent="0.25"/>
    <row r="254" s="31" customFormat="1" x14ac:dyDescent="0.25"/>
    <row r="255" s="31" customFormat="1" x14ac:dyDescent="0.25"/>
    <row r="256" s="31" customFormat="1" x14ac:dyDescent="0.25"/>
    <row r="257" s="31" customFormat="1" x14ac:dyDescent="0.25"/>
    <row r="258" s="31" customFormat="1" x14ac:dyDescent="0.25"/>
    <row r="259" s="31" customFormat="1" x14ac:dyDescent="0.25"/>
    <row r="260" s="31" customFormat="1" x14ac:dyDescent="0.25"/>
    <row r="261" s="31" customFormat="1" x14ac:dyDescent="0.25"/>
    <row r="262" s="31" customFormat="1" x14ac:dyDescent="0.25"/>
    <row r="263" s="31" customFormat="1" x14ac:dyDescent="0.25"/>
    <row r="264" s="31" customFormat="1" x14ac:dyDescent="0.25"/>
    <row r="265" s="31" customFormat="1" x14ac:dyDescent="0.25"/>
    <row r="266" s="31" customFormat="1" x14ac:dyDescent="0.25"/>
    <row r="267" s="31" customFormat="1" x14ac:dyDescent="0.25"/>
    <row r="268" s="31" customFormat="1" x14ac:dyDescent="0.25"/>
    <row r="269" s="31" customFormat="1" x14ac:dyDescent="0.25"/>
    <row r="270" s="31" customFormat="1" x14ac:dyDescent="0.25"/>
    <row r="271" s="31" customFormat="1" x14ac:dyDescent="0.25"/>
    <row r="272" s="31" customFormat="1" x14ac:dyDescent="0.25"/>
    <row r="273" s="31" customFormat="1" x14ac:dyDescent="0.25"/>
    <row r="274" s="31" customFormat="1" x14ac:dyDescent="0.25"/>
    <row r="275" s="31" customFormat="1" x14ac:dyDescent="0.25"/>
    <row r="276" s="31" customFormat="1" x14ac:dyDescent="0.25"/>
    <row r="277" s="31" customFormat="1" x14ac:dyDescent="0.25"/>
    <row r="278" s="31" customFormat="1" x14ac:dyDescent="0.25"/>
    <row r="279" s="31" customFormat="1" x14ac:dyDescent="0.25"/>
    <row r="280" s="31" customFormat="1" x14ac:dyDescent="0.25"/>
    <row r="281" s="31" customFormat="1" x14ac:dyDescent="0.25"/>
    <row r="282" s="31" customFormat="1" x14ac:dyDescent="0.25"/>
    <row r="283" s="31" customFormat="1" x14ac:dyDescent="0.25"/>
    <row r="284" s="31" customFormat="1" x14ac:dyDescent="0.25"/>
    <row r="285" s="31" customFormat="1" x14ac:dyDescent="0.25"/>
    <row r="286" s="31" customFormat="1" x14ac:dyDescent="0.25"/>
    <row r="287" s="31" customFormat="1" x14ac:dyDescent="0.25"/>
    <row r="288" s="31" customFormat="1" x14ac:dyDescent="0.25"/>
    <row r="289" s="31" customFormat="1" x14ac:dyDescent="0.25"/>
    <row r="290" s="31" customFormat="1" x14ac:dyDescent="0.25"/>
    <row r="291" s="31" customFormat="1" x14ac:dyDescent="0.25"/>
    <row r="292" s="31" customFormat="1" x14ac:dyDescent="0.25"/>
    <row r="293" s="31" customFormat="1" x14ac:dyDescent="0.25"/>
    <row r="294" s="31" customFormat="1" x14ac:dyDescent="0.25"/>
    <row r="295" s="31" customFormat="1" x14ac:dyDescent="0.25"/>
    <row r="296" s="31" customFormat="1" x14ac:dyDescent="0.25"/>
    <row r="297" s="31" customFormat="1" x14ac:dyDescent="0.25"/>
    <row r="298" s="31" customFormat="1" x14ac:dyDescent="0.25"/>
    <row r="299" s="31" customFormat="1" x14ac:dyDescent="0.25"/>
    <row r="300" s="31" customFormat="1" x14ac:dyDescent="0.25"/>
    <row r="301" s="31" customFormat="1" x14ac:dyDescent="0.25"/>
    <row r="302" s="31" customFormat="1" x14ac:dyDescent="0.25"/>
    <row r="303" s="31" customFormat="1" x14ac:dyDescent="0.25"/>
    <row r="304" s="31" customFormat="1" x14ac:dyDescent="0.25"/>
    <row r="305" s="31" customFormat="1" x14ac:dyDescent="0.25"/>
    <row r="306" s="31" customFormat="1" x14ac:dyDescent="0.25"/>
    <row r="307" s="31" customFormat="1" x14ac:dyDescent="0.25"/>
    <row r="308" s="31" customFormat="1" x14ac:dyDescent="0.25"/>
    <row r="309" s="31" customFormat="1" x14ac:dyDescent="0.25"/>
    <row r="310" s="31" customFormat="1" x14ac:dyDescent="0.25"/>
    <row r="311" s="31" customFormat="1" x14ac:dyDescent="0.25"/>
    <row r="312" s="31" customFormat="1" x14ac:dyDescent="0.25"/>
    <row r="313" s="31" customFormat="1" x14ac:dyDescent="0.25"/>
    <row r="314" s="31" customFormat="1" x14ac:dyDescent="0.25"/>
    <row r="315" s="31" customFormat="1" x14ac:dyDescent="0.25"/>
    <row r="316" s="31" customFormat="1" x14ac:dyDescent="0.25"/>
    <row r="317" s="31" customFormat="1" x14ac:dyDescent="0.25"/>
    <row r="318" s="31" customFormat="1" x14ac:dyDescent="0.25"/>
    <row r="319" s="31" customFormat="1" x14ac:dyDescent="0.25"/>
    <row r="320" s="31" customFormat="1" x14ac:dyDescent="0.25"/>
    <row r="321" s="31" customFormat="1" x14ac:dyDescent="0.25"/>
    <row r="322" s="31" customFormat="1" x14ac:dyDescent="0.25"/>
    <row r="323" s="31" customFormat="1" x14ac:dyDescent="0.25"/>
    <row r="324" s="31" customFormat="1" x14ac:dyDescent="0.25"/>
    <row r="325" s="31" customFormat="1" x14ac:dyDescent="0.25"/>
    <row r="326" s="31" customFormat="1" x14ac:dyDescent="0.25"/>
    <row r="327" s="31" customFormat="1" x14ac:dyDescent="0.25"/>
    <row r="328" s="31" customFormat="1" x14ac:dyDescent="0.25"/>
    <row r="329" s="31" customFormat="1" x14ac:dyDescent="0.25"/>
    <row r="330" s="31" customFormat="1" x14ac:dyDescent="0.25"/>
    <row r="331" s="31" customFormat="1" x14ac:dyDescent="0.25"/>
    <row r="332" s="31" customFormat="1" x14ac:dyDescent="0.25"/>
    <row r="333" s="31" customFormat="1" x14ac:dyDescent="0.25"/>
    <row r="334" s="31" customFormat="1" x14ac:dyDescent="0.25"/>
    <row r="335" s="31" customFormat="1" x14ac:dyDescent="0.25"/>
    <row r="336" s="31" customFormat="1" x14ac:dyDescent="0.25"/>
    <row r="337" s="31" customFormat="1" x14ac:dyDescent="0.25"/>
    <row r="338" s="31" customFormat="1" x14ac:dyDescent="0.25"/>
    <row r="339" s="31" customFormat="1" x14ac:dyDescent="0.25"/>
    <row r="340" s="31" customFormat="1" x14ac:dyDescent="0.25"/>
    <row r="341" s="31" customFormat="1" x14ac:dyDescent="0.25"/>
    <row r="342" s="31" customFormat="1" x14ac:dyDescent="0.25"/>
    <row r="343" s="31" customFormat="1" x14ac:dyDescent="0.25"/>
    <row r="344" s="31" customFormat="1" x14ac:dyDescent="0.25"/>
    <row r="345" s="31" customFormat="1" x14ac:dyDescent="0.25"/>
    <row r="346" s="31" customFormat="1" x14ac:dyDescent="0.25"/>
    <row r="347" s="31" customFormat="1" x14ac:dyDescent="0.25"/>
    <row r="348" s="31" customFormat="1" x14ac:dyDescent="0.25"/>
    <row r="349" s="31" customFormat="1" x14ac:dyDescent="0.25"/>
    <row r="350" s="31" customFormat="1" x14ac:dyDescent="0.25"/>
    <row r="351" s="31" customFormat="1" x14ac:dyDescent="0.25"/>
    <row r="352" s="31" customFormat="1" x14ac:dyDescent="0.25"/>
    <row r="353" s="31" customFormat="1" x14ac:dyDescent="0.25"/>
    <row r="354" s="31" customFormat="1" x14ac:dyDescent="0.25"/>
    <row r="355" s="31" customFormat="1" x14ac:dyDescent="0.25"/>
    <row r="356" s="31" customFormat="1" x14ac:dyDescent="0.25"/>
    <row r="357" s="31" customFormat="1" x14ac:dyDescent="0.25"/>
    <row r="358" s="31" customFormat="1" x14ac:dyDescent="0.25"/>
    <row r="359" s="31" customFormat="1" x14ac:dyDescent="0.25"/>
    <row r="360" s="31" customFormat="1" x14ac:dyDescent="0.25"/>
    <row r="361" s="31" customFormat="1" x14ac:dyDescent="0.25"/>
    <row r="362" s="31" customFormat="1" x14ac:dyDescent="0.25"/>
    <row r="363" s="31" customFormat="1" x14ac:dyDescent="0.25"/>
    <row r="364" s="31" customFormat="1" x14ac:dyDescent="0.25"/>
    <row r="365" s="31" customFormat="1" x14ac:dyDescent="0.25"/>
    <row r="366" s="31" customFormat="1" x14ac:dyDescent="0.25"/>
    <row r="367" s="31" customFormat="1" x14ac:dyDescent="0.25"/>
    <row r="368" s="31" customFormat="1" x14ac:dyDescent="0.25"/>
    <row r="369" s="31" customFormat="1" x14ac:dyDescent="0.25"/>
    <row r="370" s="31" customFormat="1" x14ac:dyDescent="0.25"/>
    <row r="371" s="31" customFormat="1" x14ac:dyDescent="0.25"/>
    <row r="372" s="31" customFormat="1" x14ac:dyDescent="0.25"/>
    <row r="373" s="31" customFormat="1" x14ac:dyDescent="0.25"/>
    <row r="374" s="31" customFormat="1" x14ac:dyDescent="0.25"/>
    <row r="375" s="31" customFormat="1" x14ac:dyDescent="0.25"/>
    <row r="376" s="31" customFormat="1" x14ac:dyDescent="0.25"/>
    <row r="377" s="31" customFormat="1" x14ac:dyDescent="0.25"/>
    <row r="378" s="31" customFormat="1" x14ac:dyDescent="0.25"/>
    <row r="379" s="31" customFormat="1" x14ac:dyDescent="0.25"/>
    <row r="380" s="31" customFormat="1" x14ac:dyDescent="0.25"/>
    <row r="381" s="31" customFormat="1" x14ac:dyDescent="0.25"/>
    <row r="382" s="31" customFormat="1" x14ac:dyDescent="0.25"/>
    <row r="383" s="31" customFormat="1" x14ac:dyDescent="0.25"/>
    <row r="384" s="31" customFormat="1" x14ac:dyDescent="0.25"/>
    <row r="385" s="31" customFormat="1" x14ac:dyDescent="0.25"/>
    <row r="386" s="31" customFormat="1" x14ac:dyDescent="0.25"/>
    <row r="387" s="31" customFormat="1" x14ac:dyDescent="0.25"/>
    <row r="388" s="31" customFormat="1" x14ac:dyDescent="0.25"/>
    <row r="389" s="31" customFormat="1" x14ac:dyDescent="0.25"/>
    <row r="390" s="31" customFormat="1" x14ac:dyDescent="0.25"/>
    <row r="391" s="31" customFormat="1" x14ac:dyDescent="0.25"/>
    <row r="392" s="31" customFormat="1" x14ac:dyDescent="0.25"/>
    <row r="393" s="31" customFormat="1" x14ac:dyDescent="0.25"/>
    <row r="394" s="31" customFormat="1" x14ac:dyDescent="0.25"/>
    <row r="395" s="31" customFormat="1" x14ac:dyDescent="0.25"/>
    <row r="396" s="31" customFormat="1" x14ac:dyDescent="0.25"/>
    <row r="397" s="31" customFormat="1" x14ac:dyDescent="0.25"/>
    <row r="398" s="31" customFormat="1" x14ac:dyDescent="0.25"/>
    <row r="399" s="31" customFormat="1" x14ac:dyDescent="0.25"/>
    <row r="400" s="31" customFormat="1" x14ac:dyDescent="0.25"/>
    <row r="401" s="31" customFormat="1" x14ac:dyDescent="0.25"/>
    <row r="402" s="31" customFormat="1" x14ac:dyDescent="0.25"/>
    <row r="403" s="31" customFormat="1" x14ac:dyDescent="0.25"/>
    <row r="404" s="31" customFormat="1" x14ac:dyDescent="0.25"/>
    <row r="405" s="31" customFormat="1" x14ac:dyDescent="0.25"/>
    <row r="406" s="31" customFormat="1" x14ac:dyDescent="0.25"/>
    <row r="407" s="31" customFormat="1" x14ac:dyDescent="0.25"/>
    <row r="408" s="31" customFormat="1" x14ac:dyDescent="0.25"/>
    <row r="409" s="31" customFormat="1" x14ac:dyDescent="0.25"/>
    <row r="410" s="31" customFormat="1" x14ac:dyDescent="0.25"/>
    <row r="411" s="31" customFormat="1" x14ac:dyDescent="0.25"/>
    <row r="412" s="31" customFormat="1" x14ac:dyDescent="0.25"/>
    <row r="413" s="31" customFormat="1" x14ac:dyDescent="0.25"/>
    <row r="414" s="31" customFormat="1" x14ac:dyDescent="0.25"/>
    <row r="415" s="31" customFormat="1" x14ac:dyDescent="0.25"/>
    <row r="416" s="31" customFormat="1" x14ac:dyDescent="0.25"/>
    <row r="417" s="31" customFormat="1" x14ac:dyDescent="0.25"/>
    <row r="418" s="31" customFormat="1" x14ac:dyDescent="0.25"/>
    <row r="419" s="31" customFormat="1" x14ac:dyDescent="0.25"/>
    <row r="420" s="31" customFormat="1" x14ac:dyDescent="0.25"/>
    <row r="421" s="31" customFormat="1" x14ac:dyDescent="0.25"/>
    <row r="422" s="31" customFormat="1" x14ac:dyDescent="0.25"/>
    <row r="423" s="31" customFormat="1" x14ac:dyDescent="0.25"/>
    <row r="424" s="31" customFormat="1" x14ac:dyDescent="0.25"/>
    <row r="425" s="31" customFormat="1" x14ac:dyDescent="0.25"/>
    <row r="426" s="31" customFormat="1" x14ac:dyDescent="0.25"/>
    <row r="427" s="31" customFormat="1" x14ac:dyDescent="0.25"/>
    <row r="428" s="31" customFormat="1" x14ac:dyDescent="0.25"/>
    <row r="429" s="31" customFormat="1" x14ac:dyDescent="0.25"/>
    <row r="430" s="31" customFormat="1" x14ac:dyDescent="0.25"/>
    <row r="431" s="31" customFormat="1" x14ac:dyDescent="0.25"/>
    <row r="432" s="31" customFormat="1" x14ac:dyDescent="0.25"/>
    <row r="433" s="31" customFormat="1" x14ac:dyDescent="0.25"/>
    <row r="434" s="31" customFormat="1" x14ac:dyDescent="0.25"/>
    <row r="435" s="31" customFormat="1" x14ac:dyDescent="0.25"/>
    <row r="436" s="31" customFormat="1" x14ac:dyDescent="0.25"/>
    <row r="437" s="31" customFormat="1" x14ac:dyDescent="0.25"/>
    <row r="438" s="31" customFormat="1" x14ac:dyDescent="0.25"/>
    <row r="439" s="31" customFormat="1" x14ac:dyDescent="0.25"/>
    <row r="440" s="31" customFormat="1" x14ac:dyDescent="0.25"/>
    <row r="441" s="31" customFormat="1" x14ac:dyDescent="0.25"/>
    <row r="442" s="31" customFormat="1" x14ac:dyDescent="0.25"/>
    <row r="443" s="31" customFormat="1" x14ac:dyDescent="0.25"/>
    <row r="444" s="31" customFormat="1" x14ac:dyDescent="0.25"/>
    <row r="445" s="31" customFormat="1" x14ac:dyDescent="0.25"/>
    <row r="446" s="31" customFormat="1" x14ac:dyDescent="0.25"/>
    <row r="447" s="31" customFormat="1" x14ac:dyDescent="0.25"/>
    <row r="448" s="31" customFormat="1" x14ac:dyDescent="0.25"/>
    <row r="449" s="31" customFormat="1" x14ac:dyDescent="0.25"/>
    <row r="450" s="31" customFormat="1" x14ac:dyDescent="0.25"/>
    <row r="451" s="31" customFormat="1" x14ac:dyDescent="0.25"/>
    <row r="452" s="31" customFormat="1" x14ac:dyDescent="0.25"/>
    <row r="453" s="31" customFormat="1" x14ac:dyDescent="0.25"/>
    <row r="454" s="31" customFormat="1" x14ac:dyDescent="0.25"/>
    <row r="455" s="31" customFormat="1" x14ac:dyDescent="0.25"/>
    <row r="456" s="31" customFormat="1" x14ac:dyDescent="0.25"/>
    <row r="457" s="31" customFormat="1" x14ac:dyDescent="0.25"/>
    <row r="458" s="31" customFormat="1" x14ac:dyDescent="0.25"/>
    <row r="459" s="31" customFormat="1" x14ac:dyDescent="0.25"/>
    <row r="460" s="31" customFormat="1" x14ac:dyDescent="0.25"/>
    <row r="461" s="31" customFormat="1" x14ac:dyDescent="0.25"/>
    <row r="462" s="31" customFormat="1" x14ac:dyDescent="0.25"/>
    <row r="463" s="31" customFormat="1" x14ac:dyDescent="0.25"/>
    <row r="464" s="31" customFormat="1" x14ac:dyDescent="0.25"/>
    <row r="465" s="31" customFormat="1" x14ac:dyDescent="0.25"/>
    <row r="466" s="31" customFormat="1" x14ac:dyDescent="0.25"/>
    <row r="467" s="31" customFormat="1" x14ac:dyDescent="0.25"/>
    <row r="468" s="31" customFormat="1" x14ac:dyDescent="0.25"/>
    <row r="469" s="31" customFormat="1" x14ac:dyDescent="0.25"/>
    <row r="470" s="31" customFormat="1" x14ac:dyDescent="0.25"/>
    <row r="471" s="31" customFormat="1" x14ac:dyDescent="0.25"/>
    <row r="472" s="31" customFormat="1" x14ac:dyDescent="0.25"/>
    <row r="473" s="31" customFormat="1" x14ac:dyDescent="0.25"/>
    <row r="474" s="31" customFormat="1" x14ac:dyDescent="0.25"/>
    <row r="475" s="31" customFormat="1" x14ac:dyDescent="0.25"/>
    <row r="476" s="31" customFormat="1" x14ac:dyDescent="0.25"/>
    <row r="477" s="31" customFormat="1" x14ac:dyDescent="0.25"/>
    <row r="478" s="31" customFormat="1" x14ac:dyDescent="0.25"/>
    <row r="479" s="31" customFormat="1" x14ac:dyDescent="0.25"/>
    <row r="480" s="31" customFormat="1" x14ac:dyDescent="0.25"/>
    <row r="481" s="31" customFormat="1" x14ac:dyDescent="0.25"/>
    <row r="482" s="31" customFormat="1" x14ac:dyDescent="0.25"/>
    <row r="483" s="31" customFormat="1" x14ac:dyDescent="0.25"/>
    <row r="484" s="31" customFormat="1" x14ac:dyDescent="0.25"/>
    <row r="485" s="31" customFormat="1" x14ac:dyDescent="0.25"/>
    <row r="486" s="31" customFormat="1" x14ac:dyDescent="0.25"/>
    <row r="487" s="31" customFormat="1" x14ac:dyDescent="0.25"/>
    <row r="488" s="31" customFormat="1" x14ac:dyDescent="0.25"/>
    <row r="489" s="31" customFormat="1" x14ac:dyDescent="0.25"/>
    <row r="490" s="31" customFormat="1" x14ac:dyDescent="0.25"/>
    <row r="491" s="31" customFormat="1" x14ac:dyDescent="0.25"/>
    <row r="492" s="31" customFormat="1" x14ac:dyDescent="0.25"/>
    <row r="493" s="31" customFormat="1" x14ac:dyDescent="0.25"/>
    <row r="494" s="31" customFormat="1" x14ac:dyDescent="0.25"/>
    <row r="495" s="31" customFormat="1" x14ac:dyDescent="0.25"/>
    <row r="496" s="31" customFormat="1" x14ac:dyDescent="0.25"/>
    <row r="497" s="31" customFormat="1" x14ac:dyDescent="0.25"/>
    <row r="498" s="31" customFormat="1" x14ac:dyDescent="0.25"/>
    <row r="499" s="31" customFormat="1" x14ac:dyDescent="0.25"/>
    <row r="500" s="31" customFormat="1" x14ac:dyDescent="0.25"/>
    <row r="501" s="31" customFormat="1" x14ac:dyDescent="0.25"/>
    <row r="502" s="31" customFormat="1" x14ac:dyDescent="0.25"/>
    <row r="503" s="31" customFormat="1" x14ac:dyDescent="0.25"/>
    <row r="504" s="31" customFormat="1" x14ac:dyDescent="0.25"/>
    <row r="505" s="31" customFormat="1" x14ac:dyDescent="0.25"/>
    <row r="506" s="31" customFormat="1" x14ac:dyDescent="0.25"/>
    <row r="507" s="31" customFormat="1" x14ac:dyDescent="0.25"/>
    <row r="508" s="31" customFormat="1" x14ac:dyDescent="0.25"/>
    <row r="509" s="31" customFormat="1" x14ac:dyDescent="0.25"/>
    <row r="510" s="31" customFormat="1" x14ac:dyDescent="0.25"/>
    <row r="511" s="31" customFormat="1" x14ac:dyDescent="0.25"/>
    <row r="512" s="31" customFormat="1" x14ac:dyDescent="0.25"/>
    <row r="513" s="31" customFormat="1" x14ac:dyDescent="0.25"/>
    <row r="514" s="31" customFormat="1" x14ac:dyDescent="0.25"/>
    <row r="515" s="31" customFormat="1" x14ac:dyDescent="0.25"/>
    <row r="516" s="31" customFormat="1" x14ac:dyDescent="0.25"/>
    <row r="517" s="31" customFormat="1" x14ac:dyDescent="0.25"/>
    <row r="518" s="31" customFormat="1" x14ac:dyDescent="0.25"/>
    <row r="519" s="31" customFormat="1" x14ac:dyDescent="0.25"/>
    <row r="520" s="31" customFormat="1" x14ac:dyDescent="0.25"/>
    <row r="521" s="31" customFormat="1" x14ac:dyDescent="0.25"/>
    <row r="522" s="31" customFormat="1" x14ac:dyDescent="0.25"/>
    <row r="523" s="31" customFormat="1" x14ac:dyDescent="0.25"/>
    <row r="524" s="31" customFormat="1" x14ac:dyDescent="0.25"/>
    <row r="525" s="31" customFormat="1" x14ac:dyDescent="0.25"/>
    <row r="526" s="31" customFormat="1" x14ac:dyDescent="0.25"/>
    <row r="527" s="31" customFormat="1" x14ac:dyDescent="0.25"/>
    <row r="528" s="31" customFormat="1" x14ac:dyDescent="0.25"/>
    <row r="529" s="31" customFormat="1" x14ac:dyDescent="0.25"/>
    <row r="530" s="31" customFormat="1" x14ac:dyDescent="0.25"/>
    <row r="531" s="31" customFormat="1" x14ac:dyDescent="0.25"/>
    <row r="532" s="31" customFormat="1" x14ac:dyDescent="0.25"/>
    <row r="533" s="31" customFormat="1" x14ac:dyDescent="0.25"/>
    <row r="534" s="31" customFormat="1" x14ac:dyDescent="0.25"/>
    <row r="535" s="31" customFormat="1" x14ac:dyDescent="0.25"/>
    <row r="536" s="31" customFormat="1" x14ac:dyDescent="0.25"/>
    <row r="537" s="31" customFormat="1" x14ac:dyDescent="0.25"/>
    <row r="538" s="31" customFormat="1" x14ac:dyDescent="0.25"/>
    <row r="539" s="31" customFormat="1" x14ac:dyDescent="0.25"/>
    <row r="540" s="31" customFormat="1" x14ac:dyDescent="0.25"/>
    <row r="541" s="31" customFormat="1" x14ac:dyDescent="0.25"/>
    <row r="542" s="31" customFormat="1" x14ac:dyDescent="0.25"/>
    <row r="543" s="31" customFormat="1" x14ac:dyDescent="0.25"/>
    <row r="544" s="31" customFormat="1" x14ac:dyDescent="0.25"/>
    <row r="545" s="31" customFormat="1" x14ac:dyDescent="0.25"/>
    <row r="546" s="31" customFormat="1" x14ac:dyDescent="0.25"/>
    <row r="547" s="31" customFormat="1" x14ac:dyDescent="0.25"/>
    <row r="548" s="31" customFormat="1" x14ac:dyDescent="0.25"/>
    <row r="549" s="31" customFormat="1" x14ac:dyDescent="0.25"/>
    <row r="550" s="31" customFormat="1" x14ac:dyDescent="0.25"/>
    <row r="551" s="31" customFormat="1" x14ac:dyDescent="0.25"/>
    <row r="552" s="31" customFormat="1" x14ac:dyDescent="0.25"/>
    <row r="553" s="31" customFormat="1" x14ac:dyDescent="0.25"/>
    <row r="554" s="31" customFormat="1" x14ac:dyDescent="0.25"/>
    <row r="555" s="31" customFormat="1" x14ac:dyDescent="0.25"/>
    <row r="556" s="31" customFormat="1" x14ac:dyDescent="0.25"/>
    <row r="557" s="31" customFormat="1" x14ac:dyDescent="0.25"/>
    <row r="558" s="31" customFormat="1" x14ac:dyDescent="0.25"/>
    <row r="559" s="31" customFormat="1" x14ac:dyDescent="0.25"/>
    <row r="560" s="31" customFormat="1" x14ac:dyDescent="0.25"/>
    <row r="561" s="31" customFormat="1" x14ac:dyDescent="0.25"/>
    <row r="562" s="31" customFormat="1" x14ac:dyDescent="0.25"/>
    <row r="563" s="31" customFormat="1" x14ac:dyDescent="0.25"/>
    <row r="564" s="31" customFormat="1" x14ac:dyDescent="0.25"/>
    <row r="565" s="31" customFormat="1" x14ac:dyDescent="0.25"/>
    <row r="566" s="31" customFormat="1" x14ac:dyDescent="0.25"/>
    <row r="567" s="31" customFormat="1" x14ac:dyDescent="0.25"/>
    <row r="568" s="31" customFormat="1" x14ac:dyDescent="0.25"/>
    <row r="569" s="31" customFormat="1" x14ac:dyDescent="0.25"/>
    <row r="570" s="31" customFormat="1" x14ac:dyDescent="0.25"/>
    <row r="571" s="31" customFormat="1" x14ac:dyDescent="0.25"/>
    <row r="572" s="31" customFormat="1" x14ac:dyDescent="0.25"/>
    <row r="573" s="31" customFormat="1" x14ac:dyDescent="0.25"/>
    <row r="574" s="31" customFormat="1" x14ac:dyDescent="0.25"/>
    <row r="575" s="31" customFormat="1" x14ac:dyDescent="0.25"/>
    <row r="576" s="31" customFormat="1" x14ac:dyDescent="0.25"/>
    <row r="577" s="31" customFormat="1" x14ac:dyDescent="0.25"/>
    <row r="578" s="31" customFormat="1" x14ac:dyDescent="0.25"/>
    <row r="579" s="31" customFormat="1" x14ac:dyDescent="0.25"/>
    <row r="580" s="31" customFormat="1" x14ac:dyDescent="0.25"/>
    <row r="581" s="31" customFormat="1" x14ac:dyDescent="0.25"/>
    <row r="582" s="31" customFormat="1" x14ac:dyDescent="0.25"/>
    <row r="583" s="31" customFormat="1" x14ac:dyDescent="0.25"/>
    <row r="584" s="31" customFormat="1" x14ac:dyDescent="0.25"/>
    <row r="585" s="31" customFormat="1" x14ac:dyDescent="0.25"/>
    <row r="586" s="31" customFormat="1" x14ac:dyDescent="0.25"/>
    <row r="587" s="31" customFormat="1" x14ac:dyDescent="0.25"/>
    <row r="588" s="31" customFormat="1" x14ac:dyDescent="0.25"/>
    <row r="589" s="31" customFormat="1" x14ac:dyDescent="0.25"/>
    <row r="590" s="31" customFormat="1" x14ac:dyDescent="0.25"/>
    <row r="591" s="31" customFormat="1" x14ac:dyDescent="0.25"/>
    <row r="592" s="31" customFormat="1" x14ac:dyDescent="0.25"/>
    <row r="593" s="31" customFormat="1" x14ac:dyDescent="0.25"/>
    <row r="594" s="31" customFormat="1" x14ac:dyDescent="0.25"/>
    <row r="595" s="31" customFormat="1" x14ac:dyDescent="0.25"/>
    <row r="596" s="31" customFormat="1" x14ac:dyDescent="0.25"/>
    <row r="597" s="31" customFormat="1" x14ac:dyDescent="0.25"/>
    <row r="598" s="31" customFormat="1" x14ac:dyDescent="0.25"/>
    <row r="599" s="31" customFormat="1" x14ac:dyDescent="0.25"/>
    <row r="600" s="31" customFormat="1" x14ac:dyDescent="0.25"/>
    <row r="601" s="31" customFormat="1" x14ac:dyDescent="0.25"/>
    <row r="602" s="31" customFormat="1" x14ac:dyDescent="0.25"/>
    <row r="603" s="31" customFormat="1" x14ac:dyDescent="0.25"/>
    <row r="604" s="31" customFormat="1" x14ac:dyDescent="0.25"/>
    <row r="605" s="31" customFormat="1" x14ac:dyDescent="0.25"/>
    <row r="606" s="31" customFormat="1" x14ac:dyDescent="0.25"/>
    <row r="607" s="31" customFormat="1" x14ac:dyDescent="0.25"/>
    <row r="608" s="31" customFormat="1" x14ac:dyDescent="0.25"/>
    <row r="609" s="31" customFormat="1" x14ac:dyDescent="0.25"/>
    <row r="610" s="31" customFormat="1" x14ac:dyDescent="0.25"/>
    <row r="611" s="31" customFormat="1" x14ac:dyDescent="0.25"/>
    <row r="612" s="31" customFormat="1" x14ac:dyDescent="0.25"/>
    <row r="613" s="31" customFormat="1" x14ac:dyDescent="0.25"/>
    <row r="614" s="31" customFormat="1" x14ac:dyDescent="0.25"/>
    <row r="615" s="31" customFormat="1" x14ac:dyDescent="0.25"/>
    <row r="616" s="31" customFormat="1" x14ac:dyDescent="0.25"/>
    <row r="617" s="31" customFormat="1" x14ac:dyDescent="0.25"/>
    <row r="618" s="31" customFormat="1" x14ac:dyDescent="0.25"/>
    <row r="619" s="31" customFormat="1" x14ac:dyDescent="0.25"/>
    <row r="620" s="31" customFormat="1" x14ac:dyDescent="0.25"/>
    <row r="621" s="31" customFormat="1" x14ac:dyDescent="0.25"/>
    <row r="622" s="31" customFormat="1" x14ac:dyDescent="0.25"/>
    <row r="623" s="31" customFormat="1" x14ac:dyDescent="0.25"/>
    <row r="624" s="31" customFormat="1" x14ac:dyDescent="0.25"/>
    <row r="625" s="31" customFormat="1" x14ac:dyDescent="0.25"/>
    <row r="626" s="31" customFormat="1" x14ac:dyDescent="0.25"/>
    <row r="627" s="31" customFormat="1" x14ac:dyDescent="0.25"/>
    <row r="628" s="31" customFormat="1" x14ac:dyDescent="0.25"/>
    <row r="629" s="31" customFormat="1" x14ac:dyDescent="0.25"/>
    <row r="630" s="31" customFormat="1" x14ac:dyDescent="0.25"/>
    <row r="631" s="31" customFormat="1" x14ac:dyDescent="0.25"/>
    <row r="632" s="31" customFormat="1" x14ac:dyDescent="0.25"/>
    <row r="633" s="31" customFormat="1" x14ac:dyDescent="0.25"/>
    <row r="634" s="31" customFormat="1" x14ac:dyDescent="0.25"/>
    <row r="635" s="31" customFormat="1" x14ac:dyDescent="0.25"/>
    <row r="636" s="31" customFormat="1" x14ac:dyDescent="0.25"/>
    <row r="637" s="31" customFormat="1" x14ac:dyDescent="0.25"/>
    <row r="638" s="31" customFormat="1" x14ac:dyDescent="0.25"/>
    <row r="639" s="31" customFormat="1" x14ac:dyDescent="0.25"/>
    <row r="640" s="31" customFormat="1" x14ac:dyDescent="0.25"/>
    <row r="641" s="31" customFormat="1" x14ac:dyDescent="0.25"/>
    <row r="642" s="31" customFormat="1" x14ac:dyDescent="0.25"/>
    <row r="643" s="31" customFormat="1" x14ac:dyDescent="0.25"/>
    <row r="644" s="31" customFormat="1" x14ac:dyDescent="0.25"/>
    <row r="645" s="31" customFormat="1" x14ac:dyDescent="0.25"/>
    <row r="646" s="31" customFormat="1" x14ac:dyDescent="0.25"/>
    <row r="647" s="31" customFormat="1" x14ac:dyDescent="0.25"/>
    <row r="648" s="31" customFormat="1" x14ac:dyDescent="0.25"/>
    <row r="649" s="31" customFormat="1" x14ac:dyDescent="0.25"/>
    <row r="650" s="31" customFormat="1" x14ac:dyDescent="0.25"/>
    <row r="651" s="31" customFormat="1" x14ac:dyDescent="0.25"/>
    <row r="652" s="31" customFormat="1" x14ac:dyDescent="0.25"/>
    <row r="653" s="31" customFormat="1" x14ac:dyDescent="0.25"/>
    <row r="654" s="31" customFormat="1" x14ac:dyDescent="0.25"/>
    <row r="655" s="31" customFormat="1" x14ac:dyDescent="0.25"/>
    <row r="656" s="31" customFormat="1" x14ac:dyDescent="0.25"/>
    <row r="657" s="31" customFormat="1" x14ac:dyDescent="0.25"/>
    <row r="658" s="31" customFormat="1" x14ac:dyDescent="0.25"/>
    <row r="659" s="31" customFormat="1" x14ac:dyDescent="0.25"/>
    <row r="660" s="31" customFormat="1" x14ac:dyDescent="0.25"/>
    <row r="661" s="31" customFormat="1" x14ac:dyDescent="0.25"/>
    <row r="662" s="31" customFormat="1" x14ac:dyDescent="0.25"/>
    <row r="663" s="31" customFormat="1" x14ac:dyDescent="0.25"/>
    <row r="664" s="31" customFormat="1" x14ac:dyDescent="0.25"/>
    <row r="665" s="31" customFormat="1" x14ac:dyDescent="0.25"/>
    <row r="666" s="31" customFormat="1" x14ac:dyDescent="0.25"/>
    <row r="667" s="31" customFormat="1" x14ac:dyDescent="0.25"/>
    <row r="668" s="31" customFormat="1" x14ac:dyDescent="0.25"/>
    <row r="669" s="31" customFormat="1" x14ac:dyDescent="0.25"/>
    <row r="670" s="31" customFormat="1" x14ac:dyDescent="0.25"/>
    <row r="671" s="31" customFormat="1" x14ac:dyDescent="0.25"/>
    <row r="672" s="31" customFormat="1" x14ac:dyDescent="0.25"/>
    <row r="673" s="31" customFormat="1" x14ac:dyDescent="0.25"/>
    <row r="674" s="31" customFormat="1" x14ac:dyDescent="0.25"/>
    <row r="675" s="31" customFormat="1" x14ac:dyDescent="0.25"/>
    <row r="676" s="31" customFormat="1" x14ac:dyDescent="0.25"/>
    <row r="677" s="31" customFormat="1" x14ac:dyDescent="0.25"/>
    <row r="678" s="31" customFormat="1" x14ac:dyDescent="0.25"/>
    <row r="679" s="31" customFormat="1" x14ac:dyDescent="0.25"/>
    <row r="680" s="31" customFormat="1" x14ac:dyDescent="0.25"/>
    <row r="681" s="31" customFormat="1" x14ac:dyDescent="0.25"/>
    <row r="682" s="31" customFormat="1" x14ac:dyDescent="0.25"/>
    <row r="683" s="31" customFormat="1" x14ac:dyDescent="0.25"/>
    <row r="684" s="31" customFormat="1" x14ac:dyDescent="0.25"/>
    <row r="685" s="31" customFormat="1" x14ac:dyDescent="0.25"/>
    <row r="686" s="31" customFormat="1" x14ac:dyDescent="0.25"/>
    <row r="687" s="31" customFormat="1" x14ac:dyDescent="0.25"/>
    <row r="688" s="31" customFormat="1" x14ac:dyDescent="0.25"/>
    <row r="689" s="31" customFormat="1" x14ac:dyDescent="0.25"/>
    <row r="690" s="31" customFormat="1" x14ac:dyDescent="0.25"/>
    <row r="691" s="31" customFormat="1" x14ac:dyDescent="0.25"/>
    <row r="692" s="31" customFormat="1" x14ac:dyDescent="0.25"/>
    <row r="693" s="31" customFormat="1" x14ac:dyDescent="0.25"/>
    <row r="694" s="31" customFormat="1" x14ac:dyDescent="0.25"/>
    <row r="695" s="31" customFormat="1" x14ac:dyDescent="0.25"/>
    <row r="696" s="31" customFormat="1" x14ac:dyDescent="0.25"/>
    <row r="697" s="31" customFormat="1" x14ac:dyDescent="0.25"/>
    <row r="698" s="31" customFormat="1" x14ac:dyDescent="0.25"/>
    <row r="699" s="31" customFormat="1" x14ac:dyDescent="0.25"/>
    <row r="700" s="31" customFormat="1" x14ac:dyDescent="0.25"/>
    <row r="701" s="31" customFormat="1" x14ac:dyDescent="0.25"/>
    <row r="702" s="31" customFormat="1" x14ac:dyDescent="0.25"/>
    <row r="703" s="31" customFormat="1" x14ac:dyDescent="0.25"/>
    <row r="704" s="31" customFormat="1" x14ac:dyDescent="0.25"/>
    <row r="705" s="31" customFormat="1" x14ac:dyDescent="0.25"/>
    <row r="706" s="31" customFormat="1" x14ac:dyDescent="0.25"/>
    <row r="707" s="31" customFormat="1" x14ac:dyDescent="0.25"/>
    <row r="708" s="31" customFormat="1" x14ac:dyDescent="0.25"/>
    <row r="709" s="31" customFormat="1" x14ac:dyDescent="0.25"/>
    <row r="710" s="31" customFormat="1" x14ac:dyDescent="0.25"/>
    <row r="711" s="31" customFormat="1" x14ac:dyDescent="0.25"/>
    <row r="712" s="31" customFormat="1" x14ac:dyDescent="0.25"/>
    <row r="713" s="31" customFormat="1" x14ac:dyDescent="0.25"/>
    <row r="714" s="31" customFormat="1" x14ac:dyDescent="0.25"/>
    <row r="715" s="31" customFormat="1" x14ac:dyDescent="0.25"/>
    <row r="716" s="31" customFormat="1" x14ac:dyDescent="0.25"/>
    <row r="717" s="31" customFormat="1" x14ac:dyDescent="0.25"/>
    <row r="718" s="31" customFormat="1" x14ac:dyDescent="0.25"/>
    <row r="719" s="31" customFormat="1" x14ac:dyDescent="0.25"/>
    <row r="720" s="31" customFormat="1" x14ac:dyDescent="0.25"/>
    <row r="721" s="31" customFormat="1" x14ac:dyDescent="0.25"/>
    <row r="722" s="31" customFormat="1" x14ac:dyDescent="0.25"/>
    <row r="723" s="31" customFormat="1" x14ac:dyDescent="0.25"/>
  </sheetData>
  <sheetProtection password="EF87" sheet="1" selectLockedCells="1"/>
  <mergeCells count="23">
    <mergeCell ref="Q10:R10"/>
    <mergeCell ref="Q2:R2"/>
    <mergeCell ref="B7:C7"/>
    <mergeCell ref="Q7:R7"/>
    <mergeCell ref="E2:F2"/>
    <mergeCell ref="H2:I2"/>
    <mergeCell ref="K2:L2"/>
    <mergeCell ref="N2:O2"/>
    <mergeCell ref="E7:F7"/>
    <mergeCell ref="S1:V1"/>
    <mergeCell ref="S2:U2"/>
    <mergeCell ref="S3:U3"/>
    <mergeCell ref="S4:U4"/>
    <mergeCell ref="S5:U5"/>
    <mergeCell ref="S11:U11"/>
    <mergeCell ref="S12:U12"/>
    <mergeCell ref="S13:T13"/>
    <mergeCell ref="U13:V13"/>
    <mergeCell ref="S6:U6"/>
    <mergeCell ref="S7:U7"/>
    <mergeCell ref="S8:U8"/>
    <mergeCell ref="S9:U9"/>
    <mergeCell ref="S10:U10"/>
  </mergeCells>
  <conditionalFormatting pivot="1" sqref="D52:X52">
    <cfRule type="cellIs" dxfId="277" priority="108" stopIfTrue="1" operator="equal">
      <formula>#VALUE!</formula>
    </cfRule>
  </conditionalFormatting>
  <conditionalFormatting pivot="1" sqref="AB18:AB52">
    <cfRule type="cellIs" dxfId="276" priority="107" operator="between">
      <formula>0</formula>
      <formula>0.1</formula>
    </cfRule>
  </conditionalFormatting>
  <conditionalFormatting pivot="1" sqref="AB18:AB52">
    <cfRule type="cellIs" dxfId="275" priority="106" operator="greaterThan">
      <formula>0.1</formula>
    </cfRule>
  </conditionalFormatting>
  <conditionalFormatting sqref="B13">
    <cfRule type="cellIs" dxfId="274" priority="62" operator="equal">
      <formula>"CAT4"</formula>
    </cfRule>
    <cfRule type="cellIs" dxfId="273" priority="63" operator="equal">
      <formula>"CAT3"</formula>
    </cfRule>
    <cfRule type="cellIs" dxfId="272" priority="64" operator="equal">
      <formula>"CAT2"</formula>
    </cfRule>
    <cfRule type="cellIs" dxfId="271" priority="65" operator="equal">
      <formula>"CAT1"</formula>
    </cfRule>
  </conditionalFormatting>
  <conditionalFormatting sqref="R8 I3:I6 F3:F4 L3:L6 O3:O7 R3:R5">
    <cfRule type="cellIs" dxfId="270" priority="56" stopIfTrue="1" operator="equal">
      <formula>#VALUE!</formula>
    </cfRule>
  </conditionalFormatting>
  <conditionalFormatting sqref="R11:R12">
    <cfRule type="cellIs" dxfId="269" priority="48" stopIfTrue="1" operator="equal">
      <formula>#VALUE!</formula>
    </cfRule>
  </conditionalFormatting>
  <conditionalFormatting sqref="V3:V12">
    <cfRule type="cellIs" dxfId="268" priority="39" operator="greaterThan">
      <formula>0.8</formula>
    </cfRule>
    <cfRule type="cellIs" dxfId="267" priority="40" operator="between">
      <formula>0.5</formula>
      <formula>0.8</formula>
    </cfRule>
    <cfRule type="cellIs" dxfId="266" priority="41" operator="lessThan">
      <formula>0.5</formula>
    </cfRule>
  </conditionalFormatting>
  <conditionalFormatting pivot="1" sqref="D18:X51">
    <cfRule type="cellIs" dxfId="265" priority="34" stopIfTrue="1" operator="equal">
      <formula>0</formula>
    </cfRule>
    <cfRule type="cellIs" dxfId="264" priority="35" stopIfTrue="1" operator="greaterThan">
      <formula>1</formula>
    </cfRule>
    <cfRule type="cellIs" dxfId="263" priority="36" stopIfTrue="1" operator="between">
      <formula>0.895</formula>
      <formula>1</formula>
    </cfRule>
    <cfRule type="cellIs" dxfId="262" priority="37" stopIfTrue="1" operator="between">
      <formula>0.8</formula>
      <formula>0.894</formula>
    </cfRule>
    <cfRule type="cellIs" dxfId="261" priority="38" stopIfTrue="1" operator="lessThan">
      <formula>0.8</formula>
    </cfRule>
  </conditionalFormatting>
  <conditionalFormatting pivot="1" sqref="D18:X51">
    <cfRule type="cellIs" dxfId="260" priority="33" stopIfTrue="1" operator="equal">
      <formula>#VALUE!</formula>
    </cfRule>
  </conditionalFormatting>
  <conditionalFormatting sqref="AC18:AC52">
    <cfRule type="cellIs" dxfId="259" priority="25" stopIfTrue="1" operator="between">
      <formula>0</formula>
      <formula>0.1</formula>
    </cfRule>
    <cfRule type="cellIs" dxfId="258" priority="26" stopIfTrue="1" operator="greaterThan">
      <formula>0.1</formula>
    </cfRule>
  </conditionalFormatting>
  <conditionalFormatting sqref="AC18:AC52">
    <cfRule type="cellIs" dxfId="257" priority="21" stopIfTrue="1" operator="equal">
      <formula>"CAT4"</formula>
    </cfRule>
    <cfRule type="cellIs" dxfId="256" priority="22" stopIfTrue="1" operator="equal">
      <formula>"CAT3"</formula>
    </cfRule>
    <cfRule type="cellIs" dxfId="255" priority="23" stopIfTrue="1" operator="equal">
      <formula>"CAT2"</formula>
    </cfRule>
    <cfRule type="cellIs" dxfId="254" priority="24" stopIfTrue="1" operator="equal">
      <formula>"CAT1"</formula>
    </cfRule>
  </conditionalFormatting>
  <conditionalFormatting pivot="1" sqref="Y18:Y51">
    <cfRule type="cellIs" dxfId="253" priority="16" stopIfTrue="1" operator="equal">
      <formula>0</formula>
    </cfRule>
    <cfRule type="cellIs" dxfId="252" priority="17" stopIfTrue="1" operator="greaterThan">
      <formula>1</formula>
    </cfRule>
    <cfRule type="cellIs" dxfId="251" priority="18" stopIfTrue="1" operator="between">
      <formula>0.895</formula>
      <formula>1</formula>
    </cfRule>
    <cfRule type="cellIs" dxfId="250" priority="19" stopIfTrue="1" operator="between">
      <formula>0.8</formula>
      <formula>0.894</formula>
    </cfRule>
    <cfRule type="cellIs" dxfId="249" priority="20" stopIfTrue="1" operator="lessThan">
      <formula>0.8</formula>
    </cfRule>
  </conditionalFormatting>
  <conditionalFormatting pivot="1" sqref="Y18:Y51">
    <cfRule type="cellIs" dxfId="248" priority="15" stopIfTrue="1" operator="equal">
      <formula>#VALUE!</formula>
    </cfRule>
  </conditionalFormatting>
  <conditionalFormatting sqref="F11">
    <cfRule type="cellIs" dxfId="247" priority="14" operator="between">
      <formula>0</formula>
      <formula>0.1</formula>
    </cfRule>
  </conditionalFormatting>
  <conditionalFormatting sqref="F11">
    <cfRule type="cellIs" dxfId="246" priority="13" operator="greaterThan">
      <formula>0.1</formula>
    </cfRule>
  </conditionalFormatting>
  <conditionalFormatting sqref="F8">
    <cfRule type="cellIs" dxfId="245" priority="11" stopIfTrue="1" operator="between">
      <formula>0</formula>
      <formula>0.1</formula>
    </cfRule>
    <cfRule type="cellIs" dxfId="244" priority="12" stopIfTrue="1" operator="greaterThan">
      <formula>0.1</formula>
    </cfRule>
  </conditionalFormatting>
  <conditionalFormatting sqref="F8">
    <cfRule type="cellIs" dxfId="243" priority="7" stopIfTrue="1" operator="equal">
      <formula>"CAT4"</formula>
    </cfRule>
    <cfRule type="cellIs" dxfId="242" priority="8" stopIfTrue="1" operator="equal">
      <formula>"CAT3"</formula>
    </cfRule>
    <cfRule type="cellIs" dxfId="241" priority="9" stopIfTrue="1" operator="equal">
      <formula>"CAT2"</formula>
    </cfRule>
    <cfRule type="cellIs" dxfId="240" priority="10" stopIfTrue="1" operator="equal">
      <formula>"CAT1"</formula>
    </cfRule>
  </conditionalFormatting>
  <conditionalFormatting sqref="F12">
    <cfRule type="cellIs" dxfId="239" priority="2" stopIfTrue="1" operator="equal">
      <formula>0</formula>
    </cfRule>
    <cfRule type="cellIs" dxfId="238" priority="3" stopIfTrue="1" operator="greaterThan">
      <formula>1</formula>
    </cfRule>
    <cfRule type="cellIs" dxfId="237" priority="4" stopIfTrue="1" operator="between">
      <formula>0.895</formula>
      <formula>1</formula>
    </cfRule>
    <cfRule type="cellIs" dxfId="236" priority="5" stopIfTrue="1" operator="between">
      <formula>0.8</formula>
      <formula>0.894</formula>
    </cfRule>
    <cfRule type="cellIs" dxfId="235" priority="6" stopIfTrue="1" operator="lessThan">
      <formula>0.8</formula>
    </cfRule>
  </conditionalFormatting>
  <conditionalFormatting sqref="F12">
    <cfRule type="cellIs" dxfId="234" priority="1" stopIfTrue="1" operator="equal">
      <formula>#VALUE!</formula>
    </cfRule>
  </conditionalFormatting>
  <pageMargins left="0.7" right="0.7" top="0.75" bottom="0.75" header="0.3" footer="0.3"/>
  <pageSetup orientation="portrait" r:id="rId3"/>
  <drawing r:id="rId4"/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A681"/>
  <sheetViews>
    <sheetView showGridLines="0" zoomScale="75" zoomScaleNormal="75" workbookViewId="0">
      <pane xSplit="4" ySplit="15" topLeftCell="P16" activePane="bottomRight" state="frozen"/>
      <selection pane="topRight" activeCell="D1" sqref="D1"/>
      <selection pane="bottomLeft" activeCell="A3" sqref="A3"/>
      <selection pane="bottomRight" activeCell="AG16" sqref="AG16"/>
    </sheetView>
  </sheetViews>
  <sheetFormatPr baseColWidth="10" defaultColWidth="9.1796875" defaultRowHeight="12.5" x14ac:dyDescent="0.25"/>
  <cols>
    <col min="1" max="1" width="12.1796875" style="31" customWidth="1"/>
    <col min="2" max="2" width="13" style="31" customWidth="1"/>
    <col min="3" max="3" width="12.54296875" style="31" bestFit="1" customWidth="1"/>
    <col min="4" max="4" width="38.453125" style="31" customWidth="1"/>
    <col min="5" max="5" width="8.7265625" style="31" customWidth="1"/>
    <col min="6" max="6" width="8.81640625" style="31" customWidth="1"/>
    <col min="7" max="7" width="8" style="31" customWidth="1"/>
    <col min="8" max="8" width="10.54296875" style="31" customWidth="1"/>
    <col min="9" max="9" width="8.81640625" style="31" customWidth="1"/>
    <col min="10" max="10" width="7.1796875" style="31" customWidth="1"/>
    <col min="11" max="11" width="10" style="31" customWidth="1"/>
    <col min="12" max="12" width="8.1796875" style="31" customWidth="1"/>
    <col min="13" max="13" width="7.7265625" style="31" customWidth="1"/>
    <col min="14" max="14" width="10" style="31" customWidth="1"/>
    <col min="15" max="15" width="9.26953125" style="31" customWidth="1"/>
    <col min="16" max="16" width="7.54296875" style="31" customWidth="1"/>
    <col min="17" max="18" width="10" style="31" customWidth="1"/>
    <col min="19" max="19" width="6.26953125" style="31" customWidth="1"/>
    <col min="20" max="34" width="10" style="31" customWidth="1"/>
    <col min="35" max="36" width="9.1796875" style="31" hidden="1" customWidth="1"/>
    <col min="37" max="37" width="0" style="31" hidden="1" customWidth="1"/>
    <col min="38" max="16384" width="9.1796875" style="31"/>
  </cols>
  <sheetData>
    <row r="1" spans="1:37" ht="31.5" customHeight="1" x14ac:dyDescent="0.35">
      <c r="A1" s="30" t="str">
        <f>INDEX(Tableau1[ZS],MATCH(1,Tableau1[Visu],0))</f>
        <v xml:space="preserve"> Itebero</v>
      </c>
      <c r="B1" s="30"/>
      <c r="D1" s="32" t="str">
        <f>"ZS DE"&amp;UPPER(B8)&amp;" : "&amp;"CV SELON LE CALENDRIER VACCINAL DE "&amp;UPPER(B7)</f>
        <v>ZS DE ITEBERO : CV SELON LE CALENDRIER VACCINAL DE JANVIER-OCTOBRE 2024</v>
      </c>
      <c r="E1" s="55"/>
      <c r="F1" s="56"/>
      <c r="G1" s="57"/>
      <c r="H1" s="57"/>
      <c r="I1" s="58"/>
      <c r="J1" s="59"/>
      <c r="K1" s="59"/>
      <c r="L1" s="59"/>
      <c r="M1" s="59"/>
      <c r="N1" s="59"/>
      <c r="O1" s="59"/>
      <c r="P1" s="59"/>
      <c r="Q1" s="56"/>
      <c r="R1" s="60"/>
      <c r="T1" s="304" t="str">
        <f>"Synthèse Mashako"&amp;" ZS"&amp;" "&amp;B8</f>
        <v>Synthèse Mashako ZS  Itebero</v>
      </c>
      <c r="U1" s="304"/>
      <c r="V1" s="304"/>
      <c r="W1" s="304"/>
    </row>
    <row r="2" spans="1:37" ht="13" x14ac:dyDescent="0.25">
      <c r="D2" s="32" t="e">
        <f ca="1">_xlfn.IFS(F8="CAT1",Dico!B2,F8="CAT2",Dico!B3,F8="CAT3",Dico!B4,F8="CAT4",Dico!B5)</f>
        <v>#NAME?</v>
      </c>
      <c r="E2" s="309" t="s">
        <v>765</v>
      </c>
      <c r="F2" s="310"/>
      <c r="H2" s="306" t="s">
        <v>766</v>
      </c>
      <c r="I2" s="310"/>
      <c r="K2" s="306" t="s">
        <v>767</v>
      </c>
      <c r="L2" s="310"/>
      <c r="N2" s="306" t="s">
        <v>768</v>
      </c>
      <c r="O2" s="310"/>
      <c r="Q2" s="306" t="s">
        <v>787</v>
      </c>
      <c r="R2" s="307"/>
      <c r="T2" s="305" t="s">
        <v>849</v>
      </c>
      <c r="U2" s="305"/>
      <c r="V2" s="305"/>
      <c r="W2" s="99" t="s">
        <v>850</v>
      </c>
    </row>
    <row r="3" spans="1:37" ht="16.5" customHeight="1" x14ac:dyDescent="0.25">
      <c r="A3" s="318" t="s">
        <v>697</v>
      </c>
      <c r="B3" s="318"/>
      <c r="C3" s="318"/>
      <c r="D3" s="33"/>
      <c r="E3" s="61" t="s">
        <v>7</v>
      </c>
      <c r="F3" s="196">
        <f>VLOOKUP($B$8,Analyses_CV_ZS!$C$15:$AB$52,2,FALSE)</f>
        <v>0.92114049565951428</v>
      </c>
      <c r="G3" s="114"/>
      <c r="H3" s="62" t="s">
        <v>746</v>
      </c>
      <c r="I3" s="196">
        <f>VLOOKUP($B$8,Analyses_CV_ZS!$C$15:$AB$52,4,FALSE)</f>
        <v>1.0000079061996916</v>
      </c>
      <c r="J3" s="114"/>
      <c r="K3" s="62" t="s">
        <v>747</v>
      </c>
      <c r="L3" s="196">
        <f>VLOOKUP($B$8,Analyses_CV_ZS!$C$15:$AB$52,5,FALSE)</f>
        <v>0.94325655498864769</v>
      </c>
      <c r="M3" s="114"/>
      <c r="N3" s="62" t="s">
        <v>748</v>
      </c>
      <c r="O3" s="196">
        <f>VLOOKUP($B$8,Analyses_CV_ZS!$C$15:$AB$52,6,FALSE)</f>
        <v>0.96491737606156514</v>
      </c>
      <c r="P3" s="114"/>
      <c r="Q3" s="62" t="s">
        <v>760</v>
      </c>
      <c r="R3" s="196">
        <f>VLOOKUP($B$8,Analyses_CV_ZS!$C$15:$AB$52,16,FALSE)</f>
        <v>0.97300408259545434</v>
      </c>
      <c r="T3" s="315" t="s">
        <v>838</v>
      </c>
      <c r="U3" s="315"/>
      <c r="V3" s="315"/>
      <c r="W3" s="130">
        <f>VLOOKUP($B$8,Data_Entry!$AO$4:$AZ$38,3,FALSE)</f>
        <v>3.3333333333333333E-2</v>
      </c>
    </row>
    <row r="4" spans="1:37" ht="16.5" customHeight="1" x14ac:dyDescent="0.25">
      <c r="A4" s="318"/>
      <c r="B4" s="318"/>
      <c r="C4" s="318"/>
      <c r="D4" s="33"/>
      <c r="E4" s="64" t="s">
        <v>745</v>
      </c>
      <c r="F4" s="196">
        <f>VLOOKUP($B$8,Analyses_CV_ZS!$C$15:$AB$52,3,FALSE)</f>
        <v>0.51624956890453388</v>
      </c>
      <c r="G4" s="114"/>
      <c r="H4" s="62" t="s">
        <v>758</v>
      </c>
      <c r="I4" s="196">
        <f>VLOOKUP($B$8,Analyses_CV_ZS!$C$15:$AB$52,7,FALSE)</f>
        <v>1.0524270931961519</v>
      </c>
      <c r="J4" s="114"/>
      <c r="K4" s="62" t="s">
        <v>759</v>
      </c>
      <c r="L4" s="196">
        <f>VLOOKUP($B$8,Analyses_CV_ZS!$C$15:$AB$52,8,FALSE)</f>
        <v>1.0157481028460116</v>
      </c>
      <c r="M4" s="114"/>
      <c r="N4" s="62" t="s">
        <v>753</v>
      </c>
      <c r="O4" s="196">
        <f>VLOOKUP($B$8,Analyses_CV_ZS!$C$15:$AB$52,9,FALSE)</f>
        <v>1.0509830384579575</v>
      </c>
      <c r="P4" s="114"/>
      <c r="Q4" s="62" t="s">
        <v>13</v>
      </c>
      <c r="R4" s="196">
        <f>VLOOKUP($B$8,Analyses_CV_ZS!$C$15:$AB$52,18,FALSE)</f>
        <v>0.96766108006413476</v>
      </c>
      <c r="T4" s="315" t="s">
        <v>839</v>
      </c>
      <c r="U4" s="315"/>
      <c r="V4" s="315"/>
      <c r="W4" s="130">
        <f>VLOOKUP($B$8,Data_Entry!$AO$4:$AZ$38,4,FALSE)</f>
        <v>1</v>
      </c>
    </row>
    <row r="5" spans="1:37" ht="16.5" customHeight="1" x14ac:dyDescent="0.25">
      <c r="A5" s="316" t="s">
        <v>698</v>
      </c>
      <c r="B5" s="316"/>
      <c r="C5" s="316"/>
      <c r="D5" s="33"/>
      <c r="E5" s="197"/>
      <c r="F5" s="198"/>
      <c r="G5" s="198"/>
      <c r="H5" s="62" t="s">
        <v>752</v>
      </c>
      <c r="I5" s="196">
        <f>VLOOKUP($B$8,Analyses_CV_ZS!$C$15:$AB$52,10,FALSE)</f>
        <v>1.0408746552905959</v>
      </c>
      <c r="J5" s="114"/>
      <c r="K5" s="62" t="s">
        <v>754</v>
      </c>
      <c r="L5" s="196">
        <f>VLOOKUP($B$8,Analyses_CV_ZS!$C$15:$AB$52,11,FALSE)</f>
        <v>1.0186362123224006</v>
      </c>
      <c r="M5" s="114"/>
      <c r="N5" s="62" t="s">
        <v>8</v>
      </c>
      <c r="O5" s="196">
        <f>VLOOKUP($B$8,Analyses_CV_ZS!$C$15:$AB$52,19,FALSE)</f>
        <v>0.89155939536128459</v>
      </c>
      <c r="P5" s="114"/>
      <c r="Q5" s="62" t="s">
        <v>14</v>
      </c>
      <c r="R5" s="196">
        <f>VLOOKUP($B$8,Analyses_CV_ZS!$C$15:$AB$52,20,FALSE)</f>
        <v>0.70267703560544392</v>
      </c>
      <c r="T5" s="315" t="s">
        <v>840</v>
      </c>
      <c r="U5" s="315"/>
      <c r="V5" s="315"/>
      <c r="W5" s="130">
        <f>VLOOKUP($B$8,Data_Entry!$AO$4:$AZ$38,5,FALSE)</f>
        <v>1</v>
      </c>
    </row>
    <row r="6" spans="1:37" ht="16.5" customHeight="1" thickBot="1" x14ac:dyDescent="0.3">
      <c r="A6" s="317"/>
      <c r="B6" s="317"/>
      <c r="C6" s="317"/>
      <c r="D6" s="33"/>
      <c r="E6" s="199"/>
      <c r="F6" s="200" t="s">
        <v>816</v>
      </c>
      <c r="G6" s="198"/>
      <c r="H6" s="62" t="s">
        <v>757</v>
      </c>
      <c r="I6" s="196">
        <f>VLOOKUP($B$8,Analyses_CV_ZS!$C$15:$AB$52,13,FALSE)</f>
        <v>1.0205134834820535</v>
      </c>
      <c r="J6" s="114"/>
      <c r="K6" s="62" t="s">
        <v>756</v>
      </c>
      <c r="L6" s="196">
        <f>VLOOKUP($B$8,Analyses_CV_ZS!$C$15:$AB$52,14,FALSE)</f>
        <v>0.9493215848890646</v>
      </c>
      <c r="M6" s="114"/>
      <c r="N6" s="62" t="s">
        <v>722</v>
      </c>
      <c r="O6" s="196">
        <f>VLOOKUP($B$8,Analyses_CV_ZS!$C$15:$AB$52,12,FALSE)</f>
        <v>1.030333055701776</v>
      </c>
      <c r="P6" s="114"/>
      <c r="Q6" s="114"/>
      <c r="R6" s="201"/>
      <c r="T6" s="315" t="s">
        <v>841</v>
      </c>
      <c r="U6" s="315"/>
      <c r="V6" s="315"/>
      <c r="W6" s="130">
        <f>VLOOKUP($B$8,Data_Entry!$AO$4:$AZ$38,6,FALSE)</f>
        <v>0</v>
      </c>
    </row>
    <row r="7" spans="1:37" ht="16.5" customHeight="1" x14ac:dyDescent="0.3">
      <c r="A7" s="37" t="s">
        <v>819</v>
      </c>
      <c r="B7" s="319" t="str">
        <f>"Janvier-"&amp;(_xlfn.IFS(Data_Entry!C1=1,"Janvier",Data_Entry!C1=2,"Février",Data_Entry!C1=3,"Mars",Data_Entry!C1=4,"Avril",Data_Entry!C1=5,"Mai",Data_Entry!C1=6,"Juin",Data_Entry!C1=7,"Juillet",Data_Entry!C1=8,"Août",Data_Entry!C1=9,"Septembre",Data_Entry!C1=10,"Octobre",Data_Entry!C1=11,"Novembre",Data_Entry!C1=12,"Décembre"))&amp;" "&amp;"2024"</f>
        <v>Janvier-Octobre 2024</v>
      </c>
      <c r="C7" s="319"/>
      <c r="D7" s="33"/>
      <c r="E7" s="311" t="str">
        <f>IF($A$1="","",$A$1)</f>
        <v xml:space="preserve"> Itebero</v>
      </c>
      <c r="F7" s="312"/>
      <c r="G7" s="198"/>
      <c r="H7" s="198"/>
      <c r="I7" s="198"/>
      <c r="J7" s="114"/>
      <c r="K7" s="114"/>
      <c r="L7" s="114"/>
      <c r="M7" s="114"/>
      <c r="N7" s="62" t="s">
        <v>755</v>
      </c>
      <c r="O7" s="196">
        <f>VLOOKUP($B$8,Analyses_CV_ZS!$C$15:$AB$52,15,FALSE)</f>
        <v>1.0036180430451778</v>
      </c>
      <c r="P7" s="114"/>
      <c r="Q7" s="306" t="s">
        <v>769</v>
      </c>
      <c r="R7" s="307"/>
      <c r="T7" s="315" t="s">
        <v>842</v>
      </c>
      <c r="U7" s="315"/>
      <c r="V7" s="315"/>
      <c r="W7" s="130">
        <f>VLOOKUP($B$8,Data_Entry!$AO$4:$AZ$38,7,FALSE)</f>
        <v>0</v>
      </c>
    </row>
    <row r="8" spans="1:37" ht="15" customHeight="1" x14ac:dyDescent="0.35">
      <c r="A8" s="37" t="s">
        <v>4</v>
      </c>
      <c r="B8" s="38" t="str">
        <f>A1</f>
        <v xml:space="preserve"> Itebero</v>
      </c>
      <c r="C8" s="38"/>
      <c r="D8" s="33"/>
      <c r="E8" s="67" t="s">
        <v>762</v>
      </c>
      <c r="F8" s="131" t="str">
        <f>VLOOKUP($B$8,Analyses_CV_ZS!$C$15:$AC$52,27,FALSE)</f>
        <v>CAT1</v>
      </c>
      <c r="G8" s="202"/>
      <c r="H8" s="198"/>
      <c r="I8" s="198"/>
      <c r="J8" s="114"/>
      <c r="K8" s="114"/>
      <c r="L8" s="114"/>
      <c r="M8" s="114"/>
      <c r="N8" s="114"/>
      <c r="O8" s="114"/>
      <c r="P8" s="114"/>
      <c r="Q8" s="62" t="s">
        <v>761</v>
      </c>
      <c r="R8" s="196">
        <f>VLOOKUP($B$8,Analyses_CV_ZS!$C$15:$AB$52,17,FALSE)</f>
        <v>0.70007773707669374</v>
      </c>
      <c r="T8" s="315" t="s">
        <v>848</v>
      </c>
      <c r="U8" s="315"/>
      <c r="V8" s="315"/>
      <c r="W8" s="130">
        <f>VLOOKUP($B$8,Data_Entry!$AO$4:$AZ$38,8,FALSE)</f>
        <v>0</v>
      </c>
    </row>
    <row r="9" spans="1:37" ht="16.5" customHeight="1" x14ac:dyDescent="0.35">
      <c r="A9" s="37" t="s">
        <v>818</v>
      </c>
      <c r="B9" s="40">
        <f>SUMIF(Data_Entry!C5:C671,Analyses_CV_AS!B8,Data_Entry!E5:E671)</f>
        <v>238107</v>
      </c>
      <c r="C9" s="41"/>
      <c r="E9" s="67" t="s">
        <v>764</v>
      </c>
      <c r="F9" s="39">
        <f ca="1">SUMIF(Data_Entry!C5:C671,B8,AE16:AE671)</f>
        <v>278.59108333333336</v>
      </c>
      <c r="G9" s="65"/>
      <c r="H9" s="65"/>
      <c r="I9" s="65"/>
      <c r="N9" s="320" t="s">
        <v>836</v>
      </c>
      <c r="O9" s="321"/>
      <c r="R9" s="66"/>
      <c r="T9" s="315" t="s">
        <v>844</v>
      </c>
      <c r="U9" s="315"/>
      <c r="V9" s="315"/>
      <c r="W9" s="130">
        <f>VLOOKUP($B$8,Data_Entry!$AO$4:$AZ$38,9,FALSE)</f>
        <v>1</v>
      </c>
    </row>
    <row r="10" spans="1:37" ht="15.75" customHeight="1" x14ac:dyDescent="0.35">
      <c r="A10" s="37" t="s">
        <v>817</v>
      </c>
      <c r="B10" s="40">
        <f>IF(SUMIF(C16:C671,B8,AI16:AI671)&gt;1,SUMIF(C16:C671,B8,AI16:AI671),"")</f>
        <v>28</v>
      </c>
      <c r="C10" s="42"/>
      <c r="E10" s="67" t="s">
        <v>714</v>
      </c>
      <c r="F10" s="39">
        <f ca="1">SUMIF(Data_Entry!C5:C671,B8,AF16:AF671)</f>
        <v>641</v>
      </c>
      <c r="G10" s="65"/>
      <c r="H10" s="65"/>
      <c r="I10" s="65"/>
      <c r="N10" s="322">
        <f>VLOOKUP($B$8,ANAPEV!$B$3:$S$43,17,FALSE)</f>
        <v>4</v>
      </c>
      <c r="O10" s="323"/>
      <c r="Q10" s="306" t="s">
        <v>781</v>
      </c>
      <c r="R10" s="307"/>
      <c r="T10" s="315" t="s">
        <v>845</v>
      </c>
      <c r="U10" s="315"/>
      <c r="V10" s="315"/>
      <c r="W10" s="130">
        <f>VLOOKUP($B$8,Data_Entry!$AO$4:$AZ$38,10,FALSE)</f>
        <v>0</v>
      </c>
    </row>
    <row r="11" spans="1:37" ht="15.75" customHeight="1" x14ac:dyDescent="0.35">
      <c r="A11" s="37" t="s">
        <v>810</v>
      </c>
      <c r="B11" s="40">
        <f>VLOOKUP($B$8,VAL!A1:E38,2,FALSE)</f>
        <v>6924.9452500000007</v>
      </c>
      <c r="C11" s="42"/>
      <c r="E11" s="67" t="s">
        <v>771</v>
      </c>
      <c r="F11" s="132">
        <f>VLOOKUP($B$8,Analyses_CV_ZS!$C$15:$AC$52,26,FALSE)</f>
        <v>1.3721185510428102E-3</v>
      </c>
      <c r="G11" s="65"/>
      <c r="H11" s="65"/>
      <c r="I11" s="65"/>
      <c r="N11" s="324"/>
      <c r="O11" s="325"/>
      <c r="Q11" s="34" t="s">
        <v>782</v>
      </c>
      <c r="R11" s="100">
        <f>VLOOKUP($B$8,Analyses_CV_ZS!$C$15:$AB$52,21,FALSE)</f>
        <v>0.77851554133225809</v>
      </c>
      <c r="T11" s="315" t="s">
        <v>846</v>
      </c>
      <c r="U11" s="315"/>
      <c r="V11" s="315"/>
      <c r="W11" s="130">
        <f>VLOOKUP($B$8,Data_Entry!$AO$4:$AZ$38,11,FALSE)</f>
        <v>0</v>
      </c>
    </row>
    <row r="12" spans="1:37" ht="15" customHeight="1" thickBot="1" x14ac:dyDescent="0.4">
      <c r="A12" s="43" t="s">
        <v>811</v>
      </c>
      <c r="B12" s="40">
        <f>VLOOKUP($B$8,VAL!A1:F38,6,FALSE)</f>
        <v>7936.9000000000015</v>
      </c>
      <c r="C12" s="44"/>
      <c r="E12" s="68" t="s">
        <v>958</v>
      </c>
      <c r="F12" s="239">
        <f>VLOOKUP($B$8,Analyses_CV_ZS!$C$15:$AC$52,23,FALSE)</f>
        <v>0.96766108006413476</v>
      </c>
      <c r="G12" s="69"/>
      <c r="H12" s="69"/>
      <c r="I12" s="69"/>
      <c r="J12" s="70"/>
      <c r="K12" s="70"/>
      <c r="L12" s="70"/>
      <c r="M12" s="70"/>
      <c r="N12" s="70"/>
      <c r="O12" s="70"/>
      <c r="P12" s="70"/>
      <c r="Q12" s="71" t="s">
        <v>723</v>
      </c>
      <c r="R12" s="100">
        <f>VLOOKUP($B$8,Analyses_CV_ZS!$C$15:$AB$52,22,FALSE)</f>
        <v>1.2354949665486523</v>
      </c>
      <c r="T12" s="299" t="s">
        <v>916</v>
      </c>
      <c r="U12" s="299"/>
      <c r="V12" s="299"/>
      <c r="W12" s="133">
        <f>VLOOKUP($B$8,Data_Entry!$AO$4:$AZ$38,12,FALSE)</f>
        <v>0.47647058823529409</v>
      </c>
    </row>
    <row r="13" spans="1:37" ht="15" customHeight="1" x14ac:dyDescent="0.3">
      <c r="A13" s="45" t="s">
        <v>812</v>
      </c>
      <c r="B13" s="40"/>
      <c r="C13" s="44"/>
      <c r="T13" s="313" t="str">
        <f>"Mise à jour du"</f>
        <v>Mise à jour du</v>
      </c>
      <c r="U13" s="314"/>
      <c r="V13" s="301">
        <f>Data_Entry!AZ3</f>
        <v>45596</v>
      </c>
      <c r="W13" s="302"/>
    </row>
    <row r="14" spans="1:37" ht="17.25" customHeight="1" x14ac:dyDescent="0.25">
      <c r="B14" s="93"/>
      <c r="G14" s="52" t="s">
        <v>790</v>
      </c>
    </row>
    <row r="15" spans="1:37" ht="26" x14ac:dyDescent="0.25">
      <c r="A15" s="46" t="s">
        <v>5</v>
      </c>
      <c r="B15" s="46" t="s">
        <v>738</v>
      </c>
      <c r="C15" s="46" t="s">
        <v>4</v>
      </c>
      <c r="D15" s="46" t="s">
        <v>3</v>
      </c>
      <c r="E15" s="46" t="s">
        <v>7</v>
      </c>
      <c r="F15" s="46" t="s">
        <v>745</v>
      </c>
      <c r="G15" s="46" t="s">
        <v>746</v>
      </c>
      <c r="H15" s="46" t="s">
        <v>747</v>
      </c>
      <c r="I15" s="46" t="s">
        <v>748</v>
      </c>
      <c r="J15" s="46" t="s">
        <v>749</v>
      </c>
      <c r="K15" s="46" t="s">
        <v>750</v>
      </c>
      <c r="L15" s="46" t="s">
        <v>751</v>
      </c>
      <c r="M15" s="46" t="s">
        <v>752</v>
      </c>
      <c r="N15" s="46" t="s">
        <v>754</v>
      </c>
      <c r="O15" s="46" t="s">
        <v>722</v>
      </c>
      <c r="P15" s="46" t="s">
        <v>0</v>
      </c>
      <c r="Q15" s="46" t="s">
        <v>743</v>
      </c>
      <c r="R15" s="46" t="s">
        <v>1</v>
      </c>
      <c r="S15" s="46" t="s">
        <v>11</v>
      </c>
      <c r="T15" s="46" t="s">
        <v>783</v>
      </c>
      <c r="U15" s="46" t="s">
        <v>13</v>
      </c>
      <c r="V15" s="46" t="s">
        <v>744</v>
      </c>
      <c r="W15" s="46" t="s">
        <v>14</v>
      </c>
      <c r="X15" s="47" t="s">
        <v>15</v>
      </c>
      <c r="Y15" s="47" t="s">
        <v>715</v>
      </c>
      <c r="Z15" s="47" t="s">
        <v>716</v>
      </c>
      <c r="AA15" s="47" t="s">
        <v>717</v>
      </c>
      <c r="AB15" s="47" t="s">
        <v>718</v>
      </c>
      <c r="AC15" s="47" t="s">
        <v>723</v>
      </c>
      <c r="AD15" s="47" t="s">
        <v>956</v>
      </c>
      <c r="AE15" s="47" t="s">
        <v>763</v>
      </c>
      <c r="AF15" s="47" t="s">
        <v>676</v>
      </c>
      <c r="AG15" s="78" t="s">
        <v>815</v>
      </c>
      <c r="AH15" s="47" t="s">
        <v>770</v>
      </c>
      <c r="AI15" s="47" t="s">
        <v>699</v>
      </c>
      <c r="AJ15" s="47" t="s">
        <v>789</v>
      </c>
      <c r="AK15" s="47" t="s">
        <v>788</v>
      </c>
    </row>
    <row r="16" spans="1:37" s="48" customFormat="1" ht="13" hidden="1" x14ac:dyDescent="0.3">
      <c r="A16" s="48" t="s">
        <v>16</v>
      </c>
      <c r="B16" s="48" t="str">
        <f>Data_Entry!B5</f>
        <v>Butembo</v>
      </c>
      <c r="C16" s="48" t="str">
        <f>Data_Entry!C5</f>
        <v xml:space="preserve"> Alimbongo</v>
      </c>
      <c r="D16" s="48" t="str">
        <f>Data_Entry!D5</f>
        <v xml:space="preserve"> Alimbongo</v>
      </c>
      <c r="E16" s="49">
        <f>IFERROR(IF(Data_Entry!J5/Data_Entry!$I5&lt;0,0,Data_Entry!J5/Data_Entry!$I5),0)</f>
        <v>0.85886256655606152</v>
      </c>
      <c r="F16" s="49">
        <f>IFERROR(IF(Data_Entry!K5/Data_Entry!$H5&lt;0,0,Data_Entry!K5/Data_Entry!$H5),0)</f>
        <v>0.55453711075994361</v>
      </c>
      <c r="G16" s="49">
        <f>IFERROR(IF(Data_Entry!L5/Data_Entry!$H5&lt;0,0,Data_Entry!L5/Data_Entry!$H5),0)</f>
        <v>1.1382603852440949</v>
      </c>
      <c r="H16" s="49">
        <f>IFERROR(IF(Data_Entry!M5/Data_Entry!$H5&lt;0,0,Data_Entry!M5/Data_Entry!$H5),0)</f>
        <v>1.0347821684037226</v>
      </c>
      <c r="I16" s="49">
        <f>IFERROR(IF(Data_Entry!N5/Data_Entry!$H5&lt;0,0,Data_Entry!N5/Data_Entry!$H5),0)</f>
        <v>1.0586617569053469</v>
      </c>
      <c r="J16" s="49">
        <f>IFERROR(IF(Data_Entry!O5/Data_Entry!$H5&lt;0,0,Data_Entry!O5/Data_Entry!$H5),0)</f>
        <v>1.0772347701843881</v>
      </c>
      <c r="K16" s="49">
        <f>IFERROR(IF(Data_Entry!P5/Data_Entry!$H5&lt;0,0,Data_Entry!P5/Data_Entry!$H5),0)</f>
        <v>0.9737565533440159</v>
      </c>
      <c r="L16" s="49">
        <f>IFERROR(IF(Data_Entry!Q5/Data_Entry!$H5&lt;0,0,Data_Entry!Q5/Data_Entry!$H5),0)</f>
        <v>0.9737565533440159</v>
      </c>
      <c r="M16" s="49">
        <f>IFERROR(IF(Data_Entry!R5/Data_Entry!$H5&lt;0,0,Data_Entry!R5/Data_Entry!$H5),0)</f>
        <v>0.93926381439722517</v>
      </c>
      <c r="N16" s="49">
        <f>IFERROR(IF(Data_Entry!S5/Data_Entry!$H5&lt;0,0,Data_Entry!S5/Data_Entry!$H5),0)</f>
        <v>0.80659943383264532</v>
      </c>
      <c r="O16" s="49">
        <f>IFERROR(IF(Data_Entry!T5/Data_Entry!$H5&lt;0,0,Data_Entry!T5/Data_Entry!$H5),0)</f>
        <v>0.78537313294231259</v>
      </c>
      <c r="P16" s="49">
        <f>IFERROR(IF(Data_Entry!U5/Data_Entry!$H5&lt;0,0,Data_Entry!U5/Data_Entry!$H5),0)</f>
        <v>1.0241690179585563</v>
      </c>
      <c r="Q16" s="49">
        <f>IFERROR(IF(Data_Entry!V5/Data_Entry!$H5&lt;0,0,Data_Entry!V5/Data_Entry!$H5),0)</f>
        <v>0.95518354006497475</v>
      </c>
      <c r="R16" s="49">
        <f>IFERROR(IF(Data_Entry!W5/Data_Entry!$H5&lt;0,0,Data_Entry!W5/Data_Entry!$H5),0)</f>
        <v>0.94987696484239159</v>
      </c>
      <c r="S16" s="49">
        <f>IFERROR(IF(Data_Entry!X5/Data_Entry!$H5&lt;0,0,Data_Entry!X5/Data_Entry!$H5),0)</f>
        <v>1.0294755931811395</v>
      </c>
      <c r="T16" s="49">
        <f>IFERROR(IF(Data_Entry!Y5/Data_Entry!$H5&lt;0,0,Data_Entry!Y5/Data_Entry!$H5),0)</f>
        <v>0.38737999124857309</v>
      </c>
      <c r="U16" s="49">
        <f>IFERROR(IF(Data_Entry!Z5/Data_Entry!$H5&lt;0,0,Data_Entry!Z5/Data_Entry!$H5),0)</f>
        <v>1.0055960046795152</v>
      </c>
      <c r="V16" s="49">
        <f>IFERROR(IF(Data_Entry!AA5/Data_Entry!$H5&lt;0,0,Data_Entry!AA5/Data_Entry!$H5),0)</f>
        <v>1.0533551816827638</v>
      </c>
      <c r="W16" s="49">
        <f>IFERROR(IF(Data_Entry!AB5/Data_Entry!$H5&lt;0,0,Data_Entry!AB5/Data_Entry!$H5),0)</f>
        <v>1.0347821684037226</v>
      </c>
      <c r="X16" s="49">
        <f>IFERROR(IF(Data_Entry!AC5/Data_Entry!$I5&lt;0,0,Data_Entry!AC5/Data_Entry!$I5),0)</f>
        <v>0.37271394397715873</v>
      </c>
      <c r="Y16" s="49">
        <f>IFERROR(IF(Data_Entry!AD5/Data_Entry!$I5&lt;0,0,Data_Entry!AD5/Data_Entry!$I5),0)</f>
        <v>0.25001929161200709</v>
      </c>
      <c r="Z16" s="49">
        <f>IFERROR(IF(Data_Entry!AE5/Data_Entry!$I5&lt;0,0,Data_Entry!AE5/Data_Entry!$I5),0)</f>
        <v>0.23612933096689562</v>
      </c>
      <c r="AA16" s="49">
        <f>IFERROR(IF(Data_Entry!AF5/Data_Entry!$I5&lt;0,0,Data_Entry!AF5/Data_Entry!$I5),0)</f>
        <v>0.35187900300949149</v>
      </c>
      <c r="AB16" s="49">
        <f>IFERROR(IF(Data_Entry!AG5/Data_Entry!$I5&lt;0,0,Data_Entry!AG5/Data_Entry!$I5),0)</f>
        <v>0.16436453430048617</v>
      </c>
      <c r="AC16" s="49">
        <f>IFERROR(IF(Data_Entry!AI5/Data_Entry!$I5&lt;0,0,Data_Entry!AI5/Data_Entry!$I5),0)</f>
        <v>0.13496411760166679</v>
      </c>
      <c r="AD16" s="49">
        <f>IFERROR(IF(Data_Entry!AM5/Data_Entry!$H5&lt;0,0,Data_Entry!AM5/Data_Entry!$H5),0)</f>
        <v>1.0055960046795152</v>
      </c>
      <c r="AE16" s="50">
        <f>Data_Entry!AK5</f>
        <v>0</v>
      </c>
      <c r="AF16" s="50">
        <f>Data_Entry!AL5</f>
        <v>18</v>
      </c>
      <c r="AG16" s="153">
        <f>(Data_Entry!O5-Data_Entry!Q5)/Data_Entry!O5</f>
        <v>9.6059113300492605E-2</v>
      </c>
      <c r="AH16" s="79" t="str">
        <f t="shared" ref="AH16:AH79" si="0">IFERROR(IF(AND(AG16&lt;=10%,J16&gt;=90%),"CAT1",IF(AND(AG16&lt;=10%,J16&lt;90%),"CAT3",IF(AND(AG16&gt;10%,J16&gt;=90%),"CAT2",IF(AND(AG16&gt;10%,J16&lt;90%),"CAT4",)))),"ND")</f>
        <v>CAT1</v>
      </c>
      <c r="AI16" s="51">
        <f>SUBTOTAL(3,Tableau1[[#This Row],[ZS]])</f>
        <v>0</v>
      </c>
      <c r="AJ16" s="51" t="e">
        <f t="shared" ref="AJ16:AJ79" ca="1" si="1">_xlfn.IFS(L16&lt;50%,"&lt;50%",(AND(L16&lt;80%,L16&gt;50%)),"&gt;50%&lt;80%",(AND(L16&gt;=80%,L16&lt;95%)),"&gt;=80%&lt;95%",(AND(L16&gt;=95%,L16&lt;100%)),"95-100%",L16&gt;100%,"&gt;100%")</f>
        <v>#NAME?</v>
      </c>
      <c r="AK16" s="50" t="str">
        <f>IFERROR(IF((Data_Entry!O5-Data_Entry!Q5)/Data_Entry!O5&lt;=10%,"&lt;=10%","&gt;10%"),"&lt;=10%")</f>
        <v>&lt;=10%</v>
      </c>
    </row>
    <row r="17" spans="1:37" s="48" customFormat="1" ht="13" hidden="1" x14ac:dyDescent="0.3">
      <c r="A17" s="31" t="s">
        <v>16</v>
      </c>
      <c r="B17" s="48" t="str">
        <f>Data_Entry!B6</f>
        <v>Butembo</v>
      </c>
      <c r="C17" s="48" t="str">
        <f>Data_Entry!C6</f>
        <v xml:space="preserve"> Alimbongo</v>
      </c>
      <c r="D17" s="48" t="str">
        <f>Data_Entry!D6</f>
        <v xml:space="preserve"> Bingi</v>
      </c>
      <c r="E17" s="49">
        <f>IFERROR(IF(Data_Entry!J6/Data_Entry!$I6&lt;0,0,Data_Entry!J6/Data_Entry!$I6),0)</f>
        <v>1.0412977261457816</v>
      </c>
      <c r="F17" s="49">
        <f>IFERROR(IF(Data_Entry!K6/Data_Entry!$H6&lt;0,0,Data_Entry!K6/Data_Entry!$H6),0)</f>
        <v>3.4050271239150991</v>
      </c>
      <c r="G17" s="49">
        <f>IFERROR(IF(Data_Entry!L6/Data_Entry!$H6&lt;0,0,Data_Entry!L6/Data_Entry!$H6),0)</f>
        <v>1.5027909409553764</v>
      </c>
      <c r="H17" s="49">
        <f>IFERROR(IF(Data_Entry!M6/Data_Entry!$H6&lt;0,0,Data_Entry!M6/Data_Entry!$H6),0)</f>
        <v>1.10334569895103</v>
      </c>
      <c r="I17" s="49">
        <f>IFERROR(IF(Data_Entry!N6/Data_Entry!$H6&lt;0,0,Data_Entry!N6/Data_Entry!$H6),0)</f>
        <v>1.4492068231255251</v>
      </c>
      <c r="J17" s="49">
        <f>IFERROR(IF(Data_Entry!O6/Data_Entry!$H6&lt;0,0,Data_Entry!O6/Data_Entry!$H6),0)</f>
        <v>1.5027909409553764</v>
      </c>
      <c r="K17" s="49">
        <f>IFERROR(IF(Data_Entry!P6/Data_Entry!$H6&lt;0,0,Data_Entry!P6/Data_Entry!$H6),0)</f>
        <v>1.1009100572314914</v>
      </c>
      <c r="L17" s="49">
        <f>IFERROR(IF(Data_Entry!Q6/Data_Entry!$H6&lt;0,0,Data_Entry!Q6/Data_Entry!$H6),0)</f>
        <v>1.4492068231255251</v>
      </c>
      <c r="M17" s="49">
        <f>IFERROR(IF(Data_Entry!R6/Data_Entry!$H6&lt;0,0,Data_Entry!R6/Data_Entry!$H6),0)</f>
        <v>1.3615237212221321</v>
      </c>
      <c r="N17" s="49">
        <f>IFERROR(IF(Data_Entry!S6/Data_Entry!$H6&lt;0,0,Data_Entry!S6/Data_Entry!$H6),0)</f>
        <v>1.0229695222062529</v>
      </c>
      <c r="O17" s="49">
        <f>IFERROR(IF(Data_Entry!T6/Data_Entry!$H6&lt;0,0,Data_Entry!T6/Data_Entry!$H6),0)</f>
        <v>1.3128108868313579</v>
      </c>
      <c r="P17" s="49">
        <f>IFERROR(IF(Data_Entry!U6/Data_Entry!$H6&lt;0,0,Data_Entry!U6/Data_Entry!$H6),0)</f>
        <v>1.5027909409553764</v>
      </c>
      <c r="Q17" s="49">
        <f>IFERROR(IF(Data_Entry!V6/Data_Entry!$H6&lt;0,0,Data_Entry!V6/Data_Entry!$H6),0)</f>
        <v>1.1203951909878009</v>
      </c>
      <c r="R17" s="49">
        <f>IFERROR(IF(Data_Entry!W6/Data_Entry!$H6&lt;0,0,Data_Entry!W6/Data_Entry!$H6),0)</f>
        <v>1.4613850317232187</v>
      </c>
      <c r="S17" s="49">
        <f>IFERROR(IF(Data_Entry!X6/Data_Entry!$H6&lt;0,0,Data_Entry!X6/Data_Entry!$H6),0)</f>
        <v>1.4199791224910607</v>
      </c>
      <c r="T17" s="49">
        <f>IFERROR(IF(Data_Entry!Y6/Data_Entry!$H6&lt;0,0,Data_Entry!Y6/Data_Entry!$H6),0)</f>
        <v>0.43110858435834948</v>
      </c>
      <c r="U17" s="49">
        <f>IFERROR(IF(Data_Entry!Z6/Data_Entry!$H6&lt;0,0,Data_Entry!Z6/Data_Entry!$H6),0)</f>
        <v>1.4199791224910607</v>
      </c>
      <c r="V17" s="49">
        <f>IFERROR(IF(Data_Entry!AA6/Data_Entry!$H6&lt;0,0,Data_Entry!AA6/Data_Entry!$H6),0)</f>
        <v>2.1725924138285184</v>
      </c>
      <c r="W17" s="49">
        <f>IFERROR(IF(Data_Entry!AB6/Data_Entry!$H6&lt;0,0,Data_Entry!AB6/Data_Entry!$H6),0)</f>
        <v>1.4199791224910607</v>
      </c>
      <c r="X17" s="49">
        <f>IFERROR(IF(Data_Entry!AC6/Data_Entry!$I6&lt;0,0,Data_Entry!AC6/Data_Entry!$I6),0)</f>
        <v>0.47602181766664298</v>
      </c>
      <c r="Y17" s="49">
        <f>IFERROR(IF(Data_Entry!AD6/Data_Entry!$I6&lt;0,0,Data_Entry!AD6/Data_Entry!$I6),0)</f>
        <v>0.27626266203867672</v>
      </c>
      <c r="Z17" s="49">
        <f>IFERROR(IF(Data_Entry!AE6/Data_Entry!$I6&lt;0,0,Data_Entry!AE6/Data_Entry!$I6),0)</f>
        <v>0.32726499964581707</v>
      </c>
      <c r="AA17" s="49">
        <f>IFERROR(IF(Data_Entry!AF6/Data_Entry!$I6&lt;0,0,Data_Entry!AF6/Data_Entry!$I6),0)</f>
        <v>0.29326344124105685</v>
      </c>
      <c r="AB17" s="49">
        <f>IFERROR(IF(Data_Entry!AG6/Data_Entry!$I6&lt;0,0,Data_Entry!AG6/Data_Entry!$I6),0)</f>
        <v>0.31876461004462703</v>
      </c>
      <c r="AC17" s="49">
        <f>IFERROR(IF(Data_Entry!AI6/Data_Entry!$I6&lt;0,0,Data_Entry!AI6/Data_Entry!$I6),0)</f>
        <v>0.1328185875185946</v>
      </c>
      <c r="AD17" s="49">
        <f>IFERROR(IF(Data_Entry!AM6/Data_Entry!$H6&lt;0,0,Data_Entry!AM6/Data_Entry!$H6),0)</f>
        <v>1.4199791224910607</v>
      </c>
      <c r="AE17" s="50">
        <f>Data_Entry!AK6</f>
        <v>0</v>
      </c>
      <c r="AF17" s="50">
        <f>Data_Entry!AL6</f>
        <v>34</v>
      </c>
      <c r="AG17" s="153">
        <f>(Data_Entry!O6-Data_Entry!Q6)/Data_Entry!O6</f>
        <v>3.5656401944894653E-2</v>
      </c>
      <c r="AH17" s="79" t="str">
        <f t="shared" si="0"/>
        <v>CAT1</v>
      </c>
      <c r="AI17" s="51">
        <f>SUBTOTAL(3,Tableau1[[#This Row],[ZS]])</f>
        <v>0</v>
      </c>
      <c r="AJ17" s="51" t="e">
        <f t="shared" ca="1" si="1"/>
        <v>#NAME?</v>
      </c>
      <c r="AK17" s="50" t="str">
        <f>IFERROR(IF((Data_Entry!O6-Data_Entry!Q6)/Data_Entry!O6&lt;=10%,"&lt;=10%","&gt;10%"),"&lt;=10%")</f>
        <v>&lt;=10%</v>
      </c>
    </row>
    <row r="18" spans="1:37" s="48" customFormat="1" ht="13" hidden="1" x14ac:dyDescent="0.3">
      <c r="A18" s="31" t="s">
        <v>16</v>
      </c>
      <c r="B18" s="48" t="str">
        <f>Data_Entry!B7</f>
        <v>Butembo</v>
      </c>
      <c r="C18" s="48" t="str">
        <f>Data_Entry!C7</f>
        <v xml:space="preserve"> Alimbongo</v>
      </c>
      <c r="D18" s="48" t="str">
        <f>Data_Entry!D7</f>
        <v xml:space="preserve"> Bunyatenge</v>
      </c>
      <c r="E18" s="49">
        <f>IFERROR(IF(Data_Entry!J7/Data_Entry!$I7&lt;0,0,Data_Entry!J7/Data_Entry!$I7),0)</f>
        <v>0.69861399472532404</v>
      </c>
      <c r="F18" s="49">
        <f>IFERROR(IF(Data_Entry!K7/Data_Entry!$H7&lt;0,0,Data_Entry!K7/Data_Entry!$H7),0)</f>
        <v>0.78719787302221755</v>
      </c>
      <c r="G18" s="49">
        <f>IFERROR(IF(Data_Entry!L7/Data_Entry!$H7&lt;0,0,Data_Entry!L7/Data_Entry!$H7),0)</f>
        <v>1.2174555340123021</v>
      </c>
      <c r="H18" s="49">
        <f>IFERROR(IF(Data_Entry!M7/Data_Entry!$H7&lt;0,0,Data_Entry!M7/Data_Entry!$H7),0)</f>
        <v>1.165361557121126</v>
      </c>
      <c r="I18" s="49">
        <f>IFERROR(IF(Data_Entry!N7/Data_Entry!$H7&lt;0,0,Data_Entry!N7/Data_Entry!$H7),0)</f>
        <v>1.1460674916058757</v>
      </c>
      <c r="J18" s="49">
        <f>IFERROR(IF(Data_Entry!O7/Data_Entry!$H7&lt;0,0,Data_Entry!O7/Data_Entry!$H7),0)</f>
        <v>1.070820636096399</v>
      </c>
      <c r="K18" s="49">
        <f>IFERROR(IF(Data_Entry!P7/Data_Entry!$H7&lt;0,0,Data_Entry!P7/Data_Entry!$H7),0)</f>
        <v>1.0476677574780984</v>
      </c>
      <c r="L18" s="49">
        <f>IFERROR(IF(Data_Entry!Q7/Data_Entry!$H7&lt;0,0,Data_Entry!Q7/Data_Entry!$H7),0)</f>
        <v>0.99750318713844732</v>
      </c>
      <c r="M18" s="49">
        <f>IFERROR(IF(Data_Entry!R7/Data_Entry!$H7&lt;0,0,Data_Entry!R7/Data_Entry!$H7),0)</f>
        <v>1.1113381736784249</v>
      </c>
      <c r="N18" s="49">
        <f>IFERROR(IF(Data_Entry!S7/Data_Entry!$H7&lt;0,0,Data_Entry!S7/Data_Entry!$H7),0)</f>
        <v>1.0631030098902987</v>
      </c>
      <c r="O18" s="49">
        <f>IFERROR(IF(Data_Entry!T7/Data_Entry!$H7&lt;0,0,Data_Entry!T7/Data_Entry!$H7),0)</f>
        <v>1.0167972526536977</v>
      </c>
      <c r="P18" s="49">
        <f>IFERROR(IF(Data_Entry!U7/Data_Entry!$H7&lt;0,0,Data_Entry!U7/Data_Entry!$H7),0)</f>
        <v>1.2174555340123021</v>
      </c>
      <c r="Q18" s="49">
        <f>IFERROR(IF(Data_Entry!V7/Data_Entry!$H7&lt;0,0,Data_Entry!V7/Data_Entry!$H7),0)</f>
        <v>1.1769379964302764</v>
      </c>
      <c r="R18" s="49">
        <f>IFERROR(IF(Data_Entry!W7/Data_Entry!$H7&lt;0,0,Data_Entry!W7/Data_Entry!$H7),0)</f>
        <v>1.1364204588482505</v>
      </c>
      <c r="S18" s="49">
        <f>IFERROR(IF(Data_Entry!X7/Data_Entry!$H7&lt;0,0,Data_Entry!X7/Data_Entry!$H7),0)</f>
        <v>1.1865850291879014</v>
      </c>
      <c r="T18" s="49">
        <f>IFERROR(IF(Data_Entry!Y7/Data_Entry!$H7&lt;0,0,Data_Entry!Y7/Data_Entry!$H7),0)</f>
        <v>0.68879813889444041</v>
      </c>
      <c r="U18" s="49">
        <f>IFERROR(IF(Data_Entry!Z7/Data_Entry!$H7&lt;0,0,Data_Entry!Z7/Data_Entry!$H7),0)</f>
        <v>1.0553853836841987</v>
      </c>
      <c r="V18" s="49">
        <f>IFERROR(IF(Data_Entry!AA7/Data_Entry!$H7&lt;0,0,Data_Entry!AA7/Data_Entry!$H7),0)</f>
        <v>1.1615027440180761</v>
      </c>
      <c r="W18" s="49">
        <f>IFERROR(IF(Data_Entry!AB7/Data_Entry!$H7&lt;0,0,Data_Entry!AB7/Data_Entry!$H7),0)</f>
        <v>0.81228015819204313</v>
      </c>
      <c r="X18" s="49">
        <f>IFERROR(IF(Data_Entry!AC7/Data_Entry!$I7&lt;0,0,Data_Entry!AC7/Data_Entry!$I7),0)</f>
        <v>0.44441950507827843</v>
      </c>
      <c r="Y18" s="49">
        <f>IFERROR(IF(Data_Entry!AD7/Data_Entry!$I7&lt;0,0,Data_Entry!AD7/Data_Entry!$I7),0)</f>
        <v>0.21884293810672803</v>
      </c>
      <c r="Z18" s="49">
        <f>IFERROR(IF(Data_Entry!AE7/Data_Entry!$I7&lt;0,0,Data_Entry!AE7/Data_Entry!$I7),0)</f>
        <v>0.14477302059368161</v>
      </c>
      <c r="AA18" s="49">
        <f>IFERROR(IF(Data_Entry!AF7/Data_Entry!$I7&lt;0,0,Data_Entry!AF7/Data_Entry!$I7),0)</f>
        <v>0.15150664945850403</v>
      </c>
      <c r="AB18" s="49">
        <f>IFERROR(IF(Data_Entry!AG7/Data_Entry!$I7&lt;0,0,Data_Entry!AG7/Data_Entry!$I7),0)</f>
        <v>0.21715953089052242</v>
      </c>
      <c r="AC18" s="49">
        <f>IFERROR(IF(Data_Entry!AI7/Data_Entry!$I7&lt;0,0,Data_Entry!AI7/Data_Entry!$I7),0)</f>
        <v>0.10521295101285001</v>
      </c>
      <c r="AD18" s="49">
        <f>IFERROR(IF(Data_Entry!AM7/Data_Entry!$H7&lt;0,0,Data_Entry!AM7/Data_Entry!$H7),0)</f>
        <v>1.0553853836841987</v>
      </c>
      <c r="AE18" s="50">
        <f>Data_Entry!AK7</f>
        <v>0</v>
      </c>
      <c r="AF18" s="50">
        <f>Data_Entry!AL7</f>
        <v>0</v>
      </c>
      <c r="AG18" s="153">
        <f>(Data_Entry!O7-Data_Entry!Q7)/Data_Entry!O7</f>
        <v>6.8468468468468463E-2</v>
      </c>
      <c r="AH18" s="79" t="str">
        <f t="shared" si="0"/>
        <v>CAT1</v>
      </c>
      <c r="AI18" s="51">
        <f>SUBTOTAL(3,Tableau1[[#This Row],[ZS]])</f>
        <v>0</v>
      </c>
      <c r="AJ18" s="51" t="e">
        <f t="shared" ca="1" si="1"/>
        <v>#NAME?</v>
      </c>
      <c r="AK18" s="50" t="str">
        <f>IFERROR(IF((Data_Entry!O7-Data_Entry!Q7)/Data_Entry!O7&lt;=10%,"&lt;=10%","&gt;10%"),"&lt;=10%")</f>
        <v>&lt;=10%</v>
      </c>
    </row>
    <row r="19" spans="1:37" s="48" customFormat="1" ht="13" hidden="1" x14ac:dyDescent="0.3">
      <c r="A19" s="31" t="s">
        <v>16</v>
      </c>
      <c r="B19" s="48" t="str">
        <f>Data_Entry!B8</f>
        <v>Butembo</v>
      </c>
      <c r="C19" s="48" t="str">
        <f>Data_Entry!C8</f>
        <v xml:space="preserve"> Alimbongo</v>
      </c>
      <c r="D19" s="48" t="str">
        <f>Data_Entry!D8</f>
        <v xml:space="preserve"> Caritas Kaseghe</v>
      </c>
      <c r="E19" s="49">
        <f>IFERROR(IF(Data_Entry!J8/Data_Entry!$I8&lt;0,0,Data_Entry!J8/Data_Entry!$I8),0)</f>
        <v>0.57006151742993838</v>
      </c>
      <c r="F19" s="49">
        <f>IFERROR(IF(Data_Entry!K8/Data_Entry!$H8&lt;0,0,Data_Entry!K8/Data_Entry!$H8),0)</f>
        <v>3.2903305411222772E-2</v>
      </c>
      <c r="G19" s="49">
        <f>IFERROR(IF(Data_Entry!L8/Data_Entry!$H8&lt;0,0,Data_Entry!L8/Data_Entry!$H8),0)</f>
        <v>0.59931020570441473</v>
      </c>
      <c r="H19" s="49">
        <f>IFERROR(IF(Data_Entry!M8/Data_Entry!$H8&lt;0,0,Data_Entry!M8/Data_Entry!$H8),0)</f>
        <v>0.53115335878116765</v>
      </c>
      <c r="I19" s="49">
        <f>IFERROR(IF(Data_Entry!N8/Data_Entry!$H8&lt;0,0,Data_Entry!N8/Data_Entry!$H8),0)</f>
        <v>0.43949415084990417</v>
      </c>
      <c r="J19" s="49">
        <f>IFERROR(IF(Data_Entry!O8/Data_Entry!$H8&lt;0,0,Data_Entry!O8/Data_Entry!$H8),0)</f>
        <v>0.61576185841002617</v>
      </c>
      <c r="K19" s="49">
        <f>IFERROR(IF(Data_Entry!P8/Data_Entry!$H8&lt;0,0,Data_Entry!P8/Data_Entry!$H8),0)</f>
        <v>0.52175241437796116</v>
      </c>
      <c r="L19" s="49">
        <f>IFERROR(IF(Data_Entry!Q8/Data_Entry!$H8&lt;0,0,Data_Entry!Q8/Data_Entry!$H8),0)</f>
        <v>0.42539273424509444</v>
      </c>
      <c r="M19" s="49">
        <f>IFERROR(IF(Data_Entry!R8/Data_Entry!$H8&lt;0,0,Data_Entry!R8/Data_Entry!$H8),0)</f>
        <v>0.47239745626112695</v>
      </c>
      <c r="N19" s="49">
        <f>IFERROR(IF(Data_Entry!S8/Data_Entry!$H8&lt;0,0,Data_Entry!S8/Data_Entry!$H8),0)</f>
        <v>0.54055430318437414</v>
      </c>
      <c r="O19" s="49">
        <f>IFERROR(IF(Data_Entry!T8/Data_Entry!$H8&lt;0,0,Data_Entry!T8/Data_Entry!$H8),0)</f>
        <v>0.45359556745471397</v>
      </c>
      <c r="P19" s="49">
        <f>IFERROR(IF(Data_Entry!U8/Data_Entry!$H8&lt;0,0,Data_Entry!U8/Data_Entry!$H8),0)</f>
        <v>0.60871115010762133</v>
      </c>
      <c r="Q19" s="49">
        <f>IFERROR(IF(Data_Entry!V8/Data_Entry!$H8&lt;0,0,Data_Entry!V8/Data_Entry!$H8),0)</f>
        <v>0.57110737249479526</v>
      </c>
      <c r="R19" s="49">
        <f>IFERROR(IF(Data_Entry!W8/Data_Entry!$H8&lt;0,0,Data_Entry!W8/Data_Entry!$H8),0)</f>
        <v>0.50295052557154807</v>
      </c>
      <c r="S19" s="49">
        <f>IFERROR(IF(Data_Entry!X8/Data_Entry!$H8&lt;0,0,Data_Entry!X8/Data_Entry!$H8),0)</f>
        <v>0.69566988583728151</v>
      </c>
      <c r="T19" s="49">
        <f>IFERROR(IF(Data_Entry!Y8/Data_Entry!$H8&lt;0,0,Data_Entry!Y8/Data_Entry!$H8),0)</f>
        <v>0.17391747145932038</v>
      </c>
      <c r="U19" s="49">
        <f>IFERROR(IF(Data_Entry!Z8/Data_Entry!$H8&lt;0,0,Data_Entry!Z8/Data_Entry!$H8),0)</f>
        <v>0.58050831689800175</v>
      </c>
      <c r="V19" s="49">
        <f>IFERROR(IF(Data_Entry!AA8/Data_Entry!$H8&lt;0,0,Data_Entry!AA8/Data_Entry!$H8),0)</f>
        <v>0.48884910896673833</v>
      </c>
      <c r="W19" s="49">
        <f>IFERROR(IF(Data_Entry!AB8/Data_Entry!$H8&lt;0,0,Data_Entry!AB8/Data_Entry!$H8),0)</f>
        <v>0.43714391474910252</v>
      </c>
      <c r="X19" s="49">
        <f>IFERROR(IF(Data_Entry!AC8/Data_Entry!$I8&lt;0,0,Data_Entry!AC8/Data_Entry!$I8),0)</f>
        <v>0.21120984278879013</v>
      </c>
      <c r="Y19" s="49">
        <f>IFERROR(IF(Data_Entry!AD8/Data_Entry!$I8&lt;0,0,Data_Entry!AD8/Data_Entry!$I8),0)</f>
        <v>0.17840054682159942</v>
      </c>
      <c r="Z19" s="49">
        <f>IFERROR(IF(Data_Entry!AE8/Data_Entry!$I8&lt;0,0,Data_Entry!AE8/Data_Entry!$I8),0)</f>
        <v>8.8174982911825003E-2</v>
      </c>
      <c r="AA19" s="49">
        <f>IFERROR(IF(Data_Entry!AF8/Data_Entry!$I8&lt;0,0,Data_Entry!AF8/Data_Entry!$I8),0)</f>
        <v>7.5871496924128493E-2</v>
      </c>
      <c r="AB19" s="49">
        <f>IFERROR(IF(Data_Entry!AG8/Data_Entry!$I8&lt;0,0,Data_Entry!AG8/Data_Entry!$I8),0)</f>
        <v>6.7669172932330823E-2</v>
      </c>
      <c r="AC19" s="49">
        <f>IFERROR(IF(Data_Entry!AI8/Data_Entry!$I8&lt;0,0,Data_Entry!AI8/Data_Entry!$I8),0)</f>
        <v>0.1111414900888585</v>
      </c>
      <c r="AD19" s="49">
        <f>IFERROR(IF(Data_Entry!AM8/Data_Entry!$H8&lt;0,0,Data_Entry!AM8/Data_Entry!$H8),0)</f>
        <v>0.58050831689800175</v>
      </c>
      <c r="AE19" s="50">
        <f>Data_Entry!AK8</f>
        <v>163.48916666666662</v>
      </c>
      <c r="AF19" s="50">
        <f>Data_Entry!AL8</f>
        <v>0</v>
      </c>
      <c r="AG19" s="153">
        <f>(Data_Entry!O8-Data_Entry!Q8)/Data_Entry!O8</f>
        <v>0.30916030534351147</v>
      </c>
      <c r="AH19" s="79" t="str">
        <f t="shared" si="0"/>
        <v>CAT4</v>
      </c>
      <c r="AI19" s="51">
        <f>SUBTOTAL(3,Tableau1[[#This Row],[ZS]])</f>
        <v>0</v>
      </c>
      <c r="AJ19" s="51" t="e">
        <f t="shared" ca="1" si="1"/>
        <v>#NAME?</v>
      </c>
      <c r="AK19" s="50" t="str">
        <f>IFERROR(IF((Data_Entry!O8-Data_Entry!Q8)/Data_Entry!O8&lt;=10%,"&lt;=10%","&gt;10%"),"&lt;=10%")</f>
        <v>&gt;10%</v>
      </c>
    </row>
    <row r="20" spans="1:37" s="48" customFormat="1" ht="13" hidden="1" x14ac:dyDescent="0.3">
      <c r="A20" s="31" t="s">
        <v>16</v>
      </c>
      <c r="B20" s="48" t="str">
        <f>Data_Entry!B9</f>
        <v>Butembo</v>
      </c>
      <c r="C20" s="48" t="str">
        <f>Data_Entry!C9</f>
        <v xml:space="preserve"> Alimbongo</v>
      </c>
      <c r="D20" s="48" t="str">
        <f>Data_Entry!D9</f>
        <v xml:space="preserve"> Fatua</v>
      </c>
      <c r="E20" s="49">
        <f>IFERROR(IF(Data_Entry!J9/Data_Entry!$I9&lt;0,0,Data_Entry!J9/Data_Entry!$I9),0)</f>
        <v>0</v>
      </c>
      <c r="F20" s="49">
        <f>IFERROR(IF(Data_Entry!K9/Data_Entry!$H9&lt;0,0,Data_Entry!K9/Data_Entry!$H9),0)</f>
        <v>0.63548794544719089</v>
      </c>
      <c r="G20" s="49">
        <f>IFERROR(IF(Data_Entry!L9/Data_Entry!$H9&lt;0,0,Data_Entry!L9/Data_Entry!$H9),0)</f>
        <v>0.79774018683796299</v>
      </c>
      <c r="H20" s="49">
        <f>IFERROR(IF(Data_Entry!M9/Data_Entry!$H9&lt;0,0,Data_Entry!M9/Data_Entry!$H9),0)</f>
        <v>0.69858603932138008</v>
      </c>
      <c r="I20" s="49">
        <f>IFERROR(IF(Data_Entry!N9/Data_Entry!$H9&lt;0,0,Data_Entry!N9/Data_Entry!$H9),0)</f>
        <v>0.67605100579488386</v>
      </c>
      <c r="J20" s="49">
        <f>IFERROR(IF(Data_Entry!O9/Data_Entry!$H9&lt;0,0,Data_Entry!O9/Data_Entry!$H9),0)</f>
        <v>0.81576821365915997</v>
      </c>
      <c r="K20" s="49">
        <f>IFERROR(IF(Data_Entry!P9/Data_Entry!$H9&lt;0,0,Data_Entry!P9/Data_Entry!$H9),0)</f>
        <v>0.81126120695386073</v>
      </c>
      <c r="L20" s="49">
        <f>IFERROR(IF(Data_Entry!Q9/Data_Entry!$H9&lt;0,0,Data_Entry!Q9/Data_Entry!$H9),0)</f>
        <v>0.77069814660616764</v>
      </c>
      <c r="M20" s="49">
        <f>IFERROR(IF(Data_Entry!R9/Data_Entry!$H9&lt;0,0,Data_Entry!R9/Data_Entry!$H9),0)</f>
        <v>0.89238732764924678</v>
      </c>
      <c r="N20" s="49">
        <f>IFERROR(IF(Data_Entry!S9/Data_Entry!$H9&lt;0,0,Data_Entry!S9/Data_Entry!$H9),0)</f>
        <v>0.63548794544719089</v>
      </c>
      <c r="O20" s="49">
        <f>IFERROR(IF(Data_Entry!T9/Data_Entry!$H9&lt;0,0,Data_Entry!T9/Data_Entry!$H9),0)</f>
        <v>0.62647393203659241</v>
      </c>
      <c r="P20" s="49">
        <f>IFERROR(IF(Data_Entry!U9/Data_Entry!$H9&lt;0,0,Data_Entry!U9/Data_Entry!$H9),0)</f>
        <v>0.63098093874189165</v>
      </c>
      <c r="Q20" s="49">
        <f>IFERROR(IF(Data_Entry!V9/Data_Entry!$H9&lt;0,0,Data_Entry!V9/Data_Entry!$H9),0)</f>
        <v>0.55436182475180484</v>
      </c>
      <c r="R20" s="49">
        <f>IFERROR(IF(Data_Entry!W9/Data_Entry!$H9&lt;0,0,Data_Entry!W9/Data_Entry!$H9),0)</f>
        <v>0.61745991862599392</v>
      </c>
      <c r="S20" s="49">
        <f>IFERROR(IF(Data_Entry!X9/Data_Entry!$H9&lt;0,0,Data_Entry!X9/Data_Entry!$H9),0)</f>
        <v>0.98252746175523131</v>
      </c>
      <c r="T20" s="49">
        <f>IFERROR(IF(Data_Entry!Y9/Data_Entry!$H9&lt;0,0,Data_Entry!Y9/Data_Entry!$H9),0)</f>
        <v>0.66703699238428549</v>
      </c>
      <c r="U20" s="49">
        <f>IFERROR(IF(Data_Entry!Z9/Data_Entry!$H9&lt;0,0,Data_Entry!Z9/Data_Entry!$H9),0)</f>
        <v>1.0230905221029243</v>
      </c>
      <c r="V20" s="49">
        <f>IFERROR(IF(Data_Entry!AA9/Data_Entry!$H9&lt;0,0,Data_Entry!AA9/Data_Entry!$H9),0)</f>
        <v>0.87886630753334904</v>
      </c>
      <c r="W20" s="49">
        <f>IFERROR(IF(Data_Entry!AB9/Data_Entry!$H9&lt;0,0,Data_Entry!AB9/Data_Entry!$H9),0)</f>
        <v>0.45971468394052106</v>
      </c>
      <c r="X20" s="49">
        <f>IFERROR(IF(Data_Entry!AC9/Data_Entry!$I9&lt;0,0,Data_Entry!AC9/Data_Entry!$I9),0)</f>
        <v>0.70389303971686978</v>
      </c>
      <c r="Y20" s="49">
        <f>IFERROR(IF(Data_Entry!AD9/Data_Entry!$I9&lt;0,0,Data_Entry!AD9/Data_Entry!$I9),0)</f>
        <v>0.3342508847817538</v>
      </c>
      <c r="Z20" s="49">
        <f>IFERROR(IF(Data_Entry!AE9/Data_Entry!$I9&lt;0,0,Data_Entry!AE9/Data_Entry!$I9),0)</f>
        <v>0.30279197797876517</v>
      </c>
      <c r="AA20" s="49">
        <f>IFERROR(IF(Data_Entry!AF9/Data_Entry!$I9&lt;0,0,Data_Entry!AF9/Data_Entry!$I9),0)</f>
        <v>0.22807707432166729</v>
      </c>
      <c r="AB20" s="49">
        <f>IFERROR(IF(Data_Entry!AG9/Data_Entry!$I9&lt;0,0,Data_Entry!AG9/Data_Entry!$I9),0)</f>
        <v>0.24380652772316158</v>
      </c>
      <c r="AC20" s="49">
        <f>IFERROR(IF(Data_Entry!AI9/Data_Entry!$I9&lt;0,0,Data_Entry!AI9/Data_Entry!$I9),0)</f>
        <v>0.22925678332677935</v>
      </c>
      <c r="AD20" s="49">
        <f>IFERROR(IF(Data_Entry!AM9/Data_Entry!$H9&lt;0,0,Data_Entry!AM9/Data_Entry!$H9),0)</f>
        <v>0.98252746175523131</v>
      </c>
      <c r="AE20" s="50">
        <f>Data_Entry!AK9</f>
        <v>40.876749999999987</v>
      </c>
      <c r="AF20" s="50">
        <f>Data_Entry!AL9</f>
        <v>0</v>
      </c>
      <c r="AG20" s="153">
        <f>(Data_Entry!O9-Data_Entry!Q9)/Data_Entry!O9</f>
        <v>5.5248618784530384E-2</v>
      </c>
      <c r="AH20" s="79" t="str">
        <f t="shared" si="0"/>
        <v>CAT3</v>
      </c>
      <c r="AI20" s="51">
        <f>SUBTOTAL(3,Tableau1[[#This Row],[ZS]])</f>
        <v>0</v>
      </c>
      <c r="AJ20" s="51" t="e">
        <f t="shared" ca="1" si="1"/>
        <v>#NAME?</v>
      </c>
      <c r="AK20" s="50" t="str">
        <f>IFERROR(IF((Data_Entry!O9-Data_Entry!Q9)/Data_Entry!O9&lt;=10%,"&lt;=10%","&gt;10%"),"&lt;=10%")</f>
        <v>&lt;=10%</v>
      </c>
    </row>
    <row r="21" spans="1:37" s="48" customFormat="1" ht="13" hidden="1" x14ac:dyDescent="0.3">
      <c r="A21" s="31" t="s">
        <v>16</v>
      </c>
      <c r="B21" s="48" t="str">
        <f>Data_Entry!B10</f>
        <v>Butembo</v>
      </c>
      <c r="C21" s="48" t="str">
        <f>Data_Entry!C10</f>
        <v xml:space="preserve"> Alimbongo</v>
      </c>
      <c r="D21" s="48" t="str">
        <f>Data_Entry!D10</f>
        <v xml:space="preserve"> Itundwe </v>
      </c>
      <c r="E21" s="49">
        <f>IFERROR(IF(Data_Entry!J10/Data_Entry!$I10&lt;0,0,Data_Entry!J10/Data_Entry!$I10),0)</f>
        <v>0.58441558441558439</v>
      </c>
      <c r="F21" s="49">
        <f>IFERROR(IF(Data_Entry!K10/Data_Entry!$H10&lt;0,0,Data_Entry!K10/Data_Entry!$H10),0)</f>
        <v>0.35520613796206396</v>
      </c>
      <c r="G21" s="49">
        <f>IFERROR(IF(Data_Entry!L10/Data_Entry!$H10&lt;0,0,Data_Entry!L10/Data_Entry!$H10),0)</f>
        <v>1.3227199994587335</v>
      </c>
      <c r="H21" s="49">
        <f>IFERROR(IF(Data_Entry!M10/Data_Entry!$H10&lt;0,0,Data_Entry!M10/Data_Entry!$H10),0)</f>
        <v>1.2990395902612626</v>
      </c>
      <c r="I21" s="49">
        <f>IFERROR(IF(Data_Entry!N10/Data_Entry!$H10&lt;0,0,Data_Entry!N10/Data_Entry!$H10),0)</f>
        <v>1.3633149866543979</v>
      </c>
      <c r="J21" s="49">
        <f>IFERROR(IF(Data_Entry!O10/Data_Entry!$H10&lt;0,0,Data_Entry!O10/Data_Entry!$H10),0)</f>
        <v>1.3091883370601787</v>
      </c>
      <c r="K21" s="49">
        <f>IFERROR(IF(Data_Entry!P10/Data_Entry!$H10&lt;0,0,Data_Entry!P10/Data_Entry!$H10),0)</f>
        <v>1.2753591810637916</v>
      </c>
      <c r="L21" s="49">
        <f>IFERROR(IF(Data_Entry!Q10/Data_Entry!$H10&lt;0,0,Data_Entry!Q10/Data_Entry!$H10),0)</f>
        <v>1.2516787718663207</v>
      </c>
      <c r="M21" s="49">
        <f>IFERROR(IF(Data_Entry!R10/Data_Entry!$H10&lt;0,0,Data_Entry!R10/Data_Entry!$H10),0)</f>
        <v>1.1738717130746306</v>
      </c>
      <c r="N21" s="49">
        <f>IFERROR(IF(Data_Entry!S10/Data_Entry!$H10&lt;0,0,Data_Entry!S10/Data_Entry!$H10),0)</f>
        <v>1.1197450634804111</v>
      </c>
      <c r="O21" s="49">
        <f>IFERROR(IF(Data_Entry!T10/Data_Entry!$H10&lt;0,0,Data_Entry!T10/Data_Entry!$H10),0)</f>
        <v>1.2719762654641529</v>
      </c>
      <c r="P21" s="49">
        <f>IFERROR(IF(Data_Entry!U10/Data_Entry!$H10&lt;0,0,Data_Entry!U10/Data_Entry!$H10),0)</f>
        <v>1.3700808178536754</v>
      </c>
      <c r="Q21" s="49">
        <f>IFERROR(IF(Data_Entry!V10/Data_Entry!$H10&lt;0,0,Data_Entry!V10/Data_Entry!$H10),0)</f>
        <v>1.2855079278627077</v>
      </c>
      <c r="R21" s="49">
        <f>IFERROR(IF(Data_Entry!W10/Data_Entry!$H10&lt;0,0,Data_Entry!W10/Data_Entry!$H10),0)</f>
        <v>1.4005270582504237</v>
      </c>
      <c r="S21" s="49">
        <f>IFERROR(IF(Data_Entry!X10/Data_Entry!$H10&lt;0,0,Data_Entry!X10/Data_Entry!$H10),0)</f>
        <v>1.4749512014424753</v>
      </c>
      <c r="T21" s="49">
        <f>IFERROR(IF(Data_Entry!Y10/Data_Entry!$H10&lt;0,0,Data_Entry!Y10/Data_Entry!$H10),0)</f>
        <v>0.35858905356170268</v>
      </c>
      <c r="U21" s="49">
        <f>IFERROR(IF(Data_Entry!Z10/Data_Entry!$H10&lt;0,0,Data_Entry!Z10/Data_Entry!$H10),0)</f>
        <v>1.4715682858428365</v>
      </c>
      <c r="V21" s="49">
        <f>IFERROR(IF(Data_Entry!AA10/Data_Entry!$H10&lt;0,0,Data_Entry!AA10/Data_Entry!$H10),0)</f>
        <v>1.4309732986471719</v>
      </c>
      <c r="W21" s="49">
        <f>IFERROR(IF(Data_Entry!AB10/Data_Entry!$H10&lt;0,0,Data_Entry!AB10/Data_Entry!$H10),0)</f>
        <v>1.1535742194767982</v>
      </c>
      <c r="X21" s="49">
        <f>IFERROR(IF(Data_Entry!AC10/Data_Entry!$I10&lt;0,0,Data_Entry!AC10/Data_Entry!$I10),0)</f>
        <v>0.33057851239669422</v>
      </c>
      <c r="Y21" s="49">
        <f>IFERROR(IF(Data_Entry!AD10/Data_Entry!$I10&lt;0,0,Data_Entry!AD10/Data_Entry!$I10),0)</f>
        <v>0.16233766233766234</v>
      </c>
      <c r="Z21" s="49">
        <f>IFERROR(IF(Data_Entry!AE10/Data_Entry!$I10&lt;0,0,Data_Entry!AE10/Data_Entry!$I10),0)</f>
        <v>0.20365997638724911</v>
      </c>
      <c r="AA21" s="49">
        <f>IFERROR(IF(Data_Entry!AF10/Data_Entry!$I10&lt;0,0,Data_Entry!AF10/Data_Entry!$I10),0)</f>
        <v>0.11216056670602124</v>
      </c>
      <c r="AB21" s="49">
        <f>IFERROR(IF(Data_Entry!AG10/Data_Entry!$I10&lt;0,0,Data_Entry!AG10/Data_Entry!$I10),0)</f>
        <v>7.6741440377804018E-2</v>
      </c>
      <c r="AC21" s="49">
        <f>IFERROR(IF(Data_Entry!AI10/Data_Entry!$I10&lt;0,0,Data_Entry!AI10/Data_Entry!$I10),0)</f>
        <v>0.14757969303423848</v>
      </c>
      <c r="AD21" s="49">
        <f>IFERROR(IF(Data_Entry!AM10/Data_Entry!$H10&lt;0,0,Data_Entry!AM10/Data_Entry!$H10),0)</f>
        <v>1.4715682858428365</v>
      </c>
      <c r="AE21" s="50">
        <f>Data_Entry!AK10</f>
        <v>0</v>
      </c>
      <c r="AF21" s="50">
        <f>Data_Entry!AL10</f>
        <v>0</v>
      </c>
      <c r="AG21" s="153">
        <f>(Data_Entry!O10-Data_Entry!Q10)/Data_Entry!O10</f>
        <v>4.3927648578811367E-2</v>
      </c>
      <c r="AH21" s="79" t="str">
        <f t="shared" si="0"/>
        <v>CAT1</v>
      </c>
      <c r="AI21" s="51">
        <f>SUBTOTAL(3,Tableau1[[#This Row],[ZS]])</f>
        <v>0</v>
      </c>
      <c r="AJ21" s="51" t="e">
        <f t="shared" ca="1" si="1"/>
        <v>#NAME?</v>
      </c>
      <c r="AK21" s="50" t="str">
        <f>IFERROR(IF((Data_Entry!O10-Data_Entry!Q10)/Data_Entry!O10&lt;=10%,"&lt;=10%","&gt;10%"),"&lt;=10%")</f>
        <v>&lt;=10%</v>
      </c>
    </row>
    <row r="22" spans="1:37" s="48" customFormat="1" ht="13" hidden="1" x14ac:dyDescent="0.3">
      <c r="A22" s="31" t="s">
        <v>16</v>
      </c>
      <c r="B22" s="48" t="str">
        <f>Data_Entry!B11</f>
        <v>Butembo</v>
      </c>
      <c r="C22" s="48" t="str">
        <f>Data_Entry!C11</f>
        <v xml:space="preserve"> Alimbongo</v>
      </c>
      <c r="D22" s="48" t="str">
        <f>Data_Entry!D11</f>
        <v xml:space="preserve"> Kalimba</v>
      </c>
      <c r="E22" s="49">
        <f>IFERROR(IF(Data_Entry!J11/Data_Entry!$I11&lt;0,0,Data_Entry!J11/Data_Entry!$I11),0)</f>
        <v>0.67641157924906858</v>
      </c>
      <c r="F22" s="49">
        <f>IFERROR(IF(Data_Entry!K11/Data_Entry!$H11&lt;0,0,Data_Entry!K11/Data_Entry!$H11),0)</f>
        <v>1.4421090927606288</v>
      </c>
      <c r="G22" s="49">
        <f>IFERROR(IF(Data_Entry!L11/Data_Entry!$H11&lt;0,0,Data_Entry!L11/Data_Entry!$H11),0)</f>
        <v>1.0282007882325213</v>
      </c>
      <c r="H22" s="49">
        <f>IFERROR(IF(Data_Entry!M11/Data_Entry!$H11&lt;0,0,Data_Entry!M11/Data_Entry!$H11),0)</f>
        <v>0.97892599007441317</v>
      </c>
      <c r="I22" s="49">
        <f>IFERROR(IF(Data_Entry!N11/Data_Entry!$H11&lt;0,0,Data_Entry!N11/Data_Entry!$H11),0)</f>
        <v>1.1431753172681065</v>
      </c>
      <c r="J22" s="49">
        <f>IFERROR(IF(Data_Entry!O11/Data_Entry!$H11&lt;0,0,Data_Entry!O11/Data_Entry!$H11),0)</f>
        <v>1.1168954249171157</v>
      </c>
      <c r="K22" s="49">
        <f>IFERROR(IF(Data_Entry!P11/Data_Entry!$H11&lt;0,0,Data_Entry!P11/Data_Entry!$H11),0)</f>
        <v>1.0807605729345031</v>
      </c>
      <c r="L22" s="49">
        <f>IFERROR(IF(Data_Entry!Q11/Data_Entry!$H11&lt;0,0,Data_Entry!Q11/Data_Entry!$H11),0)</f>
        <v>1.0807605729345031</v>
      </c>
      <c r="M22" s="49">
        <f>IFERROR(IF(Data_Entry!R11/Data_Entry!$H11&lt;0,0,Data_Entry!R11/Data_Entry!$H11),0)</f>
        <v>1.005205882425404</v>
      </c>
      <c r="N22" s="49">
        <f>IFERROR(IF(Data_Entry!S11/Data_Entry!$H11&lt;0,0,Data_Entry!S11/Data_Entry!$H11),0)</f>
        <v>0.9427911380918006</v>
      </c>
      <c r="O22" s="49">
        <f>IFERROR(IF(Data_Entry!T11/Data_Entry!$H11&lt;0,0,Data_Entry!T11/Data_Entry!$H11),0)</f>
        <v>1.005205882425404</v>
      </c>
      <c r="P22" s="49">
        <f>IFERROR(IF(Data_Entry!U11/Data_Entry!$H11&lt;0,0,Data_Entry!U11/Data_Entry!$H11),0)</f>
        <v>1.1727401961629713</v>
      </c>
      <c r="Q22" s="49">
        <f>IFERROR(IF(Data_Entry!V11/Data_Entry!$H11&lt;0,0,Data_Entry!V11/Data_Entry!$H11),0)</f>
        <v>1.1070404652854939</v>
      </c>
      <c r="R22" s="49">
        <f>IFERROR(IF(Data_Entry!W11/Data_Entry!$H11&lt;0,0,Data_Entry!W11/Data_Entry!$H11),0)</f>
        <v>1.1727401961629713</v>
      </c>
      <c r="S22" s="49">
        <f>IFERROR(IF(Data_Entry!X11/Data_Entry!$H11&lt;0,0,Data_Entry!X11/Data_Entry!$H11),0)</f>
        <v>1.3172796040934216</v>
      </c>
      <c r="T22" s="49">
        <f>IFERROR(IF(Data_Entry!Y11/Data_Entry!$H11&lt;0,0,Data_Entry!Y11/Data_Entry!$H11),0)</f>
        <v>0.86395146103882769</v>
      </c>
      <c r="U22" s="49">
        <f>IFERROR(IF(Data_Entry!Z11/Data_Entry!$H11&lt;0,0,Data_Entry!Z11/Data_Entry!$H11),0)</f>
        <v>1.2023050750578363</v>
      </c>
      <c r="V22" s="49">
        <f>IFERROR(IF(Data_Entry!AA11/Data_Entry!$H11&lt;0,0,Data_Entry!AA11/Data_Entry!$H11),0)</f>
        <v>0.80482170324909807</v>
      </c>
      <c r="W22" s="49">
        <f>IFERROR(IF(Data_Entry!AB11/Data_Entry!$H11&lt;0,0,Data_Entry!AB11/Data_Entry!$H11),0)</f>
        <v>0.67999221458189096</v>
      </c>
      <c r="X22" s="49">
        <f>IFERROR(IF(Data_Entry!AC11/Data_Entry!$I11&lt;0,0,Data_Entry!AC11/Data_Entry!$I11),0)</f>
        <v>0.23215821152192606</v>
      </c>
      <c r="Y22" s="49">
        <f>IFERROR(IF(Data_Entry!AD11/Data_Entry!$I11&lt;0,0,Data_Entry!AD11/Data_Entry!$I11),0)</f>
        <v>0.14903983949555746</v>
      </c>
      <c r="Z22" s="49">
        <f>IFERROR(IF(Data_Entry!AE11/Data_Entry!$I11&lt;0,0,Data_Entry!AE11/Data_Entry!$I11),0)</f>
        <v>0.15190599025508741</v>
      </c>
      <c r="AA22" s="49">
        <f>IFERROR(IF(Data_Entry!AF11/Data_Entry!$I11&lt;0,0,Data_Entry!AF11/Data_Entry!$I11),0)</f>
        <v>0.12037833190025796</v>
      </c>
      <c r="AB22" s="49">
        <f>IFERROR(IF(Data_Entry!AG11/Data_Entry!$I11&lt;0,0,Data_Entry!AG11/Data_Entry!$I11),0)</f>
        <v>6.878761822871883E-2</v>
      </c>
      <c r="AC22" s="49">
        <f>IFERROR(IF(Data_Entry!AI11/Data_Entry!$I11&lt;0,0,Data_Entry!AI11/Data_Entry!$I11),0)</f>
        <v>0.17913442247062197</v>
      </c>
      <c r="AD22" s="49">
        <f>IFERROR(IF(Data_Entry!AM11/Data_Entry!$H11&lt;0,0,Data_Entry!AM11/Data_Entry!$H11),0)</f>
        <v>1.2023050750578363</v>
      </c>
      <c r="AE22" s="50">
        <f>Data_Entry!AK11</f>
        <v>0</v>
      </c>
      <c r="AF22" s="50">
        <f>Data_Entry!AL11</f>
        <v>0</v>
      </c>
      <c r="AG22" s="153">
        <f>(Data_Entry!O11-Data_Entry!Q11)/Data_Entry!O11</f>
        <v>3.2352941176470591E-2</v>
      </c>
      <c r="AH22" s="79" t="str">
        <f t="shared" si="0"/>
        <v>CAT1</v>
      </c>
      <c r="AI22" s="51">
        <f>SUBTOTAL(3,Tableau1[[#This Row],[ZS]])</f>
        <v>0</v>
      </c>
      <c r="AJ22" s="51" t="e">
        <f t="shared" ca="1" si="1"/>
        <v>#NAME?</v>
      </c>
      <c r="AK22" s="50" t="str">
        <f>IFERROR(IF((Data_Entry!O11-Data_Entry!Q11)/Data_Entry!O11&lt;=10%,"&lt;=10%","&gt;10%"),"&lt;=10%")</f>
        <v>&lt;=10%</v>
      </c>
    </row>
    <row r="23" spans="1:37" s="48" customFormat="1" ht="13" hidden="1" x14ac:dyDescent="0.3">
      <c r="A23" s="31" t="s">
        <v>16</v>
      </c>
      <c r="B23" s="48" t="str">
        <f>Data_Entry!B12</f>
        <v>Butembo</v>
      </c>
      <c r="C23" s="48" t="str">
        <f>Data_Entry!C12</f>
        <v xml:space="preserve"> Alimbongo</v>
      </c>
      <c r="D23" s="48" t="str">
        <f>Data_Entry!D12</f>
        <v xml:space="preserve"> Kalungu</v>
      </c>
      <c r="E23" s="49">
        <f>IFERROR(IF(Data_Entry!J12/Data_Entry!$I12&lt;0,0,Data_Entry!J12/Data_Entry!$I12),0)</f>
        <v>0.57896745352450518</v>
      </c>
      <c r="F23" s="49">
        <f>IFERROR(IF(Data_Entry!K12/Data_Entry!$H12&lt;0,0,Data_Entry!K12/Data_Entry!$H12),0)</f>
        <v>1.2034290229152942</v>
      </c>
      <c r="G23" s="49">
        <f>IFERROR(IF(Data_Entry!L12/Data_Entry!$H12&lt;0,0,Data_Entry!L12/Data_Entry!$H12),0)</f>
        <v>1.0122300192745466</v>
      </c>
      <c r="H23" s="49">
        <f>IFERROR(IF(Data_Entry!M12/Data_Entry!$H12&lt;0,0,Data_Entry!M12/Data_Entry!$H12),0)</f>
        <v>0.98786151881052975</v>
      </c>
      <c r="I23" s="49">
        <f>IFERROR(IF(Data_Entry!N12/Data_Entry!$H12&lt;0,0,Data_Entry!N12/Data_Entry!$H12),0)</f>
        <v>1.0141045193102403</v>
      </c>
      <c r="J23" s="49">
        <f>IFERROR(IF(Data_Entry!O12/Data_Entry!$H12&lt;0,0,Data_Entry!O12/Data_Entry!$H12),0)</f>
        <v>1.0103555192388529</v>
      </c>
      <c r="K23" s="49">
        <f>IFERROR(IF(Data_Entry!P12/Data_Entry!$H12&lt;0,0,Data_Entry!P12/Data_Entry!$H12),0)</f>
        <v>0.99348501891761054</v>
      </c>
      <c r="L23" s="49">
        <f>IFERROR(IF(Data_Entry!Q12/Data_Entry!$H12&lt;0,0,Data_Entry!Q12/Data_Entry!$H12),0)</f>
        <v>1.0122300192745466</v>
      </c>
      <c r="M23" s="49">
        <f>IFERROR(IF(Data_Entry!R12/Data_Entry!$H12&lt;0,0,Data_Entry!R12/Data_Entry!$H12),0)</f>
        <v>1.0122300192745466</v>
      </c>
      <c r="N23" s="49">
        <f>IFERROR(IF(Data_Entry!S12/Data_Entry!$H12&lt;0,0,Data_Entry!S12/Data_Entry!$H12),0)</f>
        <v>0.99161051888191687</v>
      </c>
      <c r="O23" s="49">
        <f>IFERROR(IF(Data_Entry!T12/Data_Entry!$H12&lt;0,0,Data_Entry!T12/Data_Entry!$H12),0)</f>
        <v>0.91288151738278556</v>
      </c>
      <c r="P23" s="49">
        <f>IFERROR(IF(Data_Entry!U12/Data_Entry!$H12&lt;0,0,Data_Entry!U12/Data_Entry!$H12),0)</f>
        <v>1.0122300192745466</v>
      </c>
      <c r="Q23" s="49">
        <f>IFERROR(IF(Data_Entry!V12/Data_Entry!$H12&lt;0,0,Data_Entry!V12/Data_Entry!$H12),0)</f>
        <v>0.99161051888191687</v>
      </c>
      <c r="R23" s="49">
        <f>IFERROR(IF(Data_Entry!W12/Data_Entry!$H12&lt;0,0,Data_Entry!W12/Data_Entry!$H12),0)</f>
        <v>1.0159790193459337</v>
      </c>
      <c r="S23" s="49">
        <f>IFERROR(IF(Data_Entry!X12/Data_Entry!$H12&lt;0,0,Data_Entry!X12/Data_Entry!$H12),0)</f>
        <v>1.1978055228082134</v>
      </c>
      <c r="T23" s="49">
        <f>IFERROR(IF(Data_Entry!Y12/Data_Entry!$H12&lt;0,0,Data_Entry!Y12/Data_Entry!$H12),0)</f>
        <v>0.3861470073528826</v>
      </c>
      <c r="U23" s="49">
        <f>IFERROR(IF(Data_Entry!Z12/Data_Entry!$H12&lt;0,0,Data_Entry!Z12/Data_Entry!$H12),0)</f>
        <v>1.1790605224512773</v>
      </c>
      <c r="V23" s="49">
        <f>IFERROR(IF(Data_Entry!AA12/Data_Entry!$H12&lt;0,0,Data_Entry!AA12/Data_Entry!$H12),0)</f>
        <v>0.91288151738278556</v>
      </c>
      <c r="W23" s="49">
        <f>IFERROR(IF(Data_Entry!AB12/Data_Entry!$H12&lt;0,0,Data_Entry!AB12/Data_Entry!$H12),0)</f>
        <v>0.51361300978004765</v>
      </c>
      <c r="X23" s="49">
        <f>IFERROR(IF(Data_Entry!AC12/Data_Entry!$I12&lt;0,0,Data_Entry!AC12/Data_Entry!$I12),0)</f>
        <v>1.1383088916752984</v>
      </c>
      <c r="Y23" s="49">
        <f>IFERROR(IF(Data_Entry!AD12/Data_Entry!$I12&lt;0,0,Data_Entry!AD12/Data_Entry!$I12),0)</f>
        <v>0.64111650220792671</v>
      </c>
      <c r="Z23" s="49">
        <f>IFERROR(IF(Data_Entry!AE12/Data_Entry!$I12&lt;0,0,Data_Entry!AE12/Data_Entry!$I12),0)</f>
        <v>0.57733195224336253</v>
      </c>
      <c r="AA23" s="49">
        <f>IFERROR(IF(Data_Entry!AF12/Data_Entry!$I12&lt;0,0,Data_Entry!AF12/Data_Entry!$I12),0)</f>
        <v>0.51518290355994112</v>
      </c>
      <c r="AB23" s="49">
        <f>IFERROR(IF(Data_Entry!AG12/Data_Entry!$I12&lt;0,0,Data_Entry!AG12/Data_Entry!$I12),0)</f>
        <v>0.20934416398626177</v>
      </c>
      <c r="AC23" s="49">
        <f>IFERROR(IF(Data_Entry!AI12/Data_Entry!$I12&lt;0,0,Data_Entry!AI12/Data_Entry!$I12),0)</f>
        <v>8.635446764433298E-2</v>
      </c>
      <c r="AD23" s="49">
        <f>IFERROR(IF(Data_Entry!AM12/Data_Entry!$H12&lt;0,0,Data_Entry!AM12/Data_Entry!$H12),0)</f>
        <v>1.1790605224512773</v>
      </c>
      <c r="AE23" s="50">
        <f>Data_Entry!AK12</f>
        <v>0</v>
      </c>
      <c r="AF23" s="50">
        <f>Data_Entry!AL12</f>
        <v>0</v>
      </c>
      <c r="AG23" s="153">
        <f>(Data_Entry!O12-Data_Entry!Q12)/Data_Entry!O12</f>
        <v>-1.8552875695732839E-3</v>
      </c>
      <c r="AH23" s="79" t="str">
        <f t="shared" si="0"/>
        <v>CAT1</v>
      </c>
      <c r="AI23" s="51">
        <f>SUBTOTAL(3,Tableau1[[#This Row],[ZS]])</f>
        <v>0</v>
      </c>
      <c r="AJ23" s="51" t="e">
        <f t="shared" ca="1" si="1"/>
        <v>#NAME?</v>
      </c>
      <c r="AK23" s="50" t="str">
        <f>IFERROR(IF((Data_Entry!O12-Data_Entry!Q12)/Data_Entry!O12&lt;=10%,"&lt;=10%","&gt;10%"),"&lt;=10%")</f>
        <v>&lt;=10%</v>
      </c>
    </row>
    <row r="24" spans="1:37" s="48" customFormat="1" ht="13" hidden="1" x14ac:dyDescent="0.3">
      <c r="A24" s="31" t="s">
        <v>16</v>
      </c>
      <c r="B24" s="48" t="str">
        <f>Data_Entry!B13</f>
        <v>Butembo</v>
      </c>
      <c r="C24" s="48" t="str">
        <f>Data_Entry!C13</f>
        <v xml:space="preserve"> Alimbongo</v>
      </c>
      <c r="D24" s="48" t="str">
        <f>Data_Entry!D13</f>
        <v xml:space="preserve"> Kaseghe CBCA</v>
      </c>
      <c r="E24" s="49">
        <f>IFERROR(IF(Data_Entry!J13/Data_Entry!$I13&lt;0,0,Data_Entry!J13/Data_Entry!$I13),0)</f>
        <v>3.9190071848465055E-2</v>
      </c>
      <c r="F24" s="49">
        <f>IFERROR(IF(Data_Entry!K13/Data_Entry!$H13&lt;0,0,Data_Entry!K13/Data_Entry!$H13),0)</f>
        <v>2.620157621196326E-2</v>
      </c>
      <c r="G24" s="49">
        <f>IFERROR(IF(Data_Entry!L13/Data_Entry!$H13&lt;0,0,Data_Entry!L13/Data_Entry!$H13),0)</f>
        <v>1.0780077070064884</v>
      </c>
      <c r="H24" s="49">
        <f>IFERROR(IF(Data_Entry!M13/Data_Entry!$H13&lt;0,0,Data_Entry!M13/Data_Entry!$H13),0)</f>
        <v>1.0330907192145515</v>
      </c>
      <c r="I24" s="49">
        <f>IFERROR(IF(Data_Entry!N13/Data_Entry!$H13&lt;0,0,Data_Entry!N13/Data_Entry!$H13),0)</f>
        <v>1.0967231185864623</v>
      </c>
      <c r="J24" s="49">
        <f>IFERROR(IF(Data_Entry!O13/Data_Entry!$H13&lt;0,0,Data_Entry!O13/Data_Entry!$H13),0)</f>
        <v>0.77856112172690839</v>
      </c>
      <c r="K24" s="49">
        <f>IFERROR(IF(Data_Entry!P13/Data_Entry!$H13&lt;0,0,Data_Entry!P13/Data_Entry!$H13),0)</f>
        <v>0.73738721625096604</v>
      </c>
      <c r="L24" s="49">
        <f>IFERROR(IF(Data_Entry!Q13/Data_Entry!$H13&lt;0,0,Data_Entry!Q13/Data_Entry!$H13),0)</f>
        <v>0.80476269793887156</v>
      </c>
      <c r="M24" s="49">
        <f>IFERROR(IF(Data_Entry!R13/Data_Entry!$H13&lt;0,0,Data_Entry!R13/Data_Entry!$H13),0)</f>
        <v>0.79727653330688208</v>
      </c>
      <c r="N24" s="49">
        <f>IFERROR(IF(Data_Entry!S13/Data_Entry!$H13&lt;0,0,Data_Entry!S13/Data_Entry!$H13),0)</f>
        <v>0.75610262783093984</v>
      </c>
      <c r="O24" s="49">
        <f>IFERROR(IF(Data_Entry!T13/Data_Entry!$H13&lt;0,0,Data_Entry!T13/Data_Entry!$H13),0)</f>
        <v>0.82347810951884537</v>
      </c>
      <c r="P24" s="49">
        <f>IFERROR(IF(Data_Entry!U13/Data_Entry!$H13&lt;0,0,Data_Entry!U13/Data_Entry!$H13),0)</f>
        <v>0.89833975583874037</v>
      </c>
      <c r="Q24" s="49">
        <f>IFERROR(IF(Data_Entry!V13/Data_Entry!$H13&lt;0,0,Data_Entry!V13/Data_Entry!$H13),0)</f>
        <v>0.76358879246292932</v>
      </c>
      <c r="R24" s="49">
        <f>IFERROR(IF(Data_Entry!W13/Data_Entry!$H13&lt;0,0,Data_Entry!W13/Data_Entry!$H13),0)</f>
        <v>0.82722119183484011</v>
      </c>
      <c r="S24" s="49">
        <f>IFERROR(IF(Data_Entry!X13/Data_Entry!$H13&lt;0,0,Data_Entry!X13/Data_Entry!$H13),0)</f>
        <v>0.99940297837059866</v>
      </c>
      <c r="T24" s="49">
        <f>IFERROR(IF(Data_Entry!Y13/Data_Entry!$H13&lt;0,0,Data_Entry!Y13/Data_Entry!$H13),0)</f>
        <v>0.13100788105981631</v>
      </c>
      <c r="U24" s="49">
        <f>IFERROR(IF(Data_Entry!Z13/Data_Entry!$H13&lt;0,0,Data_Entry!Z13/Data_Entry!$H13),0)</f>
        <v>0.9844306491066197</v>
      </c>
      <c r="V24" s="49">
        <f>IFERROR(IF(Data_Entry!AA13/Data_Entry!$H13&lt;0,0,Data_Entry!AA13/Data_Entry!$H13),0)</f>
        <v>1.1453831886943939</v>
      </c>
      <c r="W24" s="49">
        <f>IFERROR(IF(Data_Entry!AB13/Data_Entry!$H13&lt;0,0,Data_Entry!AB13/Data_Entry!$H13),0)</f>
        <v>0.95074290826266694</v>
      </c>
      <c r="X24" s="49">
        <f>IFERROR(IF(Data_Entry!AC13/Data_Entry!$I13&lt;0,0,Data_Entry!AC13/Data_Entry!$I13),0)</f>
        <v>0.62377531025473554</v>
      </c>
      <c r="Y24" s="49">
        <f>IFERROR(IF(Data_Entry!AD13/Data_Entry!$I13&lt;0,0,Data_Entry!AD13/Data_Entry!$I13),0)</f>
        <v>0.4408883082952319</v>
      </c>
      <c r="Z24" s="49">
        <f>IFERROR(IF(Data_Entry!AE13/Data_Entry!$I13&lt;0,0,Data_Entry!AE13/Data_Entry!$I13),0)</f>
        <v>0.32331809274983669</v>
      </c>
      <c r="AA24" s="49">
        <f>IFERROR(IF(Data_Entry!AF13/Data_Entry!$I13&lt;0,0,Data_Entry!AF13/Data_Entry!$I13),0)</f>
        <v>0.25473546701502287</v>
      </c>
      <c r="AB24" s="49">
        <f>IFERROR(IF(Data_Entry!AG13/Data_Entry!$I13&lt;0,0,Data_Entry!AG13/Data_Entry!$I13),0)</f>
        <v>0.14696276943174397</v>
      </c>
      <c r="AC24" s="49">
        <f>IFERROR(IF(Data_Entry!AI13/Data_Entry!$I13&lt;0,0,Data_Entry!AI13/Data_Entry!$I13),0)</f>
        <v>0.16329196603527107</v>
      </c>
      <c r="AD24" s="49">
        <f>IFERROR(IF(Data_Entry!AM13/Data_Entry!$H13&lt;0,0,Data_Entry!AM13/Data_Entry!$H13),0)</f>
        <v>0.9844306491066197</v>
      </c>
      <c r="AE24" s="50">
        <f>Data_Entry!AK13</f>
        <v>59.159500000000037</v>
      </c>
      <c r="AF24" s="50">
        <f>Data_Entry!AL13</f>
        <v>0</v>
      </c>
      <c r="AG24" s="153">
        <f>(Data_Entry!O13-Data_Entry!Q13)/Data_Entry!O13</f>
        <v>-3.3653846153846152E-2</v>
      </c>
      <c r="AH24" s="79" t="str">
        <f t="shared" si="0"/>
        <v>CAT3</v>
      </c>
      <c r="AI24" s="51">
        <f>SUBTOTAL(3,Tableau1[[#This Row],[ZS]])</f>
        <v>0</v>
      </c>
      <c r="AJ24" s="51" t="e">
        <f t="shared" ca="1" si="1"/>
        <v>#NAME?</v>
      </c>
      <c r="AK24" s="50" t="str">
        <f>IFERROR(IF((Data_Entry!O13-Data_Entry!Q13)/Data_Entry!O13&lt;=10%,"&lt;=10%","&gt;10%"),"&lt;=10%")</f>
        <v>&lt;=10%</v>
      </c>
    </row>
    <row r="25" spans="1:37" s="48" customFormat="1" ht="13" hidden="1" x14ac:dyDescent="0.3">
      <c r="A25" s="31" t="s">
        <v>16</v>
      </c>
      <c r="B25" s="48" t="str">
        <f>Data_Entry!B14</f>
        <v>Butembo</v>
      </c>
      <c r="C25" s="48" t="str">
        <f>Data_Entry!C14</f>
        <v xml:space="preserve"> Alimbongo</v>
      </c>
      <c r="D25" s="48" t="str">
        <f>Data_Entry!D14</f>
        <v xml:space="preserve"> Kasingiri</v>
      </c>
      <c r="E25" s="49">
        <f>IFERROR(IF(Data_Entry!J14/Data_Entry!$I14&lt;0,0,Data_Entry!J14/Data_Entry!$I14),0)</f>
        <v>0.65534542647626393</v>
      </c>
      <c r="F25" s="49">
        <f>IFERROR(IF(Data_Entry!K14/Data_Entry!$H14&lt;0,0,Data_Entry!K14/Data_Entry!$H14),0)</f>
        <v>0.32114692803721057</v>
      </c>
      <c r="G25" s="49">
        <f>IFERROR(IF(Data_Entry!L14/Data_Entry!$H14&lt;0,0,Data_Entry!L14/Data_Entry!$H14),0)</f>
        <v>0.47243101810432631</v>
      </c>
      <c r="H25" s="49">
        <f>IFERROR(IF(Data_Entry!M14/Data_Entry!$H14&lt;0,0,Data_Entry!M14/Data_Entry!$H14),0)</f>
        <v>0.43792762914165079</v>
      </c>
      <c r="I25" s="49">
        <f>IFERROR(IF(Data_Entry!N14/Data_Entry!$H14&lt;0,0,Data_Entry!N14/Data_Entry!$H14),0)</f>
        <v>0.44323584282821626</v>
      </c>
      <c r="J25" s="49">
        <f>IFERROR(IF(Data_Entry!O14/Data_Entry!$H14&lt;0,0,Data_Entry!O14/Data_Entry!$H14),0)</f>
        <v>0.79888615982810229</v>
      </c>
      <c r="K25" s="49">
        <f>IFERROR(IF(Data_Entry!P14/Data_Entry!$H14&lt;0,0,Data_Entry!P14/Data_Entry!$H14),0)</f>
        <v>0.77234509139527496</v>
      </c>
      <c r="L25" s="49">
        <f>IFERROR(IF(Data_Entry!Q14/Data_Entry!$H14&lt;0,0,Data_Entry!Q14/Data_Entry!$H14),0)</f>
        <v>0.71395474084305488</v>
      </c>
      <c r="M25" s="49">
        <f>IFERROR(IF(Data_Entry!R14/Data_Entry!$H14&lt;0,0,Data_Entry!R14/Data_Entry!$H14),0)</f>
        <v>0.79357794614153687</v>
      </c>
      <c r="N25" s="49">
        <f>IFERROR(IF(Data_Entry!S14/Data_Entry!$H14&lt;0,0,Data_Entry!S14/Data_Entry!$H14),0)</f>
        <v>0.74845812980573045</v>
      </c>
      <c r="O25" s="49">
        <f>IFERROR(IF(Data_Entry!T14/Data_Entry!$H14&lt;0,0,Data_Entry!T14/Data_Entry!$H14),0)</f>
        <v>0.70333831346992404</v>
      </c>
      <c r="P25" s="49">
        <f>IFERROR(IF(Data_Entry!U14/Data_Entry!$H14&lt;0,0,Data_Entry!U14/Data_Entry!$H14),0)</f>
        <v>0.88381757881314971</v>
      </c>
      <c r="Q25" s="49">
        <f>IFERROR(IF(Data_Entry!V14/Data_Entry!$H14&lt;0,0,Data_Entry!V14/Data_Entry!$H14),0)</f>
        <v>0.78296151876840592</v>
      </c>
      <c r="R25" s="49">
        <f>IFERROR(IF(Data_Entry!W14/Data_Entry!$H14&lt;0,0,Data_Entry!W14/Data_Entry!$H14),0)</f>
        <v>0.8201190145743642</v>
      </c>
      <c r="S25" s="49">
        <f>IFERROR(IF(Data_Entry!X14/Data_Entry!$H14&lt;0,0,Data_Entry!X14/Data_Entry!$H14),0)</f>
        <v>1.0775673783727893</v>
      </c>
      <c r="T25" s="49">
        <f>IFERROR(IF(Data_Entry!Y14/Data_Entry!$H14&lt;0,0,Data_Entry!Y14/Data_Entry!$H14),0)</f>
        <v>0.46181459073119535</v>
      </c>
      <c r="U25" s="49">
        <f>IFERROR(IF(Data_Entry!Z14/Data_Entry!$H14&lt;0,0,Data_Entry!Z14/Data_Entry!$H14),0)</f>
        <v>0.80684848035795054</v>
      </c>
      <c r="V25" s="49">
        <f>IFERROR(IF(Data_Entry!AA14/Data_Entry!$H14&lt;0,0,Data_Entry!AA14/Data_Entry!$H14),0)</f>
        <v>0.67945135188037942</v>
      </c>
      <c r="W25" s="49">
        <f>IFERROR(IF(Data_Entry!AB14/Data_Entry!$H14&lt;0,0,Data_Entry!AB14/Data_Entry!$H14),0)</f>
        <v>0.44323584282821626</v>
      </c>
      <c r="X25" s="49">
        <f>IFERROR(IF(Data_Entry!AC14/Data_Entry!$I14&lt;0,0,Data_Entry!AC14/Data_Entry!$I14),0)</f>
        <v>7.1786954843689688E-2</v>
      </c>
      <c r="Y25" s="49">
        <f>IFERROR(IF(Data_Entry!AD14/Data_Entry!$I14&lt;0,0,Data_Entry!AD14/Data_Entry!$I14),0)</f>
        <v>4.1682747973755305E-2</v>
      </c>
      <c r="Z25" s="49">
        <f>IFERROR(IF(Data_Entry!AE14/Data_Entry!$I14&lt;0,0,Data_Entry!AE14/Data_Entry!$I14),0)</f>
        <v>8.1049787726746425E-2</v>
      </c>
      <c r="AA25" s="49">
        <f>IFERROR(IF(Data_Entry!AF14/Data_Entry!$I14&lt;0,0,Data_Entry!AF14/Data_Entry!$I14),0)</f>
        <v>6.7155538402161319E-2</v>
      </c>
      <c r="AB25" s="49">
        <f>IFERROR(IF(Data_Entry!AG14/Data_Entry!$I14&lt;0,0,Data_Entry!AG14/Data_Entry!$I14),0)</f>
        <v>5.5576997298340404E-2</v>
      </c>
      <c r="AC25" s="49">
        <f>IFERROR(IF(Data_Entry!AI14/Data_Entry!$I14&lt;0,0,Data_Entry!AI14/Data_Entry!$I14),0)</f>
        <v>0.12551138556541874</v>
      </c>
      <c r="AD25" s="49">
        <f>IFERROR(IF(Data_Entry!AM14/Data_Entry!$H14&lt;0,0,Data_Entry!AM14/Data_Entry!$H14),0)</f>
        <v>0.80684848035795054</v>
      </c>
      <c r="AE25" s="50">
        <f>Data_Entry!AK14</f>
        <v>75.774583333333339</v>
      </c>
      <c r="AF25" s="50">
        <f>Data_Entry!AL14</f>
        <v>0</v>
      </c>
      <c r="AG25" s="153">
        <f>(Data_Entry!O14-Data_Entry!Q14)/Data_Entry!O14</f>
        <v>0.10631229235880399</v>
      </c>
      <c r="AH25" s="79" t="str">
        <f t="shared" si="0"/>
        <v>CAT4</v>
      </c>
      <c r="AI25" s="51">
        <f>SUBTOTAL(3,Tableau1[[#This Row],[ZS]])</f>
        <v>0</v>
      </c>
      <c r="AJ25" s="51" t="e">
        <f t="shared" ca="1" si="1"/>
        <v>#NAME?</v>
      </c>
      <c r="AK25" s="50" t="str">
        <f>IFERROR(IF((Data_Entry!O14-Data_Entry!Q14)/Data_Entry!O14&lt;=10%,"&lt;=10%","&gt;10%"),"&lt;=10%")</f>
        <v>&gt;10%</v>
      </c>
    </row>
    <row r="26" spans="1:37" s="48" customFormat="1" ht="13" hidden="1" x14ac:dyDescent="0.3">
      <c r="A26" s="31" t="s">
        <v>16</v>
      </c>
      <c r="B26" s="48" t="str">
        <f>Data_Entry!B15</f>
        <v>Butembo</v>
      </c>
      <c r="C26" s="48" t="str">
        <f>Data_Entry!C15</f>
        <v xml:space="preserve"> Alimbongo</v>
      </c>
      <c r="D26" s="48" t="str">
        <f>Data_Entry!D15</f>
        <v xml:space="preserve"> Kikyo</v>
      </c>
      <c r="E26" s="49">
        <f>IFERROR(IF(Data_Entry!J15/Data_Entry!$I15&lt;0,0,Data_Entry!J15/Data_Entry!$I15),0)</f>
        <v>0.27725631768953068</v>
      </c>
      <c r="F26" s="49">
        <f>IFERROR(IF(Data_Entry!K15/Data_Entry!$H15&lt;0,0,Data_Entry!K15/Data_Entry!$H15),0)</f>
        <v>0</v>
      </c>
      <c r="G26" s="49">
        <f>IFERROR(IF(Data_Entry!L15/Data_Entry!$H15&lt;0,0,Data_Entry!L15/Data_Entry!$H15),0)</f>
        <v>0.41211093066316346</v>
      </c>
      <c r="H26" s="49">
        <f>IFERROR(IF(Data_Entry!M15/Data_Entry!$H15&lt;0,0,Data_Entry!M15/Data_Entry!$H15),0)</f>
        <v>0.39225016292036036</v>
      </c>
      <c r="I26" s="49">
        <f>IFERROR(IF(Data_Entry!N15/Data_Entry!$H15&lt;0,0,Data_Entry!N15/Data_Entry!$H15),0)</f>
        <v>0.40466314275961229</v>
      </c>
      <c r="J26" s="49">
        <f>IFERROR(IF(Data_Entry!O15/Data_Entry!$H15&lt;0,0,Data_Entry!O15/Data_Entry!$H15),0)</f>
        <v>0.41955871856671456</v>
      </c>
      <c r="K26" s="49">
        <f>IFERROR(IF(Data_Entry!P15/Data_Entry!$H15&lt;0,0,Data_Entry!P15/Data_Entry!$H15),0)</f>
        <v>0.39473275888821074</v>
      </c>
      <c r="L26" s="49">
        <f>IFERROR(IF(Data_Entry!Q15/Data_Entry!$H15&lt;0,0,Data_Entry!Q15/Data_Entry!$H15),0)</f>
        <v>0.36494160727400615</v>
      </c>
      <c r="M26" s="49">
        <f>IFERROR(IF(Data_Entry!R15/Data_Entry!$H15&lt;0,0,Data_Entry!R15/Data_Entry!$H15),0)</f>
        <v>0.42452391050241534</v>
      </c>
      <c r="N26" s="49">
        <f>IFERROR(IF(Data_Entry!S15/Data_Entry!$H15&lt;0,0,Data_Entry!S15/Data_Entry!$H15),0)</f>
        <v>0.39225016292036036</v>
      </c>
      <c r="O26" s="49">
        <f>IFERROR(IF(Data_Entry!T15/Data_Entry!$H15&lt;0,0,Data_Entry!T15/Data_Entry!$H15),0)</f>
        <v>0.36742420324185654</v>
      </c>
      <c r="P26" s="49">
        <f>IFERROR(IF(Data_Entry!U15/Data_Entry!$H15&lt;0,0,Data_Entry!U15/Data_Entry!$H15),0)</f>
        <v>0.39721535485606113</v>
      </c>
      <c r="Q26" s="49">
        <f>IFERROR(IF(Data_Entry!V15/Data_Entry!$H15&lt;0,0,Data_Entry!V15/Data_Entry!$H15),0)</f>
        <v>0.37735458711325809</v>
      </c>
      <c r="R26" s="49">
        <f>IFERROR(IF(Data_Entry!W15/Data_Entry!$H15&lt;0,0,Data_Entry!W15/Data_Entry!$H15),0)</f>
        <v>0.38231977904895886</v>
      </c>
      <c r="S26" s="49">
        <f>IFERROR(IF(Data_Entry!X15/Data_Entry!$H15&lt;0,0,Data_Entry!X15/Data_Entry!$H15),0)</f>
        <v>0.41459352663101384</v>
      </c>
      <c r="T26" s="49">
        <f>IFERROR(IF(Data_Entry!Y15/Data_Entry!$H15&lt;0,0,Data_Entry!Y15/Data_Entry!$H15),0)</f>
        <v>7.4477879035511466E-2</v>
      </c>
      <c r="U26" s="49">
        <f>IFERROR(IF(Data_Entry!Z15/Data_Entry!$H15&lt;0,0,Data_Entry!Z15/Data_Entry!$H15),0)</f>
        <v>0.41211093066316346</v>
      </c>
      <c r="V26" s="49">
        <f>IFERROR(IF(Data_Entry!AA15/Data_Entry!$H15&lt;0,0,Data_Entry!AA15/Data_Entry!$H15),0)</f>
        <v>0.40714573872746268</v>
      </c>
      <c r="W26" s="49">
        <f>IFERROR(IF(Data_Entry!AB15/Data_Entry!$H15&lt;0,0,Data_Entry!AB15/Data_Entry!$H15),0)</f>
        <v>0.38728497098465964</v>
      </c>
      <c r="X26" s="49">
        <f>IFERROR(IF(Data_Entry!AC15/Data_Entry!$I15&lt;0,0,Data_Entry!AC15/Data_Entry!$I15),0)</f>
        <v>0.16678700361010831</v>
      </c>
      <c r="Y26" s="49">
        <f>IFERROR(IF(Data_Entry!AD15/Data_Entry!$I15&lt;0,0,Data_Entry!AD15/Data_Entry!$I15),0)</f>
        <v>8.6642599277978349E-2</v>
      </c>
      <c r="Z26" s="49">
        <f>IFERROR(IF(Data_Entry!AE15/Data_Entry!$I15&lt;0,0,Data_Entry!AE15/Data_Entry!$I15),0)</f>
        <v>3.6823104693140797E-2</v>
      </c>
      <c r="AA26" s="49">
        <f>IFERROR(IF(Data_Entry!AF15/Data_Entry!$I15&lt;0,0,Data_Entry!AF15/Data_Entry!$I15),0)</f>
        <v>2.3826714801444045E-2</v>
      </c>
      <c r="AB26" s="49">
        <f>IFERROR(IF(Data_Entry!AG15/Data_Entry!$I15&lt;0,0,Data_Entry!AG15/Data_Entry!$I15),0)</f>
        <v>3.4657039711191336E-2</v>
      </c>
      <c r="AC26" s="49">
        <f>IFERROR(IF(Data_Entry!AI15/Data_Entry!$I15&lt;0,0,Data_Entry!AI15/Data_Entry!$I15),0)</f>
        <v>9.9205776173285201E-2</v>
      </c>
      <c r="AD26" s="49">
        <f>IFERROR(IF(Data_Entry!AM15/Data_Entry!$H15&lt;0,0,Data_Entry!AM15/Data_Entry!$H15),0)</f>
        <v>0.41211093066316346</v>
      </c>
      <c r="AE26" s="50">
        <f>Data_Entry!AK15</f>
        <v>233.80416666666667</v>
      </c>
      <c r="AF26" s="50">
        <f>Data_Entry!AL15</f>
        <v>2</v>
      </c>
      <c r="AG26" s="153">
        <f>(Data_Entry!O15-Data_Entry!Q15)/Data_Entry!O15</f>
        <v>0.13017751479289941</v>
      </c>
      <c r="AH26" s="79" t="str">
        <f t="shared" si="0"/>
        <v>CAT4</v>
      </c>
      <c r="AI26" s="51">
        <f>SUBTOTAL(3,Tableau1[[#This Row],[ZS]])</f>
        <v>0</v>
      </c>
      <c r="AJ26" s="51" t="e">
        <f t="shared" ca="1" si="1"/>
        <v>#NAME?</v>
      </c>
      <c r="AK26" s="50" t="str">
        <f>IFERROR(IF((Data_Entry!O15-Data_Entry!Q15)/Data_Entry!O15&lt;=10%,"&lt;=10%","&gt;10%"),"&lt;=10%")</f>
        <v>&gt;10%</v>
      </c>
    </row>
    <row r="27" spans="1:37" s="48" customFormat="1" ht="13" hidden="1" x14ac:dyDescent="0.3">
      <c r="A27" s="31" t="s">
        <v>16</v>
      </c>
      <c r="B27" s="48" t="str">
        <f>Data_Entry!B16</f>
        <v>Butembo</v>
      </c>
      <c r="C27" s="48" t="str">
        <f>Data_Entry!C16</f>
        <v xml:space="preserve"> Alimbongo</v>
      </c>
      <c r="D27" s="48" t="str">
        <f>Data_Entry!D16</f>
        <v xml:space="preserve"> Kilonge</v>
      </c>
      <c r="E27" s="49">
        <f>IFERROR(IF(Data_Entry!J16/Data_Entry!$I16&lt;0,0,Data_Entry!J16/Data_Entry!$I16),0)</f>
        <v>0.65562913907284759</v>
      </c>
      <c r="F27" s="49">
        <f>IFERROR(IF(Data_Entry!K16/Data_Entry!$H16&lt;0,0,Data_Entry!K16/Data_Entry!$H16),0)</f>
        <v>0.62131837687351066</v>
      </c>
      <c r="G27" s="49">
        <f>IFERROR(IF(Data_Entry!L16/Data_Entry!$H16&lt;0,0,Data_Entry!L16/Data_Entry!$H16),0)</f>
        <v>1.1970950926149315</v>
      </c>
      <c r="H27" s="49">
        <f>IFERROR(IF(Data_Entry!M16/Data_Entry!$H16&lt;0,0,Data_Entry!M16/Data_Entry!$H16),0)</f>
        <v>1.1385415283022446</v>
      </c>
      <c r="I27" s="49">
        <f>IFERROR(IF(Data_Entry!N16/Data_Entry!$H16&lt;0,0,Data_Entry!N16/Data_Entry!$H16),0)</f>
        <v>1.0897468913750057</v>
      </c>
      <c r="J27" s="49">
        <f>IFERROR(IF(Data_Entry!O16/Data_Entry!$H16&lt;0,0,Data_Entry!O16/Data_Entry!$H16),0)</f>
        <v>1.190589141024633</v>
      </c>
      <c r="K27" s="49">
        <f>IFERROR(IF(Data_Entry!P16/Data_Entry!$H16&lt;0,0,Data_Entry!P16/Data_Entry!$H16),0)</f>
        <v>1.1515534314828417</v>
      </c>
      <c r="L27" s="49">
        <f>IFERROR(IF(Data_Entry!Q16/Data_Entry!$H16&lt;0,0,Data_Entry!Q16/Data_Entry!$H16),0)</f>
        <v>1.0864939155798563</v>
      </c>
      <c r="M27" s="49">
        <f>IFERROR(IF(Data_Entry!R16/Data_Entry!$H16&lt;0,0,Data_Entry!R16/Data_Entry!$H16),0)</f>
        <v>1.0311933270623188</v>
      </c>
      <c r="N27" s="49">
        <f>IFERROR(IF(Data_Entry!S16/Data_Entry!$H16&lt;0,0,Data_Entry!S16/Data_Entry!$H16),0)</f>
        <v>1.0409522544477665</v>
      </c>
      <c r="O27" s="49">
        <f>IFERROR(IF(Data_Entry!T16/Data_Entry!$H16&lt;0,0,Data_Entry!T16/Data_Entry!$H16),0)</f>
        <v>0.92059215002724359</v>
      </c>
      <c r="P27" s="49">
        <f>IFERROR(IF(Data_Entry!U16/Data_Entry!$H16&lt;0,0,Data_Entry!U16/Data_Entry!$H16),0)</f>
        <v>1.1580593830731403</v>
      </c>
      <c r="Q27" s="49">
        <f>IFERROR(IF(Data_Entry!V16/Data_Entry!$H16&lt;0,0,Data_Entry!V16/Data_Entry!$H16),0)</f>
        <v>0.99541059331567683</v>
      </c>
      <c r="R27" s="49">
        <f>IFERROR(IF(Data_Entry!W16/Data_Entry!$H16&lt;0,0,Data_Entry!W16/Data_Entry!$H16),0)</f>
        <v>1.0246873754720203</v>
      </c>
      <c r="S27" s="49">
        <f>IFERROR(IF(Data_Entry!X16/Data_Entry!$H16&lt;0,0,Data_Entry!X16/Data_Entry!$H16),0)</f>
        <v>1.1645653346634388</v>
      </c>
      <c r="T27" s="49">
        <f>IFERROR(IF(Data_Entry!Y16/Data_Entry!$H16&lt;0,0,Data_Entry!Y16/Data_Entry!$H16),0)</f>
        <v>0.20493747509440405</v>
      </c>
      <c r="U27" s="49">
        <f>IFERROR(IF(Data_Entry!Z16/Data_Entry!$H16&lt;0,0,Data_Entry!Z16/Data_Entry!$H16),0)</f>
        <v>1.0116754722914232</v>
      </c>
      <c r="V27" s="49">
        <f>IFERROR(IF(Data_Entry!AA16/Data_Entry!$H16&lt;0,0,Data_Entry!AA16/Data_Entry!$H16),0)</f>
        <v>0.86203858571455672</v>
      </c>
      <c r="W27" s="49">
        <f>IFERROR(IF(Data_Entry!AB16/Data_Entry!$H16&lt;0,0,Data_Entry!AB16/Data_Entry!$H16),0)</f>
        <v>0.65384813482500337</v>
      </c>
      <c r="X27" s="49">
        <f>IFERROR(IF(Data_Entry!AC16/Data_Entry!$I16&lt;0,0,Data_Entry!AC16/Data_Entry!$I16),0)</f>
        <v>1.595080416272469</v>
      </c>
      <c r="Y27" s="49">
        <f>IFERROR(IF(Data_Entry!AD16/Data_Entry!$I16&lt;0,0,Data_Entry!AD16/Data_Entry!$I16),0)</f>
        <v>1.0047303689687794</v>
      </c>
      <c r="Z27" s="49">
        <f>IFERROR(IF(Data_Entry!AE16/Data_Entry!$I16&lt;0,0,Data_Entry!AE16/Data_Entry!$I16),0)</f>
        <v>0.53926206244087038</v>
      </c>
      <c r="AA27" s="49">
        <f>IFERROR(IF(Data_Entry!AF16/Data_Entry!$I16&lt;0,0,Data_Entry!AF16/Data_Entry!$I16),0)</f>
        <v>0.35477767265846732</v>
      </c>
      <c r="AB27" s="49">
        <f>IFERROR(IF(Data_Entry!AG16/Data_Entry!$I16&lt;0,0,Data_Entry!AG16/Data_Entry!$I16),0)</f>
        <v>0.30652790917691575</v>
      </c>
      <c r="AC27" s="49">
        <f>IFERROR(IF(Data_Entry!AI16/Data_Entry!$I16&lt;0,0,Data_Entry!AI16/Data_Entry!$I16),0)</f>
        <v>0.16546830652790914</v>
      </c>
      <c r="AD27" s="49">
        <f>IFERROR(IF(Data_Entry!AM16/Data_Entry!$H16&lt;0,0,Data_Entry!AM16/Data_Entry!$H16),0)</f>
        <v>1.0116754722914232</v>
      </c>
      <c r="AE27" s="50">
        <f>Data_Entry!AK16</f>
        <v>0</v>
      </c>
      <c r="AF27" s="50">
        <f>Data_Entry!AL16</f>
        <v>8</v>
      </c>
      <c r="AG27" s="153">
        <f>(Data_Entry!O16-Data_Entry!Q16)/Data_Entry!O16</f>
        <v>8.7431693989071038E-2</v>
      </c>
      <c r="AH27" s="79" t="str">
        <f t="shared" si="0"/>
        <v>CAT1</v>
      </c>
      <c r="AI27" s="51">
        <f>SUBTOTAL(3,Tableau1[[#This Row],[ZS]])</f>
        <v>0</v>
      </c>
      <c r="AJ27" s="51" t="e">
        <f t="shared" ca="1" si="1"/>
        <v>#NAME?</v>
      </c>
      <c r="AK27" s="50" t="str">
        <f>IFERROR(IF((Data_Entry!O16-Data_Entry!Q16)/Data_Entry!O16&lt;=10%,"&lt;=10%","&gt;10%"),"&lt;=10%")</f>
        <v>&lt;=10%</v>
      </c>
    </row>
    <row r="28" spans="1:37" s="48" customFormat="1" ht="13" hidden="1" x14ac:dyDescent="0.3">
      <c r="A28" s="31" t="s">
        <v>16</v>
      </c>
      <c r="B28" s="48" t="str">
        <f>Data_Entry!B17</f>
        <v>Butembo</v>
      </c>
      <c r="C28" s="48" t="str">
        <f>Data_Entry!C17</f>
        <v xml:space="preserve"> Alimbongo</v>
      </c>
      <c r="D28" s="48" t="str">
        <f>Data_Entry!D17</f>
        <v xml:space="preserve"> Kiribata</v>
      </c>
      <c r="E28" s="49">
        <f>IFERROR(IF(Data_Entry!J17/Data_Entry!$I17&lt;0,0,Data_Entry!J17/Data_Entry!$I17),0)</f>
        <v>0.81333973128598847</v>
      </c>
      <c r="F28" s="49">
        <f>IFERROR(IF(Data_Entry!K17/Data_Entry!$H17&lt;0,0,Data_Entry!K17/Data_Entry!$H17),0)</f>
        <v>0.12786739189018254</v>
      </c>
      <c r="G28" s="49">
        <f>IFERROR(IF(Data_Entry!L17/Data_Entry!$H17&lt;0,0,Data_Entry!L17/Data_Entry!$H17),0)</f>
        <v>1.1054342266635135</v>
      </c>
      <c r="H28" s="49">
        <f>IFERROR(IF(Data_Entry!M17/Data_Entry!$H17&lt;0,0,Data_Entry!M17/Data_Entry!$H17),0)</f>
        <v>1.0476876625840763</v>
      </c>
      <c r="I28" s="49">
        <f>IFERROR(IF(Data_Entry!N17/Data_Entry!$H17&lt;0,0,Data_Entry!N17/Data_Entry!$H17),0)</f>
        <v>1.0641866808924869</v>
      </c>
      <c r="J28" s="49">
        <f>IFERROR(IF(Data_Entry!O17/Data_Entry!$H17&lt;0,0,Data_Entry!O17/Data_Entry!$H17),0)</f>
        <v>1.2085530910910802</v>
      </c>
      <c r="K28" s="49">
        <f>IFERROR(IF(Data_Entry!P17/Data_Entry!$H17&lt;0,0,Data_Entry!P17/Data_Entry!$H17),0)</f>
        <v>1.1219332449719241</v>
      </c>
      <c r="L28" s="49">
        <f>IFERROR(IF(Data_Entry!Q17/Data_Entry!$H17&lt;0,0,Data_Entry!Q17/Data_Entry!$H17),0)</f>
        <v>1.113683735817719</v>
      </c>
      <c r="M28" s="49">
        <f>IFERROR(IF(Data_Entry!R17/Data_Entry!$H17&lt;0,0,Data_Entry!R17/Data_Entry!$H17),0)</f>
        <v>1.1673055453200536</v>
      </c>
      <c r="N28" s="49">
        <f>IFERROR(IF(Data_Entry!S17/Data_Entry!$H17&lt;0,0,Data_Entry!S17/Data_Entry!$H17),0)</f>
        <v>1.1178084903948216</v>
      </c>
      <c r="O28" s="49">
        <f>IFERROR(IF(Data_Entry!T17/Data_Entry!$H17&lt;0,0,Data_Entry!T17/Data_Entry!$H17),0)</f>
        <v>1.1054342266635135</v>
      </c>
      <c r="P28" s="49">
        <f>IFERROR(IF(Data_Entry!U17/Data_Entry!$H17&lt;0,0,Data_Entry!U17/Data_Entry!$H17),0)</f>
        <v>0.98581634392753636</v>
      </c>
      <c r="Q28" s="49">
        <f>IFERROR(IF(Data_Entry!V17/Data_Entry!$H17&lt;0,0,Data_Entry!V17/Data_Entry!$H17),0)</f>
        <v>0.98994109850463907</v>
      </c>
      <c r="R28" s="49">
        <f>IFERROR(IF(Data_Entry!W17/Data_Entry!$H17&lt;0,0,Data_Entry!W17/Data_Entry!$H17),0)</f>
        <v>0.92394502527099642</v>
      </c>
      <c r="S28" s="49">
        <f>IFERROR(IF(Data_Entry!X17/Data_Entry!$H17&lt;0,0,Data_Entry!X17/Data_Entry!$H17),0)</f>
        <v>1.1301827541261296</v>
      </c>
      <c r="T28" s="49">
        <f>IFERROR(IF(Data_Entry!Y17/Data_Entry!$H17&lt;0,0,Data_Entry!Y17/Data_Entry!$H17),0)</f>
        <v>0.44959824890419026</v>
      </c>
      <c r="U28" s="49">
        <f>IFERROR(IF(Data_Entry!Z17/Data_Entry!$H17&lt;0,0,Data_Entry!Z17/Data_Entry!$H17),0)</f>
        <v>1.0889352083551029</v>
      </c>
      <c r="V28" s="49">
        <f>IFERROR(IF(Data_Entry!AA17/Data_Entry!$H17&lt;0,0,Data_Entry!AA17/Data_Entry!$H17),0)</f>
        <v>0.92806977984809913</v>
      </c>
      <c r="W28" s="49">
        <f>IFERROR(IF(Data_Entry!AB17/Data_Entry!$H17&lt;0,0,Data_Entry!AB17/Data_Entry!$H17),0)</f>
        <v>0.8868222340770725</v>
      </c>
      <c r="X28" s="49">
        <f>IFERROR(IF(Data_Entry!AC17/Data_Entry!$I17&lt;0,0,Data_Entry!AC17/Data_Entry!$I17),0)</f>
        <v>0.27711132437619962</v>
      </c>
      <c r="Y28" s="49">
        <f>IFERROR(IF(Data_Entry!AD17/Data_Entry!$I17&lt;0,0,Data_Entry!AD17/Data_Entry!$I17),0)</f>
        <v>0.20513435700575816</v>
      </c>
      <c r="Z28" s="49">
        <f>IFERROR(IF(Data_Entry!AE17/Data_Entry!$I17&lt;0,0,Data_Entry!AE17/Data_Entry!$I17),0)</f>
        <v>0.22672744721689059</v>
      </c>
      <c r="AA28" s="49">
        <f>IFERROR(IF(Data_Entry!AF17/Data_Entry!$I17&lt;0,0,Data_Entry!AF17/Data_Entry!$I17),0)</f>
        <v>0.21593090211132437</v>
      </c>
      <c r="AB28" s="49">
        <f>IFERROR(IF(Data_Entry!AG17/Data_Entry!$I17&lt;0,0,Data_Entry!AG17/Data_Entry!$I17),0)</f>
        <v>0.22672744721689059</v>
      </c>
      <c r="AC28" s="49">
        <f>IFERROR(IF(Data_Entry!AI17/Data_Entry!$I17&lt;0,0,Data_Entry!AI17/Data_Entry!$I17),0)</f>
        <v>0.20981285988483683</v>
      </c>
      <c r="AD28" s="49">
        <f>IFERROR(IF(Data_Entry!AM17/Data_Entry!$H17&lt;0,0,Data_Entry!AM17/Data_Entry!$H17),0)</f>
        <v>1.0889352083551029</v>
      </c>
      <c r="AE28" s="50">
        <f>Data_Entry!AK17</f>
        <v>0</v>
      </c>
      <c r="AF28" s="50">
        <f>Data_Entry!AL17</f>
        <v>19</v>
      </c>
      <c r="AG28" s="153">
        <f>(Data_Entry!O17-Data_Entry!Q17)/Data_Entry!O17</f>
        <v>7.8498293515358364E-2</v>
      </c>
      <c r="AH28" s="79" t="str">
        <f t="shared" si="0"/>
        <v>CAT1</v>
      </c>
      <c r="AI28" s="51">
        <f>SUBTOTAL(3,Tableau1[[#This Row],[ZS]])</f>
        <v>0</v>
      </c>
      <c r="AJ28" s="51" t="e">
        <f t="shared" ca="1" si="1"/>
        <v>#NAME?</v>
      </c>
      <c r="AK28" s="50" t="str">
        <f>IFERROR(IF((Data_Entry!O17-Data_Entry!Q17)/Data_Entry!O17&lt;=10%,"&lt;=10%","&gt;10%"),"&lt;=10%")</f>
        <v>&lt;=10%</v>
      </c>
    </row>
    <row r="29" spans="1:37" s="48" customFormat="1" ht="13" hidden="1" x14ac:dyDescent="0.3">
      <c r="A29" s="31" t="s">
        <v>16</v>
      </c>
      <c r="B29" s="48" t="str">
        <f>Data_Entry!B18</f>
        <v>Butembo</v>
      </c>
      <c r="C29" s="48" t="str">
        <f>Data_Entry!C18</f>
        <v xml:space="preserve"> Alimbongo</v>
      </c>
      <c r="D29" s="48" t="str">
        <f>Data_Entry!D18</f>
        <v xml:space="preserve"> Kitsombiro</v>
      </c>
      <c r="E29" s="49">
        <f>IFERROR(IF(Data_Entry!J18/Data_Entry!$I18&lt;0,0,Data_Entry!J18/Data_Entry!$I18),0)</f>
        <v>0.79222894369474162</v>
      </c>
      <c r="F29" s="49">
        <f>IFERROR(IF(Data_Entry!K18/Data_Entry!$H18&lt;0,0,Data_Entry!K18/Data_Entry!$H18),0)</f>
        <v>0.85599885866818837</v>
      </c>
      <c r="G29" s="49">
        <f>IFERROR(IF(Data_Entry!L18/Data_Entry!$H18&lt;0,0,Data_Entry!L18/Data_Entry!$H18),0)</f>
        <v>0.8499988666681777</v>
      </c>
      <c r="H29" s="49">
        <f>IFERROR(IF(Data_Entry!M18/Data_Entry!$H18&lt;0,0,Data_Entry!M18/Data_Entry!$H18),0)</f>
        <v>0.80399892800142925</v>
      </c>
      <c r="I29" s="49">
        <f>IFERROR(IF(Data_Entry!N18/Data_Entry!$H18&lt;0,0,Data_Entry!N18/Data_Entry!$H18),0)</f>
        <v>0.78999894666807102</v>
      </c>
      <c r="J29" s="49">
        <f>IFERROR(IF(Data_Entry!O18/Data_Entry!$H18&lt;0,0,Data_Entry!O18/Data_Entry!$H18),0)</f>
        <v>0.86399884800153592</v>
      </c>
      <c r="K29" s="49">
        <f>IFERROR(IF(Data_Entry!P18/Data_Entry!$H18&lt;0,0,Data_Entry!P18/Data_Entry!$H18),0)</f>
        <v>0.80799892266810303</v>
      </c>
      <c r="L29" s="49">
        <f>IFERROR(IF(Data_Entry!Q18/Data_Entry!$H18&lt;0,0,Data_Entry!Q18/Data_Entry!$H18),0)</f>
        <v>0.77399896800137591</v>
      </c>
      <c r="M29" s="49">
        <f>IFERROR(IF(Data_Entry!R18/Data_Entry!$H18&lt;0,0,Data_Entry!R18/Data_Entry!$H18),0)</f>
        <v>0.86999884000154659</v>
      </c>
      <c r="N29" s="49">
        <f>IFERROR(IF(Data_Entry!S18/Data_Entry!$H18&lt;0,0,Data_Entry!S18/Data_Entry!$H18),0)</f>
        <v>0.83799888266815636</v>
      </c>
      <c r="O29" s="49">
        <f>IFERROR(IF(Data_Entry!T18/Data_Entry!$H18&lt;0,0,Data_Entry!T18/Data_Entry!$H18),0)</f>
        <v>0.78199895733472347</v>
      </c>
      <c r="P29" s="49">
        <f>IFERROR(IF(Data_Entry!U18/Data_Entry!$H18&lt;0,0,Data_Entry!U18/Data_Entry!$H18),0)</f>
        <v>0.73599901866797512</v>
      </c>
      <c r="Q29" s="49">
        <f>IFERROR(IF(Data_Entry!V18/Data_Entry!$H18&lt;0,0,Data_Entry!V18/Data_Entry!$H18),0)</f>
        <v>0.59799920266772977</v>
      </c>
      <c r="R29" s="49">
        <f>IFERROR(IF(Data_Entry!W18/Data_Entry!$H18&lt;0,0,Data_Entry!W18/Data_Entry!$H18),0)</f>
        <v>0.42399943466742041</v>
      </c>
      <c r="S29" s="49">
        <f>IFERROR(IF(Data_Entry!X18/Data_Entry!$H18&lt;0,0,Data_Entry!X18/Data_Entry!$H18),0)</f>
        <v>1.0159986453351395</v>
      </c>
      <c r="T29" s="49">
        <f>IFERROR(IF(Data_Entry!Y18/Data_Entry!$H18&lt;0,0,Data_Entry!Y18/Data_Entry!$H18),0)</f>
        <v>0.33999954666727111</v>
      </c>
      <c r="U29" s="49">
        <f>IFERROR(IF(Data_Entry!Z18/Data_Entry!$H18&lt;0,0,Data_Entry!Z18/Data_Entry!$H18),0)</f>
        <v>0.86999884000154659</v>
      </c>
      <c r="V29" s="49">
        <f>IFERROR(IF(Data_Entry!AA18/Data_Entry!$H18&lt;0,0,Data_Entry!AA18/Data_Entry!$H18),0)</f>
        <v>0.7939989413347448</v>
      </c>
      <c r="W29" s="49">
        <f>IFERROR(IF(Data_Entry!AB18/Data_Entry!$H18&lt;0,0,Data_Entry!AB18/Data_Entry!$H18),0)</f>
        <v>0.51999930666759109</v>
      </c>
      <c r="X29" s="49">
        <f>IFERROR(IF(Data_Entry!AC18/Data_Entry!$I18&lt;0,0,Data_Entry!AC18/Data_Entry!$I18),0)</f>
        <v>0.3001395998138669</v>
      </c>
      <c r="Y29" s="49">
        <f>IFERROR(IF(Data_Entry!AD18/Data_Entry!$I18&lt;0,0,Data_Entry!AD18/Data_Entry!$I18),0)</f>
        <v>0.24429967426710095</v>
      </c>
      <c r="Z29" s="49">
        <f>IFERROR(IF(Data_Entry!AE18/Data_Entry!$I18&lt;0,0,Data_Entry!AE18/Data_Entry!$I18),0)</f>
        <v>0.17624476500697997</v>
      </c>
      <c r="AA29" s="49">
        <f>IFERROR(IF(Data_Entry!AF18/Data_Entry!$I18&lt;0,0,Data_Entry!AF18/Data_Entry!$I18),0)</f>
        <v>0.16053978594695206</v>
      </c>
      <c r="AB29" s="49">
        <f>IFERROR(IF(Data_Entry!AG18/Data_Entry!$I18&lt;0,0,Data_Entry!AG18/Data_Entry!$I18),0)</f>
        <v>0.4240344346207538</v>
      </c>
      <c r="AC29" s="49">
        <f>IFERROR(IF(Data_Entry!AI18/Data_Entry!$I18&lt;0,0,Data_Entry!AI18/Data_Entry!$I18),0)</f>
        <v>0.10173336435551418</v>
      </c>
      <c r="AD29" s="49">
        <f>IFERROR(IF(Data_Entry!AM18/Data_Entry!$H18&lt;0,0,Data_Entry!AM18/Data_Entry!$H18),0)</f>
        <v>0.86999884000154659</v>
      </c>
      <c r="AE29" s="50">
        <f>Data_Entry!AK18</f>
        <v>68.000666666666689</v>
      </c>
      <c r="AF29" s="50">
        <f>Data_Entry!AL18</f>
        <v>0</v>
      </c>
      <c r="AG29" s="153">
        <f>(Data_Entry!O18-Data_Entry!Q18)/Data_Entry!O18</f>
        <v>0.10416666666666667</v>
      </c>
      <c r="AH29" s="79" t="str">
        <f t="shared" si="0"/>
        <v>CAT4</v>
      </c>
      <c r="AI29" s="51">
        <f>SUBTOTAL(3,Tableau1[[#This Row],[ZS]])</f>
        <v>0</v>
      </c>
      <c r="AJ29" s="51" t="e">
        <f t="shared" ca="1" si="1"/>
        <v>#NAME?</v>
      </c>
      <c r="AK29" s="50" t="str">
        <f>IFERROR(IF((Data_Entry!O18-Data_Entry!Q18)/Data_Entry!O18&lt;=10%,"&lt;=10%","&gt;10%"),"&lt;=10%")</f>
        <v>&gt;10%</v>
      </c>
    </row>
    <row r="30" spans="1:37" s="48" customFormat="1" ht="13" hidden="1" x14ac:dyDescent="0.3">
      <c r="A30" s="31" t="s">
        <v>16</v>
      </c>
      <c r="B30" s="48" t="str">
        <f>Data_Entry!B19</f>
        <v>Butembo</v>
      </c>
      <c r="C30" s="48" t="str">
        <f>Data_Entry!C19</f>
        <v xml:space="preserve"> Alimbongo</v>
      </c>
      <c r="D30" s="48" t="str">
        <f>Data_Entry!D19</f>
        <v xml:space="preserve"> Kyambali</v>
      </c>
      <c r="E30" s="49">
        <f>IFERROR(IF(Data_Entry!J19/Data_Entry!$I19&lt;0,0,Data_Entry!J19/Data_Entry!$I19),0)</f>
        <v>0.5089334055224688</v>
      </c>
      <c r="F30" s="49">
        <f>IFERROR(IF(Data_Entry!K19/Data_Entry!$H19&lt;0,0,Data_Entry!K19/Data_Entry!$H19),0)</f>
        <v>8.6875177434793185E-2</v>
      </c>
      <c r="G30" s="49">
        <f>IFERROR(IF(Data_Entry!L19/Data_Entry!$H19&lt;0,0,Data_Entry!L19/Data_Entry!$H19),0)</f>
        <v>0.58020207786808309</v>
      </c>
      <c r="H30" s="49">
        <f>IFERROR(IF(Data_Entry!M19/Data_Entry!$H19&lt;0,0,Data_Entry!M19/Data_Entry!$H19),0)</f>
        <v>0.53366180424230103</v>
      </c>
      <c r="I30" s="49">
        <f>IFERROR(IF(Data_Entry!N19/Data_Entry!$H19&lt;0,0,Data_Entry!N19/Data_Entry!$H19),0)</f>
        <v>0.58951013259323948</v>
      </c>
      <c r="J30" s="49">
        <f>IFERROR(IF(Data_Entry!O19/Data_Entry!$H19&lt;0,0,Data_Entry!O19/Data_Entry!$H19),0)</f>
        <v>0.55227791369261381</v>
      </c>
      <c r="K30" s="49">
        <f>IFERROR(IF(Data_Entry!P19/Data_Entry!$H19&lt;0,0,Data_Entry!P19/Data_Entry!$H19),0)</f>
        <v>0.52745643442553003</v>
      </c>
      <c r="L30" s="49">
        <f>IFERROR(IF(Data_Entry!Q19/Data_Entry!$H19&lt;0,0,Data_Entry!Q19/Data_Entry!$H19),0)</f>
        <v>0.5677913382345412</v>
      </c>
      <c r="M30" s="49">
        <f>IFERROR(IF(Data_Entry!R19/Data_Entry!$H19&lt;0,0,Data_Entry!R19/Data_Entry!$H19),0)</f>
        <v>0.53986717405907192</v>
      </c>
      <c r="N30" s="49">
        <f>IFERROR(IF(Data_Entry!S19/Data_Entry!$H19&lt;0,0,Data_Entry!S19/Data_Entry!$H19),0)</f>
        <v>0.46230005134943519</v>
      </c>
      <c r="O30" s="49">
        <f>IFERROR(IF(Data_Entry!T19/Data_Entry!$H19&lt;0,0,Data_Entry!T19/Data_Entry!$H19),0)</f>
        <v>0.53676448915068653</v>
      </c>
      <c r="P30" s="49">
        <f>IFERROR(IF(Data_Entry!U19/Data_Entry!$H19&lt;0,0,Data_Entry!U19/Data_Entry!$H19),0)</f>
        <v>0.5646886533261557</v>
      </c>
      <c r="Q30" s="49">
        <f>IFERROR(IF(Data_Entry!V19/Data_Entry!$H19&lt;0,0,Data_Entry!V19/Data_Entry!$H19),0)</f>
        <v>0.54917522878422842</v>
      </c>
      <c r="R30" s="49">
        <f>IFERROR(IF(Data_Entry!W19/Data_Entry!$H19&lt;0,0,Data_Entry!W19/Data_Entry!$H19),0)</f>
        <v>0.58020207786808309</v>
      </c>
      <c r="S30" s="49">
        <f>IFERROR(IF(Data_Entry!X19/Data_Entry!$H19&lt;0,0,Data_Entry!X19/Data_Entry!$H19),0)</f>
        <v>0.71672021383704376</v>
      </c>
      <c r="T30" s="49">
        <f>IFERROR(IF(Data_Entry!Y19/Data_Entry!$H19&lt;0,0,Data_Entry!Y19/Data_Entry!$H19),0)</f>
        <v>0.1706476699612009</v>
      </c>
      <c r="U30" s="49">
        <f>IFERROR(IF(Data_Entry!Z19/Data_Entry!$H19&lt;0,0,Data_Entry!Z19/Data_Entry!$H19),0)</f>
        <v>0.64535846094417793</v>
      </c>
      <c r="V30" s="49">
        <f>IFERROR(IF(Data_Entry!AA19/Data_Entry!$H19&lt;0,0,Data_Entry!AA19/Data_Entry!$H19),0)</f>
        <v>0.65776920057771981</v>
      </c>
      <c r="W30" s="49">
        <f>IFERROR(IF(Data_Entry!AB19/Data_Entry!$H19&lt;0,0,Data_Entry!AB19/Data_Entry!$H19),0)</f>
        <v>0.71982289874542926</v>
      </c>
      <c r="X30" s="49">
        <f>IFERROR(IF(Data_Entry!AC19/Data_Entry!$I19&lt;0,0,Data_Entry!AC19/Data_Entry!$I19),0)</f>
        <v>0.11369788846778558</v>
      </c>
      <c r="Y30" s="49">
        <f>IFERROR(IF(Data_Entry!AD19/Data_Entry!$I19&lt;0,0,Data_Entry!AD19/Data_Entry!$I19),0)</f>
        <v>1.0828370330265295E-2</v>
      </c>
      <c r="Z30" s="49">
        <f>IFERROR(IF(Data_Entry!AE19/Data_Entry!$I19&lt;0,0,Data_Entry!AE19/Data_Entry!$I19),0)</f>
        <v>2.4363833243096912E-2</v>
      </c>
      <c r="AA30" s="49">
        <f>IFERROR(IF(Data_Entry!AF19/Data_Entry!$I19&lt;0,0,Data_Entry!AF19/Data_Entry!$I19),0)</f>
        <v>7.8505684894423389E-2</v>
      </c>
      <c r="AB30" s="49">
        <f>IFERROR(IF(Data_Entry!AG19/Data_Entry!$I19&lt;0,0,Data_Entry!AG19/Data_Entry!$I19),0)</f>
        <v>9.4748240389821325E-2</v>
      </c>
      <c r="AC30" s="49">
        <f>IFERROR(IF(Data_Entry!AI19/Data_Entry!$I19&lt;0,0,Data_Entry!AI19/Data_Entry!$I19),0)</f>
        <v>0.13535462912831617</v>
      </c>
      <c r="AD30" s="49">
        <f>IFERROR(IF(Data_Entry!AM19/Data_Entry!$H19&lt;0,0,Data_Entry!AM19/Data_Entry!$H19),0)</f>
        <v>0.64535846094417793</v>
      </c>
      <c r="AE30" s="50">
        <f>Data_Entry!AK19</f>
        <v>144.30150000000003</v>
      </c>
      <c r="AF30" s="50">
        <f>Data_Entry!AL19</f>
        <v>0</v>
      </c>
      <c r="AG30" s="153">
        <f>(Data_Entry!O19-Data_Entry!Q19)/Data_Entry!O19</f>
        <v>-2.8089887640449437E-2</v>
      </c>
      <c r="AH30" s="79" t="str">
        <f t="shared" si="0"/>
        <v>CAT3</v>
      </c>
      <c r="AI30" s="51">
        <f>SUBTOTAL(3,Tableau1[[#This Row],[ZS]])</f>
        <v>0</v>
      </c>
      <c r="AJ30" s="51" t="e">
        <f t="shared" ca="1" si="1"/>
        <v>#NAME?</v>
      </c>
      <c r="AK30" s="50" t="str">
        <f>IFERROR(IF((Data_Entry!O19-Data_Entry!Q19)/Data_Entry!O19&lt;=10%,"&lt;=10%","&gt;10%"),"&lt;=10%")</f>
        <v>&lt;=10%</v>
      </c>
    </row>
    <row r="31" spans="1:37" s="48" customFormat="1" ht="13" hidden="1" x14ac:dyDescent="0.3">
      <c r="A31" s="31" t="s">
        <v>16</v>
      </c>
      <c r="B31" s="48" t="str">
        <f>Data_Entry!B20</f>
        <v>Butembo</v>
      </c>
      <c r="C31" s="48" t="str">
        <f>Data_Entry!C20</f>
        <v xml:space="preserve"> Alimbongo</v>
      </c>
      <c r="D31" s="48" t="str">
        <f>Data_Entry!D20</f>
        <v xml:space="preserve"> Lubango</v>
      </c>
      <c r="E31" s="49">
        <f>IFERROR(IF(Data_Entry!J20/Data_Entry!$I20&lt;0,0,Data_Entry!J20/Data_Entry!$I20),0)</f>
        <v>1.0284570111036953</v>
      </c>
      <c r="F31" s="49">
        <f>IFERROR(IF(Data_Entry!K20/Data_Entry!$H20&lt;0,0,Data_Entry!K20/Data_Entry!$H20),0)</f>
        <v>1.2434219207704487</v>
      </c>
      <c r="G31" s="49">
        <f>IFERROR(IF(Data_Entry!L20/Data_Entry!$H20&lt;0,0,Data_Entry!L20/Data_Entry!$H20),0)</f>
        <v>1.1140726605560731</v>
      </c>
      <c r="H31" s="49">
        <f>IFERROR(IF(Data_Entry!M20/Data_Entry!$H20&lt;0,0,Data_Entry!M20/Data_Entry!$H20),0)</f>
        <v>1.0869510414788652</v>
      </c>
      <c r="I31" s="49">
        <f>IFERROR(IF(Data_Entry!N20/Data_Entry!$H20&lt;0,0,Data_Entry!N20/Data_Entry!$H20),0)</f>
        <v>1.1328491660710631</v>
      </c>
      <c r="J31" s="49">
        <f>IFERROR(IF(Data_Entry!O20/Data_Entry!$H20&lt;0,0,Data_Entry!O20/Data_Entry!$H20),0)</f>
        <v>1.0827784846977564</v>
      </c>
      <c r="K31" s="49">
        <f>IFERROR(IF(Data_Entry!P20/Data_Entry!$H20&lt;0,0,Data_Entry!P20/Data_Entry!$H20),0)</f>
        <v>1.0160175762000143</v>
      </c>
      <c r="L31" s="49">
        <f>IFERROR(IF(Data_Entry!Q20/Data_Entry!$H20&lt;0,0,Data_Entry!Q20/Data_Entry!$H20),0)</f>
        <v>1.0264489681527864</v>
      </c>
      <c r="M31" s="49">
        <f>IFERROR(IF(Data_Entry!R20/Data_Entry!$H20&lt;0,0,Data_Entry!R20/Data_Entry!$H20),0)</f>
        <v>1.0577431440111031</v>
      </c>
      <c r="N31" s="49">
        <f>IFERROR(IF(Data_Entry!S20/Data_Entry!$H20&lt;0,0,Data_Entry!S20/Data_Entry!$H20),0)</f>
        <v>0.96386061643615317</v>
      </c>
      <c r="O31" s="49">
        <f>IFERROR(IF(Data_Entry!T20/Data_Entry!$H20&lt;0,0,Data_Entry!T20/Data_Entry!$H20),0)</f>
        <v>0.95342922448338085</v>
      </c>
      <c r="P31" s="49">
        <f>IFERROR(IF(Data_Entry!U20/Data_Entry!$H20&lt;0,0,Data_Entry!U20/Data_Entry!$H20),0)</f>
        <v>1.1224177741182908</v>
      </c>
      <c r="Q31" s="49">
        <f>IFERROR(IF(Data_Entry!V20/Data_Entry!$H20&lt;0,0,Data_Entry!V20/Data_Entry!$H20),0)</f>
        <v>1.0139312978094597</v>
      </c>
      <c r="R31" s="49">
        <f>IFERROR(IF(Data_Entry!W20/Data_Entry!$H20&lt;0,0,Data_Entry!W20/Data_Entry!$H20),0)</f>
        <v>1.0535705872299943</v>
      </c>
      <c r="S31" s="49">
        <f>IFERROR(IF(Data_Entry!X20/Data_Entry!$H20&lt;0,0,Data_Entry!X20/Data_Entry!$H20),0)</f>
        <v>1.1265903308993999</v>
      </c>
      <c r="T31" s="49">
        <f>IFERROR(IF(Data_Entry!Y20/Data_Entry!$H20&lt;0,0,Data_Entry!Y20/Data_Entry!$H20),0)</f>
        <v>0.34840849122259215</v>
      </c>
      <c r="U31" s="49">
        <f>IFERROR(IF(Data_Entry!Z20/Data_Entry!$H20&lt;0,0,Data_Entry!Z20/Data_Entry!$H20),0)</f>
        <v>1.1745747338821519</v>
      </c>
      <c r="V31" s="49">
        <f>IFERROR(IF(Data_Entry!AA20/Data_Entry!$H20&lt;0,0,Data_Entry!AA20/Data_Entry!$H20),0)</f>
        <v>1.1411942796332808</v>
      </c>
      <c r="W31" s="49">
        <f>IFERROR(IF(Data_Entry!AB20/Data_Entry!$H20&lt;0,0,Data_Entry!AB20/Data_Entry!$H20),0)</f>
        <v>0.92422132701561865</v>
      </c>
      <c r="X31" s="49">
        <f>IFERROR(IF(Data_Entry!AC20/Data_Entry!$I20&lt;0,0,Data_Entry!AC20/Data_Entry!$I20),0)</f>
        <v>0.89193616892178873</v>
      </c>
      <c r="Y31" s="49">
        <f>IFERROR(IF(Data_Entry!AD20/Data_Entry!$I20&lt;0,0,Data_Entry!AD20/Data_Entry!$I20),0)</f>
        <v>0.6188944845579758</v>
      </c>
      <c r="Z31" s="49">
        <f>IFERROR(IF(Data_Entry!AE20/Data_Entry!$I20&lt;0,0,Data_Entry!AE20/Data_Entry!$I20),0)</f>
        <v>0.22935501486560281</v>
      </c>
      <c r="AA31" s="49">
        <f>IFERROR(IF(Data_Entry!AF20/Data_Entry!$I20&lt;0,0,Data_Entry!AF20/Data_Entry!$I20),0)</f>
        <v>0.13652084218190644</v>
      </c>
      <c r="AB31" s="49">
        <f>IFERROR(IF(Data_Entry!AG20/Data_Entry!$I20&lt;0,0,Data_Entry!AG20/Data_Entry!$I20),0)</f>
        <v>4.5506947393968815E-2</v>
      </c>
      <c r="AC31" s="49">
        <f>IFERROR(IF(Data_Entry!AI20/Data_Entry!$I20&lt;0,0,Data_Entry!AI20/Data_Entry!$I20),0)</f>
        <v>0.10612220132273527</v>
      </c>
      <c r="AD31" s="49">
        <f>IFERROR(IF(Data_Entry!AM20/Data_Entry!$H20&lt;0,0,Data_Entry!AM20/Data_Entry!$H20),0)</f>
        <v>1.1265903308993999</v>
      </c>
      <c r="AE31" s="50">
        <f>Data_Entry!AK20</f>
        <v>0</v>
      </c>
      <c r="AF31" s="50">
        <f>Data_Entry!AL20</f>
        <v>0</v>
      </c>
      <c r="AG31" s="153">
        <f>(Data_Entry!O20-Data_Entry!Q20)/Data_Entry!O20</f>
        <v>5.2023121387283239E-2</v>
      </c>
      <c r="AH31" s="79" t="str">
        <f t="shared" si="0"/>
        <v>CAT1</v>
      </c>
      <c r="AI31" s="51">
        <f>SUBTOTAL(3,Tableau1[[#This Row],[ZS]])</f>
        <v>0</v>
      </c>
      <c r="AJ31" s="51" t="e">
        <f t="shared" ca="1" si="1"/>
        <v>#NAME?</v>
      </c>
      <c r="AK31" s="50" t="str">
        <f>IFERROR(IF((Data_Entry!O20-Data_Entry!Q20)/Data_Entry!O20&lt;=10%,"&lt;=10%","&gt;10%"),"&lt;=10%")</f>
        <v>&lt;=10%</v>
      </c>
    </row>
    <row r="32" spans="1:37" s="48" customFormat="1" ht="13" hidden="1" x14ac:dyDescent="0.3">
      <c r="A32" s="31" t="s">
        <v>16</v>
      </c>
      <c r="B32" s="48" t="str">
        <f>Data_Entry!B21</f>
        <v>Butembo</v>
      </c>
      <c r="C32" s="48" t="str">
        <f>Data_Entry!C21</f>
        <v xml:space="preserve"> Alimbongo</v>
      </c>
      <c r="D32" s="48" t="str">
        <f>Data_Entry!D21</f>
        <v xml:space="preserve"> Lunyasenge</v>
      </c>
      <c r="E32" s="49">
        <f>IFERROR(IF(Data_Entry!J21/Data_Entry!$I21&lt;0,0,Data_Entry!J21/Data_Entry!$I21),0)</f>
        <v>0.77179176755447942</v>
      </c>
      <c r="F32" s="49">
        <f>IFERROR(IF(Data_Entry!K21/Data_Entry!$H21&lt;0,0,Data_Entry!K21/Data_Entry!$H21),0)</f>
        <v>0.73888037075837565</v>
      </c>
      <c r="G32" s="49">
        <f>IFERROR(IF(Data_Entry!L21/Data_Entry!$H21&lt;0,0,Data_Entry!L21/Data_Entry!$H21),0)</f>
        <v>0.7518888279900372</v>
      </c>
      <c r="H32" s="49">
        <f>IFERROR(IF(Data_Entry!M21/Data_Entry!$H21&lt;0,0,Data_Entry!M21/Data_Entry!$H21),0)</f>
        <v>0.60099072410276333</v>
      </c>
      <c r="I32" s="49">
        <f>IFERROR(IF(Data_Entry!N21/Data_Entry!$H21&lt;0,0,Data_Entry!N21/Data_Entry!$H21),0)</f>
        <v>0.66863470170740336</v>
      </c>
      <c r="J32" s="49">
        <f>IFERROR(IF(Data_Entry!O21/Data_Entry!$H21&lt;0,0,Data_Entry!O21/Data_Entry!$H21),0)</f>
        <v>0.7779057424533603</v>
      </c>
      <c r="K32" s="49">
        <f>IFERROR(IF(Data_Entry!P21/Data_Entry!$H21&lt;0,0,Data_Entry!P21/Data_Entry!$H21),0)</f>
        <v>0.69465161617072646</v>
      </c>
      <c r="L32" s="49">
        <f>IFERROR(IF(Data_Entry!Q21/Data_Entry!$H21&lt;0,0,Data_Entry!Q21/Data_Entry!$H21),0)</f>
        <v>0.63481271290508334</v>
      </c>
      <c r="M32" s="49">
        <f>IFERROR(IF(Data_Entry!R21/Data_Entry!$H21&lt;0,0,Data_Entry!R21/Data_Entry!$H21),0)</f>
        <v>0.67643977604640027</v>
      </c>
      <c r="N32" s="49">
        <f>IFERROR(IF(Data_Entry!S21/Data_Entry!$H21&lt;0,0,Data_Entry!S21/Data_Entry!$H21),0)</f>
        <v>0.60619410699542797</v>
      </c>
      <c r="O32" s="49">
        <f>IFERROR(IF(Data_Entry!T21/Data_Entry!$H21&lt;0,0,Data_Entry!T21/Data_Entry!$H21),0)</f>
        <v>0.57497380963944023</v>
      </c>
      <c r="P32" s="49">
        <f>IFERROR(IF(Data_Entry!U21/Data_Entry!$H21&lt;0,0,Data_Entry!U21/Data_Entry!$H21),0)</f>
        <v>0.84034633716533569</v>
      </c>
      <c r="Q32" s="49">
        <f>IFERROR(IF(Data_Entry!V21/Data_Entry!$H21&lt;0,0,Data_Entry!V21/Data_Entry!$H21),0)</f>
        <v>0.66603301026107098</v>
      </c>
      <c r="R32" s="49">
        <f>IFERROR(IF(Data_Entry!W21/Data_Entry!$H21&lt;0,0,Data_Entry!W21/Data_Entry!$H21),0)</f>
        <v>0.66603301026107098</v>
      </c>
      <c r="S32" s="49">
        <f>IFERROR(IF(Data_Entry!X21/Data_Entry!$H21&lt;0,0,Data_Entry!X21/Data_Entry!$H21),0)</f>
        <v>0.87677001741398808</v>
      </c>
      <c r="T32" s="49">
        <f>IFERROR(IF(Data_Entry!Y21/Data_Entry!$H21&lt;0,0,Data_Entry!Y21/Data_Entry!$H21),0)</f>
        <v>0.23415223016990777</v>
      </c>
      <c r="U32" s="49">
        <f>IFERROR(IF(Data_Entry!Z21/Data_Entry!$H21&lt;0,0,Data_Entry!Z21/Data_Entry!$H21),0)</f>
        <v>0.77530405100702804</v>
      </c>
      <c r="V32" s="49">
        <f>IFERROR(IF(Data_Entry!AA21/Data_Entry!$H21&lt;0,0,Data_Entry!AA21/Data_Entry!$H21),0)</f>
        <v>0.59058395831743404</v>
      </c>
      <c r="W32" s="49">
        <f>IFERROR(IF(Data_Entry!AB21/Data_Entry!$H21&lt;0,0,Data_Entry!AB21/Data_Entry!$H21),0)</f>
        <v>0.59318564976376642</v>
      </c>
      <c r="X32" s="49">
        <f>IFERROR(IF(Data_Entry!AC21/Data_Entry!$I21&lt;0,0,Data_Entry!AC21/Data_Entry!$I21),0)</f>
        <v>0.38362590799031476</v>
      </c>
      <c r="Y32" s="49">
        <f>IFERROR(IF(Data_Entry!AD21/Data_Entry!$I21&lt;0,0,Data_Entry!AD21/Data_Entry!$I21),0)</f>
        <v>0.20429782082324455</v>
      </c>
      <c r="Z32" s="49">
        <f>IFERROR(IF(Data_Entry!AE21/Data_Entry!$I21&lt;0,0,Data_Entry!AE21/Data_Entry!$I21),0)</f>
        <v>7.2639225181598058E-2</v>
      </c>
      <c r="AA32" s="49">
        <f>IFERROR(IF(Data_Entry!AF21/Data_Entry!$I21&lt;0,0,Data_Entry!AF21/Data_Entry!$I21),0)</f>
        <v>4.0859564164648907E-2</v>
      </c>
      <c r="AB32" s="49">
        <f>IFERROR(IF(Data_Entry!AG21/Data_Entry!$I21&lt;0,0,Data_Entry!AG21/Data_Entry!$I21),0)</f>
        <v>4.9939467312348662E-2</v>
      </c>
      <c r="AC32" s="49">
        <f>IFERROR(IF(Data_Entry!AI21/Data_Entry!$I21&lt;0,0,Data_Entry!AI21/Data_Entry!$I21),0)</f>
        <v>0.15140738498789347</v>
      </c>
      <c r="AD32" s="49">
        <f>IFERROR(IF(Data_Entry!AM21/Data_Entry!$H21&lt;0,0,Data_Entry!AM21/Data_Entry!$H21),0)</f>
        <v>0.77530405100702804</v>
      </c>
      <c r="AE32" s="50">
        <f>Data_Entry!AK21</f>
        <v>85.365333333333353</v>
      </c>
      <c r="AF32" s="50">
        <f>Data_Entry!AL21</f>
        <v>0</v>
      </c>
      <c r="AG32" s="153">
        <f>(Data_Entry!O21-Data_Entry!Q21)/Data_Entry!O21</f>
        <v>0.18394648829431437</v>
      </c>
      <c r="AH32" s="79" t="str">
        <f t="shared" si="0"/>
        <v>CAT4</v>
      </c>
      <c r="AI32" s="51">
        <f>SUBTOTAL(3,Tableau1[[#This Row],[ZS]])</f>
        <v>0</v>
      </c>
      <c r="AJ32" s="51" t="e">
        <f t="shared" ca="1" si="1"/>
        <v>#NAME?</v>
      </c>
      <c r="AK32" s="50" t="str">
        <f>IFERROR(IF((Data_Entry!O21-Data_Entry!Q21)/Data_Entry!O21&lt;=10%,"&lt;=10%","&gt;10%"),"&lt;=10%")</f>
        <v>&gt;10%</v>
      </c>
    </row>
    <row r="33" spans="1:37" s="48" customFormat="1" ht="13" hidden="1" x14ac:dyDescent="0.3">
      <c r="A33" s="31" t="s">
        <v>16</v>
      </c>
      <c r="B33" s="48" t="str">
        <f>Data_Entry!B22</f>
        <v>Butembo</v>
      </c>
      <c r="C33" s="48" t="str">
        <f>Data_Entry!C22</f>
        <v xml:space="preserve"> Alimbongo</v>
      </c>
      <c r="D33" s="48" t="str">
        <f>Data_Entry!D22</f>
        <v xml:space="preserve"> Luseke</v>
      </c>
      <c r="E33" s="49">
        <f>IFERROR(IF(Data_Entry!J22/Data_Entry!$I22&lt;0,0,Data_Entry!J22/Data_Entry!$I22),0)</f>
        <v>0.8300660916321273</v>
      </c>
      <c r="F33" s="49">
        <f>IFERROR(IF(Data_Entry!K22/Data_Entry!$H22&lt;0,0,Data_Entry!K22/Data_Entry!$H22),0)</f>
        <v>0.83966640592927744</v>
      </c>
      <c r="G33" s="49">
        <f>IFERROR(IF(Data_Entry!L22/Data_Entry!$H22&lt;0,0,Data_Entry!L22/Data_Entry!$H22),0)</f>
        <v>0.74722606766183397</v>
      </c>
      <c r="H33" s="49">
        <f>IFERROR(IF(Data_Entry!M22/Data_Entry!$H22&lt;0,0,Data_Entry!M22/Data_Entry!$H22),0)</f>
        <v>0.78381703489269705</v>
      </c>
      <c r="I33" s="49">
        <f>IFERROR(IF(Data_Entry!N22/Data_Entry!$H22&lt;0,0,Data_Entry!N22/Data_Entry!$H22),0)</f>
        <v>0.72026430233382965</v>
      </c>
      <c r="J33" s="49">
        <f>IFERROR(IF(Data_Entry!O22/Data_Entry!$H22&lt;0,0,Data_Entry!O22/Data_Entry!$H22),0)</f>
        <v>0.85122144821270784</v>
      </c>
      <c r="K33" s="49">
        <f>IFERROR(IF(Data_Entry!P22/Data_Entry!$H22&lt;0,0,Data_Entry!P22/Data_Entry!$H22),0)</f>
        <v>0.85507312897385124</v>
      </c>
      <c r="L33" s="49">
        <f>IFERROR(IF(Data_Entry!Q22/Data_Entry!$H22&lt;0,0,Data_Entry!Q22/Data_Entry!$H22),0)</f>
        <v>0.81077880022070137</v>
      </c>
      <c r="M33" s="49">
        <f>IFERROR(IF(Data_Entry!R22/Data_Entry!$H22&lt;0,0,Data_Entry!R22/Data_Entry!$H22),0)</f>
        <v>0.82811136364584692</v>
      </c>
      <c r="N33" s="49">
        <f>IFERROR(IF(Data_Entry!S22/Data_Entry!$H22&lt;0,0,Data_Entry!S22/Data_Entry!$H22),0)</f>
        <v>0.81848216174298827</v>
      </c>
      <c r="O33" s="49">
        <f>IFERROR(IF(Data_Entry!T22/Data_Entry!$H22&lt;0,0,Data_Entry!T22/Data_Entry!$H22),0)</f>
        <v>0.79537207717612746</v>
      </c>
      <c r="P33" s="49">
        <f>IFERROR(IF(Data_Entry!U22/Data_Entry!$H22&lt;0,0,Data_Entry!U22/Data_Entry!$H22),0)</f>
        <v>0.78766871565384045</v>
      </c>
      <c r="Q33" s="49">
        <f>IFERROR(IF(Data_Entry!V22/Data_Entry!$H22&lt;0,0,Data_Entry!V22/Data_Entry!$H22),0)</f>
        <v>0.81848216174298827</v>
      </c>
      <c r="R33" s="49">
        <f>IFERROR(IF(Data_Entry!W22/Data_Entry!$H22&lt;0,0,Data_Entry!W22/Data_Entry!$H22),0)</f>
        <v>0.88781241544357081</v>
      </c>
      <c r="S33" s="49">
        <f>IFERROR(IF(Data_Entry!X22/Data_Entry!$H22&lt;0,0,Data_Entry!X22/Data_Entry!$H22),0)</f>
        <v>1.1266166226344663</v>
      </c>
      <c r="T33" s="49">
        <f>IFERROR(IF(Data_Entry!Y22/Data_Entry!$H22&lt;0,0,Data_Entry!Y22/Data_Entry!$H22),0)</f>
        <v>0.41983320296463872</v>
      </c>
      <c r="U33" s="49">
        <f>IFERROR(IF(Data_Entry!Z22/Data_Entry!$H22&lt;0,0,Data_Entry!Z22/Data_Entry!$H22),0)</f>
        <v>1.0283987632253075</v>
      </c>
      <c r="V33" s="49">
        <f>IFERROR(IF(Data_Entry!AA22/Data_Entry!$H22&lt;0,0,Data_Entry!AA22/Data_Entry!$H22),0)</f>
        <v>0.90514497886871648</v>
      </c>
      <c r="W33" s="49">
        <f>IFERROR(IF(Data_Entry!AB22/Data_Entry!$H22&lt;0,0,Data_Entry!AB22/Data_Entry!$H22),0)</f>
        <v>0.64130484673038846</v>
      </c>
      <c r="X33" s="49">
        <f>IFERROR(IF(Data_Entry!AC22/Data_Entry!$I22&lt;0,0,Data_Entry!AC22/Data_Entry!$I22),0)</f>
        <v>0.28396997871625407</v>
      </c>
      <c r="Y33" s="49">
        <f>IFERROR(IF(Data_Entry!AD22/Data_Entry!$I22&lt;0,0,Data_Entry!AD22/Data_Entry!$I22),0)</f>
        <v>0.17979164332922595</v>
      </c>
      <c r="Z33" s="49">
        <f>IFERROR(IF(Data_Entry!AE22/Data_Entry!$I22&lt;0,0,Data_Entry!AE22/Data_Entry!$I22),0)</f>
        <v>0.2150778537022516</v>
      </c>
      <c r="AA33" s="49">
        <f>IFERROR(IF(Data_Entry!AF22/Data_Entry!$I22&lt;0,0,Data_Entry!AF22/Data_Entry!$I22),0)</f>
        <v>0.20835667077405623</v>
      </c>
      <c r="AB33" s="49">
        <f>IFERROR(IF(Data_Entry!AG22/Data_Entry!$I22&lt;0,0,Data_Entry!AG22/Data_Entry!$I22),0)</f>
        <v>0.17307046040103058</v>
      </c>
      <c r="AC33" s="49">
        <f>IFERROR(IF(Data_Entry!AI22/Data_Entry!$I22&lt;0,0,Data_Entry!AI22/Data_Entry!$I22),0)</f>
        <v>9.79612411784474E-2</v>
      </c>
      <c r="AD33" s="49">
        <f>IFERROR(IF(Data_Entry!AM22/Data_Entry!$H22&lt;0,0,Data_Entry!AM22/Data_Entry!$H22),0)</f>
        <v>1.0283987632253075</v>
      </c>
      <c r="AE33" s="50">
        <f>Data_Entry!AK22</f>
        <v>77.253833333333318</v>
      </c>
      <c r="AF33" s="50">
        <f>Data_Entry!AL22</f>
        <v>0</v>
      </c>
      <c r="AG33" s="153">
        <f>(Data_Entry!O22-Data_Entry!Q22)/Data_Entry!O22</f>
        <v>4.7511312217194568E-2</v>
      </c>
      <c r="AH33" s="79" t="str">
        <f t="shared" si="0"/>
        <v>CAT3</v>
      </c>
      <c r="AI33" s="51">
        <f>SUBTOTAL(3,Tableau1[[#This Row],[ZS]])</f>
        <v>0</v>
      </c>
      <c r="AJ33" s="51" t="e">
        <f t="shared" ca="1" si="1"/>
        <v>#NAME?</v>
      </c>
      <c r="AK33" s="50" t="str">
        <f>IFERROR(IF((Data_Entry!O22-Data_Entry!Q22)/Data_Entry!O22&lt;=10%,"&lt;=10%","&gt;10%"),"&lt;=10%")</f>
        <v>&lt;=10%</v>
      </c>
    </row>
    <row r="34" spans="1:37" s="48" customFormat="1" ht="13" hidden="1" x14ac:dyDescent="0.3">
      <c r="A34" s="31" t="s">
        <v>16</v>
      </c>
      <c r="B34" s="48" t="str">
        <f>Data_Entry!B23</f>
        <v>Butembo</v>
      </c>
      <c r="C34" s="48" t="str">
        <f>Data_Entry!C23</f>
        <v xml:space="preserve"> Alimbongo</v>
      </c>
      <c r="D34" s="48" t="str">
        <f>Data_Entry!D23</f>
        <v xml:space="preserve"> Masika</v>
      </c>
      <c r="E34" s="49">
        <f>IFERROR(IF(Data_Entry!J23/Data_Entry!$I23&lt;0,0,Data_Entry!J23/Data_Entry!$I23),0)</f>
        <v>0.98732410745435517</v>
      </c>
      <c r="F34" s="49">
        <f>IFERROR(IF(Data_Entry!K23/Data_Entry!$H23&lt;0,0,Data_Entry!K23/Data_Entry!$H23),0)</f>
        <v>1.0156441859868426</v>
      </c>
      <c r="G34" s="49">
        <f>IFERROR(IF(Data_Entry!L23/Data_Entry!$H23&lt;0,0,Data_Entry!L23/Data_Entry!$H23),0)</f>
        <v>1.8993345997785442</v>
      </c>
      <c r="H34" s="49">
        <f>IFERROR(IF(Data_Entry!M23/Data_Entry!$H23&lt;0,0,Data_Entry!M23/Data_Entry!$H23),0)</f>
        <v>1.515469080665407</v>
      </c>
      <c r="I34" s="49">
        <f>IFERROR(IF(Data_Entry!N23/Data_Entry!$H23&lt;0,0,Data_Entry!N23/Data_Entry!$H23),0)</f>
        <v>1.383515308470266</v>
      </c>
      <c r="J34" s="49">
        <f>IFERROR(IF(Data_Entry!O23/Data_Entry!$H23&lt;0,0,Data_Entry!O23/Data_Entry!$H23),0)</f>
        <v>1.7833752242131173</v>
      </c>
      <c r="K34" s="49">
        <f>IFERROR(IF(Data_Entry!P23/Data_Entry!$H23&lt;0,0,Data_Entry!P23/Data_Entry!$H23),0)</f>
        <v>1.4035083042574086</v>
      </c>
      <c r="L34" s="49">
        <f>IFERROR(IF(Data_Entry!Q23/Data_Entry!$H23&lt;0,0,Data_Entry!Q23/Data_Entry!$H23),0)</f>
        <v>1.0956161691354129</v>
      </c>
      <c r="M34" s="49">
        <f>IFERROR(IF(Data_Entry!R23/Data_Entry!$H23&lt;0,0,Data_Entry!R23/Data_Entry!$H23),0)</f>
        <v>1.6474228528605479</v>
      </c>
      <c r="N34" s="49">
        <f>IFERROR(IF(Data_Entry!S23/Data_Entry!$H23&lt;0,0,Data_Entry!S23/Data_Entry!$H23),0)</f>
        <v>1.3675209118405518</v>
      </c>
      <c r="O34" s="49">
        <f>IFERROR(IF(Data_Entry!T23/Data_Entry!$H23&lt;0,0,Data_Entry!T23/Data_Entry!$H23),0)</f>
        <v>1.1555951564968405</v>
      </c>
      <c r="P34" s="49">
        <f>IFERROR(IF(Data_Entry!U23/Data_Entry!$H23&lt;0,0,Data_Entry!U23/Data_Entry!$H23),0)</f>
        <v>1.539460675609978</v>
      </c>
      <c r="Q34" s="49">
        <f>IFERROR(IF(Data_Entry!V23/Data_Entry!$H23&lt;0,0,Data_Entry!V23/Data_Entry!$H23),0)</f>
        <v>1.1995797472285543</v>
      </c>
      <c r="R34" s="49">
        <f>IFERROR(IF(Data_Entry!W23/Data_Entry!$H23&lt;0,0,Data_Entry!W23/Data_Entry!$H23),0)</f>
        <v>0.96766099609770051</v>
      </c>
      <c r="S34" s="49">
        <f>IFERROR(IF(Data_Entry!X23/Data_Entry!$H23&lt;0,0,Data_Entry!X23/Data_Entry!$H23),0)</f>
        <v>1.2595587345899819</v>
      </c>
      <c r="T34" s="49">
        <f>IFERROR(IF(Data_Entry!Y23/Data_Entry!$H23&lt;0,0,Data_Entry!Y23/Data_Entry!$H23),0)</f>
        <v>0.8517016205322735</v>
      </c>
      <c r="U34" s="49">
        <f>IFERROR(IF(Data_Entry!Z23/Data_Entry!$H23&lt;0,0,Data_Entry!Z23/Data_Entry!$H23),0)</f>
        <v>1.2595587345899819</v>
      </c>
      <c r="V34" s="49">
        <f>IFERROR(IF(Data_Entry!AA23/Data_Entry!$H23&lt;0,0,Data_Entry!AA23/Data_Entry!$H23),0)</f>
        <v>1.1755881522839833</v>
      </c>
      <c r="W34" s="49">
        <f>IFERROR(IF(Data_Entry!AB23/Data_Entry!$H23&lt;0,0,Data_Entry!AB23/Data_Entry!$H23),0)</f>
        <v>0.80771702980055993</v>
      </c>
      <c r="X34" s="49">
        <f>IFERROR(IF(Data_Entry!AC23/Data_Entry!$I23&lt;0,0,Data_Entry!AC23/Data_Entry!$I23),0)</f>
        <v>0.22328177695080825</v>
      </c>
      <c r="Y34" s="49">
        <f>IFERROR(IF(Data_Entry!AD23/Data_Entry!$I23&lt;0,0,Data_Entry!AD23/Data_Entry!$I23),0)</f>
        <v>0.30352366554250493</v>
      </c>
      <c r="Z34" s="49">
        <f>IFERROR(IF(Data_Entry!AE23/Data_Entry!$I23&lt;0,0,Data_Entry!AE23/Data_Entry!$I23),0)</f>
        <v>0.33143388766135601</v>
      </c>
      <c r="AA34" s="49">
        <f>IFERROR(IF(Data_Entry!AF23/Data_Entry!$I23&lt;0,0,Data_Entry!AF23/Data_Entry!$I23),0)</f>
        <v>0.17792766600767532</v>
      </c>
      <c r="AB34" s="49">
        <f>IFERROR(IF(Data_Entry!AG23/Data_Entry!$I23&lt;0,0,Data_Entry!AG23/Data_Entry!$I23),0)</f>
        <v>0.16746133271310618</v>
      </c>
      <c r="AC34" s="49">
        <f>IFERROR(IF(Data_Entry!AI23/Data_Entry!$I23&lt;0,0,Data_Entry!AI23/Data_Entry!$I23),0)</f>
        <v>0.20339574369112687</v>
      </c>
      <c r="AD34" s="49">
        <f>IFERROR(IF(Data_Entry!AM23/Data_Entry!$H23&lt;0,0,Data_Entry!AM23/Data_Entry!$H23),0)</f>
        <v>1.2595587345899819</v>
      </c>
      <c r="AE34" s="50">
        <f>Data_Entry!AK23</f>
        <v>0</v>
      </c>
      <c r="AF34" s="50">
        <f>Data_Entry!AL23</f>
        <v>131</v>
      </c>
      <c r="AG34" s="153">
        <f>(Data_Entry!O23-Data_Entry!Q23)/Data_Entry!O23</f>
        <v>0.38565022421524664</v>
      </c>
      <c r="AH34" s="79" t="str">
        <f t="shared" si="0"/>
        <v>CAT2</v>
      </c>
      <c r="AI34" s="51">
        <f>SUBTOTAL(3,Tableau1[[#This Row],[ZS]])</f>
        <v>0</v>
      </c>
      <c r="AJ34" s="51" t="e">
        <f t="shared" ca="1" si="1"/>
        <v>#NAME?</v>
      </c>
      <c r="AK34" s="50" t="str">
        <f>IFERROR(IF((Data_Entry!O23-Data_Entry!Q23)/Data_Entry!O23&lt;=10%,"&lt;=10%","&gt;10%"),"&lt;=10%")</f>
        <v>&gt;10%</v>
      </c>
    </row>
    <row r="35" spans="1:37" s="48" customFormat="1" ht="13" hidden="1" x14ac:dyDescent="0.3">
      <c r="A35" s="31" t="s">
        <v>16</v>
      </c>
      <c r="B35" s="48" t="str">
        <f>Data_Entry!B24</f>
        <v>Butembo</v>
      </c>
      <c r="C35" s="48" t="str">
        <f>Data_Entry!C24</f>
        <v xml:space="preserve"> Alimbongo</v>
      </c>
      <c r="D35" s="48" t="str">
        <f>Data_Entry!D24</f>
        <v xml:space="preserve"> Matembe</v>
      </c>
      <c r="E35" s="49">
        <f>IFERROR(IF(Data_Entry!J24/Data_Entry!$I24&lt;0,0,Data_Entry!J24/Data_Entry!$I24),0)</f>
        <v>0.27617602427921095</v>
      </c>
      <c r="F35" s="49">
        <f>IFERROR(IF(Data_Entry!K24/Data_Entry!$H24&lt;0,0,Data_Entry!K24/Data_Entry!$H24),0)</f>
        <v>0.36871007995965061</v>
      </c>
      <c r="G35" s="49">
        <f>IFERROR(IF(Data_Entry!L24/Data_Entry!$H24&lt;0,0,Data_Entry!L24/Data_Entry!$H24),0)</f>
        <v>0.65741702936201851</v>
      </c>
      <c r="H35" s="49">
        <f>IFERROR(IF(Data_Entry!M24/Data_Entry!$H24&lt;0,0,Data_Entry!M24/Data_Entry!$H24),0)</f>
        <v>0.51480275315121027</v>
      </c>
      <c r="I35" s="49">
        <f>IFERROR(IF(Data_Entry!N24/Data_Entry!$H24&lt;0,0,Data_Entry!N24/Data_Entry!$H24),0)</f>
        <v>0.62611145653525579</v>
      </c>
      <c r="J35" s="49">
        <f>IFERROR(IF(Data_Entry!O24/Data_Entry!$H24&lt;0,0,Data_Entry!O24/Data_Entry!$H24),0)</f>
        <v>0.58437069276623876</v>
      </c>
      <c r="K35" s="49">
        <f>IFERROR(IF(Data_Entry!P24/Data_Entry!$H24&lt;0,0,Data_Entry!P24/Data_Entry!$H24),0)</f>
        <v>0.43132122561317621</v>
      </c>
      <c r="L35" s="49">
        <f>IFERROR(IF(Data_Entry!Q24/Data_Entry!$H24&lt;0,0,Data_Entry!Q24/Data_Entry!$H24),0)</f>
        <v>0.62611145653525579</v>
      </c>
      <c r="M35" s="49">
        <f>IFERROR(IF(Data_Entry!R24/Data_Entry!$H24&lt;0,0,Data_Entry!R24/Data_Entry!$H24),0)</f>
        <v>0.58437069276623876</v>
      </c>
      <c r="N35" s="49">
        <f>IFERROR(IF(Data_Entry!S24/Data_Entry!$H24&lt;0,0,Data_Entry!S24/Data_Entry!$H24),0)</f>
        <v>0.43132122561317621</v>
      </c>
      <c r="O35" s="49">
        <f>IFERROR(IF(Data_Entry!T24/Data_Entry!$H24&lt;0,0,Data_Entry!T24/Data_Entry!$H24),0)</f>
        <v>0.5565435169202273</v>
      </c>
      <c r="P35" s="49">
        <f>IFERROR(IF(Data_Entry!U24/Data_Entry!$H24&lt;0,0,Data_Entry!U24/Data_Entry!$H24),0)</f>
        <v>0.64002504445826147</v>
      </c>
      <c r="Q35" s="49">
        <f>IFERROR(IF(Data_Entry!V24/Data_Entry!$H24&lt;0,0,Data_Entry!V24/Data_Entry!$H24),0)</f>
        <v>0.50088916522820459</v>
      </c>
      <c r="R35" s="49">
        <f>IFERROR(IF(Data_Entry!W24/Data_Entry!$H24&lt;0,0,Data_Entry!W24/Data_Entry!$H24),0)</f>
        <v>0.5913274867277416</v>
      </c>
      <c r="S35" s="49">
        <f>IFERROR(IF(Data_Entry!X24/Data_Entry!$H24&lt;0,0,Data_Entry!X24/Data_Entry!$H24),0)</f>
        <v>0.74785535086155552</v>
      </c>
      <c r="T35" s="49">
        <f>IFERROR(IF(Data_Entry!Y24/Data_Entry!$H24&lt;0,0,Data_Entry!Y24/Data_Entry!$H24),0)</f>
        <v>0.14261427621080827</v>
      </c>
      <c r="U35" s="49">
        <f>IFERROR(IF(Data_Entry!Z24/Data_Entry!$H24&lt;0,0,Data_Entry!Z24/Data_Entry!$H24),0)</f>
        <v>0.74089855690005268</v>
      </c>
      <c r="V35" s="49">
        <f>IFERROR(IF(Data_Entry!AA24/Data_Entry!$H24&lt;0,0,Data_Entry!AA24/Data_Entry!$H24),0)</f>
        <v>0.62611145653525579</v>
      </c>
      <c r="W35" s="49">
        <f>IFERROR(IF(Data_Entry!AB24/Data_Entry!$H24&lt;0,0,Data_Entry!AB24/Data_Entry!$H24),0)</f>
        <v>0.62263305955450432</v>
      </c>
      <c r="X35" s="49">
        <f>IFERROR(IF(Data_Entry!AC24/Data_Entry!$I24&lt;0,0,Data_Entry!AC24/Data_Entry!$I24),0)</f>
        <v>0.19119878603945373</v>
      </c>
      <c r="Y35" s="49">
        <f>IFERROR(IF(Data_Entry!AD24/Data_Entry!$I24&lt;0,0,Data_Entry!AD24/Data_Entry!$I24),0)</f>
        <v>0.11532625189681335</v>
      </c>
      <c r="Z35" s="49">
        <f>IFERROR(IF(Data_Entry!AE24/Data_Entry!$I24&lt;0,0,Data_Entry!AE24/Data_Entry!$I24),0)</f>
        <v>5.1593323216995446E-2</v>
      </c>
      <c r="AA35" s="49">
        <f>IFERROR(IF(Data_Entry!AF24/Data_Entry!$I24&lt;0,0,Data_Entry!AF24/Data_Entry!$I24),0)</f>
        <v>6.6767830045523516E-2</v>
      </c>
      <c r="AB35" s="49">
        <f>IFERROR(IF(Data_Entry!AG24/Data_Entry!$I24&lt;0,0,Data_Entry!AG24/Data_Entry!$I24),0)</f>
        <v>6.0698027314112293E-2</v>
      </c>
      <c r="AC35" s="49">
        <f>IFERROR(IF(Data_Entry!AI24/Data_Entry!$I24&lt;0,0,Data_Entry!AI24/Data_Entry!$I24),0)</f>
        <v>0.16449165402124433</v>
      </c>
      <c r="AD35" s="49">
        <f>IFERROR(IF(Data_Entry!AM24/Data_Entry!$H24&lt;0,0,Data_Entry!AM24/Data_Entry!$H24),0)</f>
        <v>0.74089855690005268</v>
      </c>
      <c r="AE35" s="50">
        <f>Data_Entry!AK24</f>
        <v>119.48874999999998</v>
      </c>
      <c r="AF35" s="50">
        <f>Data_Entry!AL24</f>
        <v>0</v>
      </c>
      <c r="AG35" s="153">
        <f>(Data_Entry!O24-Data_Entry!Q24)/Data_Entry!O24</f>
        <v>-7.1428571428571425E-2</v>
      </c>
      <c r="AH35" s="79" t="str">
        <f t="shared" si="0"/>
        <v>CAT3</v>
      </c>
      <c r="AI35" s="51">
        <f>SUBTOTAL(3,Tableau1[[#This Row],[ZS]])</f>
        <v>0</v>
      </c>
      <c r="AJ35" s="51" t="e">
        <f t="shared" ca="1" si="1"/>
        <v>#NAME?</v>
      </c>
      <c r="AK35" s="50" t="str">
        <f>IFERROR(IF((Data_Entry!O24-Data_Entry!Q24)/Data_Entry!O24&lt;=10%,"&lt;=10%","&gt;10%"),"&lt;=10%")</f>
        <v>&lt;=10%</v>
      </c>
    </row>
    <row r="36" spans="1:37" s="48" customFormat="1" ht="13" hidden="1" x14ac:dyDescent="0.3">
      <c r="A36" s="31" t="s">
        <v>16</v>
      </c>
      <c r="B36" s="48" t="str">
        <f>Data_Entry!B25</f>
        <v>Butembo</v>
      </c>
      <c r="C36" s="48" t="str">
        <f>Data_Entry!C25</f>
        <v xml:space="preserve"> Alimbongo</v>
      </c>
      <c r="D36" s="48" t="str">
        <f>Data_Entry!D25</f>
        <v xml:space="preserve"> Ndoluma</v>
      </c>
      <c r="E36" s="49">
        <f>IFERROR(IF(Data_Entry!J25/Data_Entry!$I25&lt;0,0,Data_Entry!J25/Data_Entry!$I25),0)</f>
        <v>0.72924808503986238</v>
      </c>
      <c r="F36" s="49">
        <f>IFERROR(IF(Data_Entry!K25/Data_Entry!$H25&lt;0,0,Data_Entry!K25/Data_Entry!$H25),0)</f>
        <v>0.37356335997398493</v>
      </c>
      <c r="G36" s="49">
        <f>IFERROR(IF(Data_Entry!L25/Data_Entry!$H25&lt;0,0,Data_Entry!L25/Data_Entry!$H25),0)</f>
        <v>0.99437728913938428</v>
      </c>
      <c r="H36" s="49">
        <f>IFERROR(IF(Data_Entry!M25/Data_Entry!$H25&lt;0,0,Data_Entry!M25/Data_Entry!$H25),0)</f>
        <v>0.9755647458313419</v>
      </c>
      <c r="I36" s="49">
        <f>IFERROR(IF(Data_Entry!N25/Data_Entry!$H25&lt;0,0,Data_Entry!N25/Data_Entry!$H25),0)</f>
        <v>0.99437728913938428</v>
      </c>
      <c r="J36" s="49">
        <f>IFERROR(IF(Data_Entry!O25/Data_Entry!$H25&lt;0,0,Data_Entry!O25/Data_Entry!$H25),0)</f>
        <v>0.94331467158898352</v>
      </c>
      <c r="K36" s="49">
        <f>IFERROR(IF(Data_Entry!P25/Data_Entry!$H25&lt;0,0,Data_Entry!P25/Data_Entry!$H25),0)</f>
        <v>0.9701897334576155</v>
      </c>
      <c r="L36" s="49">
        <f>IFERROR(IF(Data_Entry!Q25/Data_Entry!$H25&lt;0,0,Data_Entry!Q25/Data_Entry!$H25),0)</f>
        <v>0.99437728913938428</v>
      </c>
      <c r="M36" s="49">
        <f>IFERROR(IF(Data_Entry!R25/Data_Entry!$H25&lt;0,0,Data_Entry!R25/Data_Entry!$H25),0)</f>
        <v>0.89493956022544585</v>
      </c>
      <c r="N36" s="49">
        <f>IFERROR(IF(Data_Entry!S25/Data_Entry!$H25&lt;0,0,Data_Entry!S25/Data_Entry!$H25),0)</f>
        <v>0.87343951073054027</v>
      </c>
      <c r="O36" s="49">
        <f>IFERROR(IF(Data_Entry!T25/Data_Entry!$H25&lt;0,0,Data_Entry!T25/Data_Entry!$H25),0)</f>
        <v>0.89493956022544585</v>
      </c>
      <c r="P36" s="49">
        <f>IFERROR(IF(Data_Entry!U25/Data_Entry!$H25&lt;0,0,Data_Entry!U25/Data_Entry!$H25),0)</f>
        <v>0.99437728913938428</v>
      </c>
      <c r="Q36" s="49">
        <f>IFERROR(IF(Data_Entry!V25/Data_Entry!$H25&lt;0,0,Data_Entry!V25/Data_Entry!$H25),0)</f>
        <v>0.9701897334576155</v>
      </c>
      <c r="R36" s="49">
        <f>IFERROR(IF(Data_Entry!W25/Data_Entry!$H25&lt;0,0,Data_Entry!W25/Data_Entry!$H25),0)</f>
        <v>0.98900227676565788</v>
      </c>
      <c r="S36" s="49">
        <f>IFERROR(IF(Data_Entry!X25/Data_Entry!$H25&lt;0,0,Data_Entry!X25/Data_Entry!$H25),0)</f>
        <v>1.2093777840884403</v>
      </c>
      <c r="T36" s="49">
        <f>IFERROR(IF(Data_Entry!Y25/Data_Entry!$H25&lt;0,0,Data_Entry!Y25/Data_Entry!$H25),0)</f>
        <v>0.38968839709516412</v>
      </c>
      <c r="U36" s="49">
        <f>IFERROR(IF(Data_Entry!Z25/Data_Entry!$H25&lt;0,0,Data_Entry!Z25/Data_Entry!$H25),0)</f>
        <v>0.98900227676565788</v>
      </c>
      <c r="V36" s="49">
        <f>IFERROR(IF(Data_Entry!AA25/Data_Entry!$H25&lt;0,0,Data_Entry!AA25/Data_Entry!$H25),0)</f>
        <v>0.99437728913938428</v>
      </c>
      <c r="W36" s="49">
        <f>IFERROR(IF(Data_Entry!AB25/Data_Entry!$H25&lt;0,0,Data_Entry!AB25/Data_Entry!$H25),0)</f>
        <v>0.48375111363537615</v>
      </c>
      <c r="X36" s="49">
        <f>IFERROR(IF(Data_Entry!AC25/Data_Entry!$I25&lt;0,0,Data_Entry!AC25/Data_Entry!$I25),0)</f>
        <v>0.2415194622479287</v>
      </c>
      <c r="Y36" s="49">
        <f>IFERROR(IF(Data_Entry!AD25/Data_Entry!$I25&lt;0,0,Data_Entry!AD25/Data_Entry!$I25),0)</f>
        <v>0.13365640143817414</v>
      </c>
      <c r="Z36" s="49">
        <f>IFERROR(IF(Data_Entry!AE25/Data_Entry!$I25&lt;0,0,Data_Entry!AE25/Data_Entry!$I25),0)</f>
        <v>0.13834609973425041</v>
      </c>
      <c r="AA36" s="49">
        <f>IFERROR(IF(Data_Entry!AF25/Data_Entry!$I25&lt;0,0,Data_Entry!AF25/Data_Entry!$I25),0)</f>
        <v>0.13600125058621229</v>
      </c>
      <c r="AB36" s="49">
        <f>IFERROR(IF(Data_Entry!AG25/Data_Entry!$I25&lt;0,0,Data_Entry!AG25/Data_Entry!$I25),0)</f>
        <v>0.11958730654994527</v>
      </c>
      <c r="AC36" s="49">
        <f>IFERROR(IF(Data_Entry!AI25/Data_Entry!$I25&lt;0,0,Data_Entry!AI25/Data_Entry!$I25),0)</f>
        <v>0.1367047053306237</v>
      </c>
      <c r="AD36" s="49">
        <f>IFERROR(IF(Data_Entry!AM25/Data_Entry!$H25&lt;0,0,Data_Entry!AM25/Data_Entry!$H25),0)</f>
        <v>0.98900227676565788</v>
      </c>
      <c r="AE36" s="50">
        <f>Data_Entry!AK25</f>
        <v>21.092166666666685</v>
      </c>
      <c r="AF36" s="50">
        <f>Data_Entry!AL25</f>
        <v>0</v>
      </c>
      <c r="AG36" s="153">
        <f>(Data_Entry!O25-Data_Entry!Q25)/Data_Entry!O25</f>
        <v>-5.4131054131054131E-2</v>
      </c>
      <c r="AH36" s="79" t="str">
        <f t="shared" si="0"/>
        <v>CAT1</v>
      </c>
      <c r="AI36" s="51">
        <f>SUBTOTAL(3,Tableau1[[#This Row],[ZS]])</f>
        <v>0</v>
      </c>
      <c r="AJ36" s="51" t="e">
        <f t="shared" ca="1" si="1"/>
        <v>#NAME?</v>
      </c>
      <c r="AK36" s="50" t="str">
        <f>IFERROR(IF((Data_Entry!O25-Data_Entry!Q25)/Data_Entry!O25&lt;=10%,"&lt;=10%","&gt;10%"),"&lt;=10%")</f>
        <v>&lt;=10%</v>
      </c>
    </row>
    <row r="37" spans="1:37" s="48" customFormat="1" ht="13" hidden="1" x14ac:dyDescent="0.3">
      <c r="A37" s="31" t="s">
        <v>16</v>
      </c>
      <c r="B37" s="48" t="str">
        <f>Data_Entry!B26</f>
        <v>Butembo</v>
      </c>
      <c r="C37" s="48" t="str">
        <f>Data_Entry!C26</f>
        <v xml:space="preserve"> Alimbongo</v>
      </c>
      <c r="D37" s="48" t="str">
        <f>Data_Entry!D26</f>
        <v xml:space="preserve"> Ngekeni</v>
      </c>
      <c r="E37" s="49">
        <f>IFERROR(IF(Data_Entry!J26/Data_Entry!$I26&lt;0,0,Data_Entry!J26/Data_Entry!$I26),0)</f>
        <v>1.2556753688989784</v>
      </c>
      <c r="F37" s="49">
        <f>IFERROR(IF(Data_Entry!K26/Data_Entry!$H26&lt;0,0,Data_Entry!K26/Data_Entry!$H26),0)</f>
        <v>0.9366797953614836</v>
      </c>
      <c r="G37" s="49">
        <f>IFERROR(IF(Data_Entry!L26/Data_Entry!$H26&lt;0,0,Data_Entry!L26/Data_Entry!$H26),0)</f>
        <v>1.5172261268615699</v>
      </c>
      <c r="H37" s="49">
        <f>IFERROR(IF(Data_Entry!M26/Data_Entry!$H26&lt;0,0,Data_Entry!M26/Data_Entry!$H26),0)</f>
        <v>1.0342506073783049</v>
      </c>
      <c r="I37" s="49">
        <f>IFERROR(IF(Data_Entry!N26/Data_Entry!$H26&lt;0,0,Data_Entry!N26/Data_Entry!$H26),0)</f>
        <v>1.0781574727858743</v>
      </c>
      <c r="J37" s="49">
        <f>IFERROR(IF(Data_Entry!O26/Data_Entry!$H26&lt;0,0,Data_Entry!O26/Data_Entry!$H26),0)</f>
        <v>1.2732990968195168</v>
      </c>
      <c r="K37" s="49">
        <f>IFERROR(IF(Data_Entry!P26/Data_Entry!$H26&lt;0,0,Data_Entry!P26/Data_Entry!$H26),0)</f>
        <v>1.0342506073783049</v>
      </c>
      <c r="L37" s="49">
        <f>IFERROR(IF(Data_Entry!Q26/Data_Entry!$H26&lt;0,0,Data_Entry!Q26/Data_Entry!$H26),0)</f>
        <v>1.0781574727858743</v>
      </c>
      <c r="M37" s="49">
        <f>IFERROR(IF(Data_Entry!R26/Data_Entry!$H26&lt;0,0,Data_Entry!R26/Data_Entry!$H26),0)</f>
        <v>1.2732990968195168</v>
      </c>
      <c r="N37" s="49">
        <f>IFERROR(IF(Data_Entry!S26/Data_Entry!$H26&lt;0,0,Data_Entry!S26/Data_Entry!$H26),0)</f>
        <v>1.0342506073783049</v>
      </c>
      <c r="O37" s="49">
        <f>IFERROR(IF(Data_Entry!T26/Data_Entry!$H26&lt;0,0,Data_Entry!T26/Data_Entry!$H26),0)</f>
        <v>1.0781574727858743</v>
      </c>
      <c r="P37" s="49">
        <f>IFERROR(IF(Data_Entry!U26/Data_Entry!$H26&lt;0,0,Data_Entry!U26/Data_Entry!$H26),0)</f>
        <v>1.1903639066052187</v>
      </c>
      <c r="Q37" s="49">
        <f>IFERROR(IF(Data_Entry!V26/Data_Entry!$H26&lt;0,0,Data_Entry!V26/Data_Entry!$H26),0)</f>
        <v>0.99034374197073527</v>
      </c>
      <c r="R37" s="49">
        <f>IFERROR(IF(Data_Entry!W26/Data_Entry!$H26&lt;0,0,Data_Entry!W26/Data_Entry!$H26),0)</f>
        <v>1.0342506073783049</v>
      </c>
      <c r="S37" s="49">
        <f>IFERROR(IF(Data_Entry!X26/Data_Entry!$H26&lt;0,0,Data_Entry!X26/Data_Entry!$H26),0)</f>
        <v>0.96107249836568887</v>
      </c>
      <c r="T37" s="49">
        <f>IFERROR(IF(Data_Entry!Y26/Data_Entry!$H26&lt;0,0,Data_Entry!Y26/Data_Entry!$H26),0)</f>
        <v>0.56591070969756296</v>
      </c>
      <c r="U37" s="49">
        <f>IFERROR(IF(Data_Entry!Z26/Data_Entry!$H26&lt;0,0,Data_Entry!Z26/Data_Entry!$H26),0)</f>
        <v>0.96107249836568887</v>
      </c>
      <c r="V37" s="49">
        <f>IFERROR(IF(Data_Entry!AA26/Data_Entry!$H26&lt;0,0,Data_Entry!AA26/Data_Entry!$H26),0)</f>
        <v>1.0781574727858743</v>
      </c>
      <c r="W37" s="49">
        <f>IFERROR(IF(Data_Entry!AB26/Data_Entry!$H26&lt;0,0,Data_Entry!AB26/Data_Entry!$H26),0)</f>
        <v>0.48785406008410603</v>
      </c>
      <c r="X37" s="49">
        <f>IFERROR(IF(Data_Entry!AC26/Data_Entry!$I26&lt;0,0,Data_Entry!AC26/Data_Entry!$I26),0)</f>
        <v>0.32349602724177068</v>
      </c>
      <c r="Y37" s="49">
        <f>IFERROR(IF(Data_Entry!AD26/Data_Entry!$I26&lt;0,0,Data_Entry!AD26/Data_Entry!$I26),0)</f>
        <v>0.32349602724177068</v>
      </c>
      <c r="Z37" s="49">
        <f>IFERROR(IF(Data_Entry!AE26/Data_Entry!$I26&lt;0,0,Data_Entry!AE26/Data_Entry!$I26),0)</f>
        <v>0.35754824063564128</v>
      </c>
      <c r="AA37" s="49">
        <f>IFERROR(IF(Data_Entry!AF26/Data_Entry!$I26&lt;0,0,Data_Entry!AF26/Data_Entry!$I26),0)</f>
        <v>0.22133938706015888</v>
      </c>
      <c r="AB37" s="49">
        <f>IFERROR(IF(Data_Entry!AG26/Data_Entry!$I26&lt;0,0,Data_Entry!AG26/Data_Entry!$I26),0)</f>
        <v>8.938706015891032E-2</v>
      </c>
      <c r="AC37" s="49">
        <f>IFERROR(IF(Data_Entry!AI26/Data_Entry!$I26&lt;0,0,Data_Entry!AI26/Data_Entry!$I26),0)</f>
        <v>0.24815550510783196</v>
      </c>
      <c r="AD37" s="49">
        <f>IFERROR(IF(Data_Entry!AM26/Data_Entry!$H26&lt;0,0,Data_Entry!AM26/Data_Entry!$H26),0)</f>
        <v>0.96107249836568887</v>
      </c>
      <c r="AE37" s="50">
        <f>Data_Entry!AK26</f>
        <v>0</v>
      </c>
      <c r="AF37" s="50">
        <f>Data_Entry!AL26</f>
        <v>64</v>
      </c>
      <c r="AG37" s="153">
        <f>(Data_Entry!O26-Data_Entry!Q26)/Data_Entry!O26</f>
        <v>0.1532567049808429</v>
      </c>
      <c r="AH37" s="79" t="str">
        <f t="shared" si="0"/>
        <v>CAT2</v>
      </c>
      <c r="AI37" s="51">
        <f>SUBTOTAL(3,Tableau1[[#This Row],[ZS]])</f>
        <v>0</v>
      </c>
      <c r="AJ37" s="51" t="e">
        <f t="shared" ca="1" si="1"/>
        <v>#NAME?</v>
      </c>
      <c r="AK37" s="50" t="str">
        <f>IFERROR(IF((Data_Entry!O26-Data_Entry!Q26)/Data_Entry!O26&lt;=10%,"&lt;=10%","&gt;10%"),"&lt;=10%")</f>
        <v>&gt;10%</v>
      </c>
    </row>
    <row r="38" spans="1:37" s="48" customFormat="1" ht="13" hidden="1" x14ac:dyDescent="0.3">
      <c r="A38" s="31" t="s">
        <v>16</v>
      </c>
      <c r="B38" s="48" t="str">
        <f>Data_Entry!B27</f>
        <v>Butembo</v>
      </c>
      <c r="C38" s="48" t="str">
        <f>Data_Entry!C27</f>
        <v xml:space="preserve"> Alimbongo</v>
      </c>
      <c r="D38" s="48" t="str">
        <f>Data_Entry!D27</f>
        <v xml:space="preserve"> Taliha</v>
      </c>
      <c r="E38" s="49">
        <f>IFERROR(IF(Data_Entry!J27/Data_Entry!$I27&lt;0,0,Data_Entry!J27/Data_Entry!$I27),0)</f>
        <v>0.8471092842462693</v>
      </c>
      <c r="F38" s="49">
        <f>IFERROR(IF(Data_Entry!K27/Data_Entry!$H27&lt;0,0,Data_Entry!K27/Data_Entry!$H27),0)</f>
        <v>0.44857986833976032</v>
      </c>
      <c r="G38" s="49">
        <f>IFERROR(IF(Data_Entry!L27/Data_Entry!$H27&lt;0,0,Data_Entry!L27/Data_Entry!$H27),0)</f>
        <v>1.0384931198550615</v>
      </c>
      <c r="H38" s="49">
        <f>IFERROR(IF(Data_Entry!M27/Data_Entry!$H27&lt;0,0,Data_Entry!M27/Data_Entry!$H27),0)</f>
        <v>0.91866699064101598</v>
      </c>
      <c r="I38" s="49">
        <f>IFERROR(IF(Data_Entry!N27/Data_Entry!$H27&lt;0,0,Data_Entry!N27/Data_Entry!$H27),0)</f>
        <v>0.86336262331145652</v>
      </c>
      <c r="J38" s="49">
        <f>IFERROR(IF(Data_Entry!O27/Data_Entry!$H27&lt;0,0,Data_Entry!O27/Data_Entry!$H27),0)</f>
        <v>0.90330466638280504</v>
      </c>
      <c r="K38" s="49">
        <f>IFERROR(IF(Data_Entry!P27/Data_Entry!$H27&lt;0,0,Data_Entry!P27/Data_Entry!$H27),0)</f>
        <v>0.85107276390488773</v>
      </c>
      <c r="L38" s="49">
        <f>IFERROR(IF(Data_Entry!Q27/Data_Entry!$H27&lt;0,0,Data_Entry!Q27/Data_Entry!$H27),0)</f>
        <v>0.77733360746547508</v>
      </c>
      <c r="M38" s="49">
        <f>IFERROR(IF(Data_Entry!R27/Data_Entry!$H27&lt;0,0,Data_Entry!R27/Data_Entry!$H27),0)</f>
        <v>0.93710177975086917</v>
      </c>
      <c r="N38" s="49">
        <f>IFERROR(IF(Data_Entry!S27/Data_Entry!$H27&lt;0,0,Data_Entry!S27/Data_Entry!$H27),0)</f>
        <v>0.82649304509175014</v>
      </c>
      <c r="O38" s="49">
        <f>IFERROR(IF(Data_Entry!T27/Data_Entry!$H27&lt;0,0,Data_Entry!T27/Data_Entry!$H27),0)</f>
        <v>0.77733360746547508</v>
      </c>
      <c r="P38" s="49">
        <f>IFERROR(IF(Data_Entry!U27/Data_Entry!$H27&lt;0,0,Data_Entry!U27/Data_Entry!$H27),0)</f>
        <v>1.1491018545141805</v>
      </c>
      <c r="Q38" s="49">
        <f>IFERROR(IF(Data_Entry!V27/Data_Entry!$H27&lt;0,0,Data_Entry!V27/Data_Entry!$H27),0)</f>
        <v>1.0231307955968505</v>
      </c>
      <c r="R38" s="49">
        <f>IFERROR(IF(Data_Entry!W27/Data_Entry!$H27&lt;0,0,Data_Entry!W27/Data_Entry!$H27),0)</f>
        <v>0.96168149856400675</v>
      </c>
      <c r="S38" s="49">
        <f>IFERROR(IF(Data_Entry!X27/Data_Entry!$H27&lt;0,0,Data_Entry!X27/Data_Entry!$H27),0)</f>
        <v>1.0262032604484927</v>
      </c>
      <c r="T38" s="49">
        <f>IFERROR(IF(Data_Entry!Y27/Data_Entry!$H27&lt;0,0,Data_Entry!Y27/Data_Entry!$H27),0)</f>
        <v>0.23043486387316456</v>
      </c>
      <c r="U38" s="49">
        <f>IFERROR(IF(Data_Entry!Z27/Data_Entry!$H27&lt;0,0,Data_Entry!Z27/Data_Entry!$H27),0)</f>
        <v>0.98011628767385983</v>
      </c>
      <c r="V38" s="49">
        <f>IFERROR(IF(Data_Entry!AA27/Data_Entry!$H27&lt;0,0,Data_Entry!AA27/Data_Entry!$H27),0)</f>
        <v>0.74968142380069536</v>
      </c>
      <c r="W38" s="49">
        <f>IFERROR(IF(Data_Entry!AB27/Data_Entry!$H27&lt;0,0,Data_Entry!AB27/Data_Entry!$H27),0)</f>
        <v>0.27037690694451305</v>
      </c>
      <c r="X38" s="49">
        <f>IFERROR(IF(Data_Entry!AC27/Data_Entry!$I27&lt;0,0,Data_Entry!AC27/Data_Entry!$I27),0)</f>
        <v>0.68358502367974261</v>
      </c>
      <c r="Y38" s="49">
        <f>IFERROR(IF(Data_Entry!AD27/Data_Entry!$I27&lt;0,0,Data_Entry!AD27/Data_Entry!$I27),0)</f>
        <v>0.52274148869627379</v>
      </c>
      <c r="Z38" s="49">
        <f>IFERROR(IF(Data_Entry!AE27/Data_Entry!$I27&lt;0,0,Data_Entry!AE27/Data_Entry!$I27),0)</f>
        <v>0.24126530247520328</v>
      </c>
      <c r="AA38" s="49">
        <f>IFERROR(IF(Data_Entry!AF27/Data_Entry!$I27&lt;0,0,Data_Entry!AF27/Data_Entry!$I27),0)</f>
        <v>0.10454829773925475</v>
      </c>
      <c r="AB38" s="49">
        <f>IFERROR(IF(Data_Entry!AG27/Data_Entry!$I27&lt;0,0,Data_Entry!AG27/Data_Entry!$I27),0)</f>
        <v>0.18228933964793137</v>
      </c>
      <c r="AC38" s="49">
        <f>IFERROR(IF(Data_Entry!AI27/Data_Entry!$I27&lt;0,0,Data_Entry!AI27/Data_Entry!$I27),0)</f>
        <v>0.15628630149227055</v>
      </c>
      <c r="AD38" s="49">
        <f>IFERROR(IF(Data_Entry!AM27/Data_Entry!$H27&lt;0,0,Data_Entry!AM27/Data_Entry!$H27),0)</f>
        <v>0.98011628767385983</v>
      </c>
      <c r="AE38" s="50">
        <f>Data_Entry!AK27</f>
        <v>31.471583333333342</v>
      </c>
      <c r="AF38" s="50">
        <f>Data_Entry!AL27</f>
        <v>0</v>
      </c>
      <c r="AG38" s="153">
        <f>(Data_Entry!O27-Data_Entry!Q27)/Data_Entry!O27</f>
        <v>0.13945578231292516</v>
      </c>
      <c r="AH38" s="79" t="str">
        <f t="shared" si="0"/>
        <v>CAT2</v>
      </c>
      <c r="AI38" s="51">
        <f>SUBTOTAL(3,Tableau1[[#This Row],[ZS]])</f>
        <v>0</v>
      </c>
      <c r="AJ38" s="51" t="e">
        <f t="shared" ca="1" si="1"/>
        <v>#NAME?</v>
      </c>
      <c r="AK38" s="50" t="str">
        <f>IFERROR(IF((Data_Entry!O27-Data_Entry!Q27)/Data_Entry!O27&lt;=10%,"&lt;=10%","&gt;10%"),"&lt;=10%")</f>
        <v>&gt;10%</v>
      </c>
    </row>
    <row r="39" spans="1:37" s="48" customFormat="1" ht="13" hidden="1" x14ac:dyDescent="0.3">
      <c r="A39" s="31" t="s">
        <v>16</v>
      </c>
      <c r="B39" s="48" t="str">
        <f>Data_Entry!B28</f>
        <v>Butembo</v>
      </c>
      <c r="C39" s="48" t="str">
        <f>Data_Entry!C28</f>
        <v xml:space="preserve"> Alimbongo</v>
      </c>
      <c r="D39" s="48" t="str">
        <f>Data_Entry!D28</f>
        <v xml:space="preserve"> Vutsorovia</v>
      </c>
      <c r="E39" s="49">
        <f>IFERROR(IF(Data_Entry!J28/Data_Entry!$I28&lt;0,0,Data_Entry!J28/Data_Entry!$I28),0)</f>
        <v>1.0939303023309483</v>
      </c>
      <c r="F39" s="49">
        <f>IFERROR(IF(Data_Entry!K28/Data_Entry!$H28&lt;0,0,Data_Entry!K28/Data_Entry!$H28),0)</f>
        <v>0.40734894529025922</v>
      </c>
      <c r="G39" s="49">
        <f>IFERROR(IF(Data_Entry!L28/Data_Entry!$H28&lt;0,0,Data_Entry!L28/Data_Entry!$H28),0)</f>
        <v>0.87289059705055549</v>
      </c>
      <c r="H39" s="49">
        <f>IFERROR(IF(Data_Entry!M28/Data_Entry!$H28&lt;0,0,Data_Entry!M28/Data_Entry!$H28),0)</f>
        <v>0.8411491207941717</v>
      </c>
      <c r="I39" s="49">
        <f>IFERROR(IF(Data_Entry!N28/Data_Entry!$H28&lt;0,0,Data_Entry!N28/Data_Entry!$H28),0)</f>
        <v>0.70889296972590565</v>
      </c>
      <c r="J39" s="49">
        <f>IFERROR(IF(Data_Entry!O28/Data_Entry!$H28&lt;0,0,Data_Entry!O28/Data_Entry!$H28),0)</f>
        <v>0.95224428769151515</v>
      </c>
      <c r="K39" s="49">
        <f>IFERROR(IF(Data_Entry!P28/Data_Entry!$H28&lt;0,0,Data_Entry!P28/Data_Entry!$H28),0)</f>
        <v>0.91521256539240059</v>
      </c>
      <c r="L39" s="49">
        <f>IFERROR(IF(Data_Entry!Q28/Data_Entry!$H28&lt;0,0,Data_Entry!Q28/Data_Entry!$H28),0)</f>
        <v>0.80411739849505726</v>
      </c>
      <c r="M39" s="49">
        <f>IFERROR(IF(Data_Entry!R28/Data_Entry!$H28&lt;0,0,Data_Entry!R28/Data_Entry!$H28),0)</f>
        <v>0.92050281143513124</v>
      </c>
      <c r="N39" s="49">
        <f>IFERROR(IF(Data_Entry!S28/Data_Entry!$H28&lt;0,0,Data_Entry!S28/Data_Entry!$H28),0)</f>
        <v>0.90992231934967005</v>
      </c>
      <c r="O39" s="49">
        <f>IFERROR(IF(Data_Entry!T28/Data_Entry!$H28&lt;0,0,Data_Entry!T28/Data_Entry!$H28),0)</f>
        <v>0.76444055317457738</v>
      </c>
      <c r="P39" s="49">
        <f>IFERROR(IF(Data_Entry!U28/Data_Entry!$H28&lt;0,0,Data_Entry!U28/Data_Entry!$H28),0)</f>
        <v>0.93901867258468852</v>
      </c>
      <c r="Q39" s="49">
        <f>IFERROR(IF(Data_Entry!V28/Data_Entry!$H28&lt;0,0,Data_Entry!V28/Data_Entry!$H28),0)</f>
        <v>0.93108330352059254</v>
      </c>
      <c r="R39" s="49">
        <f>IFERROR(IF(Data_Entry!W28/Data_Entry!$H28&lt;0,0,Data_Entry!W28/Data_Entry!$H28),0)</f>
        <v>0.75121493806775086</v>
      </c>
      <c r="S39" s="49">
        <f>IFERROR(IF(Data_Entry!X28/Data_Entry!$H28&lt;0,0,Data_Entry!X28/Data_Entry!$H28),0)</f>
        <v>0.89669670424284342</v>
      </c>
      <c r="T39" s="49">
        <f>IFERROR(IF(Data_Entry!Y28/Data_Entry!$H28&lt;0,0,Data_Entry!Y28/Data_Entry!$H28),0)</f>
        <v>0.46289652873893095</v>
      </c>
      <c r="U39" s="49">
        <f>IFERROR(IF(Data_Entry!Z28/Data_Entry!$H28&lt;0,0,Data_Entry!Z28/Data_Entry!$H28),0)</f>
        <v>0.91256744237103526</v>
      </c>
      <c r="V39" s="49">
        <f>IFERROR(IF(Data_Entry!AA28/Data_Entry!$H28&lt;0,0,Data_Entry!AA28/Data_Entry!$H28),0)</f>
        <v>0.57399169563627439</v>
      </c>
      <c r="W39" s="49">
        <f>IFERROR(IF(Data_Entry!AB28/Data_Entry!$H28&lt;0,0,Data_Entry!AB28/Data_Entry!$H28),0)</f>
        <v>0.48934775895258414</v>
      </c>
      <c r="X39" s="49">
        <f>IFERROR(IF(Data_Entry!AC28/Data_Entry!$I28&lt;0,0,Data_Entry!AC28/Data_Entry!$I28),0)</f>
        <v>0.21693976459727668</v>
      </c>
      <c r="Y39" s="49">
        <f>IFERROR(IF(Data_Entry!AD28/Data_Entry!$I28&lt;0,0,Data_Entry!AD28/Data_Entry!$I28),0)</f>
        <v>0.19386106623586427</v>
      </c>
      <c r="Z39" s="49">
        <f>IFERROR(IF(Data_Entry!AE28/Data_Entry!$I28&lt;0,0,Data_Entry!AE28/Data_Entry!$I28),0)</f>
        <v>0.13847219016847448</v>
      </c>
      <c r="AA39" s="49">
        <f>IFERROR(IF(Data_Entry!AF28/Data_Entry!$I28&lt;0,0,Data_Entry!AF28/Data_Entry!$I28),0)</f>
        <v>0.1177013616432033</v>
      </c>
      <c r="AB39" s="49">
        <f>IFERROR(IF(Data_Entry!AG28/Data_Entry!$I28&lt;0,0,Data_Entry!AG28/Data_Entry!$I28),0)</f>
        <v>0.11077775213477958</v>
      </c>
      <c r="AC39" s="49">
        <f>IFERROR(IF(Data_Entry!AI28/Data_Entry!$I28&lt;0,0,Data_Entry!AI28/Data_Entry!$I28),0)</f>
        <v>0.12185552734825754</v>
      </c>
      <c r="AD39" s="49">
        <f>IFERROR(IF(Data_Entry!AM28/Data_Entry!$H28&lt;0,0,Data_Entry!AM28/Data_Entry!$H28),0)</f>
        <v>0.89669670424284342</v>
      </c>
      <c r="AE39" s="50">
        <f>Data_Entry!AK28</f>
        <v>18.054250000000025</v>
      </c>
      <c r="AF39" s="50">
        <f>Data_Entry!AL28</f>
        <v>21</v>
      </c>
      <c r="AG39" s="153">
        <f>(Data_Entry!O28-Data_Entry!Q28)/Data_Entry!O28</f>
        <v>0.15555555555555556</v>
      </c>
      <c r="AH39" s="79" t="str">
        <f t="shared" si="0"/>
        <v>CAT2</v>
      </c>
      <c r="AI39" s="51">
        <f>SUBTOTAL(3,Tableau1[[#This Row],[ZS]])</f>
        <v>0</v>
      </c>
      <c r="AJ39" s="51" t="e">
        <f t="shared" ca="1" si="1"/>
        <v>#NAME?</v>
      </c>
      <c r="AK39" s="50" t="str">
        <f>IFERROR(IF((Data_Entry!O28-Data_Entry!Q28)/Data_Entry!O28&lt;=10%,"&lt;=10%","&gt;10%"),"&lt;=10%")</f>
        <v>&gt;10%</v>
      </c>
    </row>
    <row r="40" spans="1:37" s="48" customFormat="1" ht="13" hidden="1" x14ac:dyDescent="0.3">
      <c r="A40" s="31" t="s">
        <v>16</v>
      </c>
      <c r="B40" s="48" t="str">
        <f>Data_Entry!B29</f>
        <v>Goma</v>
      </c>
      <c r="C40" s="48" t="str">
        <f>Data_Entry!C29</f>
        <v xml:space="preserve"> Bambo</v>
      </c>
      <c r="D40" s="48" t="str">
        <f>Data_Entry!D29</f>
        <v xml:space="preserve"> Butare</v>
      </c>
      <c r="E40" s="49">
        <f>IFERROR(IF(Data_Entry!J29/Data_Entry!$I29&lt;0,0,Data_Entry!J29/Data_Entry!$I29),0)</f>
        <v>0.89529379003063203</v>
      </c>
      <c r="F40" s="49">
        <f>IFERROR(IF(Data_Entry!K29/Data_Entry!$H29&lt;0,0,Data_Entry!K29/Data_Entry!$H29),0)</f>
        <v>0.62716485578798953</v>
      </c>
      <c r="G40" s="49">
        <f>IFERROR(IF(Data_Entry!L29/Data_Entry!$H29&lt;0,0,Data_Entry!L29/Data_Entry!$H29),0)</f>
        <v>0.93994936401813189</v>
      </c>
      <c r="H40" s="49">
        <f>IFERROR(IF(Data_Entry!M29/Data_Entry!$H29&lt;0,0,Data_Entry!M29/Data_Entry!$H29),0)</f>
        <v>0.90643673813633097</v>
      </c>
      <c r="I40" s="49">
        <f>IFERROR(IF(Data_Entry!N29/Data_Entry!$H29&lt;0,0,Data_Entry!N29/Data_Entry!$H29),0)</f>
        <v>0.8856908268761684</v>
      </c>
      <c r="J40" s="49">
        <f>IFERROR(IF(Data_Entry!O29/Data_Entry!$H29&lt;0,0,Data_Entry!O29/Data_Entry!$H29),0)</f>
        <v>0.93994936401813189</v>
      </c>
      <c r="K40" s="49">
        <f>IFERROR(IF(Data_Entry!P29/Data_Entry!$H29&lt;0,0,Data_Entry!P29/Data_Entry!$H29),0)</f>
        <v>0.90643673813633097</v>
      </c>
      <c r="L40" s="49">
        <f>IFERROR(IF(Data_Entry!Q29/Data_Entry!$H29&lt;0,0,Data_Entry!Q29/Data_Entry!$H29),0)</f>
        <v>0.8856908268761684</v>
      </c>
      <c r="M40" s="49">
        <f>IFERROR(IF(Data_Entry!R29/Data_Entry!$H29&lt;0,0,Data_Entry!R29/Data_Entry!$H29),0)</f>
        <v>0.93994936401813189</v>
      </c>
      <c r="N40" s="49">
        <f>IFERROR(IF(Data_Entry!S29/Data_Entry!$H29&lt;0,0,Data_Entry!S29/Data_Entry!$H29),0)</f>
        <v>0.90643673813633097</v>
      </c>
      <c r="O40" s="49">
        <f>IFERROR(IF(Data_Entry!T29/Data_Entry!$H29&lt;0,0,Data_Entry!T29/Data_Entry!$H29),0)</f>
        <v>0.8856908268761684</v>
      </c>
      <c r="P40" s="49">
        <f>IFERROR(IF(Data_Entry!U29/Data_Entry!$H29&lt;0,0,Data_Entry!U29/Data_Entry!$H29),0)</f>
        <v>0.93356600670731271</v>
      </c>
      <c r="Q40" s="49">
        <f>IFERROR(IF(Data_Entry!V29/Data_Entry!$H29&lt;0,0,Data_Entry!V29/Data_Entry!$H29),0)</f>
        <v>0.90643673813633097</v>
      </c>
      <c r="R40" s="49">
        <f>IFERROR(IF(Data_Entry!W29/Data_Entry!$H29&lt;0,0,Data_Entry!W29/Data_Entry!$H29),0)</f>
        <v>0.8856908268761684</v>
      </c>
      <c r="S40" s="49">
        <f>IFERROR(IF(Data_Entry!X29/Data_Entry!$H29&lt;0,0,Data_Entry!X29/Data_Entry!$H29),0)</f>
        <v>0.97027031124452323</v>
      </c>
      <c r="T40" s="49">
        <f>IFERROR(IF(Data_Entry!Y29/Data_Entry!$H29&lt;0,0,Data_Entry!Y29/Data_Entry!$H29),0)</f>
        <v>0.18830904066916734</v>
      </c>
      <c r="U40" s="49">
        <f>IFERROR(IF(Data_Entry!Z29/Data_Entry!$H29&lt;0,0,Data_Entry!Z29/Data_Entry!$H29),0)</f>
        <v>0.92239513141337903</v>
      </c>
      <c r="V40" s="49">
        <f>IFERROR(IF(Data_Entry!AA29/Data_Entry!$H29&lt;0,0,Data_Entry!AA29/Data_Entry!$H29),0)</f>
        <v>0.8856908268761684</v>
      </c>
      <c r="W40" s="49">
        <f>IFERROR(IF(Data_Entry!AB29/Data_Entry!$H29&lt;0,0,Data_Entry!AB29/Data_Entry!$H29),0)</f>
        <v>9.0962841679174053E-2</v>
      </c>
      <c r="X40" s="49">
        <f>IFERROR(IF(Data_Entry!AC29/Data_Entry!$I29&lt;0,0,Data_Entry!AC29/Data_Entry!$I29),0)</f>
        <v>0.46644388749651905</v>
      </c>
      <c r="Y40" s="49">
        <f>IFERROR(IF(Data_Entry!AD29/Data_Entry!$I29&lt;0,0,Data_Entry!AD29/Data_Entry!$I29),0)</f>
        <v>0.53606237816764124</v>
      </c>
      <c r="Z40" s="49">
        <f>IFERROR(IF(Data_Entry!AE29/Data_Entry!$I29&lt;0,0,Data_Entry!AE29/Data_Entry!$I29),0)</f>
        <v>0.17404622667780562</v>
      </c>
      <c r="AA40" s="49">
        <f>IFERROR(IF(Data_Entry!AF29/Data_Entry!$I29&lt;0,0,Data_Entry!AF29/Data_Entry!$I29),0)</f>
        <v>8.6326928432191585E-2</v>
      </c>
      <c r="AB40" s="49">
        <f>IFERROR(IF(Data_Entry!AG29/Data_Entry!$I29&lt;0,0,Data_Entry!AG29/Data_Entry!$I29),0)</f>
        <v>0</v>
      </c>
      <c r="AC40" s="49">
        <f>IFERROR(IF(Data_Entry!AI29/Data_Entry!$I29&lt;0,0,Data_Entry!AI29/Data_Entry!$I29),0)</f>
        <v>6.9618490671122246E-2</v>
      </c>
      <c r="AD40" s="49">
        <f>IFERROR(IF(Data_Entry!AM29/Data_Entry!$H29&lt;0,0,Data_Entry!AM29/Data_Entry!$H29),0)</f>
        <v>0.92239513141337903</v>
      </c>
      <c r="AE40" s="50">
        <f>Data_Entry!AK29</f>
        <v>37.629500000000007</v>
      </c>
      <c r="AF40" s="50">
        <f>Data_Entry!AL29</f>
        <v>0</v>
      </c>
      <c r="AG40" s="153">
        <f>(Data_Entry!O29-Data_Entry!Q29)/Data_Entry!O29</f>
        <v>5.7724957555178265E-2</v>
      </c>
      <c r="AH40" s="79" t="str">
        <f t="shared" si="0"/>
        <v>CAT1</v>
      </c>
      <c r="AI40" s="51">
        <f>SUBTOTAL(3,Tableau1[[#This Row],[ZS]])</f>
        <v>0</v>
      </c>
      <c r="AJ40" s="51" t="e">
        <f t="shared" ca="1" si="1"/>
        <v>#NAME?</v>
      </c>
      <c r="AK40" s="50" t="str">
        <f>IFERROR(IF((Data_Entry!O29-Data_Entry!Q29)/Data_Entry!O29&lt;=10%,"&lt;=10%","&gt;10%"),"&lt;=10%")</f>
        <v>&lt;=10%</v>
      </c>
    </row>
    <row r="41" spans="1:37" s="48" customFormat="1" ht="13" hidden="1" x14ac:dyDescent="0.3">
      <c r="A41" s="31" t="s">
        <v>16</v>
      </c>
      <c r="B41" s="48" t="str">
        <f>Data_Entry!B30</f>
        <v>Goma</v>
      </c>
      <c r="C41" s="48" t="str">
        <f>Data_Entry!C30</f>
        <v xml:space="preserve"> Bambo</v>
      </c>
      <c r="D41" s="48" t="str">
        <f>Data_Entry!D30</f>
        <v xml:space="preserve"> CBCA Bambo</v>
      </c>
      <c r="E41" s="49">
        <f>IFERROR(IF(Data_Entry!J30/Data_Entry!$I30&lt;0,0,Data_Entry!J30/Data_Entry!$I30),0)</f>
        <v>2.0903203423152537</v>
      </c>
      <c r="F41" s="49">
        <f>IFERROR(IF(Data_Entry!K30/Data_Entry!$H30&lt;0,0,Data_Entry!K30/Data_Entry!$H30),0)</f>
        <v>1.3619179250600519</v>
      </c>
      <c r="G41" s="49">
        <f>IFERROR(IF(Data_Entry!L30/Data_Entry!$H30&lt;0,0,Data_Entry!L30/Data_Entry!$H30),0)</f>
        <v>1.2804016696914942</v>
      </c>
      <c r="H41" s="49">
        <f>IFERROR(IF(Data_Entry!M30/Data_Entry!$H30&lt;0,0,Data_Entry!M30/Data_Entry!$H30),0)</f>
        <v>1.2406376426824415</v>
      </c>
      <c r="I41" s="49">
        <f>IFERROR(IF(Data_Entry!N30/Data_Entry!$H30&lt;0,0,Data_Entry!N30/Data_Entry!$H30),0)</f>
        <v>1.2605196561869678</v>
      </c>
      <c r="J41" s="49">
        <f>IFERROR(IF(Data_Entry!O30/Data_Entry!$H30&lt;0,0,Data_Entry!O30/Data_Entry!$H30),0)</f>
        <v>1.2804016696914942</v>
      </c>
      <c r="K41" s="49">
        <f>IFERROR(IF(Data_Entry!P30/Data_Entry!$H30&lt;0,0,Data_Entry!P30/Data_Entry!$H30),0)</f>
        <v>1.2406376426824415</v>
      </c>
      <c r="L41" s="49">
        <f>IFERROR(IF(Data_Entry!Q30/Data_Entry!$H30&lt;0,0,Data_Entry!Q30/Data_Entry!$H30),0)</f>
        <v>1.2605196561869678</v>
      </c>
      <c r="M41" s="49">
        <f>IFERROR(IF(Data_Entry!R30/Data_Entry!$H30&lt;0,0,Data_Entry!R30/Data_Entry!$H30),0)</f>
        <v>1.2804016696914942</v>
      </c>
      <c r="N41" s="49">
        <f>IFERROR(IF(Data_Entry!S30/Data_Entry!$H30&lt;0,0,Data_Entry!S30/Data_Entry!$H30),0)</f>
        <v>1.2426258440328941</v>
      </c>
      <c r="O41" s="49">
        <f>IFERROR(IF(Data_Entry!T30/Data_Entry!$H30&lt;0,0,Data_Entry!T30/Data_Entry!$H30),0)</f>
        <v>1.2605196561869678</v>
      </c>
      <c r="P41" s="49">
        <f>IFERROR(IF(Data_Entry!U30/Data_Entry!$H30&lt;0,0,Data_Entry!U30/Data_Entry!$H30),0)</f>
        <v>1.2784134683410415</v>
      </c>
      <c r="Q41" s="49">
        <f>IFERROR(IF(Data_Entry!V30/Data_Entry!$H30&lt;0,0,Data_Entry!V30/Data_Entry!$H30),0)</f>
        <v>1.2406376426824415</v>
      </c>
      <c r="R41" s="49">
        <f>IFERROR(IF(Data_Entry!W30/Data_Entry!$H30&lt;0,0,Data_Entry!W30/Data_Entry!$H30),0)</f>
        <v>1.2605196561869678</v>
      </c>
      <c r="S41" s="49">
        <f>IFERROR(IF(Data_Entry!X30/Data_Entry!$H30&lt;0,0,Data_Entry!X30/Data_Entry!$H30),0)</f>
        <v>1.2605196561869678</v>
      </c>
      <c r="T41" s="49">
        <f>IFERROR(IF(Data_Entry!Y30/Data_Entry!$H30&lt;0,0,Data_Entry!Y30/Data_Entry!$H30),0)</f>
        <v>0.36185264578237875</v>
      </c>
      <c r="U41" s="49">
        <f>IFERROR(IF(Data_Entry!Z30/Data_Entry!$H30&lt;0,0,Data_Entry!Z30/Data_Entry!$H30),0)</f>
        <v>1.2605196561869678</v>
      </c>
      <c r="V41" s="49">
        <f>IFERROR(IF(Data_Entry!AA30/Data_Entry!$H30&lt;0,0,Data_Entry!AA30/Data_Entry!$H30),0)</f>
        <v>1.2605196561869678</v>
      </c>
      <c r="W41" s="49">
        <f>IFERROR(IF(Data_Entry!AB30/Data_Entry!$H30&lt;0,0,Data_Entry!AB30/Data_Entry!$H30),0)</f>
        <v>0.55669637812673656</v>
      </c>
      <c r="X41" s="49">
        <f>IFERROR(IF(Data_Entry!AC30/Data_Entry!$I30&lt;0,0,Data_Entry!AC30/Data_Entry!$I30),0)</f>
        <v>0.67653521452526888</v>
      </c>
      <c r="Y41" s="49">
        <f>IFERROR(IF(Data_Entry!AD30/Data_Entry!$I30&lt;0,0,Data_Entry!AD30/Data_Entry!$I30),0)</f>
        <v>0.56204463975945407</v>
      </c>
      <c r="Z41" s="49">
        <f>IFERROR(IF(Data_Entry!AE30/Data_Entry!$I30&lt;0,0,Data_Entry!AE30/Data_Entry!$I30),0)</f>
        <v>0.49439111830692722</v>
      </c>
      <c r="AA41" s="49">
        <f>IFERROR(IF(Data_Entry!AF30/Data_Entry!$I30&lt;0,0,Data_Entry!AF30/Data_Entry!$I30),0)</f>
        <v>0.39551289464554179</v>
      </c>
      <c r="AB41" s="49">
        <f>IFERROR(IF(Data_Entry!AG30/Data_Entry!$I30&lt;0,0,Data_Entry!AG30/Data_Entry!$I30),0)</f>
        <v>0.34347172429744416</v>
      </c>
      <c r="AC41" s="49">
        <f>IFERROR(IF(Data_Entry!AI30/Data_Entry!$I30&lt;0,0,Data_Entry!AI30/Data_Entry!$I30),0)</f>
        <v>0.10113334104313634</v>
      </c>
      <c r="AD41" s="49">
        <f>IFERROR(IF(Data_Entry!AM30/Data_Entry!$H30&lt;0,0,Data_Entry!AM30/Data_Entry!$H30),0)</f>
        <v>1.2605196561869678</v>
      </c>
      <c r="AE41" s="50">
        <f>Data_Entry!AK30</f>
        <v>0</v>
      </c>
      <c r="AF41" s="50">
        <f>Data_Entry!AL30</f>
        <v>10</v>
      </c>
      <c r="AG41" s="153">
        <f>(Data_Entry!O30-Data_Entry!Q30)/Data_Entry!O30</f>
        <v>1.5527950310559006E-2</v>
      </c>
      <c r="AH41" s="79" t="str">
        <f t="shared" si="0"/>
        <v>CAT1</v>
      </c>
      <c r="AI41" s="51">
        <f>SUBTOTAL(3,Tableau1[[#This Row],[ZS]])</f>
        <v>0</v>
      </c>
      <c r="AJ41" s="51" t="e">
        <f t="shared" ca="1" si="1"/>
        <v>#NAME?</v>
      </c>
      <c r="AK41" s="50" t="str">
        <f>IFERROR(IF((Data_Entry!O30-Data_Entry!Q30)/Data_Entry!O30&lt;=10%,"&lt;=10%","&gt;10%"),"&lt;=10%")</f>
        <v>&lt;=10%</v>
      </c>
    </row>
    <row r="42" spans="1:37" s="48" customFormat="1" ht="13" hidden="1" x14ac:dyDescent="0.3">
      <c r="A42" s="31" t="s">
        <v>16</v>
      </c>
      <c r="B42" s="48" t="str">
        <f>Data_Entry!B31</f>
        <v>Goma</v>
      </c>
      <c r="C42" s="48" t="str">
        <f>Data_Entry!C31</f>
        <v xml:space="preserve"> Bambo</v>
      </c>
      <c r="D42" s="48" t="str">
        <f>Data_Entry!D31</f>
        <v xml:space="preserve"> CEBCE Bambo</v>
      </c>
      <c r="E42" s="49">
        <f>IFERROR(IF(Data_Entry!J31/Data_Entry!$I31&lt;0,0,Data_Entry!J31/Data_Entry!$I31),0)</f>
        <v>1.111912883757544</v>
      </c>
      <c r="F42" s="49">
        <f>IFERROR(IF(Data_Entry!K31/Data_Entry!$H31&lt;0,0,Data_Entry!K31/Data_Entry!$H31),0)</f>
        <v>0.81651741039172532</v>
      </c>
      <c r="G42" s="49">
        <f>IFERROR(IF(Data_Entry!L31/Data_Entry!$H31&lt;0,0,Data_Entry!L31/Data_Entry!$H31),0)</f>
        <v>0.90448475571017084</v>
      </c>
      <c r="H42" s="49">
        <f>IFERROR(IF(Data_Entry!M31/Data_Entry!$H31&lt;0,0,Data_Entry!M31/Data_Entry!$H31),0)</f>
        <v>0.83681756700367427</v>
      </c>
      <c r="I42" s="49">
        <f>IFERROR(IF(Data_Entry!N31/Data_Entry!$H31&lt;0,0,Data_Entry!N31/Data_Entry!$H31),0)</f>
        <v>0.87967345318445544</v>
      </c>
      <c r="J42" s="49">
        <f>IFERROR(IF(Data_Entry!O31/Data_Entry!$H31&lt;0,0,Data_Entry!O31/Data_Entry!$H31),0)</f>
        <v>1.0443302790369304</v>
      </c>
      <c r="K42" s="49">
        <f>IFERROR(IF(Data_Entry!P31/Data_Entry!$H31&lt;0,0,Data_Entry!P31/Data_Entry!$H31),0)</f>
        <v>0.97215194441666741</v>
      </c>
      <c r="L42" s="49">
        <f>IFERROR(IF(Data_Entry!Q31/Data_Entry!$H31&lt;0,0,Data_Entry!Q31/Data_Entry!$H31),0)</f>
        <v>1.0150078305974486</v>
      </c>
      <c r="M42" s="49">
        <f>IFERROR(IF(Data_Entry!R31/Data_Entry!$H31&lt;0,0,Data_Entry!R31/Data_Entry!$H31),0)</f>
        <v>1.0443302790369304</v>
      </c>
      <c r="N42" s="49">
        <f>IFERROR(IF(Data_Entry!S31/Data_Entry!$H31&lt;0,0,Data_Entry!S31/Data_Entry!$H31),0)</f>
        <v>0.97215194441666741</v>
      </c>
      <c r="O42" s="49">
        <f>IFERROR(IF(Data_Entry!T31/Data_Entry!$H31&lt;0,0,Data_Entry!T31/Data_Entry!$H31),0)</f>
        <v>1.0150078305974486</v>
      </c>
      <c r="P42" s="49">
        <f>IFERROR(IF(Data_Entry!U31/Data_Entry!$H31&lt;0,0,Data_Entry!U31/Data_Entry!$H31),0)</f>
        <v>1.0443302790369304</v>
      </c>
      <c r="Q42" s="49">
        <f>IFERROR(IF(Data_Entry!V31/Data_Entry!$H31&lt;0,0,Data_Entry!V31/Data_Entry!$H31),0)</f>
        <v>0.89095131796887161</v>
      </c>
      <c r="R42" s="49">
        <f>IFERROR(IF(Data_Entry!W31/Data_Entry!$H31&lt;0,0,Data_Entry!W31/Data_Entry!$H31),0)</f>
        <v>1.0150078305974486</v>
      </c>
      <c r="S42" s="49">
        <f>IFERROR(IF(Data_Entry!X31/Data_Entry!$H31&lt;0,0,Data_Entry!X31/Data_Entry!$H31),0)</f>
        <v>1.0240301224249815</v>
      </c>
      <c r="T42" s="49">
        <f>IFERROR(IF(Data_Entry!Y31/Data_Entry!$H31&lt;0,0,Data_Entry!Y31/Data_Entry!$H31),0)</f>
        <v>0.43983672659222772</v>
      </c>
      <c r="U42" s="49">
        <f>IFERROR(IF(Data_Entry!Z31/Data_Entry!$H31&lt;0,0,Data_Entry!Z31/Data_Entry!$H31),0)</f>
        <v>1.0195189765112151</v>
      </c>
      <c r="V42" s="49">
        <f>IFERROR(IF(Data_Entry!AA31/Data_Entry!$H31&lt;0,0,Data_Entry!AA31/Data_Entry!$H31),0)</f>
        <v>1.0104966846836823</v>
      </c>
      <c r="W42" s="49">
        <f>IFERROR(IF(Data_Entry!AB31/Data_Entry!$H31&lt;0,0,Data_Entry!AB31/Data_Entry!$H31),0)</f>
        <v>0.58193782287587059</v>
      </c>
      <c r="X42" s="49">
        <f>IFERROR(IF(Data_Entry!AC31/Data_Entry!$I31&lt;0,0,Data_Entry!AC31/Data_Entry!$I31),0)</f>
        <v>0.16531094200997115</v>
      </c>
      <c r="Y42" s="49">
        <f>IFERROR(IF(Data_Entry!AD31/Data_Entry!$I31&lt;0,0,Data_Entry!AD31/Data_Entry!$I31),0)</f>
        <v>0.12201521910259774</v>
      </c>
      <c r="Z42" s="49">
        <f>IFERROR(IF(Data_Entry!AE31/Data_Entry!$I31&lt;0,0,Data_Entry!AE31/Data_Entry!$I31),0)</f>
        <v>0.15153503017580688</v>
      </c>
      <c r="AA42" s="49">
        <f>IFERROR(IF(Data_Entry!AF31/Data_Entry!$I31&lt;0,0,Data_Entry!AF31/Data_Entry!$I31),0)</f>
        <v>8.4623458409866181E-2</v>
      </c>
      <c r="AB42" s="49">
        <f>IFERROR(IF(Data_Entry!AG31/Data_Entry!$I31&lt;0,0,Data_Entry!AG31/Data_Entry!$I31),0)</f>
        <v>0.10823930726843348</v>
      </c>
      <c r="AC42" s="49">
        <f>IFERROR(IF(Data_Entry!AI31/Data_Entry!$I31&lt;0,0,Data_Entry!AI31/Data_Entry!$I31),0)</f>
        <v>0.11473366570453948</v>
      </c>
      <c r="AD42" s="49">
        <f>IFERROR(IF(Data_Entry!AM31/Data_Entry!$H31&lt;0,0,Data_Entry!AM31/Data_Entry!$H31),0)</f>
        <v>1.0195189765112151</v>
      </c>
      <c r="AE42" s="50">
        <f>Data_Entry!AK31</f>
        <v>0</v>
      </c>
      <c r="AF42" s="50">
        <f>Data_Entry!AL31</f>
        <v>9</v>
      </c>
      <c r="AG42" s="153">
        <f>(Data_Entry!O31-Data_Entry!Q31)/Data_Entry!O31</f>
        <v>2.8077753779697623E-2</v>
      </c>
      <c r="AH42" s="79" t="str">
        <f t="shared" si="0"/>
        <v>CAT1</v>
      </c>
      <c r="AI42" s="51">
        <f>SUBTOTAL(3,Tableau1[[#This Row],[ZS]])</f>
        <v>0</v>
      </c>
      <c r="AJ42" s="51" t="e">
        <f t="shared" ca="1" si="1"/>
        <v>#NAME?</v>
      </c>
      <c r="AK42" s="50" t="str">
        <f>IFERROR(IF((Data_Entry!O31-Data_Entry!Q31)/Data_Entry!O31&lt;=10%,"&lt;=10%","&gt;10%"),"&lt;=10%")</f>
        <v>&lt;=10%</v>
      </c>
    </row>
    <row r="43" spans="1:37" s="48" customFormat="1" ht="13" hidden="1" x14ac:dyDescent="0.3">
      <c r="A43" s="31" t="s">
        <v>16</v>
      </c>
      <c r="B43" s="48" t="str">
        <f>Data_Entry!B32</f>
        <v>Goma</v>
      </c>
      <c r="C43" s="48" t="str">
        <f>Data_Entry!C32</f>
        <v xml:space="preserve"> Bambo</v>
      </c>
      <c r="D43" s="48" t="str">
        <f>Data_Entry!D32</f>
        <v xml:space="preserve"> Faraja</v>
      </c>
      <c r="E43" s="49">
        <f>IFERROR(IF(Data_Entry!J32/Data_Entry!$I32&lt;0,0,Data_Entry!J32/Data_Entry!$I32),0)</f>
        <v>0.99927345889453967</v>
      </c>
      <c r="F43" s="49">
        <f>IFERROR(IF(Data_Entry!K32/Data_Entry!$H32&lt;0,0,Data_Entry!K32/Data_Entry!$H32),0)</f>
        <v>0.60147418825405474</v>
      </c>
      <c r="G43" s="49">
        <f>IFERROR(IF(Data_Entry!L32/Data_Entry!$H32&lt;0,0,Data_Entry!L32/Data_Entry!$H32),0)</f>
        <v>1.0376870979462924</v>
      </c>
      <c r="H43" s="49">
        <f>IFERROR(IF(Data_Entry!M32/Data_Entry!$H32&lt;0,0,Data_Entry!M32/Data_Entry!$H32),0)</f>
        <v>0.94736988756948548</v>
      </c>
      <c r="I43" s="49">
        <f>IFERROR(IF(Data_Entry!N32/Data_Entry!$H32&lt;0,0,Data_Entry!N32/Data_Entry!$H32),0)</f>
        <v>0.94352660202153626</v>
      </c>
      <c r="J43" s="49">
        <f>IFERROR(IF(Data_Entry!O32/Data_Entry!$H32&lt;0,0,Data_Entry!O32/Data_Entry!$H32),0)</f>
        <v>1.1433774505148964</v>
      </c>
      <c r="K43" s="49">
        <f>IFERROR(IF(Data_Entry!P32/Data_Entry!$H32&lt;0,0,Data_Entry!P32/Data_Entry!$H32),0)</f>
        <v>1.0472953118161654</v>
      </c>
      <c r="L43" s="49">
        <f>IFERROR(IF(Data_Entry!Q32/Data_Entry!$H32&lt;0,0,Data_Entry!Q32/Data_Entry!$H32),0)</f>
        <v>1.0338438123983433</v>
      </c>
      <c r="M43" s="49">
        <f>IFERROR(IF(Data_Entry!R32/Data_Entry!$H32&lt;0,0,Data_Entry!R32/Data_Entry!$H32),0)</f>
        <v>1.1433774505148964</v>
      </c>
      <c r="N43" s="49">
        <f>IFERROR(IF(Data_Entry!S32/Data_Entry!$H32&lt;0,0,Data_Entry!S32/Data_Entry!$H32),0)</f>
        <v>1.0472953118161654</v>
      </c>
      <c r="O43" s="49">
        <f>IFERROR(IF(Data_Entry!T32/Data_Entry!$H32&lt;0,0,Data_Entry!T32/Data_Entry!$H32),0)</f>
        <v>1.0338438123983433</v>
      </c>
      <c r="P43" s="49">
        <f>IFERROR(IF(Data_Entry!U32/Data_Entry!$H32&lt;0,0,Data_Entry!U32/Data_Entry!$H32),0)</f>
        <v>1.1433774505148964</v>
      </c>
      <c r="Q43" s="49">
        <f>IFERROR(IF(Data_Entry!V32/Data_Entry!$H32&lt;0,0,Data_Entry!V32/Data_Entry!$H32),0)</f>
        <v>1.0472953118161654</v>
      </c>
      <c r="R43" s="49">
        <f>IFERROR(IF(Data_Entry!W32/Data_Entry!$H32&lt;0,0,Data_Entry!W32/Data_Entry!$H32),0)</f>
        <v>1.0338438123983433</v>
      </c>
      <c r="S43" s="49">
        <f>IFERROR(IF(Data_Entry!X32/Data_Entry!$H32&lt;0,0,Data_Entry!X32/Data_Entry!$H32),0)</f>
        <v>1.0415303834942418</v>
      </c>
      <c r="T43" s="49">
        <f>IFERROR(IF(Data_Entry!Y32/Data_Entry!$H32&lt;0,0,Data_Entry!Y32/Data_Entry!$H32),0)</f>
        <v>0.97042960085718089</v>
      </c>
      <c r="U43" s="49">
        <f>IFERROR(IF(Data_Entry!Z32/Data_Entry!$H32&lt;0,0,Data_Entry!Z32/Data_Entry!$H32),0)</f>
        <v>0.94929153034346014</v>
      </c>
      <c r="V43" s="49">
        <f>IFERROR(IF(Data_Entry!AA32/Data_Entry!$H32&lt;0,0,Data_Entry!AA32/Data_Entry!$H32),0)</f>
        <v>1.0338438123983433</v>
      </c>
      <c r="W43" s="49">
        <f>IFERROR(IF(Data_Entry!AB32/Data_Entry!$H32&lt;0,0,Data_Entry!AB32/Data_Entry!$H32),0)</f>
        <v>0.63029882986367392</v>
      </c>
      <c r="X43" s="49">
        <f>IFERROR(IF(Data_Entry!AC32/Data_Entry!$I32&lt;0,0,Data_Entry!AC32/Data_Entry!$I32),0)</f>
        <v>0.14251383222489239</v>
      </c>
      <c r="Y43" s="49">
        <f>IFERROR(IF(Data_Entry!AD32/Data_Entry!$I32&lt;0,0,Data_Entry!AD32/Data_Entry!$I32),0)</f>
        <v>6.3712066171128373E-2</v>
      </c>
      <c r="Z43" s="49">
        <f>IFERROR(IF(Data_Entry!AE32/Data_Entry!$I32&lt;0,0,Data_Entry!AE32/Data_Entry!$I32),0)</f>
        <v>9.5568099256692546E-2</v>
      </c>
      <c r="AA43" s="49">
        <f>IFERROR(IF(Data_Entry!AF32/Data_Entry!$I32&lt;0,0,Data_Entry!AF32/Data_Entry!$I32),0)</f>
        <v>5.3652266249371257E-2</v>
      </c>
      <c r="AB43" s="49">
        <f>IFERROR(IF(Data_Entry!AG32/Data_Entry!$I32&lt;0,0,Data_Entry!AG32/Data_Entry!$I32),0)</f>
        <v>8.0478399374056889E-2</v>
      </c>
      <c r="AC43" s="49">
        <f>IFERROR(IF(Data_Entry!AI32/Data_Entry!$I32&lt;0,0,Data_Entry!AI32/Data_Entry!$I32),0)</f>
        <v>9.7747722573073251E-2</v>
      </c>
      <c r="AD43" s="49">
        <f>IFERROR(IF(Data_Entry!AM32/Data_Entry!$H32&lt;0,0,Data_Entry!AM32/Data_Entry!$H32),0)</f>
        <v>0.94929153034346014</v>
      </c>
      <c r="AE43" s="50">
        <f>Data_Entry!AK32</f>
        <v>0</v>
      </c>
      <c r="AF43" s="50">
        <f>Data_Entry!AL32</f>
        <v>53</v>
      </c>
      <c r="AG43" s="153">
        <f>(Data_Entry!O32-Data_Entry!Q32)/Data_Entry!O32</f>
        <v>9.5798319327731099E-2</v>
      </c>
      <c r="AH43" s="79" t="str">
        <f t="shared" si="0"/>
        <v>CAT1</v>
      </c>
      <c r="AI43" s="51">
        <f>SUBTOTAL(3,Tableau1[[#This Row],[ZS]])</f>
        <v>0</v>
      </c>
      <c r="AJ43" s="51" t="e">
        <f t="shared" ca="1" si="1"/>
        <v>#NAME?</v>
      </c>
      <c r="AK43" s="50" t="str">
        <f>IFERROR(IF((Data_Entry!O32-Data_Entry!Q32)/Data_Entry!O32&lt;=10%,"&lt;=10%","&gt;10%"),"&lt;=10%")</f>
        <v>&lt;=10%</v>
      </c>
    </row>
    <row r="44" spans="1:37" s="48" customFormat="1" ht="13" hidden="1" x14ac:dyDescent="0.3">
      <c r="A44" s="31" t="s">
        <v>16</v>
      </c>
      <c r="B44" s="48" t="str">
        <f>Data_Entry!B33</f>
        <v>Goma</v>
      </c>
      <c r="C44" s="48" t="str">
        <f>Data_Entry!C33</f>
        <v xml:space="preserve"> Bambo</v>
      </c>
      <c r="D44" s="48" t="str">
        <f>Data_Entry!D33</f>
        <v xml:space="preserve"> Kabizo</v>
      </c>
      <c r="E44" s="49">
        <f>IFERROR(IF(Data_Entry!J33/Data_Entry!$I33&lt;0,0,Data_Entry!J33/Data_Entry!$I33),0)</f>
        <v>0.78925466987238757</v>
      </c>
      <c r="F44" s="49">
        <f>IFERROR(IF(Data_Entry!K33/Data_Entry!$H33&lt;0,0,Data_Entry!K33/Data_Entry!$H33),0)</f>
        <v>0.88074304613090437</v>
      </c>
      <c r="G44" s="49">
        <f>IFERROR(IF(Data_Entry!L33/Data_Entry!$H33&lt;0,0,Data_Entry!L33/Data_Entry!$H33),0)</f>
        <v>0.62478703452968487</v>
      </c>
      <c r="H44" s="49">
        <f>IFERROR(IF(Data_Entry!M33/Data_Entry!$H33&lt;0,0,Data_Entry!M33/Data_Entry!$H33),0)</f>
        <v>0.59617083447489017</v>
      </c>
      <c r="I44" s="49">
        <f>IFERROR(IF(Data_Entry!N33/Data_Entry!$H33&lt;0,0,Data_Entry!N33/Data_Entry!$H33),0)</f>
        <v>0.56755463442009535</v>
      </c>
      <c r="J44" s="49">
        <f>IFERROR(IF(Data_Entry!O33/Data_Entry!$H33&lt;0,0,Data_Entry!O33/Data_Entry!$H33),0)</f>
        <v>0.87279410167123916</v>
      </c>
      <c r="K44" s="49">
        <f>IFERROR(IF(Data_Entry!P33/Data_Entry!$H33&lt;0,0,Data_Entry!P33/Data_Entry!$H33),0)</f>
        <v>0.83304937937291312</v>
      </c>
      <c r="L44" s="49">
        <f>IFERROR(IF(Data_Entry!Q33/Data_Entry!$H33&lt;0,0,Data_Entry!Q33/Data_Entry!$H33),0)</f>
        <v>0.81238212377778363</v>
      </c>
      <c r="M44" s="49">
        <f>IFERROR(IF(Data_Entry!R33/Data_Entry!$H33&lt;0,0,Data_Entry!R33/Data_Entry!$H33),0)</f>
        <v>0.87279410167123916</v>
      </c>
      <c r="N44" s="49">
        <f>IFERROR(IF(Data_Entry!S33/Data_Entry!$H33&lt;0,0,Data_Entry!S33/Data_Entry!$H33),0)</f>
        <v>0.829869801589047</v>
      </c>
      <c r="O44" s="49">
        <f>IFERROR(IF(Data_Entry!T33/Data_Entry!$H33&lt;0,0,Data_Entry!T33/Data_Entry!$H33),0)</f>
        <v>0.81238212377778363</v>
      </c>
      <c r="P44" s="49">
        <f>IFERROR(IF(Data_Entry!U33/Data_Entry!$H33&lt;0,0,Data_Entry!U33/Data_Entry!$H33),0)</f>
        <v>0.87279410167123916</v>
      </c>
      <c r="Q44" s="49">
        <f>IFERROR(IF(Data_Entry!V33/Data_Entry!$H33&lt;0,0,Data_Entry!V33/Data_Entry!$H33),0)</f>
        <v>0.83304937937291312</v>
      </c>
      <c r="R44" s="49">
        <f>IFERROR(IF(Data_Entry!W33/Data_Entry!$H33&lt;0,0,Data_Entry!W33/Data_Entry!$H33),0)</f>
        <v>0.81238212377778363</v>
      </c>
      <c r="S44" s="49">
        <f>IFERROR(IF(Data_Entry!X33/Data_Entry!$H33&lt;0,0,Data_Entry!X33/Data_Entry!$H33),0)</f>
        <v>0.51827117877017115</v>
      </c>
      <c r="T44" s="49">
        <f>IFERROR(IF(Data_Entry!Y33/Data_Entry!$H33&lt;0,0,Data_Entry!Y33/Data_Entry!$H33),0)</f>
        <v>0.13672184470624146</v>
      </c>
      <c r="U44" s="49">
        <f>IFERROR(IF(Data_Entry!Z33/Data_Entry!$H33&lt;0,0,Data_Entry!Z33/Data_Entry!$H33),0)</f>
        <v>0.3036496783592107</v>
      </c>
      <c r="V44" s="49">
        <f>IFERROR(IF(Data_Entry!AA33/Data_Entry!$H33&lt;0,0,Data_Entry!AA33/Data_Entry!$H33),0)</f>
        <v>0.41970426747032263</v>
      </c>
      <c r="W44" s="49">
        <f>IFERROR(IF(Data_Entry!AB33/Data_Entry!$H33&lt;0,0,Data_Entry!AB33/Data_Entry!$H33),0)</f>
        <v>0.13354226692237539</v>
      </c>
      <c r="X44" s="49">
        <f>IFERROR(IF(Data_Entry!AC33/Data_Entry!$I33&lt;0,0,Data_Entry!AC33/Data_Entry!$I33),0)</f>
        <v>0.19003144072498612</v>
      </c>
      <c r="Y44" s="49">
        <f>IFERROR(IF(Data_Entry!AD33/Data_Entry!$I33&lt;0,0,Data_Entry!AD33/Data_Entry!$I33),0)</f>
        <v>0.13732199001294618</v>
      </c>
      <c r="Z44" s="49">
        <f>IFERROR(IF(Data_Entry!AE33/Data_Entry!$I33&lt;0,0,Data_Entry!AE33/Data_Entry!$I33),0)</f>
        <v>0.14980580728685036</v>
      </c>
      <c r="AA44" s="49">
        <f>IFERROR(IF(Data_Entry!AF33/Data_Entry!$I33&lt;0,0,Data_Entry!AF33/Data_Entry!$I33),0)</f>
        <v>0.1289994451636767</v>
      </c>
      <c r="AB44" s="49">
        <f>IFERROR(IF(Data_Entry!AG33/Data_Entry!$I33&lt;0,0,Data_Entry!AG33/Data_Entry!$I33),0)</f>
        <v>0.2039023488071019</v>
      </c>
      <c r="AC44" s="49">
        <f>IFERROR(IF(Data_Entry!AI33/Data_Entry!$I33&lt;0,0,Data_Entry!AI33/Data_Entry!$I33),0)</f>
        <v>8.0867394118734962E-2</v>
      </c>
      <c r="AD44" s="49">
        <f>IFERROR(IF(Data_Entry!AM33/Data_Entry!$H33&lt;0,0,Data_Entry!AM33/Data_Entry!$H33),0)</f>
        <v>0.3036496783592107</v>
      </c>
      <c r="AE44" s="50">
        <f>Data_Entry!AK33</f>
        <v>80.014333333333298</v>
      </c>
      <c r="AF44" s="50">
        <f>Data_Entry!AL33</f>
        <v>223</v>
      </c>
      <c r="AG44" s="153">
        <f>(Data_Entry!O33-Data_Entry!Q33)/Data_Entry!O33</f>
        <v>6.9216757741347903E-2</v>
      </c>
      <c r="AH44" s="79" t="str">
        <f t="shared" si="0"/>
        <v>CAT3</v>
      </c>
      <c r="AI44" s="51">
        <f>SUBTOTAL(3,Tableau1[[#This Row],[ZS]])</f>
        <v>0</v>
      </c>
      <c r="AJ44" s="51" t="e">
        <f t="shared" ca="1" si="1"/>
        <v>#NAME?</v>
      </c>
      <c r="AK44" s="50" t="str">
        <f>IFERROR(IF((Data_Entry!O33-Data_Entry!Q33)/Data_Entry!O33&lt;=10%,"&lt;=10%","&gt;10%"),"&lt;=10%")</f>
        <v>&lt;=10%</v>
      </c>
    </row>
    <row r="45" spans="1:37" s="48" customFormat="1" ht="13" hidden="1" x14ac:dyDescent="0.3">
      <c r="A45" s="31" t="s">
        <v>16</v>
      </c>
      <c r="B45" s="48" t="str">
        <f>Data_Entry!B34</f>
        <v>Goma</v>
      </c>
      <c r="C45" s="48" t="str">
        <f>Data_Entry!C34</f>
        <v xml:space="preserve"> Bambo</v>
      </c>
      <c r="D45" s="48" t="str">
        <f>Data_Entry!D34</f>
        <v xml:space="preserve"> Kamena</v>
      </c>
      <c r="E45" s="49">
        <f>IFERROR(IF(Data_Entry!J34/Data_Entry!$I34&lt;0,0,Data_Entry!J34/Data_Entry!$I34),0)</f>
        <v>0.87005585961744625</v>
      </c>
      <c r="F45" s="49">
        <f>IFERROR(IF(Data_Entry!K34/Data_Entry!$H34&lt;0,0,Data_Entry!K34/Data_Entry!$H34),0)</f>
        <v>0.45591769036624907</v>
      </c>
      <c r="G45" s="49">
        <f>IFERROR(IF(Data_Entry!L34/Data_Entry!$H34&lt;0,0,Data_Entry!L34/Data_Entry!$H34),0)</f>
        <v>0.99913876824943948</v>
      </c>
      <c r="H45" s="49">
        <f>IFERROR(IF(Data_Entry!M34/Data_Entry!$H34&lt;0,0,Data_Entry!M34/Data_Entry!$H34),0)</f>
        <v>0.9700376390771257</v>
      </c>
      <c r="I45" s="49">
        <f>IFERROR(IF(Data_Entry!N34/Data_Entry!$H34&lt;0,0,Data_Entry!N34/Data_Entry!$H34),0)</f>
        <v>1.0107792199183649</v>
      </c>
      <c r="J45" s="49">
        <f>IFERROR(IF(Data_Entry!O34/Data_Entry!$H34&lt;0,0,Data_Entry!O34/Data_Entry!$H34),0)</f>
        <v>0.99913876824943948</v>
      </c>
      <c r="K45" s="49">
        <f>IFERROR(IF(Data_Entry!P34/Data_Entry!$H34&lt;0,0,Data_Entry!P34/Data_Entry!$H34),0)</f>
        <v>0.9700376390771257</v>
      </c>
      <c r="L45" s="49">
        <f>IFERROR(IF(Data_Entry!Q34/Data_Entry!$H34&lt;0,0,Data_Entry!Q34/Data_Entry!$H34),0)</f>
        <v>1.0107792199183649</v>
      </c>
      <c r="M45" s="49">
        <f>IFERROR(IF(Data_Entry!R34/Data_Entry!$H34&lt;0,0,Data_Entry!R34/Data_Entry!$H34),0)</f>
        <v>1.0068990693620565</v>
      </c>
      <c r="N45" s="49">
        <f>IFERROR(IF(Data_Entry!S34/Data_Entry!$H34&lt;0,0,Data_Entry!S34/Data_Entry!$H34),0)</f>
        <v>0.9700376390771257</v>
      </c>
      <c r="O45" s="49">
        <f>IFERROR(IF(Data_Entry!T34/Data_Entry!$H34&lt;0,0,Data_Entry!T34/Data_Entry!$H34),0)</f>
        <v>1.0107792199183649</v>
      </c>
      <c r="P45" s="49">
        <f>IFERROR(IF(Data_Entry!U34/Data_Entry!$H34&lt;0,0,Data_Entry!U34/Data_Entry!$H34),0)</f>
        <v>0.99913876824943948</v>
      </c>
      <c r="Q45" s="49">
        <f>IFERROR(IF(Data_Entry!V34/Data_Entry!$H34&lt;0,0,Data_Entry!V34/Data_Entry!$H34),0)</f>
        <v>0.9700376390771257</v>
      </c>
      <c r="R45" s="49">
        <f>IFERROR(IF(Data_Entry!W34/Data_Entry!$H34&lt;0,0,Data_Entry!W34/Data_Entry!$H34),0)</f>
        <v>1.0107792199183649</v>
      </c>
      <c r="S45" s="49">
        <f>IFERROR(IF(Data_Entry!X34/Data_Entry!$H34&lt;0,0,Data_Entry!X34/Data_Entry!$H34),0)</f>
        <v>0.93899643462665772</v>
      </c>
      <c r="T45" s="49">
        <f>IFERROR(IF(Data_Entry!Y34/Data_Entry!$H34&lt;0,0,Data_Entry!Y34/Data_Entry!$H34),0)</f>
        <v>0.40935588369054704</v>
      </c>
      <c r="U45" s="49">
        <f>IFERROR(IF(Data_Entry!Z34/Data_Entry!$H34&lt;0,0,Data_Entry!Z34/Data_Entry!$H34),0)</f>
        <v>0.98167809074605117</v>
      </c>
      <c r="V45" s="49">
        <f>IFERROR(IF(Data_Entry!AA34/Data_Entry!$H34&lt;0,0,Data_Entry!AA34/Data_Entry!$H34),0)</f>
        <v>1.0107792199183649</v>
      </c>
      <c r="W45" s="49">
        <f>IFERROR(IF(Data_Entry!AB34/Data_Entry!$H34&lt;0,0,Data_Entry!AB34/Data_Entry!$H34),0)</f>
        <v>0.77603011126170052</v>
      </c>
      <c r="X45" s="49">
        <f>IFERROR(IF(Data_Entry!AC34/Data_Entry!$I34&lt;0,0,Data_Entry!AC34/Data_Entry!$I34),0)</f>
        <v>0.65000282119280028</v>
      </c>
      <c r="Y45" s="49">
        <f>IFERROR(IF(Data_Entry!AD34/Data_Entry!$I34&lt;0,0,Data_Entry!AD34/Data_Entry!$I34),0)</f>
        <v>0.36562658692095018</v>
      </c>
      <c r="Z45" s="49">
        <f>IFERROR(IF(Data_Entry!AE34/Data_Entry!$I34&lt;0,0,Data_Entry!AE34/Data_Entry!$I34),0)</f>
        <v>9.9870225131185472E-2</v>
      </c>
      <c r="AA45" s="49">
        <f>IFERROR(IF(Data_Entry!AF34/Data_Entry!$I34&lt;0,0,Data_Entry!AF34/Data_Entry!$I34),0)</f>
        <v>9.9870225131185472E-2</v>
      </c>
      <c r="AB45" s="49">
        <f>IFERROR(IF(Data_Entry!AG34/Data_Entry!$I34&lt;0,0,Data_Entry!AG34/Data_Entry!$I34),0)</f>
        <v>0.1066410878519438</v>
      </c>
      <c r="AC45" s="49">
        <f>IFERROR(IF(Data_Entry!AI34/Data_Entry!$I34&lt;0,0,Data_Entry!AI34/Data_Entry!$I34),0)</f>
        <v>9.8685324155052753E-2</v>
      </c>
      <c r="AD45" s="49">
        <f>IFERROR(IF(Data_Entry!AM34/Data_Entry!$H34&lt;0,0,Data_Entry!AM34/Data_Entry!$H34),0)</f>
        <v>0.93899643462665772</v>
      </c>
      <c r="AE45" s="50">
        <f>Data_Entry!AK34</f>
        <v>0.44391666666660967</v>
      </c>
      <c r="AF45" s="50">
        <f>Data_Entry!AL34</f>
        <v>31</v>
      </c>
      <c r="AG45" s="153">
        <f>(Data_Entry!O34-Data_Entry!Q34)/Data_Entry!O34</f>
        <v>-1.1650485436893204E-2</v>
      </c>
      <c r="AH45" s="79" t="str">
        <f t="shared" si="0"/>
        <v>CAT1</v>
      </c>
      <c r="AI45" s="51">
        <f>SUBTOTAL(3,Tableau1[[#This Row],[ZS]])</f>
        <v>0</v>
      </c>
      <c r="AJ45" s="51" t="e">
        <f t="shared" ca="1" si="1"/>
        <v>#NAME?</v>
      </c>
      <c r="AK45" s="50" t="str">
        <f>IFERROR(IF((Data_Entry!O34-Data_Entry!Q34)/Data_Entry!O34&lt;=10%,"&lt;=10%","&gt;10%"),"&lt;=10%")</f>
        <v>&lt;=10%</v>
      </c>
    </row>
    <row r="46" spans="1:37" s="48" customFormat="1" ht="13" hidden="1" x14ac:dyDescent="0.3">
      <c r="A46" s="31" t="s">
        <v>16</v>
      </c>
      <c r="B46" s="48" t="str">
        <f>Data_Entry!B35</f>
        <v>Goma</v>
      </c>
      <c r="C46" s="48" t="str">
        <f>Data_Entry!C35</f>
        <v xml:space="preserve"> Bambo</v>
      </c>
      <c r="D46" s="48" t="str">
        <f>Data_Entry!D35</f>
        <v xml:space="preserve"> Kirumba</v>
      </c>
      <c r="E46" s="49">
        <f>IFERROR(IF(Data_Entry!J35/Data_Entry!$I35&lt;0,0,Data_Entry!J35/Data_Entry!$I35),0)</f>
        <v>1.1124845488257107</v>
      </c>
      <c r="F46" s="49">
        <f>IFERROR(IF(Data_Entry!K35/Data_Entry!$H35&lt;0,0,Data_Entry!K35/Data_Entry!$H35),0)</f>
        <v>0.84826504120903445</v>
      </c>
      <c r="G46" s="49">
        <f>IFERROR(IF(Data_Entry!L35/Data_Entry!$H35&lt;0,0,Data_Entry!L35/Data_Entry!$H35),0)</f>
        <v>0.98462497476455768</v>
      </c>
      <c r="H46" s="49">
        <f>IFERROR(IF(Data_Entry!M35/Data_Entry!$H35&lt;0,0,Data_Entry!M35/Data_Entry!$H35),0)</f>
        <v>0.98108315830857007</v>
      </c>
      <c r="I46" s="49">
        <f>IFERROR(IF(Data_Entry!N35/Data_Entry!$H35&lt;0,0,Data_Entry!N35/Data_Entry!$H35),0)</f>
        <v>0.97577043362458871</v>
      </c>
      <c r="J46" s="49">
        <f>IFERROR(IF(Data_Entry!O35/Data_Entry!$H35&lt;0,0,Data_Entry!O35/Data_Entry!$H35),0)</f>
        <v>0.98462497476455768</v>
      </c>
      <c r="K46" s="49">
        <f>IFERROR(IF(Data_Entry!P35/Data_Entry!$H35&lt;0,0,Data_Entry!P35/Data_Entry!$H35),0)</f>
        <v>0.98108315830857007</v>
      </c>
      <c r="L46" s="49">
        <f>IFERROR(IF(Data_Entry!Q35/Data_Entry!$H35&lt;0,0,Data_Entry!Q35/Data_Entry!$H35),0)</f>
        <v>0.97399952539659485</v>
      </c>
      <c r="M46" s="49">
        <f>IFERROR(IF(Data_Entry!R35/Data_Entry!$H35&lt;0,0,Data_Entry!R35/Data_Entry!$H35),0)</f>
        <v>0.98462497476455768</v>
      </c>
      <c r="N46" s="49">
        <f>IFERROR(IF(Data_Entry!S35/Data_Entry!$H35&lt;0,0,Data_Entry!S35/Data_Entry!$H35),0)</f>
        <v>0.98108315830857007</v>
      </c>
      <c r="O46" s="49">
        <f>IFERROR(IF(Data_Entry!T35/Data_Entry!$H35&lt;0,0,Data_Entry!T35/Data_Entry!$H35),0)</f>
        <v>0.97577043362458871</v>
      </c>
      <c r="P46" s="49">
        <f>IFERROR(IF(Data_Entry!U35/Data_Entry!$H35&lt;0,0,Data_Entry!U35/Data_Entry!$H35),0)</f>
        <v>1.0005631488165021</v>
      </c>
      <c r="Q46" s="49">
        <f>IFERROR(IF(Data_Entry!V35/Data_Entry!$H35&lt;0,0,Data_Entry!V35/Data_Entry!$H35),0)</f>
        <v>0.98108315830857007</v>
      </c>
      <c r="R46" s="49">
        <f>IFERROR(IF(Data_Entry!W35/Data_Entry!$H35&lt;0,0,Data_Entry!W35/Data_Entry!$H35),0)</f>
        <v>0.97399952539659485</v>
      </c>
      <c r="S46" s="49">
        <f>IFERROR(IF(Data_Entry!X35/Data_Entry!$H35&lt;0,0,Data_Entry!X35/Data_Entry!$H35),0)</f>
        <v>0.95097771843267531</v>
      </c>
      <c r="T46" s="49">
        <f>IFERROR(IF(Data_Entry!Y35/Data_Entry!$H35&lt;0,0,Data_Entry!Y35/Data_Entry!$H35),0)</f>
        <v>0.97931225008057632</v>
      </c>
      <c r="U46" s="49">
        <f>IFERROR(IF(Data_Entry!Z35/Data_Entry!$H35&lt;0,0,Data_Entry!Z35/Data_Entry!$H35),0)</f>
        <v>0.95097771843267531</v>
      </c>
      <c r="V46" s="49">
        <f>IFERROR(IF(Data_Entry!AA35/Data_Entry!$H35&lt;0,0,Data_Entry!AA35/Data_Entry!$H35),0)</f>
        <v>0.97577043362458871</v>
      </c>
      <c r="W46" s="49">
        <f>IFERROR(IF(Data_Entry!AB35/Data_Entry!$H35&lt;0,0,Data_Entry!AB35/Data_Entry!$H35),0)</f>
        <v>0.45689432282240267</v>
      </c>
      <c r="X46" s="49">
        <f>IFERROR(IF(Data_Entry!AC35/Data_Entry!$I35&lt;0,0,Data_Entry!AC35/Data_Entry!$I35),0)</f>
        <v>0.38318912237330033</v>
      </c>
      <c r="Y46" s="49">
        <f>IFERROR(IF(Data_Entry!AD35/Data_Entry!$I35&lt;0,0,Data_Entry!AD35/Data_Entry!$I35),0)</f>
        <v>0.34765142150803457</v>
      </c>
      <c r="Z46" s="49">
        <f>IFERROR(IF(Data_Entry!AE35/Data_Entry!$I35&lt;0,0,Data_Entry!AE35/Data_Entry!$I35),0)</f>
        <v>0.29820766378244745</v>
      </c>
      <c r="AA46" s="49">
        <f>IFERROR(IF(Data_Entry!AF35/Data_Entry!$I35&lt;0,0,Data_Entry!AF35/Data_Entry!$I35),0)</f>
        <v>0.22095179233621753</v>
      </c>
      <c r="AB46" s="49">
        <f>IFERROR(IF(Data_Entry!AG35/Data_Entry!$I35&lt;0,0,Data_Entry!AG35/Data_Entry!$I35),0)</f>
        <v>0.21940667490729293</v>
      </c>
      <c r="AC46" s="49">
        <f>IFERROR(IF(Data_Entry!AI35/Data_Entry!$I35&lt;0,0,Data_Entry!AI35/Data_Entry!$I35),0)</f>
        <v>9.0080346106304068E-2</v>
      </c>
      <c r="AD46" s="49">
        <f>IFERROR(IF(Data_Entry!AM35/Data_Entry!$H35&lt;0,0,Data_Entry!AM35/Data_Entry!$H35),0)</f>
        <v>0.95097771843267531</v>
      </c>
      <c r="AE46" s="50">
        <f>Data_Entry!AK35</f>
        <v>8.6820000000000164</v>
      </c>
      <c r="AF46" s="50">
        <f>Data_Entry!AL35</f>
        <v>19</v>
      </c>
      <c r="AG46" s="153">
        <f>(Data_Entry!O35-Data_Entry!Q35)/Data_Entry!O35</f>
        <v>1.0791366906474821E-2</v>
      </c>
      <c r="AH46" s="79" t="str">
        <f t="shared" si="0"/>
        <v>CAT1</v>
      </c>
      <c r="AI46" s="51">
        <f>SUBTOTAL(3,Tableau1[[#This Row],[ZS]])</f>
        <v>0</v>
      </c>
      <c r="AJ46" s="51" t="e">
        <f t="shared" ca="1" si="1"/>
        <v>#NAME?</v>
      </c>
      <c r="AK46" s="50" t="str">
        <f>IFERROR(IF((Data_Entry!O35-Data_Entry!Q35)/Data_Entry!O35&lt;=10%,"&lt;=10%","&gt;10%"),"&lt;=10%")</f>
        <v>&lt;=10%</v>
      </c>
    </row>
    <row r="47" spans="1:37" s="48" customFormat="1" ht="13" hidden="1" x14ac:dyDescent="0.3">
      <c r="A47" s="31" t="s">
        <v>16</v>
      </c>
      <c r="B47" s="48" t="str">
        <f>Data_Entry!B36</f>
        <v>Goma</v>
      </c>
      <c r="C47" s="48" t="str">
        <f>Data_Entry!C36</f>
        <v xml:space="preserve"> Bambo</v>
      </c>
      <c r="D47" s="48" t="str">
        <f>Data_Entry!D36</f>
        <v xml:space="preserve"> Kishishe</v>
      </c>
      <c r="E47" s="49">
        <f>IFERROR(IF(Data_Entry!J36/Data_Entry!$I36&lt;0,0,Data_Entry!J36/Data_Entry!$I36),0)</f>
        <v>0.82662538699690402</v>
      </c>
      <c r="F47" s="49">
        <f>IFERROR(IF(Data_Entry!K36/Data_Entry!$H36&lt;0,0,Data_Entry!K36/Data_Entry!$H36),0)</f>
        <v>0.41516229474748728</v>
      </c>
      <c r="G47" s="49">
        <f>IFERROR(IF(Data_Entry!L36/Data_Entry!$H36&lt;0,0,Data_Entry!L36/Data_Entry!$H36),0)</f>
        <v>0.80903421540535991</v>
      </c>
      <c r="H47" s="49">
        <f>IFERROR(IF(Data_Entry!M36/Data_Entry!$H36&lt;0,0,Data_Entry!M36/Data_Entry!$H36),0)</f>
        <v>0.74942116795443858</v>
      </c>
      <c r="I47" s="49">
        <f>IFERROR(IF(Data_Entry!N36/Data_Entry!$H36&lt;0,0,Data_Entry!N36/Data_Entry!$H36),0)</f>
        <v>0.77071154204405334</v>
      </c>
      <c r="J47" s="49">
        <f>IFERROR(IF(Data_Entry!O36/Data_Entry!$H36&lt;0,0,Data_Entry!O36/Data_Entry!$H36),0)</f>
        <v>0.80903421540535991</v>
      </c>
      <c r="K47" s="49">
        <f>IFERROR(IF(Data_Entry!P36/Data_Entry!$H36&lt;0,0,Data_Entry!P36/Data_Entry!$H36),0)</f>
        <v>0.74942116795443858</v>
      </c>
      <c r="L47" s="49">
        <f>IFERROR(IF(Data_Entry!Q36/Data_Entry!$H36&lt;0,0,Data_Entry!Q36/Data_Entry!$H36),0)</f>
        <v>0.77071154204405334</v>
      </c>
      <c r="M47" s="49">
        <f>IFERROR(IF(Data_Entry!R36/Data_Entry!$H36&lt;0,0,Data_Entry!R36/Data_Entry!$H36),0)</f>
        <v>0.80903421540535991</v>
      </c>
      <c r="N47" s="49">
        <f>IFERROR(IF(Data_Entry!S36/Data_Entry!$H36&lt;0,0,Data_Entry!S36/Data_Entry!$H36),0)</f>
        <v>0.77071154204405334</v>
      </c>
      <c r="O47" s="49">
        <f>IFERROR(IF(Data_Entry!T36/Data_Entry!$H36&lt;0,0,Data_Entry!T36/Data_Entry!$H36),0)</f>
        <v>0.77071154204405334</v>
      </c>
      <c r="P47" s="49">
        <f>IFERROR(IF(Data_Entry!U36/Data_Entry!$H36&lt;0,0,Data_Entry!U36/Data_Entry!$H36),0)</f>
        <v>0.80903421540535991</v>
      </c>
      <c r="Q47" s="49">
        <f>IFERROR(IF(Data_Entry!V36/Data_Entry!$H36&lt;0,0,Data_Entry!V36/Data_Entry!$H36),0)</f>
        <v>0.77071154204405334</v>
      </c>
      <c r="R47" s="49">
        <f>IFERROR(IF(Data_Entry!W36/Data_Entry!$H36&lt;0,0,Data_Entry!W36/Data_Entry!$H36),0)</f>
        <v>0.77071154204405334</v>
      </c>
      <c r="S47" s="49">
        <f>IFERROR(IF(Data_Entry!X36/Data_Entry!$H36&lt;0,0,Data_Entry!X36/Data_Entry!$H36),0)</f>
        <v>0.8494859261756279</v>
      </c>
      <c r="T47" s="49">
        <f>IFERROR(IF(Data_Entry!Y36/Data_Entry!$H36&lt;0,0,Data_Entry!Y36/Data_Entry!$H36),0)</f>
        <v>0.42793651920125614</v>
      </c>
      <c r="U47" s="49">
        <f>IFERROR(IF(Data_Entry!Z36/Data_Entry!$H36&lt;0,0,Data_Entry!Z36/Data_Entry!$H36),0)</f>
        <v>0.8494859261756279</v>
      </c>
      <c r="V47" s="49">
        <f>IFERROR(IF(Data_Entry!AA36/Data_Entry!$H36&lt;0,0,Data_Entry!AA36/Data_Entry!$H36),0)</f>
        <v>0.77071154204405334</v>
      </c>
      <c r="W47" s="49">
        <f>IFERROR(IF(Data_Entry!AB36/Data_Entry!$H36&lt;0,0,Data_Entry!AB36/Data_Entry!$H36),0)</f>
        <v>0.60464662414505843</v>
      </c>
      <c r="X47" s="49">
        <f>IFERROR(IF(Data_Entry!AC36/Data_Entry!$I36&lt;0,0,Data_Entry!AC36/Data_Entry!$I36),0)</f>
        <v>0.18575851393188852</v>
      </c>
      <c r="Y47" s="49">
        <f>IFERROR(IF(Data_Entry!AD36/Data_Entry!$I36&lt;0,0,Data_Entry!AD36/Data_Entry!$I36),0)</f>
        <v>0.16346749226006191</v>
      </c>
      <c r="Z47" s="49">
        <f>IFERROR(IF(Data_Entry!AE36/Data_Entry!$I36&lt;0,0,Data_Entry!AE36/Data_Entry!$I36),0)</f>
        <v>4.0866873065015477E-2</v>
      </c>
      <c r="AA47" s="49">
        <f>IFERROR(IF(Data_Entry!AF36/Data_Entry!$I36&lt;0,0,Data_Entry!AF36/Data_Entry!$I36),0)</f>
        <v>4.4582043343653247E-2</v>
      </c>
      <c r="AB47" s="49">
        <f>IFERROR(IF(Data_Entry!AG36/Data_Entry!$I36&lt;0,0,Data_Entry!AG36/Data_Entry!$I36),0)</f>
        <v>0.10959752321981424</v>
      </c>
      <c r="AC47" s="49">
        <f>IFERROR(IF(Data_Entry!AI36/Data_Entry!$I36&lt;0,0,Data_Entry!AI36/Data_Entry!$I36),0)</f>
        <v>0.10829721362229101</v>
      </c>
      <c r="AD47" s="49">
        <f>IFERROR(IF(Data_Entry!AM36/Data_Entry!$H36&lt;0,0,Data_Entry!AM36/Data_Entry!$H36),0)</f>
        <v>0.8494859261756279</v>
      </c>
      <c r="AE47" s="50">
        <f>Data_Entry!AK36</f>
        <v>89.695833333333326</v>
      </c>
      <c r="AF47" s="50">
        <f>Data_Entry!AL36</f>
        <v>0</v>
      </c>
      <c r="AG47" s="153">
        <f>(Data_Entry!O36-Data_Entry!Q36)/Data_Entry!O36</f>
        <v>4.736842105263158E-2</v>
      </c>
      <c r="AH47" s="79" t="str">
        <f t="shared" si="0"/>
        <v>CAT3</v>
      </c>
      <c r="AI47" s="51">
        <f>SUBTOTAL(3,Tableau1[[#This Row],[ZS]])</f>
        <v>0</v>
      </c>
      <c r="AJ47" s="51" t="e">
        <f t="shared" ca="1" si="1"/>
        <v>#NAME?</v>
      </c>
      <c r="AK47" s="50" t="str">
        <f>IFERROR(IF((Data_Entry!O36-Data_Entry!Q36)/Data_Entry!O36&lt;=10%,"&lt;=10%","&gt;10%"),"&lt;=10%")</f>
        <v>&lt;=10%</v>
      </c>
    </row>
    <row r="48" spans="1:37" s="48" customFormat="1" ht="13" hidden="1" x14ac:dyDescent="0.3">
      <c r="A48" s="31" t="s">
        <v>16</v>
      </c>
      <c r="B48" s="48" t="str">
        <f>Data_Entry!B37</f>
        <v>Goma</v>
      </c>
      <c r="C48" s="48" t="str">
        <f>Data_Entry!C37</f>
        <v xml:space="preserve"> Bambo</v>
      </c>
      <c r="D48" s="48" t="str">
        <f>Data_Entry!D37</f>
        <v xml:space="preserve"> Marangara</v>
      </c>
      <c r="E48" s="49">
        <f>IFERROR(IF(Data_Entry!J37/Data_Entry!$I37&lt;0,0,Data_Entry!J37/Data_Entry!$I37),0)</f>
        <v>0.96192384769539085</v>
      </c>
      <c r="F48" s="49">
        <f>IFERROR(IF(Data_Entry!K37/Data_Entry!$H37&lt;0,0,Data_Entry!K37/Data_Entry!$H37),0)</f>
        <v>1.102491515983256</v>
      </c>
      <c r="G48" s="49">
        <f>IFERROR(IF(Data_Entry!L37/Data_Entry!$H37&lt;0,0,Data_Entry!L37/Data_Entry!$H37),0)</f>
        <v>0.94007089086072271</v>
      </c>
      <c r="H48" s="49">
        <f>IFERROR(IF(Data_Entry!M37/Data_Entry!$H37&lt;0,0,Data_Entry!M37/Data_Entry!$H37),0)</f>
        <v>0.82686863698744195</v>
      </c>
      <c r="I48" s="49">
        <f>IFERROR(IF(Data_Entry!N37/Data_Entry!$H37&lt;0,0,Data_Entry!N37/Data_Entry!$H37),0)</f>
        <v>0.86624333398684394</v>
      </c>
      <c r="J48" s="49">
        <f>IFERROR(IF(Data_Entry!O37/Data_Entry!$H37&lt;0,0,Data_Entry!O37/Data_Entry!$H37),0)</f>
        <v>0.95483640223549848</v>
      </c>
      <c r="K48" s="49">
        <f>IFERROR(IF(Data_Entry!P37/Data_Entry!$H37&lt;0,0,Data_Entry!P37/Data_Entry!$H37),0)</f>
        <v>0.82686863698744195</v>
      </c>
      <c r="L48" s="49">
        <f>IFERROR(IF(Data_Entry!Q37/Data_Entry!$H37&lt;0,0,Data_Entry!Q37/Data_Entry!$H37),0)</f>
        <v>0.86624333398684394</v>
      </c>
      <c r="M48" s="49">
        <f>IFERROR(IF(Data_Entry!R37/Data_Entry!$H37&lt;0,0,Data_Entry!R37/Data_Entry!$H37),0)</f>
        <v>0.90561803098624594</v>
      </c>
      <c r="N48" s="49">
        <f>IFERROR(IF(Data_Entry!S37/Data_Entry!$H37&lt;0,0,Data_Entry!S37/Data_Entry!$H37),0)</f>
        <v>0.82686863698744195</v>
      </c>
      <c r="O48" s="49">
        <f>IFERROR(IF(Data_Entry!T37/Data_Entry!$H37&lt;0,0,Data_Entry!T37/Data_Entry!$H37),0)</f>
        <v>0.86624333398684394</v>
      </c>
      <c r="P48" s="49">
        <f>IFERROR(IF(Data_Entry!U37/Data_Entry!$H37&lt;0,0,Data_Entry!U37/Data_Entry!$H37),0)</f>
        <v>0.96468007648534893</v>
      </c>
      <c r="Q48" s="49">
        <f>IFERROR(IF(Data_Entry!V37/Data_Entry!$H37&lt;0,0,Data_Entry!V37/Data_Entry!$H37),0)</f>
        <v>0.82686863698744195</v>
      </c>
      <c r="R48" s="49">
        <f>IFERROR(IF(Data_Entry!W37/Data_Entry!$H37&lt;0,0,Data_Entry!W37/Data_Entry!$H37),0)</f>
        <v>0.86624333398684394</v>
      </c>
      <c r="S48" s="49">
        <f>IFERROR(IF(Data_Entry!X37/Data_Entry!$H37&lt;0,0,Data_Entry!X37/Data_Entry!$H37),0)</f>
        <v>0.89577435673639549</v>
      </c>
      <c r="T48" s="49">
        <f>IFERROR(IF(Data_Entry!Y37/Data_Entry!$H37&lt;0,0,Data_Entry!Y37/Data_Entry!$H37),0)</f>
        <v>0.20179532212193524</v>
      </c>
      <c r="U48" s="49">
        <f>IFERROR(IF(Data_Entry!Z37/Data_Entry!$H37&lt;0,0,Data_Entry!Z37/Data_Entry!$H37),0)</f>
        <v>0.89577435673639549</v>
      </c>
      <c r="V48" s="49">
        <f>IFERROR(IF(Data_Entry!AA37/Data_Entry!$H37&lt;0,0,Data_Entry!AA37/Data_Entry!$H37),0)</f>
        <v>0.86624333398684394</v>
      </c>
      <c r="W48" s="49">
        <f>IFERROR(IF(Data_Entry!AB37/Data_Entry!$H37&lt;0,0,Data_Entry!AB37/Data_Entry!$H37),0)</f>
        <v>0.19687348499700999</v>
      </c>
      <c r="X48" s="49">
        <f>IFERROR(IF(Data_Entry!AC37/Data_Entry!$I37&lt;0,0,Data_Entry!AC37/Data_Entry!$I37),0)</f>
        <v>0.54967077011165189</v>
      </c>
      <c r="Y48" s="49">
        <f>IFERROR(IF(Data_Entry!AD37/Data_Entry!$I37&lt;0,0,Data_Entry!AD37/Data_Entry!$I37),0)</f>
        <v>0.36072144288577157</v>
      </c>
      <c r="Z48" s="49">
        <f>IFERROR(IF(Data_Entry!AE37/Data_Entry!$I37&lt;0,0,Data_Entry!AE37/Data_Entry!$I37),0)</f>
        <v>0.18036072144288579</v>
      </c>
      <c r="AA48" s="49">
        <f>IFERROR(IF(Data_Entry!AF37/Data_Entry!$I37&lt;0,0,Data_Entry!AF37/Data_Entry!$I37),0)</f>
        <v>3.0060120240480964E-2</v>
      </c>
      <c r="AB48" s="49">
        <f>IFERROR(IF(Data_Entry!AG37/Data_Entry!$I37&lt;0,0,Data_Entry!AG37/Data_Entry!$I37),0)</f>
        <v>0</v>
      </c>
      <c r="AC48" s="49">
        <f>IFERROR(IF(Data_Entry!AI37/Data_Entry!$I37&lt;0,0,Data_Entry!AI37/Data_Entry!$I37),0)</f>
        <v>0.25035785857429144</v>
      </c>
      <c r="AD48" s="49">
        <f>IFERROR(IF(Data_Entry!AM37/Data_Entry!$H37&lt;0,0,Data_Entry!AM37/Data_Entry!$H37),0)</f>
        <v>0.89577435673639549</v>
      </c>
      <c r="AE48" s="50">
        <f>Data_Entry!AK37</f>
        <v>9.1761666666666599</v>
      </c>
      <c r="AF48" s="50">
        <f>Data_Entry!AL37</f>
        <v>12</v>
      </c>
      <c r="AG48" s="153">
        <f>(Data_Entry!O37-Data_Entry!Q37)/Data_Entry!O37</f>
        <v>9.2783505154639179E-2</v>
      </c>
      <c r="AH48" s="79" t="str">
        <f t="shared" si="0"/>
        <v>CAT1</v>
      </c>
      <c r="AI48" s="51">
        <f>SUBTOTAL(3,Tableau1[[#This Row],[ZS]])</f>
        <v>0</v>
      </c>
      <c r="AJ48" s="51" t="e">
        <f t="shared" ca="1" si="1"/>
        <v>#NAME?</v>
      </c>
      <c r="AK48" s="50" t="str">
        <f>IFERROR(IF((Data_Entry!O37-Data_Entry!Q37)/Data_Entry!O37&lt;=10%,"&lt;=10%","&gt;10%"),"&lt;=10%")</f>
        <v>&lt;=10%</v>
      </c>
    </row>
    <row r="49" spans="1:37" s="48" customFormat="1" ht="13" hidden="1" x14ac:dyDescent="0.3">
      <c r="A49" s="31" t="s">
        <v>16</v>
      </c>
      <c r="B49" s="48" t="str">
        <f>Data_Entry!B38</f>
        <v>Goma</v>
      </c>
      <c r="C49" s="48" t="str">
        <f>Data_Entry!C38</f>
        <v xml:space="preserve"> Bambo</v>
      </c>
      <c r="D49" s="48" t="str">
        <f>Data_Entry!D38</f>
        <v xml:space="preserve"> Mushababwe</v>
      </c>
      <c r="E49" s="49">
        <f>IFERROR(IF(Data_Entry!J38/Data_Entry!$I38&lt;0,0,Data_Entry!J38/Data_Entry!$I38),0)</f>
        <v>0.87791960890820209</v>
      </c>
      <c r="F49" s="49">
        <f>IFERROR(IF(Data_Entry!K38/Data_Entry!$H38&lt;0,0,Data_Entry!K38/Data_Entry!$H38),0)</f>
        <v>0.54629584955230193</v>
      </c>
      <c r="G49" s="49">
        <f>IFERROR(IF(Data_Entry!L38/Data_Entry!$H38&lt;0,0,Data_Entry!L38/Data_Entry!$H38),0)</f>
        <v>0.85212814139568471</v>
      </c>
      <c r="H49" s="49">
        <f>IFERROR(IF(Data_Entry!M38/Data_Entry!$H38&lt;0,0,Data_Entry!M38/Data_Entry!$H38),0)</f>
        <v>0.74707124725101126</v>
      </c>
      <c r="I49" s="49">
        <f>IFERROR(IF(Data_Entry!N38/Data_Entry!$H38&lt;0,0,Data_Entry!N38/Data_Entry!$H38),0)</f>
        <v>0.81477457903313411</v>
      </c>
      <c r="J49" s="49">
        <f>IFERROR(IF(Data_Entry!O38/Data_Entry!$H38&lt;0,0,Data_Entry!O38/Data_Entry!$H38),0)</f>
        <v>0.85212814139568471</v>
      </c>
      <c r="K49" s="49">
        <f>IFERROR(IF(Data_Entry!P38/Data_Entry!$H38&lt;0,0,Data_Entry!P38/Data_Entry!$H38),0)</f>
        <v>0.74707124725101126</v>
      </c>
      <c r="L49" s="49">
        <f>IFERROR(IF(Data_Entry!Q38/Data_Entry!$H38&lt;0,0,Data_Entry!Q38/Data_Entry!$H38),0)</f>
        <v>0.81477457903313411</v>
      </c>
      <c r="M49" s="49">
        <f>IFERROR(IF(Data_Entry!R38/Data_Entry!$H38&lt;0,0,Data_Entry!R38/Data_Entry!$H38),0)</f>
        <v>0.85212814139568471</v>
      </c>
      <c r="N49" s="49">
        <f>IFERROR(IF(Data_Entry!S38/Data_Entry!$H38&lt;0,0,Data_Entry!S38/Data_Entry!$H38),0)</f>
        <v>0.74707124725101126</v>
      </c>
      <c r="O49" s="49">
        <f>IFERROR(IF(Data_Entry!T38/Data_Entry!$H38&lt;0,0,Data_Entry!T38/Data_Entry!$H38),0)</f>
        <v>0.81477457903313411</v>
      </c>
      <c r="P49" s="49">
        <f>IFERROR(IF(Data_Entry!U38/Data_Entry!$H38&lt;0,0,Data_Entry!U38/Data_Entry!$H38),0)</f>
        <v>0.85212814139568471</v>
      </c>
      <c r="Q49" s="49">
        <f>IFERROR(IF(Data_Entry!V38/Data_Entry!$H38&lt;0,0,Data_Entry!V38/Data_Entry!$H38),0)</f>
        <v>0.74707124725101126</v>
      </c>
      <c r="R49" s="49">
        <f>IFERROR(IF(Data_Entry!W38/Data_Entry!$H38&lt;0,0,Data_Entry!W38/Data_Entry!$H38),0)</f>
        <v>0.81477457903313411</v>
      </c>
      <c r="S49" s="49">
        <f>IFERROR(IF(Data_Entry!X38/Data_Entry!$H38&lt;0,0,Data_Entry!X38/Data_Entry!$H38),0)</f>
        <v>0.89181630140589463</v>
      </c>
      <c r="T49" s="49">
        <f>IFERROR(IF(Data_Entry!Y38/Data_Entry!$H38&lt;0,0,Data_Entry!Y38/Data_Entry!$H38),0)</f>
        <v>0.21945217887998456</v>
      </c>
      <c r="U49" s="49">
        <f>IFERROR(IF(Data_Entry!Z38/Data_Entry!$H38&lt;0,0,Data_Entry!Z38/Data_Entry!$H38),0)</f>
        <v>0.89181630140589463</v>
      </c>
      <c r="V49" s="49">
        <f>IFERROR(IF(Data_Entry!AA38/Data_Entry!$H38&lt;0,0,Data_Entry!AA38/Data_Entry!$H38),0)</f>
        <v>0.81477457903313411</v>
      </c>
      <c r="W49" s="49">
        <f>IFERROR(IF(Data_Entry!AB38/Data_Entry!$H38&lt;0,0,Data_Entry!AB38/Data_Entry!$H38),0)</f>
        <v>1.1672988238297051E-2</v>
      </c>
      <c r="X49" s="49">
        <f>IFERROR(IF(Data_Entry!AC38/Data_Entry!$I38&lt;0,0,Data_Entry!AC38/Data_Entry!$I38),0)</f>
        <v>0.54589896795219983</v>
      </c>
      <c r="Y49" s="49">
        <f>IFERROR(IF(Data_Entry!AD38/Data_Entry!$I38&lt;0,0,Data_Entry!AD38/Data_Entry!$I38),0)</f>
        <v>0.36461162411732756</v>
      </c>
      <c r="Z49" s="49">
        <f>IFERROR(IF(Data_Entry!AE38/Data_Entry!$I38&lt;0,0,Data_Entry!AE38/Data_Entry!$I38),0)</f>
        <v>0.148696360673547</v>
      </c>
      <c r="AA49" s="49">
        <f>IFERROR(IF(Data_Entry!AF38/Data_Entry!$I38&lt;0,0,Data_Entry!AF38/Data_Entry!$I38),0)</f>
        <v>9.5736013036393258E-2</v>
      </c>
      <c r="AB49" s="49">
        <f>IFERROR(IF(Data_Entry!AG38/Data_Entry!$I38&lt;0,0,Data_Entry!AG38/Data_Entry!$I38),0)</f>
        <v>6.1108093427485063E-2</v>
      </c>
      <c r="AC49" s="49">
        <f>IFERROR(IF(Data_Entry!AI38/Data_Entry!$I38&lt;0,0,Data_Entry!AI38/Data_Entry!$I38),0)</f>
        <v>0.11875339489407929</v>
      </c>
      <c r="AD49" s="49">
        <f>IFERROR(IF(Data_Entry!AM38/Data_Entry!$H38&lt;0,0,Data_Entry!AM38/Data_Entry!$H38),0)</f>
        <v>0.89181630140589463</v>
      </c>
      <c r="AE49" s="50">
        <f>Data_Entry!AK38</f>
        <v>63.339333333333343</v>
      </c>
      <c r="AF49" s="50">
        <f>Data_Entry!AL38</f>
        <v>0</v>
      </c>
      <c r="AG49" s="153">
        <f>(Data_Entry!O38-Data_Entry!Q38)/Data_Entry!O38</f>
        <v>4.3835616438356165E-2</v>
      </c>
      <c r="AH49" s="79" t="str">
        <f t="shared" si="0"/>
        <v>CAT3</v>
      </c>
      <c r="AI49" s="51">
        <f>SUBTOTAL(3,Tableau1[[#This Row],[ZS]])</f>
        <v>0</v>
      </c>
      <c r="AJ49" s="51" t="e">
        <f t="shared" ca="1" si="1"/>
        <v>#NAME?</v>
      </c>
      <c r="AK49" s="50" t="str">
        <f>IFERROR(IF((Data_Entry!O38-Data_Entry!Q38)/Data_Entry!O38&lt;=10%,"&lt;=10%","&gt;10%"),"&lt;=10%")</f>
        <v>&lt;=10%</v>
      </c>
    </row>
    <row r="50" spans="1:37" s="48" customFormat="1" ht="13" hidden="1" x14ac:dyDescent="0.3">
      <c r="A50" s="31" t="s">
        <v>16</v>
      </c>
      <c r="B50" s="48" t="str">
        <f>Data_Entry!B39</f>
        <v>Goma</v>
      </c>
      <c r="C50" s="48" t="str">
        <f>Data_Entry!C39</f>
        <v xml:space="preserve"> Bambo</v>
      </c>
      <c r="D50" s="48" t="str">
        <f>Data_Entry!D39</f>
        <v xml:space="preserve"> Rebero</v>
      </c>
      <c r="E50" s="49">
        <f>IFERROR(IF(Data_Entry!J39/Data_Entry!$I39&lt;0,0,Data_Entry!J39/Data_Entry!$I39),0)</f>
        <v>1.6104686548995737</v>
      </c>
      <c r="F50" s="49">
        <f>IFERROR(IF(Data_Entry!K39/Data_Entry!$H39&lt;0,0,Data_Entry!K39/Data_Entry!$H39),0)</f>
        <v>1.6030498406890741</v>
      </c>
      <c r="G50" s="49">
        <f>IFERROR(IF(Data_Entry!L39/Data_Entry!$H39&lt;0,0,Data_Entry!L39/Data_Entry!$H39),0)</f>
        <v>1.0463771806064452</v>
      </c>
      <c r="H50" s="49">
        <f>IFERROR(IF(Data_Entry!M39/Data_Entry!$H39&lt;0,0,Data_Entry!M39/Data_Entry!$H39),0)</f>
        <v>0.89569886659911713</v>
      </c>
      <c r="I50" s="49">
        <f>IFERROR(IF(Data_Entry!N39/Data_Entry!$H39&lt;0,0,Data_Entry!N39/Data_Entry!$H39),0)</f>
        <v>0.87477132298698823</v>
      </c>
      <c r="J50" s="49">
        <f>IFERROR(IF(Data_Entry!O39/Data_Entry!$H39&lt;0,0,Data_Entry!O39/Data_Entry!$H39),0)</f>
        <v>1.0463771806064452</v>
      </c>
      <c r="K50" s="49">
        <f>IFERROR(IF(Data_Entry!P39/Data_Entry!$H39&lt;0,0,Data_Entry!P39/Data_Entry!$H39),0)</f>
        <v>0.89569886659911713</v>
      </c>
      <c r="L50" s="49">
        <f>IFERROR(IF(Data_Entry!Q39/Data_Entry!$H39&lt;0,0,Data_Entry!Q39/Data_Entry!$H39),0)</f>
        <v>0.87477132298698823</v>
      </c>
      <c r="M50" s="49">
        <f>IFERROR(IF(Data_Entry!R39/Data_Entry!$H39&lt;0,0,Data_Entry!R39/Data_Entry!$H39),0)</f>
        <v>1.0463771806064452</v>
      </c>
      <c r="N50" s="49">
        <f>IFERROR(IF(Data_Entry!S39/Data_Entry!$H39&lt;0,0,Data_Entry!S39/Data_Entry!$H39),0)</f>
        <v>0.89569886659911713</v>
      </c>
      <c r="O50" s="49">
        <f>IFERROR(IF(Data_Entry!T39/Data_Entry!$H39&lt;0,0,Data_Entry!T39/Data_Entry!$H39),0)</f>
        <v>0.87477132298698823</v>
      </c>
      <c r="P50" s="49">
        <f>IFERROR(IF(Data_Entry!U39/Data_Entry!$H39&lt;0,0,Data_Entry!U39/Data_Entry!$H39),0)</f>
        <v>1.0463771806064452</v>
      </c>
      <c r="Q50" s="49">
        <f>IFERROR(IF(Data_Entry!V39/Data_Entry!$H39&lt;0,0,Data_Entry!V39/Data_Entry!$H39),0)</f>
        <v>0.89569886659911713</v>
      </c>
      <c r="R50" s="49">
        <f>IFERROR(IF(Data_Entry!W39/Data_Entry!$H39&lt;0,0,Data_Entry!W39/Data_Entry!$H39),0)</f>
        <v>0.87477132298698823</v>
      </c>
      <c r="S50" s="49">
        <f>IFERROR(IF(Data_Entry!X39/Data_Entry!$H39&lt;0,0,Data_Entry!X39/Data_Entry!$H39),0)</f>
        <v>1.2472815992828827</v>
      </c>
      <c r="T50" s="49">
        <f>IFERROR(IF(Data_Entry!Y39/Data_Entry!$H39&lt;0,0,Data_Entry!Y39/Data_Entry!$H39),0)</f>
        <v>0.38925231118559761</v>
      </c>
      <c r="U50" s="49">
        <f>IFERROR(IF(Data_Entry!Z39/Data_Entry!$H39&lt;0,0,Data_Entry!Z39/Data_Entry!$H39),0)</f>
        <v>1.2472815992828827</v>
      </c>
      <c r="V50" s="49">
        <f>IFERROR(IF(Data_Entry!AA39/Data_Entry!$H39&lt;0,0,Data_Entry!AA39/Data_Entry!$H39),0)</f>
        <v>0.93336844510094918</v>
      </c>
      <c r="W50" s="49">
        <f>IFERROR(IF(Data_Entry!AB39/Data_Entry!$H39&lt;0,0,Data_Entry!AB39/Data_Entry!$H39),0)</f>
        <v>0.48970452052381636</v>
      </c>
      <c r="X50" s="49">
        <f>IFERROR(IF(Data_Entry!AC39/Data_Entry!$I39&lt;0,0,Data_Entry!AC39/Data_Entry!$I39),0)</f>
        <v>0.33962264150943394</v>
      </c>
      <c r="Y50" s="49">
        <f>IFERROR(IF(Data_Entry!AD39/Data_Entry!$I39&lt;0,0,Data_Entry!AD39/Data_Entry!$I39),0)</f>
        <v>0.20085209981740715</v>
      </c>
      <c r="Z50" s="49">
        <f>IFERROR(IF(Data_Entry!AE39/Data_Entry!$I39&lt;0,0,Data_Entry!AE39/Data_Entry!$I39),0)</f>
        <v>0.17528910529519171</v>
      </c>
      <c r="AA50" s="49">
        <f>IFERROR(IF(Data_Entry!AF39/Data_Entry!$I39&lt;0,0,Data_Entry!AF39/Data_Entry!$I39),0)</f>
        <v>0.10225197808886183</v>
      </c>
      <c r="AB50" s="49">
        <f>IFERROR(IF(Data_Entry!AG39/Data_Entry!$I39&lt;0,0,Data_Entry!AG39/Data_Entry!$I39),0)</f>
        <v>9.8600121728545334E-2</v>
      </c>
      <c r="AC50" s="49">
        <f>IFERROR(IF(Data_Entry!AI39/Data_Entry!$I39&lt;0,0,Data_Entry!AI39/Data_Entry!$I39),0)</f>
        <v>0.21290322580645157</v>
      </c>
      <c r="AD50" s="49">
        <f>IFERROR(IF(Data_Entry!AM39/Data_Entry!$H39&lt;0,0,Data_Entry!AM39/Data_Entry!$H39),0)</f>
        <v>1.2472815992828827</v>
      </c>
      <c r="AE50" s="50">
        <f>Data_Entry!AK39</f>
        <v>0</v>
      </c>
      <c r="AF50" s="50">
        <f>Data_Entry!AL39</f>
        <v>0</v>
      </c>
      <c r="AG50" s="153">
        <f>(Data_Entry!O39-Data_Entry!Q39)/Data_Entry!O39</f>
        <v>0.16400000000000001</v>
      </c>
      <c r="AH50" s="79" t="str">
        <f t="shared" si="0"/>
        <v>CAT2</v>
      </c>
      <c r="AI50" s="51">
        <f>SUBTOTAL(3,Tableau1[[#This Row],[ZS]])</f>
        <v>0</v>
      </c>
      <c r="AJ50" s="51" t="e">
        <f t="shared" ca="1" si="1"/>
        <v>#NAME?</v>
      </c>
      <c r="AK50" s="50" t="str">
        <f>IFERROR(IF((Data_Entry!O39-Data_Entry!Q39)/Data_Entry!O39&lt;=10%,"&lt;=10%","&gt;10%"),"&lt;=10%")</f>
        <v>&gt;10%</v>
      </c>
    </row>
    <row r="51" spans="1:37" s="48" customFormat="1" ht="13" hidden="1" x14ac:dyDescent="0.3">
      <c r="A51" s="31" t="s">
        <v>16</v>
      </c>
      <c r="B51" s="48" t="str">
        <f>Data_Entry!B40</f>
        <v>Goma</v>
      </c>
      <c r="C51" s="48" t="str">
        <f>Data_Entry!C40</f>
        <v xml:space="preserve"> Bambo</v>
      </c>
      <c r="D51" s="48" t="str">
        <f>Data_Entry!D40</f>
        <v xml:space="preserve"> Rushovu</v>
      </c>
      <c r="E51" s="49">
        <f>IFERROR(IF(Data_Entry!J40/Data_Entry!$I40&lt;0,0,Data_Entry!J40/Data_Entry!$I40),0)</f>
        <v>1.294899559405571</v>
      </c>
      <c r="F51" s="49">
        <f>IFERROR(IF(Data_Entry!K40/Data_Entry!$H40&lt;0,0,Data_Entry!K40/Data_Entry!$H40),0)</f>
        <v>0.66503204585725473</v>
      </c>
      <c r="G51" s="49">
        <f>IFERROR(IF(Data_Entry!L40/Data_Entry!$H40&lt;0,0,Data_Entry!L40/Data_Entry!$H40),0)</f>
        <v>1.3480379307917325</v>
      </c>
      <c r="H51" s="49">
        <f>IFERROR(IF(Data_Entry!M40/Data_Entry!$H40&lt;0,0,Data_Entry!M40/Data_Entry!$H40),0)</f>
        <v>1.1785703052064862</v>
      </c>
      <c r="I51" s="49">
        <f>IFERROR(IF(Data_Entry!N40/Data_Entry!$H40&lt;0,0,Data_Entry!N40/Data_Entry!$H40),0)</f>
        <v>1.3223610178242711</v>
      </c>
      <c r="J51" s="49">
        <f>IFERROR(IF(Data_Entry!O40/Data_Entry!$H40&lt;0,0,Data_Entry!O40/Data_Entry!$H40),0)</f>
        <v>1.3274964004177634</v>
      </c>
      <c r="K51" s="49">
        <f>IFERROR(IF(Data_Entry!P40/Data_Entry!$H40&lt;0,0,Data_Entry!P40/Data_Entry!$H40),0)</f>
        <v>1.1785703052064862</v>
      </c>
      <c r="L51" s="49">
        <f>IFERROR(IF(Data_Entry!Q40/Data_Entry!$H40&lt;0,0,Data_Entry!Q40/Data_Entry!$H40),0)</f>
        <v>1.3223610178242711</v>
      </c>
      <c r="M51" s="49">
        <f>IFERROR(IF(Data_Entry!R40/Data_Entry!$H40&lt;0,0,Data_Entry!R40/Data_Entry!$H40),0)</f>
        <v>1.3249287091210171</v>
      </c>
      <c r="N51" s="49">
        <f>IFERROR(IF(Data_Entry!S40/Data_Entry!$H40&lt;0,0,Data_Entry!S40/Data_Entry!$H40),0)</f>
        <v>1.1785703052064862</v>
      </c>
      <c r="O51" s="49">
        <f>IFERROR(IF(Data_Entry!T40/Data_Entry!$H40&lt;0,0,Data_Entry!T40/Data_Entry!$H40),0)</f>
        <v>1.3223610178242711</v>
      </c>
      <c r="P51" s="49">
        <f>IFERROR(IF(Data_Entry!U40/Data_Entry!$H40&lt;0,0,Data_Entry!U40/Data_Entry!$H40),0)</f>
        <v>1.3480379307917325</v>
      </c>
      <c r="Q51" s="49">
        <f>IFERROR(IF(Data_Entry!V40/Data_Entry!$H40&lt;0,0,Data_Entry!V40/Data_Entry!$H40),0)</f>
        <v>1.1785703052064862</v>
      </c>
      <c r="R51" s="49">
        <f>IFERROR(IF(Data_Entry!W40/Data_Entry!$H40&lt;0,0,Data_Entry!W40/Data_Entry!$H40),0)</f>
        <v>1.3223610178242711</v>
      </c>
      <c r="S51" s="49">
        <f>IFERROR(IF(Data_Entry!X40/Data_Entry!$H40&lt;0,0,Data_Entry!X40/Data_Entry!$H40),0)</f>
        <v>1.3018194874503017</v>
      </c>
      <c r="T51" s="49">
        <f>IFERROR(IF(Data_Entry!Y40/Data_Entry!$H40&lt;0,0,Data_Entry!Y40/Data_Entry!$H40),0)</f>
        <v>0.46475212471105448</v>
      </c>
      <c r="U51" s="49">
        <f>IFERROR(IF(Data_Entry!Z40/Data_Entry!$H40&lt;0,0,Data_Entry!Z40/Data_Entry!$H40),0)</f>
        <v>0.91409810164163197</v>
      </c>
      <c r="V51" s="49">
        <f>IFERROR(IF(Data_Entry!AA40/Data_Entry!$H40&lt;0,0,Data_Entry!AA40/Data_Entry!$H40),0)</f>
        <v>1.3223610178242711</v>
      </c>
      <c r="W51" s="49">
        <f>IFERROR(IF(Data_Entry!AB40/Data_Entry!$H40&lt;0,0,Data_Entry!AB40/Data_Entry!$H40),0)</f>
        <v>0.51097056805248531</v>
      </c>
      <c r="X51" s="49">
        <f>IFERROR(IF(Data_Entry!AC40/Data_Entry!$I40&lt;0,0,Data_Entry!AC40/Data_Entry!$I40),0)</f>
        <v>1.086550668359346</v>
      </c>
      <c r="Y51" s="49">
        <f>IFERROR(IF(Data_Entry!AD40/Data_Entry!$I40&lt;0,0,Data_Entry!AD40/Data_Entry!$I40),0)</f>
        <v>0.71241878873870523</v>
      </c>
      <c r="Z51" s="49">
        <f>IFERROR(IF(Data_Entry!AE40/Data_Entry!$I40&lt;0,0,Data_Entry!AE40/Data_Entry!$I40),0)</f>
        <v>0.41221716077962817</v>
      </c>
      <c r="AA51" s="49">
        <f>IFERROR(IF(Data_Entry!AF40/Data_Entry!$I40&lt;0,0,Data_Entry!AF40/Data_Entry!$I40),0)</f>
        <v>6.7209319692330682E-2</v>
      </c>
      <c r="AB51" s="49">
        <f>IFERROR(IF(Data_Entry!AG40/Data_Entry!$I40&lt;0,0,Data_Entry!AG40/Data_Entry!$I40),0)</f>
        <v>2.9124038533343295E-2</v>
      </c>
      <c r="AC51" s="49">
        <f>IFERROR(IF(Data_Entry!AI40/Data_Entry!$I40&lt;0,0,Data_Entry!AI40/Data_Entry!$I40),0)</f>
        <v>0.1306101112687626</v>
      </c>
      <c r="AD51" s="49">
        <f>IFERROR(IF(Data_Entry!AM40/Data_Entry!$H40&lt;0,0,Data_Entry!AM40/Data_Entry!$H40),0)</f>
        <v>0.91409810164163197</v>
      </c>
      <c r="AE51" s="50">
        <f>Data_Entry!AK40</f>
        <v>0</v>
      </c>
      <c r="AF51" s="50">
        <f>Data_Entry!AL40</f>
        <v>10</v>
      </c>
      <c r="AG51" s="153">
        <f>(Data_Entry!O40-Data_Entry!Q40)/Data_Entry!O40</f>
        <v>3.8684719535783366E-3</v>
      </c>
      <c r="AH51" s="79" t="str">
        <f t="shared" si="0"/>
        <v>CAT1</v>
      </c>
      <c r="AI51" s="51">
        <f>SUBTOTAL(3,Tableau1[[#This Row],[ZS]])</f>
        <v>0</v>
      </c>
      <c r="AJ51" s="51" t="e">
        <f t="shared" ca="1" si="1"/>
        <v>#NAME?</v>
      </c>
      <c r="AK51" s="50" t="str">
        <f>IFERROR(IF((Data_Entry!O40-Data_Entry!Q40)/Data_Entry!O40&lt;=10%,"&lt;=10%","&gt;10%"),"&lt;=10%")</f>
        <v>&lt;=10%</v>
      </c>
    </row>
    <row r="52" spans="1:37" s="48" customFormat="1" ht="13" hidden="1" x14ac:dyDescent="0.3">
      <c r="A52" s="31" t="s">
        <v>16</v>
      </c>
      <c r="B52" s="48" t="str">
        <f>Data_Entry!B41</f>
        <v>Goma</v>
      </c>
      <c r="C52" s="48" t="str">
        <f>Data_Entry!C41</f>
        <v xml:space="preserve"> Bambo</v>
      </c>
      <c r="D52" s="48" t="str">
        <f>Data_Entry!D41</f>
        <v xml:space="preserve"> Tongo</v>
      </c>
      <c r="E52" s="49">
        <f>IFERROR(IF(Data_Entry!J41/Data_Entry!$I41&lt;0,0,Data_Entry!J41/Data_Entry!$I41),0)</f>
        <v>1.1479086950785062</v>
      </c>
      <c r="F52" s="49">
        <f>IFERROR(IF(Data_Entry!K41/Data_Entry!$H41&lt;0,0,Data_Entry!K41/Data_Entry!$H41),0)</f>
        <v>0.89071333056844226</v>
      </c>
      <c r="G52" s="49">
        <f>IFERROR(IF(Data_Entry!L41/Data_Entry!$H41&lt;0,0,Data_Entry!L41/Data_Entry!$H41),0)</f>
        <v>0.70621922814170213</v>
      </c>
      <c r="H52" s="49">
        <f>IFERROR(IF(Data_Entry!M41/Data_Entry!$H41&lt;0,0,Data_Entry!M41/Data_Entry!$H41),0)</f>
        <v>0.65026609871719887</v>
      </c>
      <c r="I52" s="49">
        <f>IFERROR(IF(Data_Entry!N41/Data_Entry!$H41&lt;0,0,Data_Entry!N41/Data_Entry!$H41),0)</f>
        <v>0.67446204657644349</v>
      </c>
      <c r="J52" s="49">
        <f>IFERROR(IF(Data_Entry!O41/Data_Entry!$H41&lt;0,0,Data_Entry!O41/Data_Entry!$H41),0)</f>
        <v>0.99354610897023188</v>
      </c>
      <c r="K52" s="49">
        <f>IFERROR(IF(Data_Entry!P41/Data_Entry!$H41&lt;0,0,Data_Entry!P41/Data_Entry!$H41),0)</f>
        <v>0.93759297954572862</v>
      </c>
      <c r="L52" s="49">
        <f>IFERROR(IF(Data_Entry!Q41/Data_Entry!$H41&lt;0,0,Data_Entry!Q41/Data_Entry!$H41),0)</f>
        <v>0.97388690133459554</v>
      </c>
      <c r="M52" s="49">
        <f>IFERROR(IF(Data_Entry!R41/Data_Entry!$H41&lt;0,0,Data_Entry!R41/Data_Entry!$H41),0)</f>
        <v>0.99354610897023188</v>
      </c>
      <c r="N52" s="49">
        <f>IFERROR(IF(Data_Entry!S41/Data_Entry!$H41&lt;0,0,Data_Entry!S41/Data_Entry!$H41),0)</f>
        <v>0.93759297954572862</v>
      </c>
      <c r="O52" s="49">
        <f>IFERROR(IF(Data_Entry!T41/Data_Entry!$H41&lt;0,0,Data_Entry!T41/Data_Entry!$H41),0)</f>
        <v>0.97388690133459554</v>
      </c>
      <c r="P52" s="49">
        <f>IFERROR(IF(Data_Entry!U41/Data_Entry!$H41&lt;0,0,Data_Entry!U41/Data_Entry!$H41),0)</f>
        <v>0.99354610897023188</v>
      </c>
      <c r="Q52" s="49">
        <f>IFERROR(IF(Data_Entry!V41/Data_Entry!$H41&lt;0,0,Data_Entry!V41/Data_Entry!$H41),0)</f>
        <v>0.93759297954572862</v>
      </c>
      <c r="R52" s="49">
        <f>IFERROR(IF(Data_Entry!W41/Data_Entry!$H41&lt;0,0,Data_Entry!W41/Data_Entry!$H41),0)</f>
        <v>0.97388690133459554</v>
      </c>
      <c r="S52" s="49">
        <f>IFERROR(IF(Data_Entry!X41/Data_Entry!$H41&lt;0,0,Data_Entry!X41/Data_Entry!$H41),0)</f>
        <v>1.0721829395127769</v>
      </c>
      <c r="T52" s="49">
        <f>IFERROR(IF(Data_Entry!Y41/Data_Entry!$H41&lt;0,0,Data_Entry!Y41/Data_Entry!$H41),0)</f>
        <v>0.62304565737554873</v>
      </c>
      <c r="U52" s="49">
        <f>IFERROR(IF(Data_Entry!Z41/Data_Entry!$H41&lt;0,0,Data_Entry!Z41/Data_Entry!$H41),0)</f>
        <v>0.87105412293280604</v>
      </c>
      <c r="V52" s="49">
        <f>IFERROR(IF(Data_Entry!AA41/Data_Entry!$H41&lt;0,0,Data_Entry!AA41/Data_Entry!$H41),0)</f>
        <v>0.88012760338002272</v>
      </c>
      <c r="W52" s="49">
        <f>IFERROR(IF(Data_Entry!AB41/Data_Entry!$H41&lt;0,0,Data_Entry!AB41/Data_Entry!$H41),0)</f>
        <v>0.65177834545840174</v>
      </c>
      <c r="X52" s="49">
        <f>IFERROR(IF(Data_Entry!AC41/Data_Entry!$I41&lt;0,0,Data_Entry!AC41/Data_Entry!$I41),0)</f>
        <v>0.70062013458239869</v>
      </c>
      <c r="Y52" s="49">
        <f>IFERROR(IF(Data_Entry!AD41/Data_Entry!$I41&lt;0,0,Data_Entry!AD41/Data_Entry!$I41),0)</f>
        <v>0.51589919514447813</v>
      </c>
      <c r="Z52" s="49">
        <f>IFERROR(IF(Data_Entry!AE41/Data_Entry!$I41&lt;0,0,Data_Entry!AE41/Data_Entry!$I41),0)</f>
        <v>8.1804987465364812E-2</v>
      </c>
      <c r="AA52" s="49">
        <f>IFERROR(IF(Data_Entry!AF41/Data_Entry!$I41&lt;0,0,Data_Entry!AF41/Data_Entry!$I41),0)</f>
        <v>1.7152658662092621E-2</v>
      </c>
      <c r="AB52" s="49">
        <f>IFERROR(IF(Data_Entry!AG41/Data_Entry!$I41&lt;0,0,Data_Entry!AG41/Data_Entry!$I41),0)</f>
        <v>0</v>
      </c>
      <c r="AC52" s="49">
        <f>IFERROR(IF(Data_Entry!AI41/Data_Entry!$I41&lt;0,0,Data_Entry!AI41/Data_Entry!$I41),0)</f>
        <v>7.6923076923076913E-2</v>
      </c>
      <c r="AD52" s="49">
        <f>IFERROR(IF(Data_Entry!AM41/Data_Entry!$H41&lt;0,0,Data_Entry!AM41/Data_Entry!$H41),0)</f>
        <v>0.87105412293280604</v>
      </c>
      <c r="AE52" s="50">
        <f>Data_Entry!AK41</f>
        <v>4.2677499999999782</v>
      </c>
      <c r="AF52" s="50">
        <f>Data_Entry!AL41</f>
        <v>0</v>
      </c>
      <c r="AG52" s="153">
        <f>(Data_Entry!O41-Data_Entry!Q41)/Data_Entry!O41</f>
        <v>1.9786910197869101E-2</v>
      </c>
      <c r="AH52" s="79" t="str">
        <f t="shared" si="0"/>
        <v>CAT1</v>
      </c>
      <c r="AI52" s="51">
        <f>SUBTOTAL(3,Tableau1[[#This Row],[ZS]])</f>
        <v>0</v>
      </c>
      <c r="AJ52" s="51" t="e">
        <f t="shared" ca="1" si="1"/>
        <v>#NAME?</v>
      </c>
      <c r="AK52" s="50" t="str">
        <f>IFERROR(IF((Data_Entry!O41-Data_Entry!Q41)/Data_Entry!O41&lt;=10%,"&lt;=10%","&gt;10%"),"&lt;=10%")</f>
        <v>&lt;=10%</v>
      </c>
    </row>
    <row r="53" spans="1:37" s="48" customFormat="1" ht="13" hidden="1" x14ac:dyDescent="0.3">
      <c r="A53" s="31" t="s">
        <v>16</v>
      </c>
      <c r="B53" s="48" t="str">
        <f>Data_Entry!B42</f>
        <v>Butembo</v>
      </c>
      <c r="C53" s="48" t="str">
        <f>Data_Entry!C42</f>
        <v xml:space="preserve"> Beni</v>
      </c>
      <c r="D53" s="48" t="str">
        <f>Data_Entry!D42</f>
        <v xml:space="preserve"> Boikene</v>
      </c>
      <c r="E53" s="49">
        <f>IFERROR(IF(Data_Entry!J42/Data_Entry!$I42&lt;0,0,Data_Entry!J42/Data_Entry!$I42),0)</f>
        <v>1.0682019486271037</v>
      </c>
      <c r="F53" s="49">
        <f>IFERROR(IF(Data_Entry!K42/Data_Entry!$H42&lt;0,0,Data_Entry!K42/Data_Entry!$H42),0)</f>
        <v>0.48728367269764805</v>
      </c>
      <c r="G53" s="49">
        <f>IFERROR(IF(Data_Entry!L42/Data_Entry!$H42&lt;0,0,Data_Entry!L42/Data_Entry!$H42),0)</f>
        <v>1.7724943594376947</v>
      </c>
      <c r="H53" s="49">
        <f>IFERROR(IF(Data_Entry!M42/Data_Entry!$H42&lt;0,0,Data_Entry!M42/Data_Entry!$H42),0)</f>
        <v>1.906497369429548</v>
      </c>
      <c r="I53" s="49">
        <f>IFERROR(IF(Data_Entry!N42/Data_Entry!$H42&lt;0,0,Data_Entry!N42/Data_Entry!$H42),0)</f>
        <v>1.7846764512551361</v>
      </c>
      <c r="J53" s="49">
        <f>IFERROR(IF(Data_Entry!O42/Data_Entry!$H42&lt;0,0,Data_Entry!O42/Data_Entry!$H42),0)</f>
        <v>1.876042139885945</v>
      </c>
      <c r="K53" s="49">
        <f>IFERROR(IF(Data_Entry!P42/Data_Entry!$H42&lt;0,0,Data_Entry!P42/Data_Entry!$H42),0)</f>
        <v>1.7724943594376947</v>
      </c>
      <c r="L53" s="49">
        <f>IFERROR(IF(Data_Entry!Q42/Data_Entry!$H42&lt;0,0,Data_Entry!Q42/Data_Entry!$H42),0)</f>
        <v>1.8577690021597832</v>
      </c>
      <c r="M53" s="49">
        <f>IFERROR(IF(Data_Entry!R42/Data_Entry!$H42&lt;0,0,Data_Entry!R42/Data_Entry!$H42),0)</f>
        <v>1.8212227267074597</v>
      </c>
      <c r="N53" s="49">
        <f>IFERROR(IF(Data_Entry!S42/Data_Entry!$H42&lt;0,0,Data_Entry!S42/Data_Entry!$H42),0)</f>
        <v>1.72376599216793</v>
      </c>
      <c r="O53" s="49">
        <f>IFERROR(IF(Data_Entry!T42/Data_Entry!$H42&lt;0,0,Data_Entry!T42/Data_Entry!$H42),0)</f>
        <v>1.6263092576284004</v>
      </c>
      <c r="P53" s="49">
        <f>IFERROR(IF(Data_Entry!U42/Data_Entry!$H42&lt;0,0,Data_Entry!U42/Data_Entry!$H42),0)</f>
        <v>1.6384913494458415</v>
      </c>
      <c r="Q53" s="49">
        <f>IFERROR(IF(Data_Entry!V42/Data_Entry!$H42&lt;0,0,Data_Entry!V42/Data_Entry!$H42),0)</f>
        <v>1.3522121917359733</v>
      </c>
      <c r="R53" s="49">
        <f>IFERROR(IF(Data_Entry!W42/Data_Entry!$H42&lt;0,0,Data_Entry!W42/Data_Entry!$H42),0)</f>
        <v>1.1024793094784286</v>
      </c>
      <c r="S53" s="49">
        <f>IFERROR(IF(Data_Entry!X42/Data_Entry!$H42&lt;0,0,Data_Entry!X42/Data_Entry!$H42),0)</f>
        <v>1.8273137726161803</v>
      </c>
      <c r="T53" s="49">
        <f>IFERROR(IF(Data_Entry!Y42/Data_Entry!$H42&lt;0,0,Data_Entry!Y42/Data_Entry!$H42),0)</f>
        <v>0.61519563678078071</v>
      </c>
      <c r="U53" s="49">
        <f>IFERROR(IF(Data_Entry!Z42/Data_Entry!$H42&lt;0,0,Data_Entry!Z42/Data_Entry!$H42),0)</f>
        <v>1.5836719362673561</v>
      </c>
      <c r="V53" s="49">
        <f>IFERROR(IF(Data_Entry!AA42/Data_Entry!$H42&lt;0,0,Data_Entry!AA42/Data_Entry!$H42),0)</f>
        <v>1.8882242317033862</v>
      </c>
      <c r="W53" s="49">
        <f>IFERROR(IF(Data_Entry!AB42/Data_Entry!$H42&lt;0,0,Data_Entry!AB42/Data_Entry!$H42),0)</f>
        <v>1.7054928544417682</v>
      </c>
      <c r="X53" s="49">
        <f>IFERROR(IF(Data_Entry!AC42/Data_Entry!$I42&lt;0,0,Data_Entry!AC42/Data_Entry!$I42),0)</f>
        <v>0.44109831709477415</v>
      </c>
      <c r="Y53" s="49">
        <f>IFERROR(IF(Data_Entry!AD42/Data_Entry!$I42&lt;0,0,Data_Entry!AD42/Data_Entry!$I42),0)</f>
        <v>0.2604074402125775</v>
      </c>
      <c r="Z53" s="49">
        <f>IFERROR(IF(Data_Entry!AE42/Data_Entry!$I42&lt;0,0,Data_Entry!AE42/Data_Entry!$I42),0)</f>
        <v>0.66430469441984064</v>
      </c>
      <c r="AA53" s="49">
        <f>IFERROR(IF(Data_Entry!AF42/Data_Entry!$I42&lt;0,0,Data_Entry!AF42/Data_Entry!$I42),0)</f>
        <v>0.30292294065544734</v>
      </c>
      <c r="AB53" s="49">
        <f>IFERROR(IF(Data_Entry!AG42/Data_Entry!$I42&lt;0,0,Data_Entry!AG42/Data_Entry!$I42),0)</f>
        <v>0.25509300265721879</v>
      </c>
      <c r="AC53" s="49">
        <f>IFERROR(IF(Data_Entry!AI42/Data_Entry!$I42&lt;0,0,Data_Entry!AI42/Data_Entry!$I42),0)</f>
        <v>0.17697077059344551</v>
      </c>
      <c r="AD53" s="49">
        <f>IFERROR(IF(Data_Entry!AM42/Data_Entry!$H42&lt;0,0,Data_Entry!AM42/Data_Entry!$H42),0)</f>
        <v>1.5836719362673561</v>
      </c>
      <c r="AE53" s="50">
        <f>Data_Entry!AK42</f>
        <v>0</v>
      </c>
      <c r="AF53" s="50">
        <f>Data_Entry!AL42</f>
        <v>8</v>
      </c>
      <c r="AG53" s="153">
        <f>(Data_Entry!O42-Data_Entry!Q42)/Data_Entry!O42</f>
        <v>9.74025974025974E-3</v>
      </c>
      <c r="AH53" s="79" t="str">
        <f t="shared" si="0"/>
        <v>CAT1</v>
      </c>
      <c r="AI53" s="51">
        <f>SUBTOTAL(3,Tableau1[[#This Row],[ZS]])</f>
        <v>0</v>
      </c>
      <c r="AJ53" s="51" t="e">
        <f t="shared" ca="1" si="1"/>
        <v>#NAME?</v>
      </c>
      <c r="AK53" s="50" t="str">
        <f>IFERROR(IF((Data_Entry!O42-Data_Entry!Q42)/Data_Entry!O42&lt;=10%,"&lt;=10%","&gt;10%"),"&lt;=10%")</f>
        <v>&lt;=10%</v>
      </c>
    </row>
    <row r="54" spans="1:37" s="48" customFormat="1" ht="13" hidden="1" x14ac:dyDescent="0.3">
      <c r="A54" s="31" t="s">
        <v>16</v>
      </c>
      <c r="B54" s="48" t="str">
        <f>Data_Entry!B43</f>
        <v>Butembo</v>
      </c>
      <c r="C54" s="48" t="str">
        <f>Data_Entry!C43</f>
        <v xml:space="preserve"> Beni</v>
      </c>
      <c r="D54" s="48" t="str">
        <f>Data_Entry!D43</f>
        <v xml:space="preserve"> Bundji</v>
      </c>
      <c r="E54" s="49">
        <f>IFERROR(IF(Data_Entry!J43/Data_Entry!$I43&lt;0,0,Data_Entry!J43/Data_Entry!$I43),0)</f>
        <v>0.93514036786060029</v>
      </c>
      <c r="F54" s="49">
        <f>IFERROR(IF(Data_Entry!K43/Data_Entry!$H43&lt;0,0,Data_Entry!K43/Data_Entry!$H43),0)</f>
        <v>1.4046494340072728</v>
      </c>
      <c r="G54" s="49">
        <f>IFERROR(IF(Data_Entry!L43/Data_Entry!$H43&lt;0,0,Data_Entry!L43/Data_Entry!$H43),0)</f>
        <v>2.1802023205563121</v>
      </c>
      <c r="H54" s="49">
        <f>IFERROR(IF(Data_Entry!M43/Data_Entry!$H43&lt;0,0,Data_Entry!M43/Data_Entry!$H43),0)</f>
        <v>2.3899011697090566</v>
      </c>
      <c r="I54" s="49">
        <f>IFERROR(IF(Data_Entry!N43/Data_Entry!$H43&lt;0,0,Data_Entry!N43/Data_Entry!$H43),0)</f>
        <v>2.4964148708660061</v>
      </c>
      <c r="J54" s="49">
        <f>IFERROR(IF(Data_Entry!O43/Data_Entry!$H43&lt;0,0,Data_Entry!O43/Data_Entry!$H43),0)</f>
        <v>2.0037890030151142</v>
      </c>
      <c r="K54" s="49">
        <f>IFERROR(IF(Data_Entry!P43/Data_Entry!$H43&lt;0,0,Data_Entry!P43/Data_Entry!$H43),0)</f>
        <v>1.9272322803085569</v>
      </c>
      <c r="L54" s="49">
        <f>IFERROR(IF(Data_Entry!Q43/Data_Entry!$H43&lt;0,0,Data_Entry!Q43/Data_Entry!$H43),0)</f>
        <v>2.0037890030151142</v>
      </c>
      <c r="M54" s="49">
        <f>IFERROR(IF(Data_Entry!R43/Data_Entry!$H43&lt;0,0,Data_Entry!R43/Data_Entry!$H43),0)</f>
        <v>2.0037890030151142</v>
      </c>
      <c r="N54" s="49">
        <f>IFERROR(IF(Data_Entry!S43/Data_Entry!$H43&lt;0,0,Data_Entry!S43/Data_Entry!$H43),0)</f>
        <v>1.9272322803085569</v>
      </c>
      <c r="O54" s="49">
        <f>IFERROR(IF(Data_Entry!T43/Data_Entry!$H43&lt;0,0,Data_Entry!T43/Data_Entry!$H43),0)</f>
        <v>2.0037890030151142</v>
      </c>
      <c r="P54" s="49">
        <f>IFERROR(IF(Data_Entry!U43/Data_Entry!$H43&lt;0,0,Data_Entry!U43/Data_Entry!$H43),0)</f>
        <v>2.0037890030151142</v>
      </c>
      <c r="Q54" s="49">
        <f>IFERROR(IF(Data_Entry!V43/Data_Entry!$H43&lt;0,0,Data_Entry!V43/Data_Entry!$H43),0)</f>
        <v>1.9272322803085569</v>
      </c>
      <c r="R54" s="49">
        <f>IFERROR(IF(Data_Entry!W43/Data_Entry!$H43&lt;0,0,Data_Entry!W43/Data_Entry!$H43),0)</f>
        <v>2.0037890030151142</v>
      </c>
      <c r="S54" s="49">
        <f>IFERROR(IF(Data_Entry!X43/Data_Entry!$H43&lt;0,0,Data_Entry!X43/Data_Entry!$H43),0)</f>
        <v>1.6210053894823266</v>
      </c>
      <c r="T54" s="49">
        <f>IFERROR(IF(Data_Entry!Y43/Data_Entry!$H43&lt;0,0,Data_Entry!Y43/Data_Entry!$H43),0)</f>
        <v>0.3028983376650754</v>
      </c>
      <c r="U54" s="49">
        <f>IFERROR(IF(Data_Entry!Z43/Data_Entry!$H43&lt;0,0,Data_Entry!Z43/Data_Entry!$H43),0)</f>
        <v>1.1084082026645068</v>
      </c>
      <c r="V54" s="49">
        <f>IFERROR(IF(Data_Entry!AA43/Data_Entry!$H43&lt;0,0,Data_Entry!AA43/Data_Entry!$H43),0)</f>
        <v>2.4964148708660061</v>
      </c>
      <c r="W54" s="49">
        <f>IFERROR(IF(Data_Entry!AB43/Data_Entry!$H43&lt;0,0,Data_Entry!AB43/Data_Entry!$H43),0)</f>
        <v>1.5943769641930894</v>
      </c>
      <c r="X54" s="49">
        <f>IFERROR(IF(Data_Entry!AC43/Data_Entry!$I43&lt;0,0,Data_Entry!AC43/Data_Entry!$I43),0)</f>
        <v>1.4056147144240079</v>
      </c>
      <c r="Y54" s="49">
        <f>IFERROR(IF(Data_Entry!AD43/Data_Entry!$I43&lt;0,0,Data_Entry!AD43/Data_Entry!$I43),0)</f>
        <v>0.95837366892545983</v>
      </c>
      <c r="Z54" s="49">
        <f>IFERROR(IF(Data_Entry!AE43/Data_Entry!$I43&lt;0,0,Data_Entry!AE43/Data_Entry!$I43),0)</f>
        <v>0.28751210067763794</v>
      </c>
      <c r="AA54" s="49">
        <f>IFERROR(IF(Data_Entry!AF43/Data_Entry!$I43&lt;0,0,Data_Entry!AF43/Data_Entry!$I43),0)</f>
        <v>3.1945788964181994E-2</v>
      </c>
      <c r="AB54" s="49">
        <f>IFERROR(IF(Data_Entry!AG43/Data_Entry!$I43&lt;0,0,Data_Entry!AG43/Data_Entry!$I43),0)</f>
        <v>1.452081316553727E-2</v>
      </c>
      <c r="AC54" s="49">
        <f>IFERROR(IF(Data_Entry!AI43/Data_Entry!$I43&lt;0,0,Data_Entry!AI43/Data_Entry!$I43),0)</f>
        <v>9.6708615682478211E-2</v>
      </c>
      <c r="AD54" s="49">
        <f>IFERROR(IF(Data_Entry!AM43/Data_Entry!$H43&lt;0,0,Data_Entry!AM43/Data_Entry!$H43),0)</f>
        <v>1.1084082026645068</v>
      </c>
      <c r="AE54" s="50">
        <f>Data_Entry!AK43</f>
        <v>0</v>
      </c>
      <c r="AF54" s="50">
        <f>Data_Entry!AL43</f>
        <v>115</v>
      </c>
      <c r="AG54" s="153">
        <f>(Data_Entry!O43-Data_Entry!Q43)/Data_Entry!O43</f>
        <v>0</v>
      </c>
      <c r="AH54" s="79" t="str">
        <f t="shared" si="0"/>
        <v>CAT1</v>
      </c>
      <c r="AI54" s="51">
        <f>SUBTOTAL(3,Tableau1[[#This Row],[ZS]])</f>
        <v>0</v>
      </c>
      <c r="AJ54" s="51" t="e">
        <f t="shared" ca="1" si="1"/>
        <v>#NAME?</v>
      </c>
      <c r="AK54" s="50" t="str">
        <f>IFERROR(IF((Data_Entry!O43-Data_Entry!Q43)/Data_Entry!O43&lt;=10%,"&lt;=10%","&gt;10%"),"&lt;=10%")</f>
        <v>&lt;=10%</v>
      </c>
    </row>
    <row r="55" spans="1:37" s="48" customFormat="1" ht="13" hidden="1" x14ac:dyDescent="0.3">
      <c r="A55" s="31" t="s">
        <v>16</v>
      </c>
      <c r="B55" s="48" t="str">
        <f>Data_Entry!B44</f>
        <v>Butembo</v>
      </c>
      <c r="C55" s="48" t="str">
        <f>Data_Entry!C44</f>
        <v xml:space="preserve"> Beni</v>
      </c>
      <c r="D55" s="48" t="str">
        <f>Data_Entry!D44</f>
        <v xml:space="preserve"> Butanuka</v>
      </c>
      <c r="E55" s="49">
        <f>IFERROR(IF(Data_Entry!J44/Data_Entry!$I44&lt;0,0,Data_Entry!J44/Data_Entry!$I44),0)</f>
        <v>0.54348977645937069</v>
      </c>
      <c r="F55" s="49">
        <f>IFERROR(IF(Data_Entry!K44/Data_Entry!$H44&lt;0,0,Data_Entry!K44/Data_Entry!$H44),0)</f>
        <v>0.8287265144825271</v>
      </c>
      <c r="G55" s="49">
        <f>IFERROR(IF(Data_Entry!L44/Data_Entry!$H44&lt;0,0,Data_Entry!L44/Data_Entry!$H44),0)</f>
        <v>1.0163283408379122</v>
      </c>
      <c r="H55" s="49">
        <f>IFERROR(IF(Data_Entry!M44/Data_Entry!$H44&lt;0,0,Data_Entry!M44/Data_Entry!$H44),0)</f>
        <v>0.99265044042412587</v>
      </c>
      <c r="I55" s="49">
        <f>IFERROR(IF(Data_Entry!N44/Data_Entry!$H44&lt;0,0,Data_Entry!N44/Data_Entry!$H44),0)</f>
        <v>0.9853649326044992</v>
      </c>
      <c r="J55" s="49">
        <f>IFERROR(IF(Data_Entry!O44/Data_Entry!$H44&lt;0,0,Data_Entry!O44/Data_Entry!$H44),0)</f>
        <v>0.81597687579818046</v>
      </c>
      <c r="K55" s="49">
        <f>IFERROR(IF(Data_Entry!P44/Data_Entry!$H44&lt;0,0,Data_Entry!P44/Data_Entry!$H44),0)</f>
        <v>0.8269051375276204</v>
      </c>
      <c r="L55" s="49">
        <f>IFERROR(IF(Data_Entry!Q44/Data_Entry!$H44&lt;0,0,Data_Entry!Q44/Data_Entry!$H44),0)</f>
        <v>0.79229897538439398</v>
      </c>
      <c r="M55" s="49">
        <f>IFERROR(IF(Data_Entry!R44/Data_Entry!$H44&lt;0,0,Data_Entry!R44/Data_Entry!$H44),0)</f>
        <v>0.7686210749706075</v>
      </c>
      <c r="N55" s="49">
        <f>IFERROR(IF(Data_Entry!S44/Data_Entry!$H44&lt;0,0,Data_Entry!S44/Data_Entry!$H44),0)</f>
        <v>0.73037215891756779</v>
      </c>
      <c r="O55" s="49">
        <f>IFERROR(IF(Data_Entry!T44/Data_Entry!$H44&lt;0,0,Data_Entry!T44/Data_Entry!$H44),0)</f>
        <v>0.72126527414303454</v>
      </c>
      <c r="P55" s="49">
        <f>IFERROR(IF(Data_Entry!U44/Data_Entry!$H44&lt;0,0,Data_Entry!U44/Data_Entry!$H44),0)</f>
        <v>0.68665911199980811</v>
      </c>
      <c r="Q55" s="49">
        <f>IFERROR(IF(Data_Entry!V44/Data_Entry!$H44&lt;0,0,Data_Entry!V44/Data_Entry!$H44),0)</f>
        <v>0.5919475103446622</v>
      </c>
      <c r="R55" s="49">
        <f>IFERROR(IF(Data_Entry!W44/Data_Entry!$H44&lt;0,0,Data_Entry!W44/Data_Entry!$H44),0)</f>
        <v>0.53366344778764929</v>
      </c>
      <c r="S55" s="49">
        <f>IFERROR(IF(Data_Entry!X44/Data_Entry!$H44&lt;0,0,Data_Entry!X44/Data_Entry!$H44),0)</f>
        <v>1.0017573251986591</v>
      </c>
      <c r="T55" s="49">
        <f>IFERROR(IF(Data_Entry!Y44/Data_Entry!$H44&lt;0,0,Data_Entry!Y44/Data_Entry!$H44),0)</f>
        <v>0.62291091857807535</v>
      </c>
      <c r="U55" s="49">
        <f>IFERROR(IF(Data_Entry!Z44/Data_Entry!$H44&lt;0,0,Data_Entry!Z44/Data_Entry!$H44),0)</f>
        <v>0.79958448320402065</v>
      </c>
      <c r="V55" s="49">
        <f>IFERROR(IF(Data_Entry!AA44/Data_Entry!$H44&lt;0,0,Data_Entry!AA44/Data_Entry!$H44),0)</f>
        <v>0.87426093835519336</v>
      </c>
      <c r="W55" s="49">
        <f>IFERROR(IF(Data_Entry!AB44/Data_Entry!$H44&lt;0,0,Data_Entry!AB44/Data_Entry!$H44),0)</f>
        <v>0.89065333094935328</v>
      </c>
      <c r="X55" s="49">
        <f>IFERROR(IF(Data_Entry!AC44/Data_Entry!$I44&lt;0,0,Data_Entry!AC44/Data_Entry!$I44),0)</f>
        <v>0.6340714058692658</v>
      </c>
      <c r="Y55" s="49">
        <f>IFERROR(IF(Data_Entry!AD44/Data_Entry!$I44&lt;0,0,Data_Entry!AD44/Data_Entry!$I44),0)</f>
        <v>0.45290814704947557</v>
      </c>
      <c r="Z55" s="49">
        <f>IFERROR(IF(Data_Entry!AE44/Data_Entry!$I44&lt;0,0,Data_Entry!AE44/Data_Entry!$I44),0)</f>
        <v>0.42271427057951055</v>
      </c>
      <c r="AA55" s="49">
        <f>IFERROR(IF(Data_Entry!AF44/Data_Entry!$I44&lt;0,0,Data_Entry!AF44/Data_Entry!$I44),0)</f>
        <v>0.22724864922131582</v>
      </c>
      <c r="AB55" s="49">
        <f>IFERROR(IF(Data_Entry!AG44/Data_Entry!$I44&lt;0,0,Data_Entry!AG44/Data_Entry!$I44),0)</f>
        <v>9.2170780803051175E-2</v>
      </c>
      <c r="AC55" s="49">
        <f>IFERROR(IF(Data_Entry!AI44/Data_Entry!$I44&lt;0,0,Data_Entry!AI44/Data_Entry!$I44),0)</f>
        <v>5.2918741392096617E-2</v>
      </c>
      <c r="AD55" s="49">
        <f>IFERROR(IF(Data_Entry!AM44/Data_Entry!$H44&lt;0,0,Data_Entry!AM44/Data_Entry!$H44),0)</f>
        <v>0.79958448320402065</v>
      </c>
      <c r="AE55" s="50">
        <f>Data_Entry!AK44</f>
        <v>101.03516666666667</v>
      </c>
      <c r="AF55" s="50">
        <f>Data_Entry!AL44</f>
        <v>0</v>
      </c>
      <c r="AG55" s="153">
        <f>(Data_Entry!O44-Data_Entry!Q44)/Data_Entry!O44</f>
        <v>2.9017857142857144E-2</v>
      </c>
      <c r="AH55" s="79" t="str">
        <f t="shared" si="0"/>
        <v>CAT3</v>
      </c>
      <c r="AI55" s="51">
        <f>SUBTOTAL(3,Tableau1[[#This Row],[ZS]])</f>
        <v>0</v>
      </c>
      <c r="AJ55" s="51" t="e">
        <f t="shared" ca="1" si="1"/>
        <v>#NAME?</v>
      </c>
      <c r="AK55" s="50" t="str">
        <f>IFERROR(IF((Data_Entry!O44-Data_Entry!Q44)/Data_Entry!O44&lt;=10%,"&lt;=10%","&gt;10%"),"&lt;=10%")</f>
        <v>&lt;=10%</v>
      </c>
    </row>
    <row r="56" spans="1:37" s="48" customFormat="1" ht="13" hidden="1" x14ac:dyDescent="0.3">
      <c r="A56" s="31" t="s">
        <v>16</v>
      </c>
      <c r="B56" s="48" t="str">
        <f>Data_Entry!B45</f>
        <v>Butembo</v>
      </c>
      <c r="C56" s="48" t="str">
        <f>Data_Entry!C45</f>
        <v xml:space="preserve"> Beni</v>
      </c>
      <c r="D56" s="48" t="str">
        <f>Data_Entry!D45</f>
        <v xml:space="preserve"> Butsili</v>
      </c>
      <c r="E56" s="49">
        <f>IFERROR(IF(Data_Entry!J45/Data_Entry!$I45&lt;0,0,Data_Entry!J45/Data_Entry!$I45),0)</f>
        <v>0.76086224317952156</v>
      </c>
      <c r="F56" s="49">
        <f>IFERROR(IF(Data_Entry!K45/Data_Entry!$H45&lt;0,0,Data_Entry!K45/Data_Entry!$H45),0)</f>
        <v>0.91721427047977144</v>
      </c>
      <c r="G56" s="49">
        <f>IFERROR(IF(Data_Entry!L45/Data_Entry!$H45&lt;0,0,Data_Entry!L45/Data_Entry!$H45),0)</f>
        <v>1.3260231561860332</v>
      </c>
      <c r="H56" s="49">
        <f>IFERROR(IF(Data_Entry!M45/Data_Entry!$H45&lt;0,0,Data_Entry!M45/Data_Entry!$H45),0)</f>
        <v>1.4661531141759983</v>
      </c>
      <c r="I56" s="49">
        <f>IFERROR(IF(Data_Entry!N45/Data_Entry!$H45&lt;0,0,Data_Entry!N45/Data_Entry!$H45),0)</f>
        <v>1.3584499233242069</v>
      </c>
      <c r="J56" s="49">
        <f>IFERROR(IF(Data_Entry!O45/Data_Entry!$H45&lt;0,0,Data_Entry!O45/Data_Entry!$H45),0)</f>
        <v>1.3839280975042005</v>
      </c>
      <c r="K56" s="49">
        <f>IFERROR(IF(Data_Entry!P45/Data_Entry!$H45&lt;0,0,Data_Entry!P45/Data_Entry!$H45),0)</f>
        <v>2.4412723259739373</v>
      </c>
      <c r="L56" s="49">
        <f>IFERROR(IF(Data_Entry!Q45/Data_Entry!$H45&lt;0,0,Data_Entry!Q45/Data_Entry!$H45),0)</f>
        <v>1.3642404174560236</v>
      </c>
      <c r="M56" s="49">
        <f>IFERROR(IF(Data_Entry!R45/Data_Entry!$H45&lt;0,0,Data_Entry!R45/Data_Entry!$H45),0)</f>
        <v>1.2831734996105892</v>
      </c>
      <c r="N56" s="49">
        <f>IFERROR(IF(Data_Entry!S45/Data_Entry!$H45&lt;0,0,Data_Entry!S45/Data_Entry!$H45),0)</f>
        <v>1.3098097726169464</v>
      </c>
      <c r="O56" s="49">
        <f>IFERROR(IF(Data_Entry!T45/Data_Entry!$H45&lt;0,0,Data_Entry!T45/Data_Entry!$H45),0)</f>
        <v>2.2733479961512515</v>
      </c>
      <c r="P56" s="49">
        <f>IFERROR(IF(Data_Entry!U45/Data_Entry!$H45&lt;0,0,Data_Entry!U45/Data_Entry!$H45),0)</f>
        <v>2.1309018405085598</v>
      </c>
      <c r="Q56" s="49">
        <f>IFERROR(IF(Data_Entry!V45/Data_Entry!$H45&lt;0,0,Data_Entry!V45/Data_Entry!$H45),0)</f>
        <v>2.0776292944958459</v>
      </c>
      <c r="R56" s="49">
        <f>IFERROR(IF(Data_Entry!W45/Data_Entry!$H45&lt;0,0,Data_Entry!W45/Data_Entry!$H45),0)</f>
        <v>1.0075459789361125</v>
      </c>
      <c r="S56" s="49">
        <f>IFERROR(IF(Data_Entry!X45/Data_Entry!$H45&lt;0,0,Data_Entry!X45/Data_Entry!$H45),0)</f>
        <v>1.1546245298842577</v>
      </c>
      <c r="T56" s="49">
        <f>IFERROR(IF(Data_Entry!Y45/Data_Entry!$H45&lt;0,0,Data_Entry!Y45/Data_Entry!$H45),0)</f>
        <v>0.3242676713817374</v>
      </c>
      <c r="U56" s="49">
        <f>IFERROR(IF(Data_Entry!Z45/Data_Entry!$H45&lt;0,0,Data_Entry!Z45/Data_Entry!$H45),0)</f>
        <v>1.0075459789361125</v>
      </c>
      <c r="V56" s="49">
        <f>IFERROR(IF(Data_Entry!AA45/Data_Entry!$H45&lt;0,0,Data_Entry!AA45/Data_Entry!$H45),0)</f>
        <v>1.4059319752051043</v>
      </c>
      <c r="W56" s="49">
        <f>IFERROR(IF(Data_Entry!AB45/Data_Entry!$H45&lt;0,0,Data_Entry!AB45/Data_Entry!$H45),0)</f>
        <v>1.3179164644014898</v>
      </c>
      <c r="X56" s="49">
        <f>IFERROR(IF(Data_Entry!AC45/Data_Entry!$I45&lt;0,0,Data_Entry!AC45/Data_Entry!$I45),0)</f>
        <v>0.49309531828898612</v>
      </c>
      <c r="Y56" s="49">
        <f>IFERROR(IF(Data_Entry!AD45/Data_Entry!$I45&lt;0,0,Data_Entry!AD45/Data_Entry!$I45),0)</f>
        <v>0.25665207140451324</v>
      </c>
      <c r="Z56" s="49">
        <f>IFERROR(IF(Data_Entry!AE45/Data_Entry!$I45&lt;0,0,Data_Entry!AE45/Data_Entry!$I45),0)</f>
        <v>0.30414280902660823</v>
      </c>
      <c r="AA56" s="49">
        <f>IFERROR(IF(Data_Entry!AF45/Data_Entry!$I45&lt;0,0,Data_Entry!AF45/Data_Entry!$I45),0)</f>
        <v>0.2344223644324688</v>
      </c>
      <c r="AB56" s="49">
        <f>IFERROR(IF(Data_Entry!AG45/Data_Entry!$I45&lt;0,0,Data_Entry!AG45/Data_Entry!$I45),0)</f>
        <v>0.1657123610643314</v>
      </c>
      <c r="AC56" s="49">
        <f>IFERROR(IF(Data_Entry!AI45/Data_Entry!$I45&lt;0,0,Data_Entry!AI45/Data_Entry!$I45),0)</f>
        <v>3.3647692825867284E-2</v>
      </c>
      <c r="AD56" s="49">
        <f>IFERROR(IF(Data_Entry!AM45/Data_Entry!$H45&lt;0,0,Data_Entry!AM45/Data_Entry!$H45),0)</f>
        <v>1.0075459789361125</v>
      </c>
      <c r="AE56" s="50">
        <f>Data_Entry!AK45</f>
        <v>0</v>
      </c>
      <c r="AF56" s="50">
        <f>Data_Entry!AL45</f>
        <v>198</v>
      </c>
      <c r="AG56" s="153">
        <f>(Data_Entry!O45-Data_Entry!Q45)/Data_Entry!O45</f>
        <v>1.4225941422594143E-2</v>
      </c>
      <c r="AH56" s="79" t="str">
        <f t="shared" si="0"/>
        <v>CAT1</v>
      </c>
      <c r="AI56" s="51">
        <f>SUBTOTAL(3,Tableau1[[#This Row],[ZS]])</f>
        <v>0</v>
      </c>
      <c r="AJ56" s="51" t="e">
        <f t="shared" ca="1" si="1"/>
        <v>#NAME?</v>
      </c>
      <c r="AK56" s="50" t="str">
        <f>IFERROR(IF((Data_Entry!O45-Data_Entry!Q45)/Data_Entry!O45&lt;=10%,"&lt;=10%","&gt;10%"),"&lt;=10%")</f>
        <v>&lt;=10%</v>
      </c>
    </row>
    <row r="57" spans="1:37" s="48" customFormat="1" ht="13" hidden="1" x14ac:dyDescent="0.3">
      <c r="A57" s="31" t="s">
        <v>16</v>
      </c>
      <c r="B57" s="48" t="str">
        <f>Data_Entry!B46</f>
        <v>Butembo</v>
      </c>
      <c r="C57" s="48" t="str">
        <f>Data_Entry!C46</f>
        <v xml:space="preserve"> Beni</v>
      </c>
      <c r="D57" s="48" t="str">
        <f>Data_Entry!D46</f>
        <v xml:space="preserve"> Kanzulinzuli</v>
      </c>
      <c r="E57" s="49">
        <f>IFERROR(IF(Data_Entry!J46/Data_Entry!$I46&lt;0,0,Data_Entry!J46/Data_Entry!$I46),0)</f>
        <v>0.76431165907811949</v>
      </c>
      <c r="F57" s="49">
        <f>IFERROR(IF(Data_Entry!K46/Data_Entry!$H46&lt;0,0,Data_Entry!K46/Data_Entry!$H46),0)</f>
        <v>0.22251855530634196</v>
      </c>
      <c r="G57" s="49">
        <f>IFERROR(IF(Data_Entry!L46/Data_Entry!$H46&lt;0,0,Data_Entry!L46/Data_Entry!$H46),0)</f>
        <v>1.0642191775520702</v>
      </c>
      <c r="H57" s="49">
        <f>IFERROR(IF(Data_Entry!M46/Data_Entry!$H46&lt;0,0,Data_Entry!M46/Data_Entry!$H46),0)</f>
        <v>1.0263998183498066</v>
      </c>
      <c r="I57" s="49">
        <f>IFERROR(IF(Data_Entry!N46/Data_Entry!$H46&lt;0,0,Data_Entry!N46/Data_Entry!$H46),0)</f>
        <v>1.0211226984611186</v>
      </c>
      <c r="J57" s="49">
        <f>IFERROR(IF(Data_Entry!O46/Data_Entry!$H46&lt;0,0,Data_Entry!O46/Data_Entry!$H46),0)</f>
        <v>0.95076109994527924</v>
      </c>
      <c r="K57" s="49">
        <f>IFERROR(IF(Data_Entry!P46/Data_Entry!$H46&lt;0,0,Data_Entry!P46/Data_Entry!$H46),0)</f>
        <v>0.91733934065025557</v>
      </c>
      <c r="L57" s="49">
        <f>IFERROR(IF(Data_Entry!Q46/Data_Entry!$H46&lt;0,0,Data_Entry!Q46/Data_Entry!$H46),0)</f>
        <v>2.277077231968851</v>
      </c>
      <c r="M57" s="49">
        <f>IFERROR(IF(Data_Entry!R46/Data_Entry!$H46&lt;0,0,Data_Entry!R46/Data_Entry!$H46),0)</f>
        <v>0.80300174306201666</v>
      </c>
      <c r="N57" s="49">
        <f>IFERROR(IF(Data_Entry!S46/Data_Entry!$H46&lt;0,0,Data_Entry!S46/Data_Entry!$H46),0)</f>
        <v>0.77133902372988894</v>
      </c>
      <c r="O57" s="49">
        <f>IFERROR(IF(Data_Entry!T46/Data_Entry!$H46&lt;0,0,Data_Entry!T46/Data_Entry!$H46),0)</f>
        <v>0.76870046378554491</v>
      </c>
      <c r="P57" s="49">
        <f>IFERROR(IF(Data_Entry!U46/Data_Entry!$H46&lt;0,0,Data_Entry!U46/Data_Entry!$H46),0)</f>
        <v>0.90766462085432764</v>
      </c>
      <c r="Q57" s="49">
        <f>IFERROR(IF(Data_Entry!V46/Data_Entry!$H46&lt;0,0,Data_Entry!V46/Data_Entry!$H46),0)</f>
        <v>0.87248382159640803</v>
      </c>
      <c r="R57" s="49">
        <f>IFERROR(IF(Data_Entry!W46/Data_Entry!$H46&lt;0,0,Data_Entry!W46/Data_Entry!$H46),0)</f>
        <v>0.86984526165206399</v>
      </c>
      <c r="S57" s="49">
        <f>IFERROR(IF(Data_Entry!X46/Data_Entry!$H46&lt;0,0,Data_Entry!X46/Data_Entry!$H46),0)</f>
        <v>0.83290542243124832</v>
      </c>
      <c r="T57" s="49">
        <f>IFERROR(IF(Data_Entry!Y46/Data_Entry!$H46&lt;0,0,Data_Entry!Y46/Data_Entry!$H46),0)</f>
        <v>0.27880783411901344</v>
      </c>
      <c r="U57" s="49">
        <f>IFERROR(IF(Data_Entry!Z46/Data_Entry!$H46&lt;0,0,Data_Entry!Z46/Data_Entry!$H46),0)</f>
        <v>0.77397758367423286</v>
      </c>
      <c r="V57" s="49">
        <f>IFERROR(IF(Data_Entry!AA46/Data_Entry!$H46&lt;0,0,Data_Entry!AA46/Data_Entry!$H46),0)</f>
        <v>0.93932734018645536</v>
      </c>
      <c r="W57" s="49">
        <f>IFERROR(IF(Data_Entry!AB46/Data_Entry!$H46&lt;0,0,Data_Entry!AB46/Data_Entry!$H46),0)</f>
        <v>0.77661614361857689</v>
      </c>
      <c r="X57" s="49">
        <f>IFERROR(IF(Data_Entry!AC46/Data_Entry!$I46&lt;0,0,Data_Entry!AC46/Data_Entry!$I46),0)</f>
        <v>0.46349823502327725</v>
      </c>
      <c r="Y57" s="49">
        <f>IFERROR(IF(Data_Entry!AD46/Data_Entry!$I46&lt;0,0,Data_Entry!AD46/Data_Entry!$I46),0)</f>
        <v>0.40210774031820745</v>
      </c>
      <c r="Z57" s="49">
        <f>IFERROR(IF(Data_Entry!AE46/Data_Entry!$I46&lt;0,0,Data_Entry!AE46/Data_Entry!$I46),0)</f>
        <v>0.27855936972425438</v>
      </c>
      <c r="AA57" s="49">
        <f>IFERROR(IF(Data_Entry!AF46/Data_Entry!$I46&lt;0,0,Data_Entry!AF46/Data_Entry!$I46),0)</f>
        <v>0.22637744922494502</v>
      </c>
      <c r="AB57" s="49">
        <f>IFERROR(IF(Data_Entry!AG46/Data_Entry!$I46&lt;0,0,Data_Entry!AG46/Data_Entry!$I46),0)</f>
        <v>0.16959124162275543</v>
      </c>
      <c r="AC57" s="49">
        <f>IFERROR(IF(Data_Entry!AI46/Data_Entry!$I46&lt;0,0,Data_Entry!AI46/Data_Entry!$I46),0)</f>
        <v>3.1999795365017653E-2</v>
      </c>
      <c r="AD57" s="49">
        <f>IFERROR(IF(Data_Entry!AM46/Data_Entry!$H46&lt;0,0,Data_Entry!AM46/Data_Entry!$H46),0)</f>
        <v>0.77397758367423286</v>
      </c>
      <c r="AE57" s="50">
        <f>Data_Entry!AK46</f>
        <v>55.983833333333223</v>
      </c>
      <c r="AF57" s="50">
        <f>Data_Entry!AL46</f>
        <v>134</v>
      </c>
      <c r="AG57" s="153">
        <f>(Data_Entry!O46-Data_Entry!Q46)/Data_Entry!O46</f>
        <v>-1.3950046253469011</v>
      </c>
      <c r="AH57" s="79" t="str">
        <f t="shared" si="0"/>
        <v>CAT1</v>
      </c>
      <c r="AI57" s="51">
        <f>SUBTOTAL(3,Tableau1[[#This Row],[ZS]])</f>
        <v>0</v>
      </c>
      <c r="AJ57" s="51" t="e">
        <f t="shared" ca="1" si="1"/>
        <v>#NAME?</v>
      </c>
      <c r="AK57" s="50" t="str">
        <f>IFERROR(IF((Data_Entry!O46-Data_Entry!Q46)/Data_Entry!O46&lt;=10%,"&lt;=10%","&gt;10%"),"&lt;=10%")</f>
        <v>&lt;=10%</v>
      </c>
    </row>
    <row r="58" spans="1:37" s="48" customFormat="1" ht="13" hidden="1" x14ac:dyDescent="0.3">
      <c r="A58" s="31" t="s">
        <v>16</v>
      </c>
      <c r="B58" s="48" t="str">
        <f>Data_Entry!B47</f>
        <v>Butembo</v>
      </c>
      <c r="C58" s="48" t="str">
        <f>Data_Entry!C47</f>
        <v xml:space="preserve"> Beni</v>
      </c>
      <c r="D58" s="48" t="str">
        <f>Data_Entry!D47</f>
        <v xml:space="preserve"> Kasabinyole</v>
      </c>
      <c r="E58" s="49">
        <f>IFERROR(IF(Data_Entry!J47/Data_Entry!$I47&lt;0,0,Data_Entry!J47/Data_Entry!$I47),0)</f>
        <v>0.45680914334850053</v>
      </c>
      <c r="F58" s="49">
        <f>IFERROR(IF(Data_Entry!K47/Data_Entry!$H47&lt;0,0,Data_Entry!K47/Data_Entry!$H47),0)</f>
        <v>0.19464242615624633</v>
      </c>
      <c r="G58" s="49">
        <f>IFERROR(IF(Data_Entry!L47/Data_Entry!$H47&lt;0,0,Data_Entry!L47/Data_Entry!$H47),0)</f>
        <v>1.0372716634402495</v>
      </c>
      <c r="H58" s="49">
        <f>IFERROR(IF(Data_Entry!M47/Data_Entry!$H47&lt;0,0,Data_Entry!M47/Data_Entry!$H47),0)</f>
        <v>0.7416122819370905</v>
      </c>
      <c r="I58" s="49">
        <f>IFERROR(IF(Data_Entry!N47/Data_Entry!$H47&lt;0,0,Data_Entry!N47/Data_Entry!$H47),0)</f>
        <v>0.79581650187933628</v>
      </c>
      <c r="J58" s="49">
        <f>IFERROR(IF(Data_Entry!O47/Data_Entry!$H47&lt;0,0,Data_Entry!O47/Data_Entry!$H47),0)</f>
        <v>0.88081857406149444</v>
      </c>
      <c r="K58" s="49">
        <f>IFERROR(IF(Data_Entry!P47/Data_Entry!$H47&lt;0,0,Data_Entry!P47/Data_Entry!$H47),0)</f>
        <v>0.77610587644579232</v>
      </c>
      <c r="L58" s="49">
        <f>IFERROR(IF(Data_Entry!Q47/Data_Entry!$H47&lt;0,0,Data_Entry!Q47/Data_Entry!$H47),0)</f>
        <v>0.80567181459610826</v>
      </c>
      <c r="M58" s="49">
        <f>IFERROR(IF(Data_Entry!R47/Data_Entry!$H47&lt;0,0,Data_Entry!R47/Data_Entry!$H47),0)</f>
        <v>0.87465900361351201</v>
      </c>
      <c r="N58" s="49">
        <f>IFERROR(IF(Data_Entry!S47/Data_Entry!$H47&lt;0,0,Data_Entry!S47/Data_Entry!$H47),0)</f>
        <v>0.77117822008740633</v>
      </c>
      <c r="O58" s="49">
        <f>IFERROR(IF(Data_Entry!T47/Data_Entry!$H47&lt;0,0,Data_Entry!T47/Data_Entry!$H47),0)</f>
        <v>0.79581650187933628</v>
      </c>
      <c r="P58" s="49">
        <f>IFERROR(IF(Data_Entry!U47/Data_Entry!$H47&lt;0,0,Data_Entry!U47/Data_Entry!$H47),0)</f>
        <v>0.77117822008740633</v>
      </c>
      <c r="Q58" s="49">
        <f>IFERROR(IF(Data_Entry!V47/Data_Entry!$H47&lt;0,0,Data_Entry!V47/Data_Entry!$H47),0)</f>
        <v>0.6504506393069498</v>
      </c>
      <c r="R58" s="49">
        <f>IFERROR(IF(Data_Entry!W47/Data_Entry!$H47&lt;0,0,Data_Entry!W47/Data_Entry!$H47),0)</f>
        <v>0.66030595202372178</v>
      </c>
      <c r="S58" s="49">
        <f>IFERROR(IF(Data_Entry!X47/Data_Entry!$H47&lt;0,0,Data_Entry!X47/Data_Entry!$H47),0)</f>
        <v>1.0693014297697583</v>
      </c>
      <c r="T58" s="49">
        <f>IFERROR(IF(Data_Entry!Y47/Data_Entry!$H47&lt;0,0,Data_Entry!Y47/Data_Entry!$H47),0)</f>
        <v>0.38312528186451017</v>
      </c>
      <c r="U58" s="49">
        <f>IFERROR(IF(Data_Entry!Z47/Data_Entry!$H47&lt;0,0,Data_Entry!Z47/Data_Entry!$H47),0)</f>
        <v>0.80443990050651171</v>
      </c>
      <c r="V58" s="49">
        <f>IFERROR(IF(Data_Entry!AA47/Data_Entry!$H47&lt;0,0,Data_Entry!AA47/Data_Entry!$H47),0)</f>
        <v>0.80443990050651171</v>
      </c>
      <c r="W58" s="49">
        <f>IFERROR(IF(Data_Entry!AB47/Data_Entry!$H47&lt;0,0,Data_Entry!AB47/Data_Entry!$H47),0)</f>
        <v>0.94487810672051231</v>
      </c>
      <c r="X58" s="49">
        <f>IFERROR(IF(Data_Entry!AC47/Data_Entry!$I47&lt;0,0,Data_Entry!AC47/Data_Entry!$I47),0)</f>
        <v>0.40091720110350754</v>
      </c>
      <c r="Y58" s="49">
        <f>IFERROR(IF(Data_Entry!AD47/Data_Entry!$I47&lt;0,0,Data_Entry!AD47/Data_Entry!$I47),0)</f>
        <v>0.29558238687255917</v>
      </c>
      <c r="Z58" s="49">
        <f>IFERROR(IF(Data_Entry!AE47/Data_Entry!$I47&lt;0,0,Data_Entry!AE47/Data_Entry!$I47),0)</f>
        <v>0.17842427716670844</v>
      </c>
      <c r="AA58" s="49">
        <f>IFERROR(IF(Data_Entry!AF47/Data_Entry!$I47&lt;0,0,Data_Entry!AF47/Data_Entry!$I47),0)</f>
        <v>0.13328078535344487</v>
      </c>
      <c r="AB58" s="49">
        <f>IFERROR(IF(Data_Entry!AG47/Data_Entry!$I47&lt;0,0,Data_Entry!AG47/Data_Entry!$I47),0)</f>
        <v>0.16660098169180607</v>
      </c>
      <c r="AC58" s="49">
        <f>IFERROR(IF(Data_Entry!AI47/Data_Entry!$I47&lt;0,0,Data_Entry!AI47/Data_Entry!$I47),0)</f>
        <v>3.5792339937658978E-2</v>
      </c>
      <c r="AD58" s="49">
        <f>IFERROR(IF(Data_Entry!AM47/Data_Entry!$H47&lt;0,0,Data_Entry!AM47/Data_Entry!$H47),0)</f>
        <v>0.80443990050651171</v>
      </c>
      <c r="AE58" s="50">
        <f>Data_Entry!AK47</f>
        <v>96.744916666666654</v>
      </c>
      <c r="AF58" s="50">
        <f>Data_Entry!AL47</f>
        <v>0</v>
      </c>
      <c r="AG58" s="153">
        <f>(Data_Entry!O47-Data_Entry!Q47)/Data_Entry!O47</f>
        <v>8.5314685314685321E-2</v>
      </c>
      <c r="AH58" s="79" t="str">
        <f t="shared" si="0"/>
        <v>CAT3</v>
      </c>
      <c r="AI58" s="51">
        <f>SUBTOTAL(3,Tableau1[[#This Row],[ZS]])</f>
        <v>0</v>
      </c>
      <c r="AJ58" s="51" t="e">
        <f t="shared" ca="1" si="1"/>
        <v>#NAME?</v>
      </c>
      <c r="AK58" s="50" t="str">
        <f>IFERROR(IF((Data_Entry!O47-Data_Entry!Q47)/Data_Entry!O47&lt;=10%,"&lt;=10%","&gt;10%"),"&lt;=10%")</f>
        <v>&lt;=10%</v>
      </c>
    </row>
    <row r="59" spans="1:37" s="48" customFormat="1" ht="13" hidden="1" x14ac:dyDescent="0.3">
      <c r="A59" s="31" t="s">
        <v>16</v>
      </c>
      <c r="B59" s="48" t="str">
        <f>Data_Entry!B48</f>
        <v>Butembo</v>
      </c>
      <c r="C59" s="48" t="str">
        <f>Data_Entry!C48</f>
        <v xml:space="preserve"> Beni</v>
      </c>
      <c r="D59" s="48" t="str">
        <f>Data_Entry!D48</f>
        <v xml:space="preserve"> Kasanga</v>
      </c>
      <c r="E59" s="49">
        <f>IFERROR(IF(Data_Entry!J48/Data_Entry!$I48&lt;0,0,Data_Entry!J48/Data_Entry!$I48),0)</f>
        <v>0.53545264840385387</v>
      </c>
      <c r="F59" s="49">
        <f>IFERROR(IF(Data_Entry!K48/Data_Entry!$H48&lt;0,0,Data_Entry!K48/Data_Entry!$H48),0)</f>
        <v>0.42516233326340591</v>
      </c>
      <c r="G59" s="49">
        <f>IFERROR(IF(Data_Entry!L48/Data_Entry!$H48&lt;0,0,Data_Entry!L48/Data_Entry!$H48),0)</f>
        <v>0.84879805132658415</v>
      </c>
      <c r="H59" s="49">
        <f>IFERROR(IF(Data_Entry!M48/Data_Entry!$H48&lt;0,0,Data_Entry!M48/Data_Entry!$H48),0)</f>
        <v>0.90986265933569088</v>
      </c>
      <c r="I59" s="49">
        <f>IFERROR(IF(Data_Entry!N48/Data_Entry!$H48&lt;0,0,Data_Entry!N48/Data_Entry!$H48),0)</f>
        <v>0.80452621051998174</v>
      </c>
      <c r="J59" s="49">
        <f>IFERROR(IF(Data_Entry!O48/Data_Entry!$H48&lt;0,0,Data_Entry!O48/Data_Entry!$H48),0)</f>
        <v>0.87246058693011297</v>
      </c>
      <c r="K59" s="49">
        <f>IFERROR(IF(Data_Entry!P48/Data_Entry!$H48&lt;0,0,Data_Entry!P48/Data_Entry!$H48),0)</f>
        <v>0.81902905492214462</v>
      </c>
      <c r="L59" s="49">
        <f>IFERROR(IF(Data_Entry!Q48/Data_Entry!$H48&lt;0,0,Data_Entry!Q48/Data_Entry!$H48),0)</f>
        <v>0.76330760011383469</v>
      </c>
      <c r="M59" s="49">
        <f>IFERROR(IF(Data_Entry!R48/Data_Entry!$H48&lt;0,0,Data_Entry!R48/Data_Entry!$H48),0)</f>
        <v>0.79231328891816033</v>
      </c>
      <c r="N59" s="49">
        <f>IFERROR(IF(Data_Entry!S48/Data_Entry!$H48&lt;0,0,Data_Entry!S48/Data_Entry!$H48),0)</f>
        <v>0.79765644211895725</v>
      </c>
      <c r="O59" s="49">
        <f>IFERROR(IF(Data_Entry!T48/Data_Entry!$H48&lt;0,0,Data_Entry!T48/Data_Entry!$H48),0)</f>
        <v>0.74575152531121647</v>
      </c>
      <c r="P59" s="49">
        <f>IFERROR(IF(Data_Entry!U48/Data_Entry!$H48&lt;0,0,Data_Entry!U48/Data_Entry!$H48),0)</f>
        <v>0.61522592569175072</v>
      </c>
      <c r="Q59" s="49">
        <f>IFERROR(IF(Data_Entry!V48/Data_Entry!$H48&lt;0,0,Data_Entry!V48/Data_Entry!$H48),0)</f>
        <v>0.65644453609789777</v>
      </c>
      <c r="R59" s="49">
        <f>IFERROR(IF(Data_Entry!W48/Data_Entry!$H48&lt;0,0,Data_Entry!W48/Data_Entry!$H48),0)</f>
        <v>0.70682283770541088</v>
      </c>
      <c r="S59" s="49">
        <f>IFERROR(IF(Data_Entry!X48/Data_Entry!$H48&lt;0,0,Data_Entry!X48/Data_Entry!$H48),0)</f>
        <v>0.9213122733373984</v>
      </c>
      <c r="T59" s="49">
        <f>IFERROR(IF(Data_Entry!Y48/Data_Entry!$H48&lt;0,0,Data_Entry!Y48/Data_Entry!$H48),0)</f>
        <v>0.35188480365247776</v>
      </c>
      <c r="U59" s="49">
        <f>IFERROR(IF(Data_Entry!Z48/Data_Entry!$H48&lt;0,0,Data_Entry!Z48/Data_Entry!$H48),0)</f>
        <v>0.88467350853193438</v>
      </c>
      <c r="V59" s="49">
        <f>IFERROR(IF(Data_Entry!AA48/Data_Entry!$H48&lt;0,0,Data_Entry!AA48/Data_Entry!$H48),0)</f>
        <v>0.78391690531690816</v>
      </c>
      <c r="W59" s="49">
        <f>IFERROR(IF(Data_Entry!AB48/Data_Entry!$H48&lt;0,0,Data_Entry!AB48/Data_Entry!$H48),0)</f>
        <v>0.94802803934138258</v>
      </c>
      <c r="X59" s="49">
        <f>IFERROR(IF(Data_Entry!AC48/Data_Entry!$I48&lt;0,0,Data_Entry!AC48/Data_Entry!$I48),0)</f>
        <v>0.16116858322603561</v>
      </c>
      <c r="Y59" s="49">
        <f>IFERROR(IF(Data_Entry!AD48/Data_Entry!$I48&lt;0,0,Data_Entry!AD48/Data_Entry!$I48),0)</f>
        <v>0.17648625849131999</v>
      </c>
      <c r="Z59" s="49">
        <f>IFERROR(IF(Data_Entry!AE48/Data_Entry!$I48&lt;0,0,Data_Entry!AE48/Data_Entry!$I48),0)</f>
        <v>0.10655774097589131</v>
      </c>
      <c r="AA59" s="49">
        <f>IFERROR(IF(Data_Entry!AF48/Data_Entry!$I48&lt;0,0,Data_Entry!AF48/Data_Entry!$I48),0)</f>
        <v>8.9242108067308978E-2</v>
      </c>
      <c r="AB59" s="49">
        <f>IFERROR(IF(Data_Entry!AG48/Data_Entry!$I48&lt;0,0,Data_Entry!AG48/Data_Entry!$I48),0)</f>
        <v>7.126048927762732E-2</v>
      </c>
      <c r="AC59" s="49">
        <f>IFERROR(IF(Data_Entry!AI48/Data_Entry!$I48&lt;0,0,Data_Entry!AI48/Data_Entry!$I48),0)</f>
        <v>2.2177329840607378E-2</v>
      </c>
      <c r="AD59" s="49">
        <f>IFERROR(IF(Data_Entry!AM48/Data_Entry!$H48&lt;0,0,Data_Entry!AM48/Data_Entry!$H48),0)</f>
        <v>0.88467350853193438</v>
      </c>
      <c r="AE59" s="50">
        <f>Data_Entry!AK48</f>
        <v>167.08783333333326</v>
      </c>
      <c r="AF59" s="50">
        <f>Data_Entry!AL48</f>
        <v>0</v>
      </c>
      <c r="AG59" s="153">
        <f>(Data_Entry!O48-Data_Entry!Q48)/Data_Entry!O48</f>
        <v>0.12510936132983377</v>
      </c>
      <c r="AH59" s="79" t="str">
        <f t="shared" si="0"/>
        <v>CAT4</v>
      </c>
      <c r="AI59" s="51">
        <f>SUBTOTAL(3,Tableau1[[#This Row],[ZS]])</f>
        <v>0</v>
      </c>
      <c r="AJ59" s="51" t="e">
        <f t="shared" ca="1" si="1"/>
        <v>#NAME?</v>
      </c>
      <c r="AK59" s="50" t="str">
        <f>IFERROR(IF((Data_Entry!O48-Data_Entry!Q48)/Data_Entry!O48&lt;=10%,"&lt;=10%","&gt;10%"),"&lt;=10%")</f>
        <v>&gt;10%</v>
      </c>
    </row>
    <row r="60" spans="1:37" s="48" customFormat="1" ht="13" hidden="1" x14ac:dyDescent="0.3">
      <c r="A60" s="31" t="s">
        <v>16</v>
      </c>
      <c r="B60" s="48" t="str">
        <f>Data_Entry!B49</f>
        <v>Butembo</v>
      </c>
      <c r="C60" s="48" t="str">
        <f>Data_Entry!C49</f>
        <v xml:space="preserve"> Beni</v>
      </c>
      <c r="D60" s="48" t="str">
        <f>Data_Entry!D49</f>
        <v xml:space="preserve"> Kuka</v>
      </c>
      <c r="E60" s="49">
        <f>IFERROR(IF(Data_Entry!J49/Data_Entry!$I49&lt;0,0,Data_Entry!J49/Data_Entry!$I49),0)</f>
        <v>0.43219162230965052</v>
      </c>
      <c r="F60" s="49">
        <f>IFERROR(IF(Data_Entry!K49/Data_Entry!$H49&lt;0,0,Data_Entry!K49/Data_Entry!$H49),0)</f>
        <v>5.1723143255202657E-2</v>
      </c>
      <c r="G60" s="49">
        <f>IFERROR(IF(Data_Entry!L49/Data_Entry!$H49&lt;0,0,Data_Entry!L49/Data_Entry!$H49),0)</f>
        <v>0.98870777683983546</v>
      </c>
      <c r="H60" s="49">
        <f>IFERROR(IF(Data_Entry!M49/Data_Entry!$H49&lt;0,0,Data_Entry!M49/Data_Entry!$H49),0)</f>
        <v>0.80767677544662608</v>
      </c>
      <c r="I60" s="49">
        <f>IFERROR(IF(Data_Entry!N49/Data_Entry!$H49&lt;0,0,Data_Entry!N49/Data_Entry!$H49),0)</f>
        <v>0.66245410399932636</v>
      </c>
      <c r="J60" s="49">
        <f>IFERROR(IF(Data_Entry!O49/Data_Entry!$H49&lt;0,0,Data_Entry!O49/Data_Entry!$H49),0)</f>
        <v>0.94892074356660261</v>
      </c>
      <c r="K60" s="49">
        <f>IFERROR(IF(Data_Entry!P49/Data_Entry!$H49&lt;0,0,Data_Entry!P49/Data_Entry!$H49),0)</f>
        <v>0.8534318637108439</v>
      </c>
      <c r="L60" s="49">
        <f>IFERROR(IF(Data_Entry!Q49/Data_Entry!$H49&lt;0,0,Data_Entry!Q49/Data_Entry!$H49),0)</f>
        <v>1.1975897015243078</v>
      </c>
      <c r="M60" s="49">
        <f>IFERROR(IF(Data_Entry!R49/Data_Entry!$H49&lt;0,0,Data_Entry!R49/Data_Entry!$H49),0)</f>
        <v>0.83751705040155078</v>
      </c>
      <c r="N60" s="49">
        <f>IFERROR(IF(Data_Entry!S49/Data_Entry!$H49&lt;0,0,Data_Entry!S49/Data_Entry!$H49),0)</f>
        <v>0.57691198246187581</v>
      </c>
      <c r="O60" s="49">
        <f>IFERROR(IF(Data_Entry!T49/Data_Entry!$H49&lt;0,0,Data_Entry!T49/Data_Entry!$H49),0)</f>
        <v>0.45357217931485405</v>
      </c>
      <c r="P60" s="49">
        <f>IFERROR(IF(Data_Entry!U49/Data_Entry!$H49&lt;0,0,Data_Entry!U49/Data_Entry!$H49),0)</f>
        <v>0.80369807211930289</v>
      </c>
      <c r="Q60" s="49">
        <f>IFERROR(IF(Data_Entry!V49/Data_Entry!$H49&lt;0,0,Data_Entry!V49/Data_Entry!$H49),0)</f>
        <v>0.61272031240778535</v>
      </c>
      <c r="R60" s="49">
        <f>IFERROR(IF(Data_Entry!W49/Data_Entry!$H49&lt;0,0,Data_Entry!W49/Data_Entry!$H49),0)</f>
        <v>0.45158282765119245</v>
      </c>
      <c r="S60" s="49">
        <f>IFERROR(IF(Data_Entry!X49/Data_Entry!$H49&lt;0,0,Data_Entry!X49/Data_Entry!$H49),0)</f>
        <v>0.81762353376493435</v>
      </c>
      <c r="T60" s="49">
        <f>IFERROR(IF(Data_Entry!Y49/Data_Entry!$H49&lt;0,0,Data_Entry!Y49/Data_Entry!$H49),0)</f>
        <v>0.37598746443205011</v>
      </c>
      <c r="U60" s="49">
        <f>IFERROR(IF(Data_Entry!Z49/Data_Entry!$H49&lt;0,0,Data_Entry!Z49/Data_Entry!$H49),0)</f>
        <v>0.66444345566298801</v>
      </c>
      <c r="V60" s="49">
        <f>IFERROR(IF(Data_Entry!AA49/Data_Entry!$H49&lt;0,0,Data_Entry!AA49/Data_Entry!$H49),0)</f>
        <v>0.7320814122274838</v>
      </c>
      <c r="W60" s="49">
        <f>IFERROR(IF(Data_Entry!AB49/Data_Entry!$H49&lt;0,0,Data_Entry!AB49/Data_Entry!$H49),0)</f>
        <v>0.80966612711028774</v>
      </c>
      <c r="X60" s="49">
        <f>IFERROR(IF(Data_Entry!AC49/Data_Entry!$I49&lt;0,0,Data_Entry!AC49/Data_Entry!$I49),0)</f>
        <v>0.12149965285813469</v>
      </c>
      <c r="Y60" s="49">
        <f>IFERROR(IF(Data_Entry!AD49/Data_Entry!$I49&lt;0,0,Data_Entry!AD49/Data_Entry!$I49),0)</f>
        <v>8.5049757000694282E-2</v>
      </c>
      <c r="Z60" s="49">
        <f>IFERROR(IF(Data_Entry!AE49/Data_Entry!$I49&lt;0,0,Data_Entry!AE49/Data_Entry!$I49),0)</f>
        <v>0.166628095348299</v>
      </c>
      <c r="AA60" s="49">
        <f>IFERROR(IF(Data_Entry!AF49/Data_Entry!$I49&lt;0,0,Data_Entry!AF49/Data_Entry!$I49),0)</f>
        <v>6.7692663735246475E-2</v>
      </c>
      <c r="AB60" s="49">
        <f>IFERROR(IF(Data_Entry!AG49/Data_Entry!$I49&lt;0,0,Data_Entry!AG49/Data_Entry!$I49),0)</f>
        <v>7.9842629021059944E-2</v>
      </c>
      <c r="AC60" s="49">
        <f>IFERROR(IF(Data_Entry!AI49/Data_Entry!$I49&lt;0,0,Data_Entry!AI49/Data_Entry!$I49),0)</f>
        <v>5.7799120573941216E-2</v>
      </c>
      <c r="AD60" s="49">
        <f>IFERROR(IF(Data_Entry!AM49/Data_Entry!$H49&lt;0,0,Data_Entry!AM49/Data_Entry!$H49),0)</f>
        <v>0.66444345566298801</v>
      </c>
      <c r="AE60" s="50">
        <f>Data_Entry!AK49</f>
        <v>25.676333333333275</v>
      </c>
      <c r="AF60" s="50">
        <f>Data_Entry!AL49</f>
        <v>66</v>
      </c>
      <c r="AG60" s="153">
        <f>(Data_Entry!O49-Data_Entry!Q49)/Data_Entry!O49</f>
        <v>-0.26205450733752622</v>
      </c>
      <c r="AH60" s="79" t="str">
        <f t="shared" si="0"/>
        <v>CAT1</v>
      </c>
      <c r="AI60" s="51">
        <f>SUBTOTAL(3,Tableau1[[#This Row],[ZS]])</f>
        <v>0</v>
      </c>
      <c r="AJ60" s="51" t="e">
        <f t="shared" ca="1" si="1"/>
        <v>#NAME?</v>
      </c>
      <c r="AK60" s="50" t="str">
        <f>IFERROR(IF((Data_Entry!O49-Data_Entry!Q49)/Data_Entry!O49&lt;=10%,"&lt;=10%","&gt;10%"),"&lt;=10%")</f>
        <v>&lt;=10%</v>
      </c>
    </row>
    <row r="61" spans="1:37" s="48" customFormat="1" ht="13" hidden="1" x14ac:dyDescent="0.3">
      <c r="A61" s="31" t="s">
        <v>16</v>
      </c>
      <c r="B61" s="48" t="str">
        <f>Data_Entry!B50</f>
        <v>Butembo</v>
      </c>
      <c r="C61" s="48" t="str">
        <f>Data_Entry!C50</f>
        <v xml:space="preserve"> Beni</v>
      </c>
      <c r="D61" s="48" t="str">
        <f>Data_Entry!D50</f>
        <v xml:space="preserve"> Mabakanga</v>
      </c>
      <c r="E61" s="49">
        <f>IFERROR(IF(Data_Entry!J50/Data_Entry!$I50&lt;0,0,Data_Entry!J50/Data_Entry!$I50),0)</f>
        <v>0.65030408340573409</v>
      </c>
      <c r="F61" s="49">
        <f>IFERROR(IF(Data_Entry!K50/Data_Entry!$H50&lt;0,0,Data_Entry!K50/Data_Entry!$H50),0)</f>
        <v>0.87229492729630898</v>
      </c>
      <c r="G61" s="49">
        <f>IFERROR(IF(Data_Entry!L50/Data_Entry!$H50&lt;0,0,Data_Entry!L50/Data_Entry!$H50),0)</f>
        <v>1.185962623755598</v>
      </c>
      <c r="H61" s="49">
        <f>IFERROR(IF(Data_Entry!M50/Data_Entry!$H50&lt;0,0,Data_Entry!M50/Data_Entry!$H50),0)</f>
        <v>1.1157608059766144</v>
      </c>
      <c r="I61" s="49">
        <f>IFERROR(IF(Data_Entry!N50/Data_Entry!$H50&lt;0,0,Data_Entry!N50/Data_Entry!$H50),0)</f>
        <v>1.145633919925118</v>
      </c>
      <c r="J61" s="49">
        <f>IFERROR(IF(Data_Entry!O50/Data_Entry!$H50&lt;0,0,Data_Entry!O50/Data_Entry!$H50),0)</f>
        <v>0.99776200588002462</v>
      </c>
      <c r="K61" s="49">
        <f>IFERROR(IF(Data_Entry!P50/Data_Entry!$H50&lt;0,0,Data_Entry!P50/Data_Entry!$H50),0)</f>
        <v>0.93950943368044237</v>
      </c>
      <c r="L61" s="49">
        <f>IFERROR(IF(Data_Entry!Q50/Data_Entry!$H50&lt;0,0,Data_Entry!Q50/Data_Entry!$H50),0)</f>
        <v>0.92009190961391485</v>
      </c>
      <c r="M61" s="49">
        <f>IFERROR(IF(Data_Entry!R50/Data_Entry!$H50&lt;0,0,Data_Entry!R50/Data_Entry!$H50),0)</f>
        <v>0.93502846658816674</v>
      </c>
      <c r="N61" s="49">
        <f>IFERROR(IF(Data_Entry!S50/Data_Entry!$H50&lt;0,0,Data_Entry!S50/Data_Entry!$H50),0)</f>
        <v>0.88872513996798597</v>
      </c>
      <c r="O61" s="49">
        <f>IFERROR(IF(Data_Entry!T50/Data_Entry!$H50&lt;0,0,Data_Entry!T50/Data_Entry!$H50),0)</f>
        <v>0.90366169694223786</v>
      </c>
      <c r="P61" s="49">
        <f>IFERROR(IF(Data_Entry!U50/Data_Entry!$H50&lt;0,0,Data_Entry!U50/Data_Entry!$H50),0)</f>
        <v>0.76475171708169554</v>
      </c>
      <c r="Q61" s="49">
        <f>IFERROR(IF(Data_Entry!V50/Data_Entry!$H50&lt;0,0,Data_Entry!V50/Data_Entry!$H50),0)</f>
        <v>0.72292935755379029</v>
      </c>
      <c r="R61" s="49">
        <f>IFERROR(IF(Data_Entry!W50/Data_Entry!$H50&lt;0,0,Data_Entry!W50/Data_Entry!$H50),0)</f>
        <v>0.73487860313319175</v>
      </c>
      <c r="S61" s="49">
        <f>IFERROR(IF(Data_Entry!X50/Data_Entry!$H50&lt;0,0,Data_Entry!X50/Data_Entry!$H50),0)</f>
        <v>1.1351783300431417</v>
      </c>
      <c r="T61" s="49">
        <f>IFERROR(IF(Data_Entry!Y50/Data_Entry!$H50&lt;0,0,Data_Entry!Y50/Data_Entry!$H50),0)</f>
        <v>0.30171845087988769</v>
      </c>
      <c r="U61" s="49">
        <f>IFERROR(IF(Data_Entry!Z50/Data_Entry!$H50&lt;0,0,Data_Entry!Z50/Data_Entry!$H50),0)</f>
        <v>0.96340792483924531</v>
      </c>
      <c r="V61" s="49">
        <f>IFERROR(IF(Data_Entry!AA50/Data_Entry!$H50&lt;0,0,Data_Entry!AA50/Data_Entry!$H50),0)</f>
        <v>1.0634828565667327</v>
      </c>
      <c r="W61" s="49">
        <f>IFERROR(IF(Data_Entry!AB50/Data_Entry!$H50&lt;0,0,Data_Entry!AB50/Data_Entry!$H50),0)</f>
        <v>0.95295233495726894</v>
      </c>
      <c r="X61" s="49">
        <f>IFERROR(IF(Data_Entry!AC50/Data_Entry!$I50&lt;0,0,Data_Entry!AC50/Data_Entry!$I50),0)</f>
        <v>0.84708948740225887</v>
      </c>
      <c r="Y61" s="49">
        <f>IFERROR(IF(Data_Entry!AD50/Data_Entry!$I50&lt;0,0,Data_Entry!AD50/Data_Entry!$I50),0)</f>
        <v>0.74283231972198083</v>
      </c>
      <c r="Z61" s="49">
        <f>IFERROR(IF(Data_Entry!AE50/Data_Entry!$I50&lt;0,0,Data_Entry!AE50/Data_Entry!$I50),0)</f>
        <v>0.95395308427454384</v>
      </c>
      <c r="AA61" s="49">
        <f>IFERROR(IF(Data_Entry!AF50/Data_Entry!$I50&lt;0,0,Data_Entry!AF50/Data_Entry!$I50),0)</f>
        <v>0.89791485664639437</v>
      </c>
      <c r="AB61" s="49">
        <f>IFERROR(IF(Data_Entry!AG50/Data_Entry!$I50&lt;0,0,Data_Entry!AG50/Data_Entry!$I50),0)</f>
        <v>0.8379669852302345</v>
      </c>
      <c r="AC61" s="49">
        <f>IFERROR(IF(Data_Entry!AI50/Data_Entry!$I50&lt;0,0,Data_Entry!AI50/Data_Entry!$I50),0)</f>
        <v>4.3397046046915723E-2</v>
      </c>
      <c r="AD61" s="49">
        <f>IFERROR(IF(Data_Entry!AM50/Data_Entry!$H50&lt;0,0,Data_Entry!AM50/Data_Entry!$H50),0)</f>
        <v>0.96340792483924531</v>
      </c>
      <c r="AE61" s="50">
        <f>Data_Entry!AK50</f>
        <v>1.4983333333333348</v>
      </c>
      <c r="AF61" s="50">
        <f>Data_Entry!AL50</f>
        <v>0</v>
      </c>
      <c r="AG61" s="153">
        <f>(Data_Entry!O50-Data_Entry!Q50)/Data_Entry!O50</f>
        <v>7.7844311377245512E-2</v>
      </c>
      <c r="AH61" s="79" t="str">
        <f t="shared" si="0"/>
        <v>CAT1</v>
      </c>
      <c r="AI61" s="51">
        <f>SUBTOTAL(3,Tableau1[[#This Row],[ZS]])</f>
        <v>0</v>
      </c>
      <c r="AJ61" s="51" t="e">
        <f t="shared" ca="1" si="1"/>
        <v>#NAME?</v>
      </c>
      <c r="AK61" s="50" t="str">
        <f>IFERROR(IF((Data_Entry!O50-Data_Entry!Q50)/Data_Entry!O50&lt;=10%,"&lt;=10%","&gt;10%"),"&lt;=10%")</f>
        <v>&lt;=10%</v>
      </c>
    </row>
    <row r="62" spans="1:37" s="48" customFormat="1" ht="13" hidden="1" x14ac:dyDescent="0.3">
      <c r="A62" s="31" t="s">
        <v>16</v>
      </c>
      <c r="B62" s="48" t="str">
        <f>Data_Entry!B51</f>
        <v>Butembo</v>
      </c>
      <c r="C62" s="48" t="str">
        <f>Data_Entry!C51</f>
        <v xml:space="preserve"> Beni</v>
      </c>
      <c r="D62" s="48" t="str">
        <f>Data_Entry!D51</f>
        <v xml:space="preserve"> Mabolio</v>
      </c>
      <c r="E62" s="49">
        <f>IFERROR(IF(Data_Entry!J51/Data_Entry!$I51&lt;0,0,Data_Entry!J51/Data_Entry!$I51),0)</f>
        <v>0.90846524432209208</v>
      </c>
      <c r="F62" s="49">
        <f>IFERROR(IF(Data_Entry!K51/Data_Entry!$H51&lt;0,0,Data_Entry!K51/Data_Entry!$H51),0)</f>
        <v>0.22272105035247344</v>
      </c>
      <c r="G62" s="49">
        <f>IFERROR(IF(Data_Entry!L51/Data_Entry!$H51&lt;0,0,Data_Entry!L51/Data_Entry!$H51),0)</f>
        <v>1.2639419607502869</v>
      </c>
      <c r="H62" s="49">
        <f>IFERROR(IF(Data_Entry!M51/Data_Entry!$H51&lt;0,0,Data_Entry!M51/Data_Entry!$H51),0)</f>
        <v>1.0133807791037541</v>
      </c>
      <c r="I62" s="49">
        <f>IFERROR(IF(Data_Entry!N51/Data_Entry!$H51&lt;0,0,Data_Entry!N51/Data_Entry!$H51),0)</f>
        <v>1.0481809432213283</v>
      </c>
      <c r="J62" s="49">
        <f>IFERROR(IF(Data_Entry!O51/Data_Entry!$H51&lt;0,0,Data_Entry!O51/Data_Entry!$H51),0)</f>
        <v>0.87974814889227015</v>
      </c>
      <c r="K62" s="49">
        <f>IFERROR(IF(Data_Entry!P51/Data_Entry!$H51&lt;0,0,Data_Entry!P51/Data_Entry!$H51),0)</f>
        <v>0.84633999133939908</v>
      </c>
      <c r="L62" s="49">
        <f>IFERROR(IF(Data_Entry!Q51/Data_Entry!$H51&lt;0,0,Data_Entry!Q51/Data_Entry!$H51),0)</f>
        <v>0.90341226049222045</v>
      </c>
      <c r="M62" s="49">
        <f>IFERROR(IF(Data_Entry!R51/Data_Entry!$H51&lt;0,0,Data_Entry!R51/Data_Entry!$H51),0)</f>
        <v>0.81014782065712221</v>
      </c>
      <c r="N62" s="49">
        <f>IFERROR(IF(Data_Entry!S51/Data_Entry!$H51&lt;0,0,Data_Entry!S51/Data_Entry!$H51),0)</f>
        <v>0.74889953181019198</v>
      </c>
      <c r="O62" s="49">
        <f>IFERROR(IF(Data_Entry!T51/Data_Entry!$H51&lt;0,0,Data_Entry!T51/Data_Entry!$H51),0)</f>
        <v>0.74889953181019198</v>
      </c>
      <c r="P62" s="49">
        <f>IFERROR(IF(Data_Entry!U51/Data_Entry!$H51&lt;0,0,Data_Entry!U51/Data_Entry!$H51),0)</f>
        <v>0.88531617515108196</v>
      </c>
      <c r="Q62" s="49">
        <f>IFERROR(IF(Data_Entry!V51/Data_Entry!$H51&lt;0,0,Data_Entry!V51/Data_Entry!$H51),0)</f>
        <v>0.77395564997484523</v>
      </c>
      <c r="R62" s="49">
        <f>IFERROR(IF(Data_Entry!W51/Data_Entry!$H51&lt;0,0,Data_Entry!W51/Data_Entry!$H51),0)</f>
        <v>0.72801943333964758</v>
      </c>
      <c r="S62" s="49">
        <f>IFERROR(IF(Data_Entry!X51/Data_Entry!$H51&lt;0,0,Data_Entry!X51/Data_Entry!$H51),0)</f>
        <v>0.92011633926865599</v>
      </c>
      <c r="T62" s="49">
        <f>IFERROR(IF(Data_Entry!Y51/Data_Entry!$H51&lt;0,0,Data_Entry!Y51/Data_Entry!$H51),0)</f>
        <v>0.32572953614049244</v>
      </c>
      <c r="U62" s="49">
        <f>IFERROR(IF(Data_Entry!Z51/Data_Entry!$H51&lt;0,0,Data_Entry!Z51/Data_Entry!$H51),0)</f>
        <v>0.72384341364553872</v>
      </c>
      <c r="V62" s="49">
        <f>IFERROR(IF(Data_Entry!AA51/Data_Entry!$H51&lt;0,0,Data_Entry!AA51/Data_Entry!$H51),0)</f>
        <v>1.0481809432213283</v>
      </c>
      <c r="W62" s="49">
        <f>IFERROR(IF(Data_Entry!AB51/Data_Entry!$H51&lt;0,0,Data_Entry!AB51/Data_Entry!$H51),0)</f>
        <v>0.77952367623365704</v>
      </c>
      <c r="X62" s="49">
        <f>IFERROR(IF(Data_Entry!AC51/Data_Entry!$I51&lt;0,0,Data_Entry!AC51/Data_Entry!$I51),0)</f>
        <v>0.6266952754949191</v>
      </c>
      <c r="Y62" s="49">
        <f>IFERROR(IF(Data_Entry!AD51/Data_Entry!$I51&lt;0,0,Data_Entry!AD51/Data_Entry!$I51),0)</f>
        <v>0.55503825756042258</v>
      </c>
      <c r="Z62" s="49">
        <f>IFERROR(IF(Data_Entry!AE51/Data_Entry!$I51&lt;0,0,Data_Entry!AE51/Data_Entry!$I51),0)</f>
        <v>0.24533419699607301</v>
      </c>
      <c r="AA62" s="49">
        <f>IFERROR(IF(Data_Entry!AF51/Data_Entry!$I51&lt;0,0,Data_Entry!AF51/Data_Entry!$I51),0)</f>
        <v>0.15545929314602647</v>
      </c>
      <c r="AB62" s="49">
        <f>IFERROR(IF(Data_Entry!AG51/Data_Entry!$I51&lt;0,0,Data_Entry!AG51/Data_Entry!$I51),0)</f>
        <v>7.8944172300716556E-2</v>
      </c>
      <c r="AC62" s="49">
        <f>IFERROR(IF(Data_Entry!AI51/Data_Entry!$I51&lt;0,0,Data_Entry!AI51/Data_Entry!$I51),0)</f>
        <v>5.0645722845228933E-2</v>
      </c>
      <c r="AD62" s="49">
        <f>IFERROR(IF(Data_Entry!AM51/Data_Entry!$H51&lt;0,0,Data_Entry!AM51/Data_Entry!$H51),0)</f>
        <v>0.72384341364553872</v>
      </c>
      <c r="AE62" s="50">
        <f>Data_Entry!AK51</f>
        <v>86.387416666666695</v>
      </c>
      <c r="AF62" s="50">
        <f>Data_Entry!AL51</f>
        <v>0</v>
      </c>
      <c r="AG62" s="153">
        <f>(Data_Entry!O51-Data_Entry!Q51)/Data_Entry!O51</f>
        <v>-2.6898734177215191E-2</v>
      </c>
      <c r="AH62" s="79" t="str">
        <f t="shared" si="0"/>
        <v>CAT3</v>
      </c>
      <c r="AI62" s="51">
        <f>SUBTOTAL(3,Tableau1[[#This Row],[ZS]])</f>
        <v>0</v>
      </c>
      <c r="AJ62" s="51" t="e">
        <f t="shared" ca="1" si="1"/>
        <v>#NAME?</v>
      </c>
      <c r="AK62" s="50" t="str">
        <f>IFERROR(IF((Data_Entry!O51-Data_Entry!Q51)/Data_Entry!O51&lt;=10%,"&lt;=10%","&gt;10%"),"&lt;=10%")</f>
        <v>&lt;=10%</v>
      </c>
    </row>
    <row r="63" spans="1:37" s="48" customFormat="1" ht="13" hidden="1" x14ac:dyDescent="0.3">
      <c r="A63" s="31" t="s">
        <v>16</v>
      </c>
      <c r="B63" s="48" t="str">
        <f>Data_Entry!B52</f>
        <v>Butembo</v>
      </c>
      <c r="C63" s="48" t="str">
        <f>Data_Entry!C52</f>
        <v xml:space="preserve"> Beni</v>
      </c>
      <c r="D63" s="48" t="str">
        <f>Data_Entry!D52</f>
        <v xml:space="preserve"> Madrandele</v>
      </c>
      <c r="E63" s="49">
        <f>IFERROR(IF(Data_Entry!J52/Data_Entry!$I52&lt;0,0,Data_Entry!J52/Data_Entry!$I52),0)</f>
        <v>0.41379310344827591</v>
      </c>
      <c r="F63" s="49">
        <f>IFERROR(IF(Data_Entry!K52/Data_Entry!$H52&lt;0,0,Data_Entry!K52/Data_Entry!$H52),0)</f>
        <v>0.65578908994272744</v>
      </c>
      <c r="G63" s="49">
        <f>IFERROR(IF(Data_Entry!L52/Data_Entry!$H52&lt;0,0,Data_Entry!L52/Data_Entry!$H52),0)</f>
        <v>0.99840209329185814</v>
      </c>
      <c r="H63" s="49">
        <f>IFERROR(IF(Data_Entry!M52/Data_Entry!$H52&lt;0,0,Data_Entry!M52/Data_Entry!$H52),0)</f>
        <v>0.95588210242275362</v>
      </c>
      <c r="I63" s="49">
        <f>IFERROR(IF(Data_Entry!N52/Data_Entry!$H52&lt;0,0,Data_Entry!N52/Data_Entry!$H52),0)</f>
        <v>0.93053364632771063</v>
      </c>
      <c r="J63" s="49">
        <f>IFERROR(IF(Data_Entry!O52/Data_Entry!$H52&lt;0,0,Data_Entry!O52/Data_Entry!$H52),0)</f>
        <v>0.84794674098579603</v>
      </c>
      <c r="K63" s="49">
        <f>IFERROR(IF(Data_Entry!P52/Data_Entry!$H52&lt;0,0,Data_Entry!P52/Data_Entry!$H52),0)</f>
        <v>0.81605674783396764</v>
      </c>
      <c r="L63" s="49">
        <f>IFERROR(IF(Data_Entry!Q52/Data_Entry!$H52&lt;0,0,Data_Entry!Q52/Data_Entry!$H52),0)</f>
        <v>0.78089598615374656</v>
      </c>
      <c r="M63" s="49">
        <f>IFERROR(IF(Data_Entry!R52/Data_Entry!$H52&lt;0,0,Data_Entry!R52/Data_Entry!$H52),0)</f>
        <v>0.81850982423026208</v>
      </c>
      <c r="N63" s="49">
        <f>IFERROR(IF(Data_Entry!S52/Data_Entry!$H52&lt;0,0,Data_Entry!S52/Data_Entry!$H52),0)</f>
        <v>0.79152598387102269</v>
      </c>
      <c r="O63" s="49">
        <f>IFERROR(IF(Data_Entry!T52/Data_Entry!$H52&lt;0,0,Data_Entry!T52/Data_Entry!$H52),0)</f>
        <v>0.77680752549325571</v>
      </c>
      <c r="P63" s="49">
        <f>IFERROR(IF(Data_Entry!U52/Data_Entry!$H52&lt;0,0,Data_Entry!U52/Data_Entry!$H52),0)</f>
        <v>0.77680752549325571</v>
      </c>
      <c r="Q63" s="49">
        <f>IFERROR(IF(Data_Entry!V52/Data_Entry!$H52&lt;0,0,Data_Entry!V52/Data_Entry!$H52),0)</f>
        <v>0.73101676609575861</v>
      </c>
      <c r="R63" s="49">
        <f>IFERROR(IF(Data_Entry!W52/Data_Entry!$H52&lt;0,0,Data_Entry!W52/Data_Entry!$H52),0)</f>
        <v>0.70893907852910809</v>
      </c>
      <c r="S63" s="49">
        <f>IFERROR(IF(Data_Entry!X52/Data_Entry!$H52&lt;0,0,Data_Entry!X52/Data_Entry!$H52),0)</f>
        <v>1.087530535690558</v>
      </c>
      <c r="T63" s="49">
        <f>IFERROR(IF(Data_Entry!Y52/Data_Entry!$H52&lt;0,0,Data_Entry!Y52/Data_Entry!$H52),0)</f>
        <v>0.36387299878368295</v>
      </c>
      <c r="U63" s="49">
        <f>IFERROR(IF(Data_Entry!Z52/Data_Entry!$H52&lt;0,0,Data_Entry!Z52/Data_Entry!$H52),0)</f>
        <v>0.77190137270066672</v>
      </c>
      <c r="V63" s="49">
        <f>IFERROR(IF(Data_Entry!AA52/Data_Entry!$H52&lt;0,0,Data_Entry!AA52/Data_Entry!$H52),0)</f>
        <v>0.98613671131038572</v>
      </c>
      <c r="W63" s="49">
        <f>IFERROR(IF(Data_Entry!AB52/Data_Entry!$H52&lt;0,0,Data_Entry!AB52/Data_Entry!$H52),0)</f>
        <v>0.76699521990807784</v>
      </c>
      <c r="X63" s="49">
        <f>IFERROR(IF(Data_Entry!AC52/Data_Entry!$I52&lt;0,0,Data_Entry!AC52/Data_Entry!$I52),0)</f>
        <v>0.19048751486325805</v>
      </c>
      <c r="Y63" s="49">
        <f>IFERROR(IF(Data_Entry!AD52/Data_Entry!$I52&lt;0,0,Data_Entry!AD52/Data_Entry!$I52),0)</f>
        <v>0.11557669441141499</v>
      </c>
      <c r="Z63" s="49">
        <f>IFERROR(IF(Data_Entry!AE52/Data_Entry!$I52&lt;0,0,Data_Entry!AE52/Data_Entry!$I52),0)</f>
        <v>0.18263971462544593</v>
      </c>
      <c r="AA63" s="49">
        <f>IFERROR(IF(Data_Entry!AF52/Data_Entry!$I52&lt;0,0,Data_Entry!AF52/Data_Entry!$I52),0)</f>
        <v>0.12413793103448277</v>
      </c>
      <c r="AB63" s="49">
        <f>IFERROR(IF(Data_Entry!AG52/Data_Entry!$I52&lt;0,0,Data_Entry!AG52/Data_Entry!$I52),0)</f>
        <v>0.12413793103448277</v>
      </c>
      <c r="AC63" s="49">
        <f>IFERROR(IF(Data_Entry!AI52/Data_Entry!$I52&lt;0,0,Data_Entry!AI52/Data_Entry!$I52),0)</f>
        <v>2.375743162901308E-2</v>
      </c>
      <c r="AD63" s="49">
        <f>IFERROR(IF(Data_Entry!AM52/Data_Entry!$H52&lt;0,0,Data_Entry!AM52/Data_Entry!$H52),0)</f>
        <v>0.77190137270066672</v>
      </c>
      <c r="AE63" s="50">
        <f>Data_Entry!AK52</f>
        <v>185.95416666666665</v>
      </c>
      <c r="AF63" s="50">
        <f>Data_Entry!AL52</f>
        <v>0</v>
      </c>
      <c r="AG63" s="153">
        <f>(Data_Entry!O52-Data_Entry!Q52)/Data_Entry!O52</f>
        <v>7.9074252651880422E-2</v>
      </c>
      <c r="AH63" s="79" t="str">
        <f t="shared" si="0"/>
        <v>CAT3</v>
      </c>
      <c r="AI63" s="51">
        <f>SUBTOTAL(3,Tableau1[[#This Row],[ZS]])</f>
        <v>0</v>
      </c>
      <c r="AJ63" s="51" t="e">
        <f t="shared" ca="1" si="1"/>
        <v>#NAME?</v>
      </c>
      <c r="AK63" s="50" t="str">
        <f>IFERROR(IF((Data_Entry!O52-Data_Entry!Q52)/Data_Entry!O52&lt;=10%,"&lt;=10%","&gt;10%"),"&lt;=10%")</f>
        <v>&lt;=10%</v>
      </c>
    </row>
    <row r="64" spans="1:37" s="48" customFormat="1" ht="13" hidden="1" x14ac:dyDescent="0.3">
      <c r="A64" s="31" t="s">
        <v>16</v>
      </c>
      <c r="B64" s="48" t="str">
        <f>Data_Entry!B53</f>
        <v>Butembo</v>
      </c>
      <c r="C64" s="48" t="str">
        <f>Data_Entry!C53</f>
        <v xml:space="preserve"> Beni</v>
      </c>
      <c r="D64" s="48" t="str">
        <f>Data_Entry!D53</f>
        <v xml:space="preserve"> Malepe</v>
      </c>
      <c r="E64" s="49">
        <f>IFERROR(IF(Data_Entry!J53/Data_Entry!$I53&lt;0,0,Data_Entry!J53/Data_Entry!$I53),0)</f>
        <v>1.4323977151602942</v>
      </c>
      <c r="F64" s="49">
        <f>IFERROR(IF(Data_Entry!K53/Data_Entry!$H53&lt;0,0,Data_Entry!K53/Data_Entry!$H53),0)</f>
        <v>0.58545473881208598</v>
      </c>
      <c r="G64" s="49">
        <f>IFERROR(IF(Data_Entry!L53/Data_Entry!$H53&lt;0,0,Data_Entry!L53/Data_Entry!$H53),0)</f>
        <v>1.1549339871589945</v>
      </c>
      <c r="H64" s="49">
        <f>IFERROR(IF(Data_Entry!M53/Data_Entry!$H53&lt;0,0,Data_Entry!M53/Data_Entry!$H53),0)</f>
        <v>2.1848832547963077</v>
      </c>
      <c r="I64" s="49">
        <f>IFERROR(IF(Data_Entry!N53/Data_Entry!$H53&lt;0,0,Data_Entry!N53/Data_Entry!$H53),0)</f>
        <v>2.1952203368620107</v>
      </c>
      <c r="J64" s="49">
        <f>IFERROR(IF(Data_Entry!O53/Data_Entry!$H53&lt;0,0,Data_Entry!O53/Data_Entry!$H53),0)</f>
        <v>1.0055161645729245</v>
      </c>
      <c r="K64" s="49">
        <f>IFERROR(IF(Data_Entry!P53/Data_Entry!$H53&lt;0,0,Data_Entry!P53/Data_Entry!$H53),0)</f>
        <v>0.92469897751379226</v>
      </c>
      <c r="L64" s="49">
        <f>IFERROR(IF(Data_Entry!Q53/Data_Entry!$H53&lt;0,0,Data_Entry!Q53/Data_Entry!$H53),0)</f>
        <v>0.93127712064651236</v>
      </c>
      <c r="M64" s="49">
        <f>IFERROR(IF(Data_Entry!R53/Data_Entry!$H53&lt;0,0,Data_Entry!R53/Data_Entry!$H53),0)</f>
        <v>0.81944868739027121</v>
      </c>
      <c r="N64" s="49">
        <f>IFERROR(IF(Data_Entry!S53/Data_Entry!$H53&lt;0,0,Data_Entry!S53/Data_Entry!$H53),0)</f>
        <v>0.82320762632325406</v>
      </c>
      <c r="O64" s="49">
        <f>IFERROR(IF(Data_Entry!T53/Data_Entry!$H53&lt;0,0,Data_Entry!T53/Data_Entry!$H53),0)</f>
        <v>0.81944868739027121</v>
      </c>
      <c r="P64" s="49">
        <f>IFERROR(IF(Data_Entry!U53/Data_Entry!$H53&lt;0,0,Data_Entry!U53/Data_Entry!$H53),0)</f>
        <v>0.88523011871747181</v>
      </c>
      <c r="Q64" s="49">
        <f>IFERROR(IF(Data_Entry!V53/Data_Entry!$H53&lt;0,0,Data_Entry!V53/Data_Entry!$H53),0)</f>
        <v>0.88898905765045477</v>
      </c>
      <c r="R64" s="49">
        <f>IFERROR(IF(Data_Entry!W53/Data_Entry!$H53&lt;0,0,Data_Entry!W53/Data_Entry!$H53),0)</f>
        <v>0.87583277138501459</v>
      </c>
      <c r="S64" s="49">
        <f>IFERROR(IF(Data_Entry!X53/Data_Entry!$H53&lt;0,0,Data_Entry!X53/Data_Entry!$H53),0)</f>
        <v>1.1474161092930288</v>
      </c>
      <c r="T64" s="49">
        <f>IFERROR(IF(Data_Entry!Y53/Data_Entry!$H53&lt;0,0,Data_Entry!Y53/Data_Entry!$H53),0)</f>
        <v>0.74896858239684194</v>
      </c>
      <c r="U64" s="49">
        <f>IFERROR(IF(Data_Entry!Z53/Data_Entry!$H53&lt;0,0,Data_Entry!Z53/Data_Entry!$H53),0)</f>
        <v>0.93409632484624949</v>
      </c>
      <c r="V64" s="49">
        <f>IFERROR(IF(Data_Entry!AA53/Data_Entry!$H53&lt;0,0,Data_Entry!AA53/Data_Entry!$H53),0)</f>
        <v>1.1549339871589945</v>
      </c>
      <c r="W64" s="49">
        <f>IFERROR(IF(Data_Entry!AB53/Data_Entry!$H53&lt;0,0,Data_Entry!AB53/Data_Entry!$H53),0)</f>
        <v>1.1474161092930288</v>
      </c>
      <c r="X64" s="49">
        <f>IFERROR(IF(Data_Entry!AC53/Data_Entry!$I53&lt;0,0,Data_Entry!AC53/Data_Entry!$I53),0)</f>
        <v>0.31156905080761982</v>
      </c>
      <c r="Y64" s="49">
        <f>IFERROR(IF(Data_Entry!AD53/Data_Entry!$I53&lt;0,0,Data_Entry!AD53/Data_Entry!$I53),0)</f>
        <v>0.2410560550985269</v>
      </c>
      <c r="Z64" s="49">
        <f>IFERROR(IF(Data_Entry!AE53/Data_Entry!$I53&lt;0,0,Data_Entry!AE53/Data_Entry!$I53),0)</f>
        <v>0.28779141271966985</v>
      </c>
      <c r="AA64" s="49">
        <f>IFERROR(IF(Data_Entry!AF53/Data_Entry!$I53&lt;0,0,Data_Entry!AF53/Data_Entry!$I53),0)</f>
        <v>0.26155401896744929</v>
      </c>
      <c r="AB64" s="49">
        <f>IFERROR(IF(Data_Entry!AG53/Data_Entry!$I53&lt;0,0,Data_Entry!AG53/Data_Entry!$I53),0)</f>
        <v>0.22055809122960454</v>
      </c>
      <c r="AC64" s="49">
        <f>IFERROR(IF(Data_Entry!AI53/Data_Entry!$I53&lt;0,0,Data_Entry!AI53/Data_Entry!$I53),0)</f>
        <v>2.3941621798901309E-2</v>
      </c>
      <c r="AD64" s="49">
        <f>IFERROR(IF(Data_Entry!AM53/Data_Entry!$H53&lt;0,0,Data_Entry!AM53/Data_Entry!$H53),0)</f>
        <v>0.93409632484624949</v>
      </c>
      <c r="AE64" s="50">
        <f>Data_Entry!AK53</f>
        <v>0</v>
      </c>
      <c r="AF64" s="50">
        <f>Data_Entry!AL53</f>
        <v>0</v>
      </c>
      <c r="AG64" s="153">
        <f>(Data_Entry!O53-Data_Entry!Q53)/Data_Entry!O53</f>
        <v>7.3831775700934577E-2</v>
      </c>
      <c r="AH64" s="79" t="str">
        <f t="shared" si="0"/>
        <v>CAT1</v>
      </c>
      <c r="AI64" s="51">
        <f>SUBTOTAL(3,Tableau1[[#This Row],[ZS]])</f>
        <v>0</v>
      </c>
      <c r="AJ64" s="51" t="e">
        <f t="shared" ca="1" si="1"/>
        <v>#NAME?</v>
      </c>
      <c r="AK64" s="50" t="str">
        <f>IFERROR(IF((Data_Entry!O53-Data_Entry!Q53)/Data_Entry!O53&lt;=10%,"&lt;=10%","&gt;10%"),"&lt;=10%")</f>
        <v>&lt;=10%</v>
      </c>
    </row>
    <row r="65" spans="1:37" s="48" customFormat="1" ht="13" hidden="1" x14ac:dyDescent="0.3">
      <c r="A65" s="31" t="s">
        <v>16</v>
      </c>
      <c r="B65" s="48" t="str">
        <f>Data_Entry!B54</f>
        <v>Butembo</v>
      </c>
      <c r="C65" s="48" t="str">
        <f>Data_Entry!C54</f>
        <v xml:space="preserve"> Beni</v>
      </c>
      <c r="D65" s="48" t="str">
        <f>Data_Entry!D54</f>
        <v xml:space="preserve"> Mangothe</v>
      </c>
      <c r="E65" s="49">
        <f>IFERROR(IF(Data_Entry!J54/Data_Entry!$I54&lt;0,0,Data_Entry!J54/Data_Entry!$I54),0)</f>
        <v>2.1027404984775009</v>
      </c>
      <c r="F65" s="49">
        <f>IFERROR(IF(Data_Entry!K54/Data_Entry!$H54&lt;0,0,Data_Entry!K54/Data_Entry!$H54),0)</f>
        <v>0.53706751442763045</v>
      </c>
      <c r="G65" s="49">
        <f>IFERROR(IF(Data_Entry!L54/Data_Entry!$H54&lt;0,0,Data_Entry!L54/Data_Entry!$H54),0)</f>
        <v>2.245213652372549</v>
      </c>
      <c r="H65" s="49">
        <f>IFERROR(IF(Data_Entry!M54/Data_Entry!$H54&lt;0,0,Data_Entry!M54/Data_Entry!$H54),0)</f>
        <v>1.9020333272689729</v>
      </c>
      <c r="I65" s="49">
        <f>IFERROR(IF(Data_Entry!N54/Data_Entry!$H54&lt;0,0,Data_Entry!N54/Data_Entry!$H54),0)</f>
        <v>2.0532653349417354</v>
      </c>
      <c r="J65" s="49">
        <f>IFERROR(IF(Data_Entry!O54/Data_Entry!$H54&lt;0,0,Data_Entry!O54/Data_Entry!$H54),0)</f>
        <v>2.0319377441160893</v>
      </c>
      <c r="K65" s="49">
        <f>IFERROR(IF(Data_Entry!P54/Data_Entry!$H54&lt;0,0,Data_Entry!P54/Data_Entry!$H54),0)</f>
        <v>1.8109063482866674</v>
      </c>
      <c r="L65" s="49">
        <f>IFERROR(IF(Data_Entry!Q54/Data_Entry!$H54&lt;0,0,Data_Entry!Q54/Data_Entry!$H54),0)</f>
        <v>1.9621383559594299</v>
      </c>
      <c r="M65" s="49">
        <f>IFERROR(IF(Data_Entry!R54/Data_Entry!$H54&lt;0,0,Data_Entry!R54/Data_Entry!$H54),0)</f>
        <v>1.8884612240162892</v>
      </c>
      <c r="N65" s="49">
        <f>IFERROR(IF(Data_Entry!S54/Data_Entry!$H54&lt;0,0,Data_Entry!S54/Data_Entry!$H54),0)</f>
        <v>1.6674298281868674</v>
      </c>
      <c r="O65" s="49">
        <f>IFERROR(IF(Data_Entry!T54/Data_Entry!$H54&lt;0,0,Data_Entry!T54/Data_Entry!$H54),0)</f>
        <v>1.8206007077528701</v>
      </c>
      <c r="P65" s="49">
        <f>IFERROR(IF(Data_Entry!U54/Data_Entry!$H54&lt;0,0,Data_Entry!U54/Data_Entry!$H54),0)</f>
        <v>1.9679549716391516</v>
      </c>
      <c r="Q65" s="49">
        <f>IFERROR(IF(Data_Entry!V54/Data_Entry!$H54&lt;0,0,Data_Entry!V54/Data_Entry!$H54),0)</f>
        <v>1.8109063482866674</v>
      </c>
      <c r="R65" s="49">
        <f>IFERROR(IF(Data_Entry!W54/Data_Entry!$H54&lt;0,0,Data_Entry!W54/Data_Entry!$H54),0)</f>
        <v>1.944688508920265</v>
      </c>
      <c r="S65" s="49">
        <f>IFERROR(IF(Data_Entry!X54/Data_Entry!$H54&lt;0,0,Data_Entry!X54/Data_Entry!$H54),0)</f>
        <v>2.0183656408634056</v>
      </c>
      <c r="T65" s="49">
        <f>IFERROR(IF(Data_Entry!Y54/Data_Entry!$H54&lt;0,0,Data_Entry!Y54/Data_Entry!$H54),0)</f>
        <v>0.73095470375168481</v>
      </c>
      <c r="U65" s="49">
        <f>IFERROR(IF(Data_Entry!Z54/Data_Entry!$H54&lt;0,0,Data_Entry!Z54/Data_Entry!$H54),0)</f>
        <v>1.9078499429486946</v>
      </c>
      <c r="V65" s="49">
        <f>IFERROR(IF(Data_Entry!AA54/Data_Entry!$H54&lt;0,0,Data_Entry!AA54/Data_Entry!$H54),0)</f>
        <v>2.066837438194419</v>
      </c>
      <c r="W65" s="49">
        <f>IFERROR(IF(Data_Entry!AB54/Data_Entry!$H54&lt;0,0,Data_Entry!AB54/Data_Entry!$H54),0)</f>
        <v>2.0203045127566464</v>
      </c>
      <c r="X65" s="49">
        <f>IFERROR(IF(Data_Entry!AC54/Data_Entry!$I54&lt;0,0,Data_Entry!AC54/Data_Entry!$I54),0)</f>
        <v>0.41614976880568399</v>
      </c>
      <c r="Y65" s="49">
        <f>IFERROR(IF(Data_Entry!AD54/Data_Entry!$I54&lt;0,0,Data_Entry!AD54/Data_Entry!$I54),0)</f>
        <v>0.23683320175933237</v>
      </c>
      <c r="Z65" s="49">
        <f>IFERROR(IF(Data_Entry!AE54/Data_Entry!$I54&lt;0,0,Data_Entry!AE54/Data_Entry!$I54),0)</f>
        <v>0.28081651065749408</v>
      </c>
      <c r="AA65" s="49">
        <f>IFERROR(IF(Data_Entry!AF54/Data_Entry!$I54&lt;0,0,Data_Entry!AF54/Data_Entry!$I54),0)</f>
        <v>0.27404984775008456</v>
      </c>
      <c r="AB65" s="49">
        <f>IFERROR(IF(Data_Entry!AG54/Data_Entry!$I54&lt;0,0,Data_Entry!AG54/Data_Entry!$I54),0)</f>
        <v>0.33494981391677003</v>
      </c>
      <c r="AC65" s="49">
        <f>IFERROR(IF(Data_Entry!AI54/Data_Entry!$I54&lt;0,0,Data_Entry!AI54/Data_Entry!$I54),0)</f>
        <v>5.6332468704184048E-2</v>
      </c>
      <c r="AD65" s="49">
        <f>IFERROR(IF(Data_Entry!AM54/Data_Entry!$H54&lt;0,0,Data_Entry!AM54/Data_Entry!$H54),0)</f>
        <v>1.9078499429486946</v>
      </c>
      <c r="AE65" s="50">
        <f>Data_Entry!AK54</f>
        <v>0</v>
      </c>
      <c r="AF65" s="50">
        <f>Data_Entry!AL54</f>
        <v>7</v>
      </c>
      <c r="AG65" s="153">
        <f>(Data_Entry!O54-Data_Entry!Q54)/Data_Entry!O54</f>
        <v>3.4351145038167941E-2</v>
      </c>
      <c r="AH65" s="79" t="str">
        <f t="shared" si="0"/>
        <v>CAT1</v>
      </c>
      <c r="AI65" s="51">
        <f>SUBTOTAL(3,Tableau1[[#This Row],[ZS]])</f>
        <v>0</v>
      </c>
      <c r="AJ65" s="51" t="e">
        <f t="shared" ca="1" si="1"/>
        <v>#NAME?</v>
      </c>
      <c r="AK65" s="50" t="str">
        <f>IFERROR(IF((Data_Entry!O54-Data_Entry!Q54)/Data_Entry!O54&lt;=10%,"&lt;=10%","&gt;10%"),"&lt;=10%")</f>
        <v>&lt;=10%</v>
      </c>
    </row>
    <row r="66" spans="1:37" s="48" customFormat="1" ht="13" hidden="1" x14ac:dyDescent="0.3">
      <c r="A66" s="31" t="s">
        <v>16</v>
      </c>
      <c r="B66" s="48" t="str">
        <f>Data_Entry!B55</f>
        <v>Butembo</v>
      </c>
      <c r="C66" s="48" t="str">
        <f>Data_Entry!C55</f>
        <v xml:space="preserve"> Beni</v>
      </c>
      <c r="D66" s="48" t="str">
        <f>Data_Entry!D55</f>
        <v xml:space="preserve"> Mukulya</v>
      </c>
      <c r="E66" s="49">
        <f>IFERROR(IF(Data_Entry!J55/Data_Entry!$I55&lt;0,0,Data_Entry!J55/Data_Entry!$I55),0)</f>
        <v>1.1254699248120301</v>
      </c>
      <c r="F66" s="49">
        <f>IFERROR(IF(Data_Entry!K55/Data_Entry!$H55&lt;0,0,Data_Entry!K55/Data_Entry!$H55),0)</f>
        <v>0.15080681646810434</v>
      </c>
      <c r="G66" s="49">
        <f>IFERROR(IF(Data_Entry!L55/Data_Entry!$H55&lt;0,0,Data_Entry!L55/Data_Entry!$H55),0)</f>
        <v>1.3653402848094447</v>
      </c>
      <c r="H66" s="49">
        <f>IFERROR(IF(Data_Entry!M55/Data_Entry!$H55&lt;0,0,Data_Entry!M55/Data_Entry!$H55),0)</f>
        <v>1.2953228343063963</v>
      </c>
      <c r="I66" s="49">
        <f>IFERROR(IF(Data_Entry!N55/Data_Entry!$H55&lt;0,0,Data_Entry!N55/Data_Entry!$H55),0)</f>
        <v>1.3384104961544261</v>
      </c>
      <c r="J66" s="49">
        <f>IFERROR(IF(Data_Entry!O55/Data_Entry!$H55&lt;0,0,Data_Entry!O55/Data_Entry!$H55),0)</f>
        <v>1.1929896374173254</v>
      </c>
      <c r="K66" s="49">
        <f>IFERROR(IF(Data_Entry!P55/Data_Entry!$H55&lt;0,0,Data_Entry!P55/Data_Entry!$H55),0)</f>
        <v>1.1364370812417863</v>
      </c>
      <c r="L66" s="49">
        <f>IFERROR(IF(Data_Entry!Q55/Data_Entry!$H55&lt;0,0,Data_Entry!Q55/Data_Entry!$H55),0)</f>
        <v>1.2118404894758386</v>
      </c>
      <c r="M66" s="49">
        <f>IFERROR(IF(Data_Entry!R55/Data_Entry!$H55&lt;0,0,Data_Entry!R55/Data_Entry!$H55),0)</f>
        <v>1.144516017838292</v>
      </c>
      <c r="N66" s="49">
        <f>IFERROR(IF(Data_Entry!S55/Data_Entry!$H55&lt;0,0,Data_Entry!S55/Data_Entry!$H55),0)</f>
        <v>1.1148932503177715</v>
      </c>
      <c r="O66" s="49">
        <f>IFERROR(IF(Data_Entry!T55/Data_Entry!$H55&lt;0,0,Data_Entry!T55/Data_Entry!$H55),0)</f>
        <v>1.1256651657797789</v>
      </c>
      <c r="P66" s="49">
        <f>IFERROR(IF(Data_Entry!U55/Data_Entry!$H55&lt;0,0,Data_Entry!U55/Data_Entry!$H55),0)</f>
        <v>1.0367968632182174</v>
      </c>
      <c r="Q66" s="49">
        <f>IFERROR(IF(Data_Entry!V55/Data_Entry!$H55&lt;0,0,Data_Entry!V55/Data_Entry!$H55),0)</f>
        <v>1.0125600534287007</v>
      </c>
      <c r="R66" s="49">
        <f>IFERROR(IF(Data_Entry!W55/Data_Entry!$H55&lt;0,0,Data_Entry!W55/Data_Entry!$H55),0)</f>
        <v>1.0314109054872136</v>
      </c>
      <c r="S66" s="49">
        <f>IFERROR(IF(Data_Entry!X55/Data_Entry!$H55&lt;0,0,Data_Entry!X55/Data_Entry!$H55),0)</f>
        <v>1.0664196307387379</v>
      </c>
      <c r="T66" s="49">
        <f>IFERROR(IF(Data_Entry!Y55/Data_Entry!$H55&lt;0,0,Data_Entry!Y55/Data_Entry!$H55),0)</f>
        <v>0.53051683650386705</v>
      </c>
      <c r="U66" s="49">
        <f>IFERROR(IF(Data_Entry!Z55/Data_Entry!$H55&lt;0,0,Data_Entry!Z55/Data_Entry!$H55),0)</f>
        <v>1.0529547364112286</v>
      </c>
      <c r="V66" s="49">
        <f>IFERROR(IF(Data_Entry!AA55/Data_Entry!$H55&lt;0,0,Data_Entry!AA55/Data_Entry!$H55),0)</f>
        <v>1.2953228343063963</v>
      </c>
      <c r="W66" s="49">
        <f>IFERROR(IF(Data_Entry!AB55/Data_Entry!$H55&lt;0,0,Data_Entry!AB55/Data_Entry!$H55),0)</f>
        <v>0.96408643384966708</v>
      </c>
      <c r="X66" s="49">
        <f>IFERROR(IF(Data_Entry!AC55/Data_Entry!$I55&lt;0,0,Data_Entry!AC55/Data_Entry!$I55),0)</f>
        <v>0.25610902255639095</v>
      </c>
      <c r="Y66" s="49">
        <f>IFERROR(IF(Data_Entry!AD55/Data_Entry!$I55&lt;0,0,Data_Entry!AD55/Data_Entry!$I55),0)</f>
        <v>0.17857142857142858</v>
      </c>
      <c r="Z66" s="49">
        <f>IFERROR(IF(Data_Entry!AE55/Data_Entry!$I55&lt;0,0,Data_Entry!AE55/Data_Entry!$I55),0)</f>
        <v>0.20676691729323307</v>
      </c>
      <c r="AA66" s="49">
        <f>IFERROR(IF(Data_Entry!AF55/Data_Entry!$I55&lt;0,0,Data_Entry!AF55/Data_Entry!$I55),0)</f>
        <v>0.17857142857142858</v>
      </c>
      <c r="AB66" s="49">
        <f>IFERROR(IF(Data_Entry!AG55/Data_Entry!$I55&lt;0,0,Data_Entry!AG55/Data_Entry!$I55),0)</f>
        <v>0.10573308270676691</v>
      </c>
      <c r="AC66" s="49">
        <f>IFERROR(IF(Data_Entry!AI55/Data_Entry!$I55&lt;0,0,Data_Entry!AI55/Data_Entry!$I55),0)</f>
        <v>7.8242481203007502E-2</v>
      </c>
      <c r="AD66" s="49">
        <f>IFERROR(IF(Data_Entry!AM55/Data_Entry!$H55&lt;0,0,Data_Entry!AM55/Data_Entry!$H55),0)</f>
        <v>1.0529547364112286</v>
      </c>
      <c r="AE66" s="50">
        <f>Data_Entry!AK55</f>
        <v>0</v>
      </c>
      <c r="AF66" s="50">
        <f>Data_Entry!AL55</f>
        <v>47</v>
      </c>
      <c r="AG66" s="153">
        <f>(Data_Entry!O55-Data_Entry!Q55)/Data_Entry!O55</f>
        <v>-1.580135440180587E-2</v>
      </c>
      <c r="AH66" s="79" t="str">
        <f t="shared" si="0"/>
        <v>CAT1</v>
      </c>
      <c r="AI66" s="51">
        <f>SUBTOTAL(3,Tableau1[[#This Row],[ZS]])</f>
        <v>0</v>
      </c>
      <c r="AJ66" s="51" t="e">
        <f t="shared" ca="1" si="1"/>
        <v>#NAME?</v>
      </c>
      <c r="AK66" s="50" t="str">
        <f>IFERROR(IF((Data_Entry!O55-Data_Entry!Q55)/Data_Entry!O55&lt;=10%,"&lt;=10%","&gt;10%"),"&lt;=10%")</f>
        <v>&lt;=10%</v>
      </c>
    </row>
    <row r="67" spans="1:37" s="48" customFormat="1" ht="13" hidden="1" x14ac:dyDescent="0.3">
      <c r="A67" s="31" t="s">
        <v>16</v>
      </c>
      <c r="B67" s="48" t="str">
        <f>Data_Entry!B56</f>
        <v>Butembo</v>
      </c>
      <c r="C67" s="48" t="str">
        <f>Data_Entry!C56</f>
        <v xml:space="preserve"> Beni</v>
      </c>
      <c r="D67" s="48" t="str">
        <f>Data_Entry!D56</f>
        <v xml:space="preserve"> Ndindi</v>
      </c>
      <c r="E67" s="49">
        <f>IFERROR(IF(Data_Entry!J56/Data_Entry!$I56&lt;0,0,Data_Entry!J56/Data_Entry!$I56),0)</f>
        <v>0.65273588970271446</v>
      </c>
      <c r="F67" s="49">
        <f>IFERROR(IF(Data_Entry!K56/Data_Entry!$H56&lt;0,0,Data_Entry!K56/Data_Entry!$H56),0)</f>
        <v>1.1826737067438327</v>
      </c>
      <c r="G67" s="49">
        <f>IFERROR(IF(Data_Entry!L56/Data_Entry!$H56&lt;0,0,Data_Entry!L56/Data_Entry!$H56),0)</f>
        <v>1.1061332372050878</v>
      </c>
      <c r="H67" s="49">
        <f>IFERROR(IF(Data_Entry!M56/Data_Entry!$H56&lt;0,0,Data_Entry!M56/Data_Entry!$H56),0)</f>
        <v>0.98021181957683001</v>
      </c>
      <c r="I67" s="49">
        <f>IFERROR(IF(Data_Entry!N56/Data_Entry!$H56&lt;0,0,Data_Entry!N56/Data_Entry!$H56),0)</f>
        <v>0.95058325072312222</v>
      </c>
      <c r="J67" s="49">
        <f>IFERROR(IF(Data_Entry!O56/Data_Entry!$H56&lt;0,0,Data_Entry!O56/Data_Entry!$H56),0)</f>
        <v>0.9999641988126351</v>
      </c>
      <c r="K67" s="49">
        <f>IFERROR(IF(Data_Entry!P56/Data_Entry!$H56&lt;0,0,Data_Entry!P56/Data_Entry!$H56),0)</f>
        <v>0.90860944484703632</v>
      </c>
      <c r="L67" s="49">
        <f>IFERROR(IF(Data_Entry!Q56/Data_Entry!$H56&lt;0,0,Data_Entry!Q56/Data_Entry!$H56),0)</f>
        <v>0.87404278118437739</v>
      </c>
      <c r="M67" s="49">
        <f>IFERROR(IF(Data_Entry!R56/Data_Entry!$H56&lt;0,0,Data_Entry!R56/Data_Entry!$H56),0)</f>
        <v>1.0740356209469044</v>
      </c>
      <c r="N67" s="49">
        <f>IFERROR(IF(Data_Entry!S56/Data_Entry!$H56&lt;0,0,Data_Entry!S56/Data_Entry!$H56),0)</f>
        <v>0.93576896629626838</v>
      </c>
      <c r="O67" s="49">
        <f>IFERROR(IF(Data_Entry!T56/Data_Entry!$H56&lt;0,0,Data_Entry!T56/Data_Entry!$H56),0)</f>
        <v>0.95058325072312222</v>
      </c>
      <c r="P67" s="49">
        <f>IFERROR(IF(Data_Entry!U56/Data_Entry!$H56&lt;0,0,Data_Entry!U56/Data_Entry!$H56),0)</f>
        <v>0.83947611752171836</v>
      </c>
      <c r="Q67" s="49">
        <f>IFERROR(IF(Data_Entry!V56/Data_Entry!$H56&lt;0,0,Data_Entry!V56/Data_Entry!$H56),0)</f>
        <v>0.79750231164563246</v>
      </c>
      <c r="R67" s="49">
        <f>IFERROR(IF(Data_Entry!W56/Data_Entry!$H56&lt;0,0,Data_Entry!W56/Data_Entry!$H56),0)</f>
        <v>0.79503326424115683</v>
      </c>
      <c r="S67" s="49">
        <f>IFERROR(IF(Data_Entry!X56/Data_Entry!$H56&lt;0,0,Data_Entry!X56/Data_Entry!$H56),0)</f>
        <v>0.96539753514997617</v>
      </c>
      <c r="T67" s="49">
        <f>IFERROR(IF(Data_Entry!Y56/Data_Entry!$H56&lt;0,0,Data_Entry!Y56/Data_Entry!$H56),0)</f>
        <v>0.22221426640280781</v>
      </c>
      <c r="U67" s="49">
        <f>IFERROR(IF(Data_Entry!Z56/Data_Entry!$H56&lt;0,0,Data_Entry!Z56/Data_Entry!$H56),0)</f>
        <v>0.88638801820675561</v>
      </c>
      <c r="V67" s="49">
        <f>IFERROR(IF(Data_Entry!AA56/Data_Entry!$H56&lt;0,0,Data_Entry!AA56/Data_Entry!$H56),0)</f>
        <v>1.014778483239489</v>
      </c>
      <c r="W67" s="49">
        <f>IFERROR(IF(Data_Entry!AB56/Data_Entry!$H56&lt;0,0,Data_Entry!AB56/Data_Entry!$H56),0)</f>
        <v>0.98761896179025688</v>
      </c>
      <c r="X67" s="49">
        <f>IFERROR(IF(Data_Entry!AC56/Data_Entry!$I56&lt;0,0,Data_Entry!AC56/Data_Entry!$I56),0)</f>
        <v>0.3360620422231797</v>
      </c>
      <c r="Y67" s="49">
        <f>IFERROR(IF(Data_Entry!AD56/Data_Entry!$I56&lt;0,0,Data_Entry!AD56/Data_Entry!$I56),0)</f>
        <v>0.14218009478672988</v>
      </c>
      <c r="Z67" s="49">
        <f>IFERROR(IF(Data_Entry!AE56/Data_Entry!$I56&lt;0,0,Data_Entry!AE56/Data_Entry!$I56),0)</f>
        <v>0.15079707022834987</v>
      </c>
      <c r="AA67" s="49">
        <f>IFERROR(IF(Data_Entry!AF56/Data_Entry!$I56&lt;0,0,Data_Entry!AF56/Data_Entry!$I56),0)</f>
        <v>0.1184834123222749</v>
      </c>
      <c r="AB67" s="49">
        <f>IFERROR(IF(Data_Entry!AG56/Data_Entry!$I56&lt;0,0,Data_Entry!AG56/Data_Entry!$I56),0)</f>
        <v>9.9095217578629921E-2</v>
      </c>
      <c r="AC67" s="49">
        <f>IFERROR(IF(Data_Entry!AI56/Data_Entry!$I56&lt;0,0,Data_Entry!AI56/Data_Entry!$I56),0)</f>
        <v>5.3856096510124955E-2</v>
      </c>
      <c r="AD67" s="49">
        <f>IFERROR(IF(Data_Entry!AM56/Data_Entry!$H56&lt;0,0,Data_Entry!AM56/Data_Entry!$H56),0)</f>
        <v>0.88638801820675561</v>
      </c>
      <c r="AE67" s="50">
        <f>Data_Entry!AK56</f>
        <v>1.4499999999998181E-2</v>
      </c>
      <c r="AF67" s="50">
        <f>Data_Entry!AL56</f>
        <v>14</v>
      </c>
      <c r="AG67" s="153">
        <f>(Data_Entry!O56-Data_Entry!Q56)/Data_Entry!O56</f>
        <v>0.12592592592592591</v>
      </c>
      <c r="AH67" s="79" t="str">
        <f t="shared" si="0"/>
        <v>CAT2</v>
      </c>
      <c r="AI67" s="51">
        <f>SUBTOTAL(3,Tableau1[[#This Row],[ZS]])</f>
        <v>0</v>
      </c>
      <c r="AJ67" s="51" t="e">
        <f t="shared" ca="1" si="1"/>
        <v>#NAME?</v>
      </c>
      <c r="AK67" s="50" t="str">
        <f>IFERROR(IF((Data_Entry!O56-Data_Entry!Q56)/Data_Entry!O56&lt;=10%,"&lt;=10%","&gt;10%"),"&lt;=10%")</f>
        <v>&gt;10%</v>
      </c>
    </row>
    <row r="68" spans="1:37" s="48" customFormat="1" ht="13" hidden="1" x14ac:dyDescent="0.3">
      <c r="A68" s="31" t="s">
        <v>16</v>
      </c>
      <c r="B68" s="48" t="str">
        <f>Data_Entry!B57</f>
        <v>Butembo</v>
      </c>
      <c r="C68" s="48" t="str">
        <f>Data_Entry!C57</f>
        <v xml:space="preserve"> Beni</v>
      </c>
      <c r="D68" s="48" t="str">
        <f>Data_Entry!D57</f>
        <v xml:space="preserve"> Ngadi</v>
      </c>
      <c r="E68" s="49">
        <f>IFERROR(IF(Data_Entry!J57/Data_Entry!$I57&lt;0,0,Data_Entry!J57/Data_Entry!$I57),0)</f>
        <v>0.65648224607762196</v>
      </c>
      <c r="F68" s="49">
        <f>IFERROR(IF(Data_Entry!K57/Data_Entry!$H57&lt;0,0,Data_Entry!K57/Data_Entry!$H57),0)</f>
        <v>2.8393025726447398E-2</v>
      </c>
      <c r="G68" s="49">
        <f>IFERROR(IF(Data_Entry!L57/Data_Entry!$H57&lt;0,0,Data_Entry!L57/Data_Entry!$H57),0)</f>
        <v>0.63174482241345453</v>
      </c>
      <c r="H68" s="49">
        <f>IFERROR(IF(Data_Entry!M57/Data_Entry!$H57&lt;0,0,Data_Entry!M57/Data_Entry!$H57),0)</f>
        <v>0.86598728465664565</v>
      </c>
      <c r="I68" s="49">
        <f>IFERROR(IF(Data_Entry!N57/Data_Entry!$H57&lt;0,0,Data_Entry!N57/Data_Entry!$H57),0)</f>
        <v>0.82339774606697447</v>
      </c>
      <c r="J68" s="49">
        <f>IFERROR(IF(Data_Entry!O57/Data_Entry!$H57&lt;0,0,Data_Entry!O57/Data_Entry!$H57),0)</f>
        <v>0.74531692531924421</v>
      </c>
      <c r="K68" s="49">
        <f>IFERROR(IF(Data_Entry!P57/Data_Entry!$H57&lt;0,0,Data_Entry!P57/Data_Entry!$H57),0)</f>
        <v>0.73821866888763232</v>
      </c>
      <c r="L68" s="49">
        <f>IFERROR(IF(Data_Entry!Q57/Data_Entry!$H57&lt;0,0,Data_Entry!Q57/Data_Entry!$H57),0)</f>
        <v>0.73821866888763232</v>
      </c>
      <c r="M68" s="49">
        <f>IFERROR(IF(Data_Entry!R57/Data_Entry!$H57&lt;0,0,Data_Entry!R57/Data_Entry!$H57),0)</f>
        <v>0.8801837975198693</v>
      </c>
      <c r="N68" s="49">
        <f>IFERROR(IF(Data_Entry!S57/Data_Entry!$H57&lt;0,0,Data_Entry!S57/Data_Entry!$H57),0)</f>
        <v>0.80920123320375081</v>
      </c>
      <c r="O68" s="49">
        <f>IFERROR(IF(Data_Entry!T57/Data_Entry!$H57&lt;0,0,Data_Entry!T57/Data_Entry!$H57),0)</f>
        <v>0.7808082074773034</v>
      </c>
      <c r="P68" s="49">
        <f>IFERROR(IF(Data_Entry!U57/Data_Entry!$H57&lt;0,0,Data_Entry!U57/Data_Entry!$H57),0)</f>
        <v>0.69562913029796125</v>
      </c>
      <c r="Q68" s="49">
        <f>IFERROR(IF(Data_Entry!V57/Data_Entry!$H57&lt;0,0,Data_Entry!V57/Data_Entry!$H57),0)</f>
        <v>0.52527097593927685</v>
      </c>
      <c r="R68" s="49">
        <f>IFERROR(IF(Data_Entry!W57/Data_Entry!$H57&lt;0,0,Data_Entry!W57/Data_Entry!$H57),0)</f>
        <v>0.39750236017026358</v>
      </c>
      <c r="S68" s="49">
        <f>IFERROR(IF(Data_Entry!X57/Data_Entry!$H57&lt;0,0,Data_Entry!X57/Data_Entry!$H57),0)</f>
        <v>0.61754830955023088</v>
      </c>
      <c r="T68" s="49">
        <f>IFERROR(IF(Data_Entry!Y57/Data_Entry!$H57&lt;0,0,Data_Entry!Y57/Data_Entry!$H57),0)</f>
        <v>0.13486687220062513</v>
      </c>
      <c r="U68" s="49">
        <f>IFERROR(IF(Data_Entry!Z57/Data_Entry!$H57&lt;0,0,Data_Entry!Z57/Data_Entry!$H57),0)</f>
        <v>0.60335179668700722</v>
      </c>
      <c r="V68" s="49">
        <f>IFERROR(IF(Data_Entry!AA57/Data_Entry!$H57&lt;0,0,Data_Entry!AA57/Data_Entry!$H57),0)</f>
        <v>0.63884307884506641</v>
      </c>
      <c r="W68" s="49">
        <f>IFERROR(IF(Data_Entry!AB57/Data_Entry!$H57&lt;0,0,Data_Entry!AB57/Data_Entry!$H57),0)</f>
        <v>0.46848492448638207</v>
      </c>
      <c r="X68" s="49">
        <f>IFERROR(IF(Data_Entry!AC57/Data_Entry!$I57&lt;0,0,Data_Entry!AC57/Data_Entry!$I57),0)</f>
        <v>0.30966143682906694</v>
      </c>
      <c r="Y68" s="49">
        <f>IFERROR(IF(Data_Entry!AD57/Data_Entry!$I57&lt;0,0,Data_Entry!AD57/Data_Entry!$I57),0)</f>
        <v>9.909165978530142E-2</v>
      </c>
      <c r="Z68" s="49">
        <f>IFERROR(IF(Data_Entry!AE57/Data_Entry!$I57&lt;0,0,Data_Entry!AE57/Data_Entry!$I57),0)</f>
        <v>0.1424442609413708</v>
      </c>
      <c r="AA68" s="49">
        <f>IFERROR(IF(Data_Entry!AF57/Data_Entry!$I57&lt;0,0,Data_Entry!AF57/Data_Entry!$I57),0)</f>
        <v>8.0511973575557408E-2</v>
      </c>
      <c r="AB68" s="49">
        <f>IFERROR(IF(Data_Entry!AG57/Data_Entry!$I57&lt;0,0,Data_Entry!AG57/Data_Entry!$I57),0)</f>
        <v>2.4772914946325355E-2</v>
      </c>
      <c r="AC68" s="49">
        <f>IFERROR(IF(Data_Entry!AI57/Data_Entry!$I57&lt;0,0,Data_Entry!AI57/Data_Entry!$I57),0)</f>
        <v>5.1403798513625115E-2</v>
      </c>
      <c r="AD68" s="49">
        <f>IFERROR(IF(Data_Entry!AM57/Data_Entry!$H57&lt;0,0,Data_Entry!AM57/Data_Entry!$H57),0)</f>
        <v>0.60335179668700722</v>
      </c>
      <c r="AE68" s="50">
        <f>Data_Entry!AK57</f>
        <v>35.879666666666651</v>
      </c>
      <c r="AF68" s="50">
        <f>Data_Entry!AL57</f>
        <v>18</v>
      </c>
      <c r="AG68" s="153">
        <f>(Data_Entry!O57-Data_Entry!Q57)/Data_Entry!O57</f>
        <v>9.5238095238095247E-3</v>
      </c>
      <c r="AH68" s="79" t="str">
        <f t="shared" si="0"/>
        <v>CAT3</v>
      </c>
      <c r="AI68" s="51">
        <f>SUBTOTAL(3,Tableau1[[#This Row],[ZS]])</f>
        <v>0</v>
      </c>
      <c r="AJ68" s="51" t="e">
        <f t="shared" ca="1" si="1"/>
        <v>#NAME?</v>
      </c>
      <c r="AK68" s="50" t="str">
        <f>IFERROR(IF((Data_Entry!O57-Data_Entry!Q57)/Data_Entry!O57&lt;=10%,"&lt;=10%","&gt;10%"),"&lt;=10%")</f>
        <v>&lt;=10%</v>
      </c>
    </row>
    <row r="69" spans="1:37" s="48" customFormat="1" ht="13" hidden="1" x14ac:dyDescent="0.3">
      <c r="A69" s="31" t="s">
        <v>16</v>
      </c>
      <c r="B69" s="48" t="str">
        <f>Data_Entry!B58</f>
        <v>Butembo</v>
      </c>
      <c r="C69" s="48" t="str">
        <f>Data_Entry!C58</f>
        <v xml:space="preserve"> Beni</v>
      </c>
      <c r="D69" s="48" t="str">
        <f>Data_Entry!D58</f>
        <v xml:space="preserve"> Ngilinga</v>
      </c>
      <c r="E69" s="49">
        <f>IFERROR(IF(Data_Entry!J58/Data_Entry!$I58&lt;0,0,Data_Entry!J58/Data_Entry!$I58),0)</f>
        <v>0.52467429924990128</v>
      </c>
      <c r="F69" s="49">
        <f>IFERROR(IF(Data_Entry!K58/Data_Entry!$H58&lt;0,0,Data_Entry!K58/Data_Entry!$H58),0)</f>
        <v>0.18868415426400167</v>
      </c>
      <c r="G69" s="49">
        <f>IFERROR(IF(Data_Entry!L58/Data_Entry!$H58&lt;0,0,Data_Entry!L58/Data_Entry!$H58),0)</f>
        <v>1.0954540466981968</v>
      </c>
      <c r="H69" s="49">
        <f>IFERROR(IF(Data_Entry!M58/Data_Entry!$H58&lt;0,0,Data_Entry!M58/Data_Entry!$H58),0)</f>
        <v>1.0207948489678365</v>
      </c>
      <c r="I69" s="49">
        <f>IFERROR(IF(Data_Entry!N58/Data_Entry!$H58&lt;0,0,Data_Entry!N58/Data_Entry!$H58),0)</f>
        <v>1.0520159680187144</v>
      </c>
      <c r="J69" s="49">
        <f>IFERROR(IF(Data_Entry!O58/Data_Entry!$H58&lt;0,0,Data_Entry!O58/Data_Entry!$H58),0)</f>
        <v>0.89048061292938918</v>
      </c>
      <c r="K69" s="49">
        <f>IFERROR(IF(Data_Entry!P58/Data_Entry!$H58&lt;0,0,Data_Entry!P58/Data_Entry!$H58),0)</f>
        <v>0.82803837482763332</v>
      </c>
      <c r="L69" s="49">
        <f>IFERROR(IF(Data_Entry!Q58/Data_Entry!$H58&lt;0,0,Data_Entry!Q58/Data_Entry!$H58),0)</f>
        <v>0.8728338934658495</v>
      </c>
      <c r="M69" s="49">
        <f>IFERROR(IF(Data_Entry!R58/Data_Entry!$H58&lt;0,0,Data_Entry!R58/Data_Entry!$H58),0)</f>
        <v>0.88912317297065535</v>
      </c>
      <c r="N69" s="49">
        <f>IFERROR(IF(Data_Entry!S58/Data_Entry!$H58&lt;0,0,Data_Entry!S58/Data_Entry!$H58),0)</f>
        <v>0.82939581478636715</v>
      </c>
      <c r="O69" s="49">
        <f>IFERROR(IF(Data_Entry!T58/Data_Entry!$H58&lt;0,0,Data_Entry!T58/Data_Entry!$H58),0)</f>
        <v>0.8728338934658495</v>
      </c>
      <c r="P69" s="49">
        <f>IFERROR(IF(Data_Entry!U58/Data_Entry!$H58&lt;0,0,Data_Entry!U58/Data_Entry!$H58),0)</f>
        <v>0.76423869676714351</v>
      </c>
      <c r="Q69" s="49">
        <f>IFERROR(IF(Data_Entry!V58/Data_Entry!$H58&lt;0,0,Data_Entry!V58/Data_Entry!$H58),0)</f>
        <v>0.82803837482763332</v>
      </c>
      <c r="R69" s="49">
        <f>IFERROR(IF(Data_Entry!W58/Data_Entry!$H58&lt;0,0,Data_Entry!W58/Data_Entry!$H58),0)</f>
        <v>0.8728338934658495</v>
      </c>
      <c r="S69" s="49">
        <f>IFERROR(IF(Data_Entry!X58/Data_Entry!$H58&lt;0,0,Data_Entry!X58/Data_Entry!$H58),0)</f>
        <v>1.0167225290916349</v>
      </c>
      <c r="T69" s="49">
        <f>IFERROR(IF(Data_Entry!Y58/Data_Entry!$H58&lt;0,0,Data_Entry!Y58/Data_Entry!$H58),0)</f>
        <v>0.35429182922952834</v>
      </c>
      <c r="U69" s="49">
        <f>IFERROR(IF(Data_Entry!Z58/Data_Entry!$H58&lt;0,0,Data_Entry!Z58/Data_Entry!$H58),0)</f>
        <v>0.84025533445623768</v>
      </c>
      <c r="V69" s="49">
        <f>IFERROR(IF(Data_Entry!AA58/Data_Entry!$H58&lt;0,0,Data_Entry!AA58/Data_Entry!$H58),0)</f>
        <v>1.0479436481425128</v>
      </c>
      <c r="W69" s="49">
        <f>IFERROR(IF(Data_Entry!AB58/Data_Entry!$H58&lt;0,0,Data_Entry!AB58/Data_Entry!$H58),0)</f>
        <v>1.0180799690503688</v>
      </c>
      <c r="X69" s="49">
        <f>IFERROR(IF(Data_Entry!AC58/Data_Entry!$I58&lt;0,0,Data_Entry!AC58/Data_Entry!$I58),0)</f>
        <v>0.39557836557441767</v>
      </c>
      <c r="Y69" s="49">
        <f>IFERROR(IF(Data_Entry!AD58/Data_Entry!$I58&lt;0,0,Data_Entry!AD58/Data_Entry!$I58),0)</f>
        <v>0.42755625740228975</v>
      </c>
      <c r="Z69" s="49">
        <f>IFERROR(IF(Data_Entry!AE58/Data_Entry!$I58&lt;0,0,Data_Entry!AE58/Data_Entry!$I58),0)</f>
        <v>0.41808132649032764</v>
      </c>
      <c r="AA69" s="49">
        <f>IFERROR(IF(Data_Entry!AF58/Data_Entry!$I58&lt;0,0,Data_Entry!AF58/Data_Entry!$I58),0)</f>
        <v>0.27240426371891036</v>
      </c>
      <c r="AB69" s="49">
        <f>IFERROR(IF(Data_Entry!AG58/Data_Entry!$I58&lt;0,0,Data_Entry!AG58/Data_Entry!$I58),0)</f>
        <v>0.18831425187524672</v>
      </c>
      <c r="AC69" s="49">
        <f>IFERROR(IF(Data_Entry!AI58/Data_Entry!$I58&lt;0,0,Data_Entry!AI58/Data_Entry!$I58),0)</f>
        <v>3.9439399921042236E-2</v>
      </c>
      <c r="AD69" s="49">
        <f>IFERROR(IF(Data_Entry!AM58/Data_Entry!$H58&lt;0,0,Data_Entry!AM58/Data_Entry!$H58),0)</f>
        <v>0.84025533445623768</v>
      </c>
      <c r="AE69" s="50">
        <f>Data_Entry!AK58</f>
        <v>80.680833333333453</v>
      </c>
      <c r="AF69" s="50">
        <f>Data_Entry!AL58</f>
        <v>0</v>
      </c>
      <c r="AG69" s="153">
        <f>(Data_Entry!O58-Data_Entry!Q58)/Data_Entry!O58</f>
        <v>1.9817073170731708E-2</v>
      </c>
      <c r="AH69" s="79" t="str">
        <f t="shared" si="0"/>
        <v>CAT3</v>
      </c>
      <c r="AI69" s="51">
        <f>SUBTOTAL(3,Tableau1[[#This Row],[ZS]])</f>
        <v>0</v>
      </c>
      <c r="AJ69" s="51" t="e">
        <f t="shared" ca="1" si="1"/>
        <v>#NAME?</v>
      </c>
      <c r="AK69" s="50" t="str">
        <f>IFERROR(IF((Data_Entry!O58-Data_Entry!Q58)/Data_Entry!O58&lt;=10%,"&lt;=10%","&gt;10%"),"&lt;=10%")</f>
        <v>&lt;=10%</v>
      </c>
    </row>
    <row r="70" spans="1:37" s="48" customFormat="1" ht="13" hidden="1" x14ac:dyDescent="0.3">
      <c r="A70" s="31" t="s">
        <v>16</v>
      </c>
      <c r="B70" s="48" t="str">
        <f>Data_Entry!B59</f>
        <v>Butembo</v>
      </c>
      <c r="C70" s="48" t="str">
        <f>Data_Entry!C59</f>
        <v xml:space="preserve"> Beni</v>
      </c>
      <c r="D70" s="48" t="str">
        <f>Data_Entry!D59</f>
        <v xml:space="preserve"> Ngongolio</v>
      </c>
      <c r="E70" s="49">
        <f>IFERROR(IF(Data_Entry!J59/Data_Entry!$I59&lt;0,0,Data_Entry!J59/Data_Entry!$I59),0)</f>
        <v>0.86614851335931264</v>
      </c>
      <c r="F70" s="49">
        <f>IFERROR(IF(Data_Entry!K59/Data_Entry!$H59&lt;0,0,Data_Entry!K59/Data_Entry!$H59),0)</f>
        <v>0.3086982772304237</v>
      </c>
      <c r="G70" s="49">
        <f>IFERROR(IF(Data_Entry!L59/Data_Entry!$H59&lt;0,0,Data_Entry!L59/Data_Entry!$H59),0)</f>
        <v>1.170388432377218</v>
      </c>
      <c r="H70" s="49">
        <f>IFERROR(IF(Data_Entry!M59/Data_Entry!$H59&lt;0,0,Data_Entry!M59/Data_Entry!$H59),0)</f>
        <v>1.0334359592653992</v>
      </c>
      <c r="I70" s="49">
        <f>IFERROR(IF(Data_Entry!N59/Data_Entry!$H59&lt;0,0,Data_Entry!N59/Data_Entry!$H59),0)</f>
        <v>1.1526216250546037</v>
      </c>
      <c r="J70" s="49">
        <f>IFERROR(IF(Data_Entry!O59/Data_Entry!$H59&lt;0,0,Data_Entry!O59/Data_Entry!$H59),0)</f>
        <v>1.077852977571935</v>
      </c>
      <c r="K70" s="49">
        <f>IFERROR(IF(Data_Entry!P59/Data_Entry!$H59&lt;0,0,Data_Entry!P59/Data_Entry!$H59),0)</f>
        <v>0.95126447539830805</v>
      </c>
      <c r="L70" s="49">
        <f>IFERROR(IF(Data_Entry!Q59/Data_Entry!$H59&lt;0,0,Data_Entry!Q59/Data_Entry!$H59),0)</f>
        <v>1.0615667375262052</v>
      </c>
      <c r="M70" s="49">
        <f>IFERROR(IF(Data_Entry!R59/Data_Entry!$H59&lt;0,0,Data_Entry!R59/Data_Entry!$H59),0)</f>
        <v>0.99346064278951707</v>
      </c>
      <c r="N70" s="49">
        <f>IFERROR(IF(Data_Entry!S59/Data_Entry!$H59&lt;0,0,Data_Entry!S59/Data_Entry!$H59),0)</f>
        <v>0.87057355880810139</v>
      </c>
      <c r="O70" s="49">
        <f>IFERROR(IF(Data_Entry!T59/Data_Entry!$H59&lt;0,0,Data_Entry!T59/Data_Entry!$H59),0)</f>
        <v>0.95570617722896167</v>
      </c>
      <c r="P70" s="49">
        <f>IFERROR(IF(Data_Entry!U59/Data_Entry!$H59&lt;0,0,Data_Entry!U59/Data_Entry!$H59),0)</f>
        <v>0.94978390812142355</v>
      </c>
      <c r="Q70" s="49">
        <f>IFERROR(IF(Data_Entry!V59/Data_Entry!$H59&lt;0,0,Data_Entry!V59/Data_Entry!$H59),0)</f>
        <v>0.83800107871664187</v>
      </c>
      <c r="R70" s="49">
        <f>IFERROR(IF(Data_Entry!W59/Data_Entry!$H59&lt;0,0,Data_Entry!W59/Data_Entry!$H59),0)</f>
        <v>0.9379393699063473</v>
      </c>
      <c r="S70" s="49">
        <f>IFERROR(IF(Data_Entry!X59/Data_Entry!$H59&lt;0,0,Data_Entry!X59/Data_Entry!$H59),0)</f>
        <v>1.1067240394711833</v>
      </c>
      <c r="T70" s="49">
        <f>IFERROR(IF(Data_Entry!Y59/Data_Entry!$H59&lt;0,0,Data_Entry!Y59/Data_Entry!$H59),0)</f>
        <v>0.6173965544608474</v>
      </c>
      <c r="U70" s="49">
        <f>IFERROR(IF(Data_Entry!Z59/Data_Entry!$H59&lt;0,0,Data_Entry!Z59/Data_Entry!$H59),0)</f>
        <v>1.1089448903865102</v>
      </c>
      <c r="V70" s="49">
        <f>IFERROR(IF(Data_Entry!AA59/Data_Entry!$H59&lt;0,0,Data_Entry!AA59/Data_Entry!$H59),0)</f>
        <v>1.1304131159013358</v>
      </c>
      <c r="W70" s="49">
        <f>IFERROR(IF(Data_Entry!AB59/Data_Entry!$H59&lt;0,0,Data_Entry!AB59/Data_Entry!$H59),0)</f>
        <v>0.68846378375130468</v>
      </c>
      <c r="X70" s="49">
        <f>IFERROR(IF(Data_Entry!AC59/Data_Entry!$I59&lt;0,0,Data_Entry!AC59/Data_Entry!$I59),0)</f>
        <v>0.33199130191400944</v>
      </c>
      <c r="Y70" s="49">
        <f>IFERROR(IF(Data_Entry!AD59/Data_Entry!$I59&lt;0,0,Data_Entry!AD59/Data_Entry!$I59),0)</f>
        <v>0.55740952052877468</v>
      </c>
      <c r="Z70" s="49">
        <f>IFERROR(IF(Data_Entry!AE59/Data_Entry!$I59&lt;0,0,Data_Entry!AE59/Data_Entry!$I59),0)</f>
        <v>0.16341206105884123</v>
      </c>
      <c r="AA70" s="49">
        <f>IFERROR(IF(Data_Entry!AF59/Data_Entry!$I59&lt;0,0,Data_Entry!AF59/Data_Entry!$I59),0)</f>
        <v>0.13434667470450187</v>
      </c>
      <c r="AB70" s="49">
        <f>IFERROR(IF(Data_Entry!AG59/Data_Entry!$I59&lt;0,0,Data_Entry!AG59/Data_Entry!$I59),0)</f>
        <v>0.12465821258638876</v>
      </c>
      <c r="AC70" s="49">
        <f>IFERROR(IF(Data_Entry!AI59/Data_Entry!$I59&lt;0,0,Data_Entry!AI59/Data_Entry!$I59),0)</f>
        <v>2.6933924688354465E-2</v>
      </c>
      <c r="AD70" s="49">
        <f>IFERROR(IF(Data_Entry!AM59/Data_Entry!$H59&lt;0,0,Data_Entry!AM59/Data_Entry!$H59),0)</f>
        <v>1.1067240394711833</v>
      </c>
      <c r="AE70" s="50">
        <f>Data_Entry!AK59</f>
        <v>0</v>
      </c>
      <c r="AF70" s="50">
        <f>Data_Entry!AL59</f>
        <v>0</v>
      </c>
      <c r="AG70" s="153">
        <f>(Data_Entry!O59-Data_Entry!Q59)/Data_Entry!O59</f>
        <v>1.510989010989011E-2</v>
      </c>
      <c r="AH70" s="79" t="str">
        <f t="shared" si="0"/>
        <v>CAT1</v>
      </c>
      <c r="AI70" s="51">
        <f>SUBTOTAL(3,Tableau1[[#This Row],[ZS]])</f>
        <v>0</v>
      </c>
      <c r="AJ70" s="51" t="e">
        <f t="shared" ca="1" si="1"/>
        <v>#NAME?</v>
      </c>
      <c r="AK70" s="50" t="str">
        <f>IFERROR(IF((Data_Entry!O59-Data_Entry!Q59)/Data_Entry!O59&lt;=10%,"&lt;=10%","&gt;10%"),"&lt;=10%")</f>
        <v>&lt;=10%</v>
      </c>
    </row>
    <row r="71" spans="1:37" s="48" customFormat="1" ht="13" hidden="1" x14ac:dyDescent="0.3">
      <c r="A71" s="31" t="s">
        <v>16</v>
      </c>
      <c r="B71" s="48" t="str">
        <f>Data_Entry!B60</f>
        <v>Butembo</v>
      </c>
      <c r="C71" s="48" t="str">
        <f>Data_Entry!C60</f>
        <v xml:space="preserve"> Beni</v>
      </c>
      <c r="D71" s="48" t="str">
        <f>Data_Entry!D60</f>
        <v xml:space="preserve"> Nzuma</v>
      </c>
      <c r="E71" s="49">
        <f>IFERROR(IF(Data_Entry!J60/Data_Entry!$I60&lt;0,0,Data_Entry!J60/Data_Entry!$I60),0)</f>
        <v>0.93911917098445596</v>
      </c>
      <c r="F71" s="49">
        <f>IFERROR(IF(Data_Entry!K60/Data_Entry!$H60&lt;0,0,Data_Entry!K60/Data_Entry!$H60),0)</f>
        <v>0.31919473848300844</v>
      </c>
      <c r="G71" s="49">
        <f>IFERROR(IF(Data_Entry!L60/Data_Entry!$H60&lt;0,0,Data_Entry!L60/Data_Entry!$H60),0)</f>
        <v>1.2990483542913134</v>
      </c>
      <c r="H71" s="49">
        <f>IFERROR(IF(Data_Entry!M60/Data_Entry!$H60&lt;0,0,Data_Entry!M60/Data_Entry!$H60),0)</f>
        <v>1.0095461496206779</v>
      </c>
      <c r="I71" s="49">
        <f>IFERROR(IF(Data_Entry!N60/Data_Entry!$H60&lt;0,0,Data_Entry!N60/Data_Entry!$H60),0)</f>
        <v>1.217393886307288</v>
      </c>
      <c r="J71" s="49">
        <f>IFERROR(IF(Data_Entry!O60/Data_Entry!$H60&lt;0,0,Data_Entry!O60/Data_Entry!$H60),0)</f>
        <v>1.0466618168861439</v>
      </c>
      <c r="K71" s="49">
        <f>IFERROR(IF(Data_Entry!P60/Data_Entry!$H60&lt;0,0,Data_Entry!P60/Data_Entry!$H60),0)</f>
        <v>0.80169841293406774</v>
      </c>
      <c r="L71" s="49">
        <f>IFERROR(IF(Data_Entry!Q60/Data_Entry!$H60&lt;0,0,Data_Entry!Q60/Data_Entry!$H60),0)</f>
        <v>0.97243048235521179</v>
      </c>
      <c r="M71" s="49">
        <f>IFERROR(IF(Data_Entry!R60/Data_Entry!$H60&lt;0,0,Data_Entry!R60/Data_Entry!$H60),0)</f>
        <v>1.0466618168861439</v>
      </c>
      <c r="N71" s="49">
        <f>IFERROR(IF(Data_Entry!S60/Data_Entry!$H60&lt;0,0,Data_Entry!S60/Data_Entry!$H60),0)</f>
        <v>0.80169841293406774</v>
      </c>
      <c r="O71" s="49">
        <f>IFERROR(IF(Data_Entry!T60/Data_Entry!$H60&lt;0,0,Data_Entry!T60/Data_Entry!$H60),0)</f>
        <v>0.97243048235521179</v>
      </c>
      <c r="P71" s="49">
        <f>IFERROR(IF(Data_Entry!U60/Data_Entry!$H60&lt;0,0,Data_Entry!U60/Data_Entry!$H60),0)</f>
        <v>0.94273794854283888</v>
      </c>
      <c r="Q71" s="49">
        <f>IFERROR(IF(Data_Entry!V60/Data_Entry!$H60&lt;0,0,Data_Entry!V60/Data_Entry!$H60),0)</f>
        <v>0.6829282776845762</v>
      </c>
      <c r="R71" s="49">
        <f>IFERROR(IF(Data_Entry!W60/Data_Entry!$H60&lt;0,0,Data_Entry!W60/Data_Entry!$H60),0)</f>
        <v>0.80169841293406774</v>
      </c>
      <c r="S71" s="49">
        <f>IFERROR(IF(Data_Entry!X60/Data_Entry!$H60&lt;0,0,Data_Entry!X60/Data_Entry!$H60),0)</f>
        <v>0.83139094674644065</v>
      </c>
      <c r="T71" s="49">
        <f>IFERROR(IF(Data_Entry!Y60/Data_Entry!$H60&lt;0,0,Data_Entry!Y60/Data_Entry!$H60),0)</f>
        <v>0.20784773668661016</v>
      </c>
      <c r="U71" s="49">
        <f>IFERROR(IF(Data_Entry!Z60/Data_Entry!$H60&lt;0,0,Data_Entry!Z60/Data_Entry!$H60),0)</f>
        <v>0.69777454459076271</v>
      </c>
      <c r="V71" s="49">
        <f>IFERROR(IF(Data_Entry!AA60/Data_Entry!$H60&lt;0,0,Data_Entry!AA60/Data_Entry!$H60),0)</f>
        <v>1.2619326870258474</v>
      </c>
      <c r="W71" s="49">
        <f>IFERROR(IF(Data_Entry!AB60/Data_Entry!$H60&lt;0,0,Data_Entry!AB60/Data_Entry!$H60),0)</f>
        <v>0.73489021185622871</v>
      </c>
      <c r="X71" s="49">
        <f>IFERROR(IF(Data_Entry!AC60/Data_Entry!$I60&lt;0,0,Data_Entry!AC60/Data_Entry!$I60),0)</f>
        <v>1.1593264248704662</v>
      </c>
      <c r="Y71" s="49">
        <f>IFERROR(IF(Data_Entry!AD60/Data_Entry!$I60&lt;0,0,Data_Entry!AD60/Data_Entry!$I60),0)</f>
        <v>0.56347150259067358</v>
      </c>
      <c r="Z71" s="49">
        <f>IFERROR(IF(Data_Entry!AE60/Data_Entry!$I60&lt;0,0,Data_Entry!AE60/Data_Entry!$I60),0)</f>
        <v>0.5893782383419689</v>
      </c>
      <c r="AA71" s="49">
        <f>IFERROR(IF(Data_Entry!AF60/Data_Entry!$I60&lt;0,0,Data_Entry!AF60/Data_Entry!$I60),0)</f>
        <v>0.38212435233160619</v>
      </c>
      <c r="AB71" s="49">
        <f>IFERROR(IF(Data_Entry!AG60/Data_Entry!$I60&lt;0,0,Data_Entry!AG60/Data_Entry!$I60),0)</f>
        <v>9.7150259067357511E-2</v>
      </c>
      <c r="AC71" s="49">
        <f>IFERROR(IF(Data_Entry!AI60/Data_Entry!$I60&lt;0,0,Data_Entry!AI60/Data_Entry!$I60),0)</f>
        <v>0.10816062176165803</v>
      </c>
      <c r="AD71" s="49">
        <f>IFERROR(IF(Data_Entry!AM60/Data_Entry!$H60&lt;0,0,Data_Entry!AM60/Data_Entry!$H60),0)</f>
        <v>0.69777454459076271</v>
      </c>
      <c r="AE71" s="50">
        <f>Data_Entry!AK60</f>
        <v>0</v>
      </c>
      <c r="AF71" s="50">
        <f>Data_Entry!AL60</f>
        <v>29</v>
      </c>
      <c r="AG71" s="153">
        <f>(Data_Entry!O60-Data_Entry!Q60)/Data_Entry!O60</f>
        <v>7.0921985815602842E-2</v>
      </c>
      <c r="AH71" s="79" t="str">
        <f t="shared" si="0"/>
        <v>CAT1</v>
      </c>
      <c r="AI71" s="51">
        <f>SUBTOTAL(3,Tableau1[[#This Row],[ZS]])</f>
        <v>0</v>
      </c>
      <c r="AJ71" s="51" t="e">
        <f t="shared" ca="1" si="1"/>
        <v>#NAME?</v>
      </c>
      <c r="AK71" s="50" t="str">
        <f>IFERROR(IF((Data_Entry!O60-Data_Entry!Q60)/Data_Entry!O60&lt;=10%,"&lt;=10%","&gt;10%"),"&lt;=10%")</f>
        <v>&lt;=10%</v>
      </c>
    </row>
    <row r="72" spans="1:37" s="48" customFormat="1" ht="13" hidden="1" x14ac:dyDescent="0.3">
      <c r="A72" s="31" t="s">
        <v>16</v>
      </c>
      <c r="B72" s="48" t="str">
        <f>Data_Entry!B61</f>
        <v>Butembo</v>
      </c>
      <c r="C72" s="48" t="str">
        <f>Data_Entry!C61</f>
        <v xml:space="preserve"> Beni</v>
      </c>
      <c r="D72" s="48" t="str">
        <f>Data_Entry!D61</f>
        <v xml:space="preserve"> Paida</v>
      </c>
      <c r="E72" s="49">
        <f>IFERROR(IF(Data_Entry!J61/Data_Entry!$I61&lt;0,0,Data_Entry!J61/Data_Entry!$I61),0)</f>
        <v>0.59276905829596416</v>
      </c>
      <c r="F72" s="49">
        <f>IFERROR(IF(Data_Entry!K61/Data_Entry!$H61&lt;0,0,Data_Entry!K61/Data_Entry!$H61),0)</f>
        <v>0.26501085741452196</v>
      </c>
      <c r="G72" s="49">
        <f>IFERROR(IF(Data_Entry!L61/Data_Entry!$H61&lt;0,0,Data_Entry!L61/Data_Entry!$H61),0)</f>
        <v>0.98294936204659045</v>
      </c>
      <c r="H72" s="49">
        <f>IFERROR(IF(Data_Entry!M61/Data_Entry!$H61&lt;0,0,Data_Entry!M61/Data_Entry!$H61),0)</f>
        <v>0.94199313862798251</v>
      </c>
      <c r="I72" s="49">
        <f>IFERROR(IF(Data_Entry!N61/Data_Entry!$H61&lt;0,0,Data_Entry!N61/Data_Entry!$H61),0)</f>
        <v>0.92994719056368613</v>
      </c>
      <c r="J72" s="49">
        <f>IFERROR(IF(Data_Entry!O61/Data_Entry!$H61&lt;0,0,Data_Entry!O61/Data_Entry!$H61),0)</f>
        <v>0.83357960604931447</v>
      </c>
      <c r="K72" s="49">
        <f>IFERROR(IF(Data_Entry!P61/Data_Entry!$H61&lt;0,0,Data_Entry!P61/Data_Entry!$H61),0)</f>
        <v>0.78780500340498794</v>
      </c>
      <c r="L72" s="49">
        <f>IFERROR(IF(Data_Entry!Q61/Data_Entry!$H61&lt;0,0,Data_Entry!Q61/Data_Entry!$H61),0)</f>
        <v>0.80466933069500302</v>
      </c>
      <c r="M72" s="49">
        <f>IFERROR(IF(Data_Entry!R61/Data_Entry!$H61&lt;0,0,Data_Entry!R61/Data_Entry!$H61),0)</f>
        <v>0.83117041643645517</v>
      </c>
      <c r="N72" s="49">
        <f>IFERROR(IF(Data_Entry!S61/Data_Entry!$H61&lt;0,0,Data_Entry!S61/Data_Entry!$H61),0)</f>
        <v>0.78780500340498794</v>
      </c>
      <c r="O72" s="49">
        <f>IFERROR(IF(Data_Entry!T61/Data_Entry!$H61&lt;0,0,Data_Entry!T61/Data_Entry!$H61),0)</f>
        <v>0.80466933069500302</v>
      </c>
      <c r="P72" s="49">
        <f>IFERROR(IF(Data_Entry!U61/Data_Entry!$H61&lt;0,0,Data_Entry!U61/Data_Entry!$H61),0)</f>
        <v>0.8167152787592995</v>
      </c>
      <c r="Q72" s="49">
        <f>IFERROR(IF(Data_Entry!V61/Data_Entry!$H61&lt;0,0,Data_Entry!V61/Data_Entry!$H61),0)</f>
        <v>0.89380934637079679</v>
      </c>
      <c r="R72" s="49">
        <f>IFERROR(IF(Data_Entry!W61/Data_Entry!$H61&lt;0,0,Data_Entry!W61/Data_Entry!$H61),0)</f>
        <v>0.80707852030786231</v>
      </c>
      <c r="S72" s="49">
        <f>IFERROR(IF(Data_Entry!X61/Data_Entry!$H61&lt;0,0,Data_Entry!X61/Data_Entry!$H61),0)</f>
        <v>0.92031043211224894</v>
      </c>
      <c r="T72" s="49">
        <f>IFERROR(IF(Data_Entry!Y61/Data_Entry!$H61&lt;0,0,Data_Entry!Y61/Data_Entry!$H61),0)</f>
        <v>0.17828003135158749</v>
      </c>
      <c r="U72" s="49">
        <f>IFERROR(IF(Data_Entry!Z61/Data_Entry!$H61&lt;0,0,Data_Entry!Z61/Data_Entry!$H61),0)</f>
        <v>0.73480283192208362</v>
      </c>
      <c r="V72" s="49">
        <f>IFERROR(IF(Data_Entry!AA61/Data_Entry!$H61&lt;0,0,Data_Entry!AA61/Data_Entry!$H61),0)</f>
        <v>0.9492207074665604</v>
      </c>
      <c r="W72" s="49">
        <f>IFERROR(IF(Data_Entry!AB61/Data_Entry!$H61&lt;0,0,Data_Entry!AB61/Data_Entry!$H61),0)</f>
        <v>0.80226014108214372</v>
      </c>
      <c r="X72" s="49">
        <f>IFERROR(IF(Data_Entry!AC61/Data_Entry!$I61&lt;0,0,Data_Entry!AC61/Data_Entry!$I61),0)</f>
        <v>0.33001681614349776</v>
      </c>
      <c r="Y72" s="49">
        <f>IFERROR(IF(Data_Entry!AD61/Data_Entry!$I61&lt;0,0,Data_Entry!AD61/Data_Entry!$I61),0)</f>
        <v>0.21230381165919285</v>
      </c>
      <c r="Z72" s="49">
        <f>IFERROR(IF(Data_Entry!AE61/Data_Entry!$I61&lt;0,0,Data_Entry!AE61/Data_Entry!$I61),0)</f>
        <v>0.29848654708520184</v>
      </c>
      <c r="AA72" s="49">
        <f>IFERROR(IF(Data_Entry!AF61/Data_Entry!$I61&lt;0,0,Data_Entry!AF61/Data_Entry!$I61),0)</f>
        <v>0.22491591928251123</v>
      </c>
      <c r="AB72" s="49">
        <f>IFERROR(IF(Data_Entry!AG61/Data_Entry!$I61&lt;0,0,Data_Entry!AG61/Data_Entry!$I61),0)</f>
        <v>0.20809977578475339</v>
      </c>
      <c r="AC72" s="49">
        <f>IFERROR(IF(Data_Entry!AI61/Data_Entry!$I61&lt;0,0,Data_Entry!AI61/Data_Entry!$I61),0)</f>
        <v>5.255044843049328E-2</v>
      </c>
      <c r="AD72" s="49">
        <f>IFERROR(IF(Data_Entry!AM61/Data_Entry!$H61&lt;0,0,Data_Entry!AM61/Data_Entry!$H61),0)</f>
        <v>0.73480283192208362</v>
      </c>
      <c r="AE72" s="50">
        <f>Data_Entry!AK61</f>
        <v>69.077333333333343</v>
      </c>
      <c r="AF72" s="50">
        <f>Data_Entry!AL61</f>
        <v>0</v>
      </c>
      <c r="AG72" s="153">
        <f>(Data_Entry!O61-Data_Entry!Q61)/Data_Entry!O61</f>
        <v>3.4682080924855488E-2</v>
      </c>
      <c r="AH72" s="79" t="str">
        <f t="shared" si="0"/>
        <v>CAT3</v>
      </c>
      <c r="AI72" s="51">
        <f>SUBTOTAL(3,Tableau1[[#This Row],[ZS]])</f>
        <v>0</v>
      </c>
      <c r="AJ72" s="51" t="e">
        <f t="shared" ca="1" si="1"/>
        <v>#NAME?</v>
      </c>
      <c r="AK72" s="50" t="str">
        <f>IFERROR(IF((Data_Entry!O61-Data_Entry!Q61)/Data_Entry!O61&lt;=10%,"&lt;=10%","&gt;10%"),"&lt;=10%")</f>
        <v>&lt;=10%</v>
      </c>
    </row>
    <row r="73" spans="1:37" s="48" customFormat="1" ht="13" hidden="1" x14ac:dyDescent="0.3">
      <c r="A73" s="31" t="s">
        <v>16</v>
      </c>
      <c r="B73" s="48" t="str">
        <f>Data_Entry!B62</f>
        <v>Butembo</v>
      </c>
      <c r="C73" s="48" t="str">
        <f>Data_Entry!C62</f>
        <v xml:space="preserve"> Beni</v>
      </c>
      <c r="D73" s="48" t="str">
        <f>Data_Entry!D62</f>
        <v xml:space="preserve"> Rwangoma</v>
      </c>
      <c r="E73" s="49">
        <f>IFERROR(IF(Data_Entry!J62/Data_Entry!$I62&lt;0,0,Data_Entry!J62/Data_Entry!$I62),0)</f>
        <v>0.7493417943698103</v>
      </c>
      <c r="F73" s="49">
        <f>IFERROR(IF(Data_Entry!K62/Data_Entry!$H62&lt;0,0,Data_Entry!K62/Data_Entry!$H62),0)</f>
        <v>0.34353778538444024</v>
      </c>
      <c r="G73" s="49">
        <f>IFERROR(IF(Data_Entry!L62/Data_Entry!$H62&lt;0,0,Data_Entry!L62/Data_Entry!$H62),0)</f>
        <v>1.0816797837104672</v>
      </c>
      <c r="H73" s="49">
        <f>IFERROR(IF(Data_Entry!M62/Data_Entry!$H62&lt;0,0,Data_Entry!M62/Data_Entry!$H62),0)</f>
        <v>1.0549859693055952</v>
      </c>
      <c r="I73" s="49">
        <f>IFERROR(IF(Data_Entry!N62/Data_Entry!$H62&lt;0,0,Data_Entry!N62/Data_Entry!$H62),0)</f>
        <v>1.0294527555270219</v>
      </c>
      <c r="J73" s="49">
        <f>IFERROR(IF(Data_Entry!O62/Data_Entry!$H62&lt;0,0,Data_Entry!O62/Data_Entry!$H62),0)</f>
        <v>0.9679409223331864</v>
      </c>
      <c r="K73" s="49">
        <f>IFERROR(IF(Data_Entry!P62/Data_Entry!$H62&lt;0,0,Data_Entry!P62/Data_Entry!$H62),0)</f>
        <v>1.4704809935205601</v>
      </c>
      <c r="L73" s="49">
        <f>IFERROR(IF(Data_Entry!Q62/Data_Entry!$H62&lt;0,0,Data_Entry!Q62/Data_Entry!$H62),0)</f>
        <v>0.91687449477603988</v>
      </c>
      <c r="M73" s="49">
        <f>IFERROR(IF(Data_Entry!R62/Data_Entry!$H62&lt;0,0,Data_Entry!R62/Data_Entry!$H62),0)</f>
        <v>0.9679409223331864</v>
      </c>
      <c r="N73" s="49">
        <f>IFERROR(IF(Data_Entry!S62/Data_Entry!$H62&lt;0,0,Data_Entry!S62/Data_Entry!$H62),0)</f>
        <v>0.9586561173227961</v>
      </c>
      <c r="O73" s="49">
        <f>IFERROR(IF(Data_Entry!T62/Data_Entry!$H62&lt;0,0,Data_Entry!T62/Data_Entry!$H62),0)</f>
        <v>0.91687449477603988</v>
      </c>
      <c r="P73" s="49">
        <f>IFERROR(IF(Data_Entry!U62/Data_Entry!$H62&lt;0,0,Data_Entry!U62/Data_Entry!$H62),0)</f>
        <v>0.9679409223331864</v>
      </c>
      <c r="Q73" s="49">
        <f>IFERROR(IF(Data_Entry!V62/Data_Entry!$H62&lt;0,0,Data_Entry!V62/Data_Entry!$H62),0)</f>
        <v>0.9586561173227961</v>
      </c>
      <c r="R73" s="49">
        <f>IFERROR(IF(Data_Entry!W62/Data_Entry!$H62&lt;0,0,Data_Entry!W62/Data_Entry!$H62),0)</f>
        <v>0.91687449477603988</v>
      </c>
      <c r="S73" s="49">
        <f>IFERROR(IF(Data_Entry!X62/Data_Entry!$H62&lt;0,0,Data_Entry!X62/Data_Entry!$H62),0)</f>
        <v>0.90758968976564958</v>
      </c>
      <c r="T73" s="49">
        <f>IFERROR(IF(Data_Entry!Y62/Data_Entry!$H62&lt;0,0,Data_Entry!Y62/Data_Entry!$H62),0)</f>
        <v>0.67082716200069747</v>
      </c>
      <c r="U73" s="49">
        <f>IFERROR(IF(Data_Entry!Z62/Data_Entry!$H62&lt;0,0,Data_Entry!Z62/Data_Entry!$H62),0)</f>
        <v>0.76831761460979542</v>
      </c>
      <c r="V73" s="49">
        <f>IFERROR(IF(Data_Entry!AA62/Data_Entry!$H62&lt;0,0,Data_Entry!AA62/Data_Entry!$H62),0)</f>
        <v>1.0294527555270219</v>
      </c>
      <c r="W73" s="49">
        <f>IFERROR(IF(Data_Entry!AB62/Data_Entry!$H62&lt;0,0,Data_Entry!AB62/Data_Entry!$H62),0)</f>
        <v>0.83795365218772244</v>
      </c>
      <c r="X73" s="49">
        <f>IFERROR(IF(Data_Entry!AC62/Data_Entry!$I62&lt;0,0,Data_Entry!AC62/Data_Entry!$I62),0)</f>
        <v>0.22784041045028017</v>
      </c>
      <c r="Y73" s="49">
        <f>IFERROR(IF(Data_Entry!AD62/Data_Entry!$I62&lt;0,0,Data_Entry!AD62/Data_Entry!$I62),0)</f>
        <v>0.15898197529197328</v>
      </c>
      <c r="Z73" s="49">
        <f>IFERROR(IF(Data_Entry!AE62/Data_Entry!$I62&lt;0,0,Data_Entry!AE62/Data_Entry!$I62),0)</f>
        <v>0.19239856882468104</v>
      </c>
      <c r="AA73" s="49">
        <f>IFERROR(IF(Data_Entry!AF62/Data_Entry!$I62&lt;0,0,Data_Entry!AF62/Data_Entry!$I62),0)</f>
        <v>0.2339161547289543</v>
      </c>
      <c r="AB73" s="49">
        <f>IFERROR(IF(Data_Entry!AG62/Data_Entry!$I62&lt;0,0,Data_Entry!AG62/Data_Entry!$I62),0)</f>
        <v>0.34935529602376292</v>
      </c>
      <c r="AC73" s="49">
        <f>IFERROR(IF(Data_Entry!AI62/Data_Entry!$I62&lt;0,0,Data_Entry!AI62/Data_Entry!$I62),0)</f>
        <v>3.3720380746641465E-2</v>
      </c>
      <c r="AD73" s="49">
        <f>IFERROR(IF(Data_Entry!AM62/Data_Entry!$H62&lt;0,0,Data_Entry!AM62/Data_Entry!$H62),0)</f>
        <v>0.76831761460979542</v>
      </c>
      <c r="AE73" s="50">
        <f>Data_Entry!AK62</f>
        <v>27.622833333333347</v>
      </c>
      <c r="AF73" s="50">
        <f>Data_Entry!AL62</f>
        <v>52</v>
      </c>
      <c r="AG73" s="153">
        <f>(Data_Entry!O62-Data_Entry!Q62)/Data_Entry!O62</f>
        <v>5.2757793764988008E-2</v>
      </c>
      <c r="AH73" s="79" t="str">
        <f t="shared" si="0"/>
        <v>CAT1</v>
      </c>
      <c r="AI73" s="51">
        <f>SUBTOTAL(3,Tableau1[[#This Row],[ZS]])</f>
        <v>0</v>
      </c>
      <c r="AJ73" s="51" t="e">
        <f t="shared" ca="1" si="1"/>
        <v>#NAME?</v>
      </c>
      <c r="AK73" s="50" t="str">
        <f>IFERROR(IF((Data_Entry!O62-Data_Entry!Q62)/Data_Entry!O62&lt;=10%,"&lt;=10%","&gt;10%"),"&lt;=10%")</f>
        <v>&lt;=10%</v>
      </c>
    </row>
    <row r="74" spans="1:37" s="48" customFormat="1" ht="13" hidden="1" x14ac:dyDescent="0.3">
      <c r="A74" s="31" t="s">
        <v>16</v>
      </c>
      <c r="B74" s="48" t="str">
        <f>Data_Entry!B63</f>
        <v>Butembo</v>
      </c>
      <c r="C74" s="48" t="str">
        <f>Data_Entry!C63</f>
        <v xml:space="preserve"> Beni</v>
      </c>
      <c r="D74" s="48" t="str">
        <f>Data_Entry!D63</f>
        <v xml:space="preserve"> Sayo</v>
      </c>
      <c r="E74" s="49">
        <f>IFERROR(IF(Data_Entry!J63/Data_Entry!$I63&lt;0,0,Data_Entry!J63/Data_Entry!$I63),0)</f>
        <v>1.0515631343889567</v>
      </c>
      <c r="F74" s="49">
        <f>IFERROR(IF(Data_Entry!K63/Data_Entry!$H63&lt;0,0,Data_Entry!K63/Data_Entry!$H63),0)</f>
        <v>0.34435141527268326</v>
      </c>
      <c r="G74" s="49">
        <f>IFERROR(IF(Data_Entry!L63/Data_Entry!$H63&lt;0,0,Data_Entry!L63/Data_Entry!$H63),0)</f>
        <v>1.2610707234986103</v>
      </c>
      <c r="H74" s="49">
        <f>IFERROR(IF(Data_Entry!M63/Data_Entry!$H63&lt;0,0,Data_Entry!M63/Data_Entry!$H63),0)</f>
        <v>1.0888950158622686</v>
      </c>
      <c r="I74" s="49">
        <f>IFERROR(IF(Data_Entry!N63/Data_Entry!$H63&lt;0,0,Data_Entry!N63/Data_Entry!$H63),0)</f>
        <v>1.1866163634396516</v>
      </c>
      <c r="J74" s="49">
        <f>IFERROR(IF(Data_Entry!O63/Data_Entry!$H63&lt;0,0,Data_Entry!O63/Data_Entry!$H63),0)</f>
        <v>1.2610707234986103</v>
      </c>
      <c r="K74" s="49">
        <f>IFERROR(IF(Data_Entry!P63/Data_Entry!$H63&lt;0,0,Data_Entry!P63/Data_Entry!$H63),0)</f>
        <v>1.0888950158622686</v>
      </c>
      <c r="L74" s="49">
        <f>IFERROR(IF(Data_Entry!Q63/Data_Entry!$H63&lt;0,0,Data_Entry!Q63/Data_Entry!$H63),0)</f>
        <v>1.1819629659359667</v>
      </c>
      <c r="M74" s="49">
        <f>IFERROR(IF(Data_Entry!R63/Data_Entry!$H63&lt;0,0,Data_Entry!R63/Data_Entry!$H63),0)</f>
        <v>0.9725600782701459</v>
      </c>
      <c r="N74" s="49">
        <f>IFERROR(IF(Data_Entry!S63/Data_Entry!$H63&lt;0,0,Data_Entry!S63/Data_Entry!$H63),0)</f>
        <v>0.83295815315959865</v>
      </c>
      <c r="O74" s="49">
        <f>IFERROR(IF(Data_Entry!T63/Data_Entry!$H63&lt;0,0,Data_Entry!T63/Data_Entry!$H63),0)</f>
        <v>0.88879892320381759</v>
      </c>
      <c r="P74" s="49">
        <f>IFERROR(IF(Data_Entry!U63/Data_Entry!$H63&lt;0,0,Data_Entry!U63/Data_Entry!$H63),0)</f>
        <v>0.96325328326277604</v>
      </c>
      <c r="Q74" s="49">
        <f>IFERROR(IF(Data_Entry!V63/Data_Entry!$H63&lt;0,0,Data_Entry!V63/Data_Entry!$H63),0)</f>
        <v>0.83295815315959865</v>
      </c>
      <c r="R74" s="49">
        <f>IFERROR(IF(Data_Entry!W63/Data_Entry!$H63&lt;0,0,Data_Entry!W63/Data_Entry!$H63),0)</f>
        <v>0.9074125132185572</v>
      </c>
      <c r="S74" s="49">
        <f>IFERROR(IF(Data_Entry!X63/Data_Entry!$H63&lt;0,0,Data_Entry!X63/Data_Entry!$H63),0)</f>
        <v>0.91206591072224208</v>
      </c>
      <c r="T74" s="49">
        <f>IFERROR(IF(Data_Entry!Y63/Data_Entry!$H63&lt;0,0,Data_Entry!Y63/Data_Entry!$H63),0)</f>
        <v>0.45137955785743611</v>
      </c>
      <c r="U74" s="49">
        <f>IFERROR(IF(Data_Entry!Z63/Data_Entry!$H63&lt;0,0,Data_Entry!Z63/Data_Entry!$H63),0)</f>
        <v>0.90275911571487222</v>
      </c>
      <c r="V74" s="49">
        <f>IFERROR(IF(Data_Entry!AA63/Data_Entry!$H63&lt;0,0,Data_Entry!AA63/Data_Entry!$H63),0)</f>
        <v>1.223843543469131</v>
      </c>
      <c r="W74" s="49">
        <f>IFERROR(IF(Data_Entry!AB63/Data_Entry!$H63&lt;0,0,Data_Entry!AB63/Data_Entry!$H63),0)</f>
        <v>0.90275911571487222</v>
      </c>
      <c r="X74" s="49">
        <f>IFERROR(IF(Data_Entry!AC63/Data_Entry!$I63&lt;0,0,Data_Entry!AC63/Data_Entry!$I63),0)</f>
        <v>0.3207470564352416</v>
      </c>
      <c r="Y74" s="49">
        <f>IFERROR(IF(Data_Entry!AD63/Data_Entry!$I63&lt;0,0,Data_Entry!AD63/Data_Entry!$I63),0)</f>
        <v>0.3207470564352416</v>
      </c>
      <c r="Z74" s="49">
        <f>IFERROR(IF(Data_Entry!AE63/Data_Entry!$I63&lt;0,0,Data_Entry!AE63/Data_Entry!$I63),0)</f>
        <v>0.13804303694681283</v>
      </c>
      <c r="AA74" s="49">
        <f>IFERROR(IF(Data_Entry!AF63/Data_Entry!$I63&lt;0,0,Data_Entry!AF63/Data_Entry!$I63),0)</f>
        <v>0.146163215590743</v>
      </c>
      <c r="AB74" s="49">
        <f>IFERROR(IF(Data_Entry!AG63/Data_Entry!$I63&lt;0,0,Data_Entry!AG63/Data_Entry!$I63),0)</f>
        <v>0.10150223304912709</v>
      </c>
      <c r="AC74" s="49">
        <f>IFERROR(IF(Data_Entry!AI63/Data_Entry!$I63&lt;0,0,Data_Entry!AI63/Data_Entry!$I63),0)</f>
        <v>0.13520097442143728</v>
      </c>
      <c r="AD74" s="49">
        <f>IFERROR(IF(Data_Entry!AM63/Data_Entry!$H63&lt;0,0,Data_Entry!AM63/Data_Entry!$H63),0)</f>
        <v>0.90275911571487222</v>
      </c>
      <c r="AE74" s="50">
        <f>Data_Entry!AK63</f>
        <v>0</v>
      </c>
      <c r="AF74" s="50">
        <f>Data_Entry!AL63</f>
        <v>75</v>
      </c>
      <c r="AG74" s="153">
        <f>(Data_Entry!O63-Data_Entry!Q63)/Data_Entry!O63</f>
        <v>6.273062730627306E-2</v>
      </c>
      <c r="AH74" s="79" t="str">
        <f t="shared" si="0"/>
        <v>CAT1</v>
      </c>
      <c r="AI74" s="51">
        <f>SUBTOTAL(3,Tableau1[[#This Row],[ZS]])</f>
        <v>0</v>
      </c>
      <c r="AJ74" s="51" t="e">
        <f t="shared" ca="1" si="1"/>
        <v>#NAME?</v>
      </c>
      <c r="AK74" s="50" t="str">
        <f>IFERROR(IF((Data_Entry!O63-Data_Entry!Q63)/Data_Entry!O63&lt;=10%,"&lt;=10%","&gt;10%"),"&lt;=10%")</f>
        <v>&lt;=10%</v>
      </c>
    </row>
    <row r="75" spans="1:37" s="48" customFormat="1" ht="13" hidden="1" x14ac:dyDescent="0.3">
      <c r="A75" s="31" t="s">
        <v>16</v>
      </c>
      <c r="B75" s="48" t="str">
        <f>Data_Entry!B64</f>
        <v>Butembo</v>
      </c>
      <c r="C75" s="48" t="str">
        <f>Data_Entry!C64</f>
        <v xml:space="preserve"> Beni</v>
      </c>
      <c r="D75" s="48" t="str">
        <f>Data_Entry!D64</f>
        <v xml:space="preserve"> Supa</v>
      </c>
      <c r="E75" s="49">
        <f>IFERROR(IF(Data_Entry!J64/Data_Entry!$I64&lt;0,0,Data_Entry!J64/Data_Entry!$I64),0)</f>
        <v>0.20491803278688525</v>
      </c>
      <c r="F75" s="49">
        <f>IFERROR(IF(Data_Entry!K64/Data_Entry!$H64&lt;0,0,Data_Entry!K64/Data_Entry!$H64),0)</f>
        <v>0</v>
      </c>
      <c r="G75" s="49">
        <f>IFERROR(IF(Data_Entry!L64/Data_Entry!$H64&lt;0,0,Data_Entry!L64/Data_Entry!$H64),0)</f>
        <v>0.61064399455117657</v>
      </c>
      <c r="H75" s="49">
        <f>IFERROR(IF(Data_Entry!M64/Data_Entry!$H64&lt;0,0,Data_Entry!M64/Data_Entry!$H64),0)</f>
        <v>0.43841107301110116</v>
      </c>
      <c r="I75" s="49">
        <f>IFERROR(IF(Data_Entry!N64/Data_Entry!$H64&lt;0,0,Data_Entry!N64/Data_Entry!$H64),0)</f>
        <v>0.39143845804562605</v>
      </c>
      <c r="J75" s="49">
        <f>IFERROR(IF(Data_Entry!O64/Data_Entry!$H64&lt;0,0,Data_Entry!O64/Data_Entry!$H64),0)</f>
        <v>0.53235630294205138</v>
      </c>
      <c r="K75" s="49">
        <f>IFERROR(IF(Data_Entry!P64/Data_Entry!$H64&lt;0,0,Data_Entry!P64/Data_Entry!$H64),0)</f>
        <v>0.39143845804562605</v>
      </c>
      <c r="L75" s="49">
        <f>IFERROR(IF(Data_Entry!Q64/Data_Entry!$H64&lt;0,0,Data_Entry!Q64/Data_Entry!$H64),0)</f>
        <v>0.34446584308015094</v>
      </c>
      <c r="M75" s="49">
        <f>IFERROR(IF(Data_Entry!R64/Data_Entry!$H64&lt;0,0,Data_Entry!R64/Data_Entry!$H64),0)</f>
        <v>0.56367137958570146</v>
      </c>
      <c r="N75" s="49">
        <f>IFERROR(IF(Data_Entry!S64/Data_Entry!$H64&lt;0,0,Data_Entry!S64/Data_Entry!$H64),0)</f>
        <v>0.34446584308015094</v>
      </c>
      <c r="O75" s="49">
        <f>IFERROR(IF(Data_Entry!T64/Data_Entry!$H64&lt;0,0,Data_Entry!T64/Data_Entry!$H64),0)</f>
        <v>0.29749322811467577</v>
      </c>
      <c r="P75" s="49">
        <f>IFERROR(IF(Data_Entry!U64/Data_Entry!$H64&lt;0,0,Data_Entry!U64/Data_Entry!$H64),0)</f>
        <v>0.53235630294205138</v>
      </c>
      <c r="Q75" s="49">
        <f>IFERROR(IF(Data_Entry!V64/Data_Entry!$H64&lt;0,0,Data_Entry!V64/Data_Entry!$H64),0)</f>
        <v>0.36012338140197597</v>
      </c>
      <c r="R75" s="49">
        <f>IFERROR(IF(Data_Entry!W64/Data_Entry!$H64&lt;0,0,Data_Entry!W64/Data_Entry!$H64),0)</f>
        <v>0.29749322811467577</v>
      </c>
      <c r="S75" s="49">
        <f>IFERROR(IF(Data_Entry!X64/Data_Entry!$H64&lt;0,0,Data_Entry!X64/Data_Entry!$H64),0)</f>
        <v>0.62630153287300161</v>
      </c>
      <c r="T75" s="49">
        <f>IFERROR(IF(Data_Entry!Y64/Data_Entry!$H64&lt;0,0,Data_Entry!Y64/Data_Entry!$H64),0)</f>
        <v>0.20354799818372554</v>
      </c>
      <c r="U75" s="49">
        <f>IFERROR(IF(Data_Entry!Z64/Data_Entry!$H64&lt;0,0,Data_Entry!Z64/Data_Entry!$H64),0)</f>
        <v>0.53235630294205138</v>
      </c>
      <c r="V75" s="49">
        <f>IFERROR(IF(Data_Entry!AA64/Data_Entry!$H64&lt;0,0,Data_Entry!AA64/Data_Entry!$H64),0)</f>
        <v>0.56367137958570146</v>
      </c>
      <c r="W75" s="49">
        <f>IFERROR(IF(Data_Entry!AB64/Data_Entry!$H64&lt;0,0,Data_Entry!AB64/Data_Entry!$H64),0)</f>
        <v>0.37578091972380101</v>
      </c>
      <c r="X75" s="49">
        <f>IFERROR(IF(Data_Entry!AC64/Data_Entry!$I64&lt;0,0,Data_Entry!AC64/Data_Entry!$I64),0)</f>
        <v>0</v>
      </c>
      <c r="Y75" s="49">
        <f>IFERROR(IF(Data_Entry!AD64/Data_Entry!$I64&lt;0,0,Data_Entry!AD64/Data_Entry!$I64),0)</f>
        <v>0</v>
      </c>
      <c r="Z75" s="49">
        <f>IFERROR(IF(Data_Entry!AE64/Data_Entry!$I64&lt;0,0,Data_Entry!AE64/Data_Entry!$I64),0)</f>
        <v>0</v>
      </c>
      <c r="AA75" s="49">
        <f>IFERROR(IF(Data_Entry!AF64/Data_Entry!$I64&lt;0,0,Data_Entry!AF64/Data_Entry!$I64),0)</f>
        <v>0</v>
      </c>
      <c r="AB75" s="49">
        <f>IFERROR(IF(Data_Entry!AG64/Data_Entry!$I64&lt;0,0,Data_Entry!AG64/Data_Entry!$I64),0)</f>
        <v>0</v>
      </c>
      <c r="AC75" s="49">
        <f>IFERROR(IF(Data_Entry!AI64/Data_Entry!$I64&lt;0,0,Data_Entry!AI64/Data_Entry!$I64),0)</f>
        <v>0.56967213114754101</v>
      </c>
      <c r="AD75" s="49">
        <f>IFERROR(IF(Data_Entry!AM64/Data_Entry!$H64&lt;0,0,Data_Entry!AM64/Data_Entry!$H64),0)</f>
        <v>0.53235630294205138</v>
      </c>
      <c r="AE75" s="50">
        <f>Data_Entry!AK64</f>
        <v>29.867000000000004</v>
      </c>
      <c r="AF75" s="50">
        <f>Data_Entry!AL64</f>
        <v>0</v>
      </c>
      <c r="AG75" s="153">
        <f>(Data_Entry!O64-Data_Entry!Q64)/Data_Entry!O64</f>
        <v>0.35294117647058826</v>
      </c>
      <c r="AH75" s="79" t="str">
        <f t="shared" si="0"/>
        <v>CAT4</v>
      </c>
      <c r="AI75" s="51">
        <f>SUBTOTAL(3,Tableau1[[#This Row],[ZS]])</f>
        <v>0</v>
      </c>
      <c r="AJ75" s="51" t="e">
        <f t="shared" ca="1" si="1"/>
        <v>#NAME?</v>
      </c>
      <c r="AK75" s="50" t="str">
        <f>IFERROR(IF((Data_Entry!O64-Data_Entry!Q64)/Data_Entry!O64&lt;=10%,"&lt;=10%","&gt;10%"),"&lt;=10%")</f>
        <v>&gt;10%</v>
      </c>
    </row>
    <row r="76" spans="1:37" s="48" customFormat="1" ht="13" hidden="1" x14ac:dyDescent="0.3">
      <c r="A76" s="31" t="s">
        <v>16</v>
      </c>
      <c r="B76" s="48" t="str">
        <f>Data_Entry!B65</f>
        <v>Butembo</v>
      </c>
      <c r="C76" s="48" t="str">
        <f>Data_Entry!C65</f>
        <v xml:space="preserve"> Beni</v>
      </c>
      <c r="D76" s="48" t="str">
        <f>Data_Entry!D65</f>
        <v xml:space="preserve"> Tamende</v>
      </c>
      <c r="E76" s="49">
        <f>IFERROR(IF(Data_Entry!J65/Data_Entry!$I65&lt;0,0,Data_Entry!J65/Data_Entry!$I65),0)</f>
        <v>0.94840294840294836</v>
      </c>
      <c r="F76" s="49">
        <f>IFERROR(IF(Data_Entry!K65/Data_Entry!$H65&lt;0,0,Data_Entry!K65/Data_Entry!$H65),0)</f>
        <v>0.32478427893900674</v>
      </c>
      <c r="G76" s="49">
        <f>IFERROR(IF(Data_Entry!L65/Data_Entry!$H65&lt;0,0,Data_Entry!L65/Data_Entry!$H65),0)</f>
        <v>1.1527025853673418</v>
      </c>
      <c r="H76" s="49">
        <f>IFERROR(IF(Data_Entry!M65/Data_Entry!$H65&lt;0,0,Data_Entry!M65/Data_Entry!$H65),0)</f>
        <v>0.93492815555852804</v>
      </c>
      <c r="I76" s="49">
        <f>IFERROR(IF(Data_Entry!N65/Data_Entry!$H65&lt;0,0,Data_Entry!N65/Data_Entry!$H65),0)</f>
        <v>1.0494474677855767</v>
      </c>
      <c r="J76" s="49">
        <f>IFERROR(IF(Data_Entry!O65/Data_Entry!$H65&lt;0,0,Data_Entry!O65/Data_Entry!$H65),0)</f>
        <v>0.93868288710695591</v>
      </c>
      <c r="K76" s="49">
        <f>IFERROR(IF(Data_Entry!P65/Data_Entry!$H65&lt;0,0,Data_Entry!P65/Data_Entry!$H65),0)</f>
        <v>0.85795615881575771</v>
      </c>
      <c r="L76" s="49">
        <f>IFERROR(IF(Data_Entry!Q65/Data_Entry!$H65&lt;0,0,Data_Entry!Q65/Data_Entry!$H65),0)</f>
        <v>0.88799401120318022</v>
      </c>
      <c r="M76" s="49">
        <f>IFERROR(IF(Data_Entry!R65/Data_Entry!$H65&lt;0,0,Data_Entry!R65/Data_Entry!$H65),0)</f>
        <v>0.95745654484909504</v>
      </c>
      <c r="N76" s="49">
        <f>IFERROR(IF(Data_Entry!S65/Data_Entry!$H65&lt;0,0,Data_Entry!S65/Data_Entry!$H65),0)</f>
        <v>0.87109771923525503</v>
      </c>
      <c r="O76" s="49">
        <f>IFERROR(IF(Data_Entry!T65/Data_Entry!$H65&lt;0,0,Data_Entry!T65/Data_Entry!$H65),0)</f>
        <v>2.2115368820239882</v>
      </c>
      <c r="P76" s="49">
        <f>IFERROR(IF(Data_Entry!U65/Data_Entry!$H65&lt;0,0,Data_Entry!U65/Data_Entry!$H65),0)</f>
        <v>0.6908706049107195</v>
      </c>
      <c r="Q76" s="49">
        <f>IFERROR(IF(Data_Entry!V65/Data_Entry!$H65&lt;0,0,Data_Entry!V65/Data_Entry!$H65),0)</f>
        <v>0.64393646055537168</v>
      </c>
      <c r="R76" s="49">
        <f>IFERROR(IF(Data_Entry!W65/Data_Entry!$H65&lt;0,0,Data_Entry!W65/Data_Entry!$H65),0)</f>
        <v>0.66083275252329698</v>
      </c>
      <c r="S76" s="49">
        <f>IFERROR(IF(Data_Entry!X65/Data_Entry!$H65&lt;0,0,Data_Entry!X65/Data_Entry!$H65),0)</f>
        <v>0.98561703146230373</v>
      </c>
      <c r="T76" s="49">
        <f>IFERROR(IF(Data_Entry!Y65/Data_Entry!$H65&lt;0,0,Data_Entry!Y65/Data_Entry!$H65),0)</f>
        <v>0.46934144355347795</v>
      </c>
      <c r="U76" s="49">
        <f>IFERROR(IF(Data_Entry!Z65/Data_Entry!$H65&lt;0,0,Data_Entry!Z65/Data_Entry!$H65),0)</f>
        <v>0.92178659513903072</v>
      </c>
      <c r="V76" s="49">
        <f>IFERROR(IF(Data_Entry!AA65/Data_Entry!$H65&lt;0,0,Data_Entry!AA65/Data_Entry!$H65),0)</f>
        <v>1.0494474677855767</v>
      </c>
      <c r="W76" s="49">
        <f>IFERROR(IF(Data_Entry!AB65/Data_Entry!$H65&lt;0,0,Data_Entry!AB65/Data_Entry!$H65),0)</f>
        <v>0.76408787010506207</v>
      </c>
      <c r="X76" s="49">
        <f>IFERROR(IF(Data_Entry!AC65/Data_Entry!$I65&lt;0,0,Data_Entry!AC65/Data_Entry!$I65),0)</f>
        <v>0.28337428337428339</v>
      </c>
      <c r="Y76" s="49">
        <f>IFERROR(IF(Data_Entry!AD65/Data_Entry!$I65&lt;0,0,Data_Entry!AD65/Data_Entry!$I65),0)</f>
        <v>0.24570024570024571</v>
      </c>
      <c r="Z76" s="49">
        <f>IFERROR(IF(Data_Entry!AE65/Data_Entry!$I65&lt;0,0,Data_Entry!AE65/Data_Entry!$I65),0)</f>
        <v>0.2031122031122031</v>
      </c>
      <c r="AA76" s="49">
        <f>IFERROR(IF(Data_Entry!AF65/Data_Entry!$I65&lt;0,0,Data_Entry!AF65/Data_Entry!$I65),0)</f>
        <v>0.11957411957411958</v>
      </c>
      <c r="AB76" s="49">
        <f>IFERROR(IF(Data_Entry!AG65/Data_Entry!$I65&lt;0,0,Data_Entry!AG65/Data_Entry!$I65),0)</f>
        <v>9.3366093366093361E-2</v>
      </c>
      <c r="AC76" s="49">
        <f>IFERROR(IF(Data_Entry!AI65/Data_Entry!$I65&lt;0,0,Data_Entry!AI65/Data_Entry!$I65),0)</f>
        <v>5.4545454545454543E-2</v>
      </c>
      <c r="AD76" s="49">
        <f>IFERROR(IF(Data_Entry!AM65/Data_Entry!$H65&lt;0,0,Data_Entry!AM65/Data_Entry!$H65),0)</f>
        <v>0.92178659513903072</v>
      </c>
      <c r="AE76" s="50">
        <f>Data_Entry!AK65</f>
        <v>32.661249999999995</v>
      </c>
      <c r="AF76" s="50">
        <f>Data_Entry!AL65</f>
        <v>0</v>
      </c>
      <c r="AG76" s="153">
        <f>(Data_Entry!O65-Data_Entry!Q65)/Data_Entry!O65</f>
        <v>5.3999999999999999E-2</v>
      </c>
      <c r="AH76" s="79" t="str">
        <f t="shared" si="0"/>
        <v>CAT1</v>
      </c>
      <c r="AI76" s="51">
        <f>SUBTOTAL(3,Tableau1[[#This Row],[ZS]])</f>
        <v>0</v>
      </c>
      <c r="AJ76" s="51" t="e">
        <f t="shared" ca="1" si="1"/>
        <v>#NAME?</v>
      </c>
      <c r="AK76" s="50" t="str">
        <f>IFERROR(IF((Data_Entry!O65-Data_Entry!Q65)/Data_Entry!O65&lt;=10%,"&lt;=10%","&gt;10%"),"&lt;=10%")</f>
        <v>&lt;=10%</v>
      </c>
    </row>
    <row r="77" spans="1:37" s="48" customFormat="1" ht="13" hidden="1" x14ac:dyDescent="0.3">
      <c r="A77" s="31" t="s">
        <v>16</v>
      </c>
      <c r="B77" s="48" t="str">
        <f>Data_Entry!B66</f>
        <v>Butembo</v>
      </c>
      <c r="C77" s="48" t="str">
        <f>Data_Entry!C66</f>
        <v xml:space="preserve"> Beni</v>
      </c>
      <c r="D77" s="48" t="str">
        <f>Data_Entry!D66</f>
        <v xml:space="preserve"> Tuungane</v>
      </c>
      <c r="E77" s="49">
        <f>IFERROR(IF(Data_Entry!J66/Data_Entry!$I66&lt;0,0,Data_Entry!J66/Data_Entry!$I66),0)</f>
        <v>1.0324189526184537</v>
      </c>
      <c r="F77" s="49">
        <f>IFERROR(IF(Data_Entry!K66/Data_Entry!$H66&lt;0,0,Data_Entry!K66/Data_Entry!$H66),0)</f>
        <v>0.54877133813031886</v>
      </c>
      <c r="G77" s="49">
        <f>IFERROR(IF(Data_Entry!L66/Data_Entry!$H66&lt;0,0,Data_Entry!L66/Data_Entry!$H66),0)</f>
        <v>1.0953990382210663</v>
      </c>
      <c r="H77" s="49">
        <f>IFERROR(IF(Data_Entry!M66/Data_Entry!$H66&lt;0,0,Data_Entry!M66/Data_Entry!$H66),0)</f>
        <v>1.0418080872317772</v>
      </c>
      <c r="I77" s="49">
        <f>IFERROR(IF(Data_Entry!N66/Data_Entry!$H66&lt;0,0,Data_Entry!N66/Data_Entry!$H66),0)</f>
        <v>1.236879148832789</v>
      </c>
      <c r="J77" s="49">
        <f>IFERROR(IF(Data_Entry!O66/Data_Entry!$H66&lt;0,0,Data_Entry!O66/Data_Entry!$H66),0)</f>
        <v>1.0289462589943479</v>
      </c>
      <c r="K77" s="49">
        <f>IFERROR(IF(Data_Entry!P66/Data_Entry!$H66&lt;0,0,Data_Entry!P66/Data_Entry!$H66),0)</f>
        <v>1.0010789644799176</v>
      </c>
      <c r="L77" s="49">
        <f>IFERROR(IF(Data_Entry!Q66/Data_Entry!$H66&lt;0,0,Data_Entry!Q66/Data_Entry!$H66),0)</f>
        <v>1.0546699154692067</v>
      </c>
      <c r="M77" s="49">
        <f>IFERROR(IF(Data_Entry!R66/Data_Entry!$H66&lt;0,0,Data_Entry!R66/Data_Entry!$H66),0)</f>
        <v>1.1125481425376387</v>
      </c>
      <c r="N77" s="49">
        <f>IFERROR(IF(Data_Entry!S66/Data_Entry!$H66&lt;0,0,Data_Entry!S66/Data_Entry!$H66),0)</f>
        <v>0.79957698876019123</v>
      </c>
      <c r="O77" s="49">
        <f>IFERROR(IF(Data_Entry!T66/Data_Entry!$H66&lt;0,0,Data_Entry!T66/Data_Entry!$H66),0)</f>
        <v>2.7288512243745937</v>
      </c>
      <c r="P77" s="49">
        <f>IFERROR(IF(Data_Entry!U66/Data_Entry!$H66&lt;0,0,Data_Entry!U66/Data_Entry!$H66),0)</f>
        <v>0.94105709937191406</v>
      </c>
      <c r="Q77" s="49">
        <f>IFERROR(IF(Data_Entry!V66/Data_Entry!$H66&lt;0,0,Data_Entry!V66/Data_Entry!$H66),0)</f>
        <v>0.90032797662005448</v>
      </c>
      <c r="R77" s="49">
        <f>IFERROR(IF(Data_Entry!W66/Data_Entry!$H66&lt;0,0,Data_Entry!W66/Data_Entry!$H66),0)</f>
        <v>0.89604070054091134</v>
      </c>
      <c r="S77" s="49">
        <f>IFERROR(IF(Data_Entry!X66/Data_Entry!$H66&lt;0,0,Data_Entry!X66/Data_Entry!$H66),0)</f>
        <v>1.0268026209547765</v>
      </c>
      <c r="T77" s="49">
        <f>IFERROR(IF(Data_Entry!Y66/Data_Entry!$H66&lt;0,0,Data_Entry!Y66/Data_Entry!$H66),0)</f>
        <v>0.33012025809401996</v>
      </c>
      <c r="U77" s="49">
        <f>IFERROR(IF(Data_Entry!Z66/Data_Entry!$H66&lt;0,0,Data_Entry!Z66/Data_Entry!$H66),0)</f>
        <v>0.98392986016334516</v>
      </c>
      <c r="V77" s="49">
        <f>IFERROR(IF(Data_Entry!AA66/Data_Entry!$H66&lt;0,0,Data_Entry!AA66/Data_Entry!$H66),0)</f>
        <v>1.0632444676274928</v>
      </c>
      <c r="W77" s="49">
        <f>IFERROR(IF(Data_Entry!AB66/Data_Entry!$H66&lt;0,0,Data_Entry!AB66/Data_Entry!$H66),0)</f>
        <v>0.94320073741148558</v>
      </c>
      <c r="X77" s="49">
        <f>IFERROR(IF(Data_Entry!AC66/Data_Entry!$I66&lt;0,0,Data_Entry!AC66/Data_Entry!$I66),0)</f>
        <v>0.16645885286783041</v>
      </c>
      <c r="Y77" s="49">
        <f>IFERROR(IF(Data_Entry!AD66/Data_Entry!$I66&lt;0,0,Data_Entry!AD66/Data_Entry!$I66),0)</f>
        <v>4.6758104738154609E-2</v>
      </c>
      <c r="Z77" s="49">
        <f>IFERROR(IF(Data_Entry!AE66/Data_Entry!$I66&lt;0,0,Data_Entry!AE66/Data_Entry!$I66),0)</f>
        <v>0.19451371571072315</v>
      </c>
      <c r="AA77" s="49">
        <f>IFERROR(IF(Data_Entry!AF66/Data_Entry!$I66&lt;0,0,Data_Entry!AF66/Data_Entry!$I66),0)</f>
        <v>0.13466334164588525</v>
      </c>
      <c r="AB77" s="49">
        <f>IFERROR(IF(Data_Entry!AG66/Data_Entry!$I66&lt;0,0,Data_Entry!AG66/Data_Entry!$I66),0)</f>
        <v>0.1066084788029925</v>
      </c>
      <c r="AC77" s="49">
        <f>IFERROR(IF(Data_Entry!AI66/Data_Entry!$I66&lt;0,0,Data_Entry!AI66/Data_Entry!$I66),0)</f>
        <v>4.6758104738154609E-2</v>
      </c>
      <c r="AD77" s="49">
        <f>IFERROR(IF(Data_Entry!AM66/Data_Entry!$H66&lt;0,0,Data_Entry!AM66/Data_Entry!$H66),0)</f>
        <v>0.98392986016334516</v>
      </c>
      <c r="AE77" s="50">
        <f>Data_Entry!AK66</f>
        <v>0</v>
      </c>
      <c r="AF77" s="50">
        <f>Data_Entry!AL66</f>
        <v>1</v>
      </c>
      <c r="AG77" s="153">
        <f>(Data_Entry!O66-Data_Entry!Q66)/Data_Entry!O66</f>
        <v>-2.5000000000000001E-2</v>
      </c>
      <c r="AH77" s="79" t="str">
        <f t="shared" si="0"/>
        <v>CAT1</v>
      </c>
      <c r="AI77" s="51">
        <f>SUBTOTAL(3,Tableau1[[#This Row],[ZS]])</f>
        <v>0</v>
      </c>
      <c r="AJ77" s="51" t="e">
        <f t="shared" ca="1" si="1"/>
        <v>#NAME?</v>
      </c>
      <c r="AK77" s="50" t="str">
        <f>IFERROR(IF((Data_Entry!O66-Data_Entry!Q66)/Data_Entry!O66&lt;=10%,"&lt;=10%","&gt;10%"),"&lt;=10%")</f>
        <v>&lt;=10%</v>
      </c>
    </row>
    <row r="78" spans="1:37" s="48" customFormat="1" ht="13" hidden="1" x14ac:dyDescent="0.3">
      <c r="A78" s="31" t="s">
        <v>16</v>
      </c>
      <c r="B78" s="48" t="str">
        <f>Data_Entry!B67</f>
        <v>Butembo</v>
      </c>
      <c r="C78" s="48" t="str">
        <f>Data_Entry!C67</f>
        <v xml:space="preserve"> Biena</v>
      </c>
      <c r="D78" s="48" t="str">
        <f>Data_Entry!D67</f>
        <v xml:space="preserve"> Anuarite</v>
      </c>
      <c r="E78" s="49">
        <f>IFERROR(IF(Data_Entry!J67/Data_Entry!$I67&lt;0,0,Data_Entry!J67/Data_Entry!$I67),0)</f>
        <v>0.55795634812099992</v>
      </c>
      <c r="F78" s="49">
        <f>IFERROR(IF(Data_Entry!K67/Data_Entry!$H67&lt;0,0,Data_Entry!K67/Data_Entry!$H67),0)</f>
        <v>0.3159840434327591</v>
      </c>
      <c r="G78" s="49">
        <f>IFERROR(IF(Data_Entry!L67/Data_Entry!$H67&lt;0,0,Data_Entry!L67/Data_Entry!$H67),0)</f>
        <v>0.90657326746779698</v>
      </c>
      <c r="H78" s="49">
        <f>IFERROR(IF(Data_Entry!M67/Data_Entry!$H67&lt;0,0,Data_Entry!M67/Data_Entry!$H67),0)</f>
        <v>0.81817296960267982</v>
      </c>
      <c r="I78" s="49">
        <f>IFERROR(IF(Data_Entry!N67/Data_Entry!$H67&lt;0,0,Data_Entry!N67/Data_Entry!$H67),0)</f>
        <v>0.85202840282761838</v>
      </c>
      <c r="J78" s="49">
        <f>IFERROR(IF(Data_Entry!O67/Data_Entry!$H67&lt;0,0,Data_Entry!O67/Data_Entry!$H67),0)</f>
        <v>0.91033498227056797</v>
      </c>
      <c r="K78" s="49">
        <f>IFERROR(IF(Data_Entry!P67/Data_Entry!$H67&lt;0,0,Data_Entry!P67/Data_Entry!$H67),0)</f>
        <v>0.79936439558882511</v>
      </c>
      <c r="L78" s="49">
        <f>IFERROR(IF(Data_Entry!Q67/Data_Entry!$H67&lt;0,0,Data_Entry!Q67/Data_Entry!$H67),0)</f>
        <v>0.84262411582069097</v>
      </c>
      <c r="M78" s="49">
        <f>IFERROR(IF(Data_Entry!R67/Data_Entry!$H67&lt;0,0,Data_Entry!R67/Data_Entry!$H67),0)</f>
        <v>0.70155981071678064</v>
      </c>
      <c r="N78" s="49">
        <f>IFERROR(IF(Data_Entry!S67/Data_Entry!$H67&lt;0,0,Data_Entry!S67/Data_Entry!$H67),0)</f>
        <v>0.58870836663365245</v>
      </c>
      <c r="O78" s="49">
        <f>IFERROR(IF(Data_Entry!T67/Data_Entry!$H67&lt;0,0,Data_Entry!T67/Data_Entry!$H67),0)</f>
        <v>0.63008722946413276</v>
      </c>
      <c r="P78" s="49">
        <f>IFERROR(IF(Data_Entry!U67/Data_Entry!$H67&lt;0,0,Data_Entry!U67/Data_Entry!$H67),0)</f>
        <v>0.7673898197652721</v>
      </c>
      <c r="Q78" s="49">
        <f>IFERROR(IF(Data_Entry!V67/Data_Entry!$H67&lt;0,0,Data_Entry!V67/Data_Entry!$H67),0)</f>
        <v>0.69779809591400976</v>
      </c>
      <c r="R78" s="49">
        <f>IFERROR(IF(Data_Entry!W67/Data_Entry!$H67&lt;0,0,Data_Entry!W67/Data_Entry!$H67),0)</f>
        <v>0.62256379985859089</v>
      </c>
      <c r="S78" s="49">
        <f>IFERROR(IF(Data_Entry!X67/Data_Entry!$H67&lt;0,0,Data_Entry!X67/Data_Entry!$H67),0)</f>
        <v>0.84638583062346195</v>
      </c>
      <c r="T78" s="49">
        <f>IFERROR(IF(Data_Entry!Y67/Data_Entry!$H67&lt;0,0,Data_Entry!Y67/Data_Entry!$H67),0)</f>
        <v>0.25579660658842407</v>
      </c>
      <c r="U78" s="49">
        <f>IFERROR(IF(Data_Entry!Z67/Data_Entry!$H67&lt;0,0,Data_Entry!Z67/Data_Entry!$H67),0)</f>
        <v>0.78619839377912681</v>
      </c>
      <c r="V78" s="49">
        <f>IFERROR(IF(Data_Entry!AA67/Data_Entry!$H67&lt;0,0,Data_Entry!AA67/Data_Entry!$H67),0)</f>
        <v>0.83133897141237811</v>
      </c>
      <c r="W78" s="49">
        <f>IFERROR(IF(Data_Entry!AB67/Data_Entry!$H67&lt;0,0,Data_Entry!AB67/Data_Entry!$H67),0)</f>
        <v>0.79560268078605423</v>
      </c>
      <c r="X78" s="49">
        <f>IFERROR(IF(Data_Entry!AC67/Data_Entry!$I67&lt;0,0,Data_Entry!AC67/Data_Entry!$I67),0)</f>
        <v>0.12964279853399704</v>
      </c>
      <c r="Y78" s="49">
        <f>IFERROR(IF(Data_Entry!AD67/Data_Entry!$I67&lt;0,0,Data_Entry!AD67/Data_Entry!$I67),0)</f>
        <v>0.12964279853399704</v>
      </c>
      <c r="Z78" s="49">
        <f>IFERROR(IF(Data_Entry!AE67/Data_Entry!$I67&lt;0,0,Data_Entry!AE67/Data_Entry!$I67),0)</f>
        <v>0.13456594278212353</v>
      </c>
      <c r="AA78" s="49">
        <f>IFERROR(IF(Data_Entry!AF67/Data_Entry!$I67&lt;0,0,Data_Entry!AF67/Data_Entry!$I67),0)</f>
        <v>6.5641923308352931E-2</v>
      </c>
      <c r="AB78" s="49">
        <f>IFERROR(IF(Data_Entry!AG67/Data_Entry!$I67&lt;0,0,Data_Entry!AG67/Data_Entry!$I67),0)</f>
        <v>5.0872490563973527E-2</v>
      </c>
      <c r="AC78" s="49">
        <f>IFERROR(IF(Data_Entry!AI67/Data_Entry!$I67&lt;0,0,Data_Entry!AI67/Data_Entry!$I67),0)</f>
        <v>8.2052404135441168E-2</v>
      </c>
      <c r="AD78" s="49">
        <f>IFERROR(IF(Data_Entry!AM67/Data_Entry!$H67&lt;0,0,Data_Entry!AM67/Data_Entry!$H67),0)</f>
        <v>0.78619839377912681</v>
      </c>
      <c r="AE78" s="50">
        <f>Data_Entry!AK67</f>
        <v>47.672416666666663</v>
      </c>
      <c r="AF78" s="50">
        <f>Data_Entry!AL67</f>
        <v>34</v>
      </c>
      <c r="AG78" s="153">
        <f>(Data_Entry!O67-Data_Entry!Q67)/Data_Entry!O67</f>
        <v>7.43801652892562E-2</v>
      </c>
      <c r="AH78" s="79" t="str">
        <f t="shared" si="0"/>
        <v>CAT1</v>
      </c>
      <c r="AI78" s="51">
        <f>SUBTOTAL(3,Tableau1[[#This Row],[ZS]])</f>
        <v>0</v>
      </c>
      <c r="AJ78" s="51" t="e">
        <f t="shared" ca="1" si="1"/>
        <v>#NAME?</v>
      </c>
      <c r="AK78" s="50" t="str">
        <f>IFERROR(IF((Data_Entry!O67-Data_Entry!Q67)/Data_Entry!O67&lt;=10%,"&lt;=10%","&gt;10%"),"&lt;=10%")</f>
        <v>&lt;=10%</v>
      </c>
    </row>
    <row r="79" spans="1:37" s="48" customFormat="1" ht="13" hidden="1" x14ac:dyDescent="0.3">
      <c r="A79" s="31" t="s">
        <v>16</v>
      </c>
      <c r="B79" s="48" t="str">
        <f>Data_Entry!B68</f>
        <v>Butembo</v>
      </c>
      <c r="C79" s="48" t="str">
        <f>Data_Entry!C68</f>
        <v xml:space="preserve"> Biena</v>
      </c>
      <c r="D79" s="48" t="str">
        <f>Data_Entry!D68</f>
        <v xml:space="preserve"> Biambwe</v>
      </c>
      <c r="E79" s="49">
        <f>IFERROR(IF(Data_Entry!J68/Data_Entry!$I68&lt;0,0,Data_Entry!J68/Data_Entry!$I68),0)</f>
        <v>0.31198093449844733</v>
      </c>
      <c r="F79" s="49">
        <f>IFERROR(IF(Data_Entry!K68/Data_Entry!$H68&lt;0,0,Data_Entry!K68/Data_Entry!$H68),0)</f>
        <v>0.28804352436978581</v>
      </c>
      <c r="G79" s="49">
        <f>IFERROR(IF(Data_Entry!L68/Data_Entry!$H68&lt;0,0,Data_Entry!L68/Data_Entry!$H68),0)</f>
        <v>0.74742328306297867</v>
      </c>
      <c r="H79" s="49">
        <f>IFERROR(IF(Data_Entry!M68/Data_Entry!$H68&lt;0,0,Data_Entry!M68/Data_Entry!$H68),0)</f>
        <v>0.6083677885396338</v>
      </c>
      <c r="I79" s="49">
        <f>IFERROR(IF(Data_Entry!N68/Data_Entry!$H68&lt;0,0,Data_Entry!N68/Data_Entry!$H68),0)</f>
        <v>0.6580304651551141</v>
      </c>
      <c r="J79" s="49">
        <f>IFERROR(IF(Data_Entry!O68/Data_Entry!$H68&lt;0,0,Data_Entry!O68/Data_Entry!$H68),0)</f>
        <v>0.66051359898588813</v>
      </c>
      <c r="K79" s="49">
        <f>IFERROR(IF(Data_Entry!P68/Data_Entry!$H68&lt;0,0,Data_Entry!P68/Data_Entry!$H68),0)</f>
        <v>0.54877257660105738</v>
      </c>
      <c r="L79" s="49">
        <f>IFERROR(IF(Data_Entry!Q68/Data_Entry!$H68&lt;0,0,Data_Entry!Q68/Data_Entry!$H68),0)</f>
        <v>0.6083677885396338</v>
      </c>
      <c r="M79" s="49">
        <f>IFERROR(IF(Data_Entry!R68/Data_Entry!$H68&lt;0,0,Data_Entry!R68/Data_Entry!$H68),0)</f>
        <v>0.53139063978563927</v>
      </c>
      <c r="N79" s="49">
        <f>IFERROR(IF(Data_Entry!S68/Data_Entry!$H68&lt;0,0,Data_Entry!S68/Data_Entry!$H68),0)</f>
        <v>0.44199782187777475</v>
      </c>
      <c r="O79" s="49">
        <f>IFERROR(IF(Data_Entry!T68/Data_Entry!$H68&lt;0,0,Data_Entry!T68/Data_Entry!$H68),0)</f>
        <v>0.39730141292384247</v>
      </c>
      <c r="P79" s="49">
        <f>IFERROR(IF(Data_Entry!U68/Data_Entry!$H68&lt;0,0,Data_Entry!U68/Data_Entry!$H68),0)</f>
        <v>0.58850271789344166</v>
      </c>
      <c r="Q79" s="49">
        <f>IFERROR(IF(Data_Entry!V68/Data_Entry!$H68&lt;0,0,Data_Entry!V68/Data_Entry!$H68),0)</f>
        <v>0.50159303381635112</v>
      </c>
      <c r="R79" s="49">
        <f>IFERROR(IF(Data_Entry!W68/Data_Entry!$H68&lt;0,0,Data_Entry!W68/Data_Entry!$H68),0)</f>
        <v>0.479244829339385</v>
      </c>
      <c r="S79" s="49">
        <f>IFERROR(IF(Data_Entry!X68/Data_Entry!$H68&lt;0,0,Data_Entry!X68/Data_Entry!$H68),0)</f>
        <v>0.70521000793982036</v>
      </c>
      <c r="T79" s="49">
        <f>IFERROR(IF(Data_Entry!Y68/Data_Entry!$H68&lt;0,0,Data_Entry!Y68/Data_Entry!$H68),0)</f>
        <v>0.15395429750798895</v>
      </c>
      <c r="U79" s="49">
        <f>IFERROR(IF(Data_Entry!Z68/Data_Entry!$H68&lt;0,0,Data_Entry!Z68/Data_Entry!$H68),0)</f>
        <v>0.61830032386272982</v>
      </c>
      <c r="V79" s="49">
        <f>IFERROR(IF(Data_Entry!AA68/Data_Entry!$H68&lt;0,0,Data_Entry!AA68/Data_Entry!$H68),0)</f>
        <v>0.6083677885396338</v>
      </c>
      <c r="W79" s="49">
        <f>IFERROR(IF(Data_Entry!AB68/Data_Entry!$H68&lt;0,0,Data_Entry!AB68/Data_Entry!$H68),0)</f>
        <v>0.57112078107802355</v>
      </c>
      <c r="X79" s="49">
        <f>IFERROR(IF(Data_Entry!AC68/Data_Entry!$I68&lt;0,0,Data_Entry!AC68/Data_Entry!$I68),0)</f>
        <v>0.21448689246768254</v>
      </c>
      <c r="Y79" s="49">
        <f>IFERROR(IF(Data_Entry!AD68/Data_Entry!$I68&lt;0,0,Data_Entry!AD68/Data_Entry!$I68),0)</f>
        <v>0.13432512457572038</v>
      </c>
      <c r="Z79" s="49">
        <f>IFERROR(IF(Data_Entry!AE68/Data_Entry!$I68&lt;0,0,Data_Entry!AE68/Data_Entry!$I68),0)</f>
        <v>0.17982234419007728</v>
      </c>
      <c r="AA79" s="49">
        <f>IFERROR(IF(Data_Entry!AF68/Data_Entry!$I68&lt;0,0,Data_Entry!AF68/Data_Entry!$I68),0)</f>
        <v>9.3160973496064128E-2</v>
      </c>
      <c r="AB79" s="49">
        <f>IFERROR(IF(Data_Entry!AG68/Data_Entry!$I68&lt;0,0,Data_Entry!AG68/Data_Entry!$I68),0)</f>
        <v>7.5828699357261498E-2</v>
      </c>
      <c r="AC79" s="49">
        <f>IFERROR(IF(Data_Entry!AI68/Data_Entry!$I68&lt;0,0,Data_Entry!AI68/Data_Entry!$I68),0)</f>
        <v>0.11742615729038781</v>
      </c>
      <c r="AD79" s="49">
        <f>IFERROR(IF(Data_Entry!AM68/Data_Entry!$H68&lt;0,0,Data_Entry!AM68/Data_Entry!$H68),0)</f>
        <v>0.61830032386272982</v>
      </c>
      <c r="AE79" s="50">
        <f>Data_Entry!AK68</f>
        <v>136.71691666666669</v>
      </c>
      <c r="AF79" s="50">
        <f>Data_Entry!AL68</f>
        <v>0</v>
      </c>
      <c r="AG79" s="153">
        <f>(Data_Entry!O68-Data_Entry!Q68)/Data_Entry!O68</f>
        <v>7.8947368421052627E-2</v>
      </c>
      <c r="AH79" s="79" t="str">
        <f t="shared" si="0"/>
        <v>CAT3</v>
      </c>
      <c r="AI79" s="51">
        <f>SUBTOTAL(3,Tableau1[[#This Row],[ZS]])</f>
        <v>0</v>
      </c>
      <c r="AJ79" s="51" t="e">
        <f t="shared" ca="1" si="1"/>
        <v>#NAME?</v>
      </c>
      <c r="AK79" s="50" t="str">
        <f>IFERROR(IF((Data_Entry!O68-Data_Entry!Q68)/Data_Entry!O68&lt;=10%,"&lt;=10%","&gt;10%"),"&lt;=10%")</f>
        <v>&lt;=10%</v>
      </c>
    </row>
    <row r="80" spans="1:37" s="48" customFormat="1" ht="13" hidden="1" x14ac:dyDescent="0.3">
      <c r="A80" s="31" t="s">
        <v>16</v>
      </c>
      <c r="B80" s="48" t="str">
        <f>Data_Entry!B69</f>
        <v>Butembo</v>
      </c>
      <c r="C80" s="48" t="str">
        <f>Data_Entry!C69</f>
        <v xml:space="preserve"> Biena</v>
      </c>
      <c r="D80" s="48" t="str">
        <f>Data_Entry!D69</f>
        <v xml:space="preserve"> Kaheku</v>
      </c>
      <c r="E80" s="49">
        <f>IFERROR(IF(Data_Entry!J69/Data_Entry!$I69&lt;0,0,Data_Entry!J69/Data_Entry!$I69),0)</f>
        <v>0.64996926859250159</v>
      </c>
      <c r="F80" s="49">
        <f>IFERROR(IF(Data_Entry!K69/Data_Entry!$H69&lt;0,0,Data_Entry!K69/Data_Entry!$H69),0)</f>
        <v>1.0778006526681729</v>
      </c>
      <c r="G80" s="49">
        <f>IFERROR(IF(Data_Entry!L69/Data_Entry!$H69&lt;0,0,Data_Entry!L69/Data_Entry!$H69),0)</f>
        <v>1.1729007102565412</v>
      </c>
      <c r="H80" s="49">
        <f>IFERROR(IF(Data_Entry!M69/Data_Entry!$H69&lt;0,0,Data_Entry!M69/Data_Entry!$H69),0)</f>
        <v>0.96156724894905621</v>
      </c>
      <c r="I80" s="49">
        <f>IFERROR(IF(Data_Entry!N69/Data_Entry!$H69&lt;0,0,Data_Entry!N69/Data_Entry!$H69),0)</f>
        <v>1.1253506814623571</v>
      </c>
      <c r="J80" s="49">
        <f>IFERROR(IF(Data_Entry!O69/Data_Entry!$H69&lt;0,0,Data_Entry!O69/Data_Entry!$H69),0)</f>
        <v>1.1729007102565412</v>
      </c>
      <c r="K80" s="49">
        <f>IFERROR(IF(Data_Entry!P69/Data_Entry!$H69&lt;0,0,Data_Entry!P69/Data_Entry!$H69),0)</f>
        <v>0.96156724894905621</v>
      </c>
      <c r="L80" s="49">
        <f>IFERROR(IF(Data_Entry!Q69/Data_Entry!$H69&lt;0,0,Data_Entry!Q69/Data_Entry!$H69),0)</f>
        <v>1.1253506814623571</v>
      </c>
      <c r="M80" s="49">
        <f>IFERROR(IF(Data_Entry!R69/Data_Entry!$H69&lt;0,0,Data_Entry!R69/Data_Entry!$H69),0)</f>
        <v>0.89816721055681081</v>
      </c>
      <c r="N80" s="49">
        <f>IFERROR(IF(Data_Entry!S69/Data_Entry!$H69&lt;0,0,Data_Entry!S69/Data_Entry!$H69),0)</f>
        <v>0.76608379723963271</v>
      </c>
      <c r="O80" s="49">
        <f>IFERROR(IF(Data_Entry!T69/Data_Entry!$H69&lt;0,0,Data_Entry!T69/Data_Entry!$H69),0)</f>
        <v>0.86118385482800097</v>
      </c>
      <c r="P80" s="49">
        <f>IFERROR(IF(Data_Entry!U69/Data_Entry!$H69&lt;0,0,Data_Entry!U69/Data_Entry!$H69),0)</f>
        <v>1.040817296939363</v>
      </c>
      <c r="Q80" s="49">
        <f>IFERROR(IF(Data_Entry!V69/Data_Entry!$H69&lt;0,0,Data_Entry!V69/Data_Entry!$H69),0)</f>
        <v>0.8453338452299396</v>
      </c>
      <c r="R80" s="49">
        <f>IFERROR(IF(Data_Entry!W69/Data_Entry!$H69&lt;0,0,Data_Entry!W69/Data_Entry!$H69),0)</f>
        <v>0.99855060467786605</v>
      </c>
      <c r="S80" s="49">
        <f>IFERROR(IF(Data_Entry!X69/Data_Entry!$H69&lt;0,0,Data_Entry!X69/Data_Entry!$H69),0)</f>
        <v>0.82420049909919102</v>
      </c>
      <c r="T80" s="49">
        <f>IFERROR(IF(Data_Entry!Y69/Data_Entry!$H69&lt;0,0,Data_Entry!Y69/Data_Entry!$H69),0)</f>
        <v>0.17435010557867503</v>
      </c>
      <c r="U80" s="49">
        <f>IFERROR(IF(Data_Entry!Z69/Data_Entry!$H69&lt;0,0,Data_Entry!Z69/Data_Entry!$H69),0)</f>
        <v>0.82420049909919102</v>
      </c>
      <c r="V80" s="49">
        <f>IFERROR(IF(Data_Entry!AA69/Data_Entry!$H69&lt;0,0,Data_Entry!AA69/Data_Entry!$H69),0)</f>
        <v>1.0249672873413018</v>
      </c>
      <c r="W80" s="49">
        <f>IFERROR(IF(Data_Entry!AB69/Data_Entry!$H69&lt;0,0,Data_Entry!AB69/Data_Entry!$H69),0)</f>
        <v>0.60758370125901906</v>
      </c>
      <c r="X80" s="49">
        <f>IFERROR(IF(Data_Entry!AC69/Data_Entry!$I69&lt;0,0,Data_Entry!AC69/Data_Entry!$I69),0)</f>
        <v>0.31807006760909651</v>
      </c>
      <c r="Y80" s="49">
        <f>IFERROR(IF(Data_Entry!AD69/Data_Entry!$I69&lt;0,0,Data_Entry!AD69/Data_Entry!$I69),0)</f>
        <v>0.23048555623847575</v>
      </c>
      <c r="Z80" s="49">
        <f>IFERROR(IF(Data_Entry!AE69/Data_Entry!$I69&lt;0,0,Data_Entry!AE69/Data_Entry!$I69),0)</f>
        <v>0.15673017824216351</v>
      </c>
      <c r="AA80" s="49">
        <f>IFERROR(IF(Data_Entry!AF69/Data_Entry!$I69&lt;0,0,Data_Entry!AF69/Data_Entry!$I69),0)</f>
        <v>9.6803933620159821E-2</v>
      </c>
      <c r="AB80" s="49">
        <f>IFERROR(IF(Data_Entry!AG69/Data_Entry!$I69&lt;0,0,Data_Entry!AG69/Data_Entry!$I69),0)</f>
        <v>7.3755377996312238E-2</v>
      </c>
      <c r="AC80" s="49">
        <f>IFERROR(IF(Data_Entry!AI69/Data_Entry!$I69&lt;0,0,Data_Entry!AI69/Data_Entry!$I69),0)</f>
        <v>0.23048555623847575</v>
      </c>
      <c r="AD80" s="49">
        <f>IFERROR(IF(Data_Entry!AM69/Data_Entry!$H69&lt;0,0,Data_Entry!AM69/Data_Entry!$H69),0)</f>
        <v>0.82420049909919102</v>
      </c>
      <c r="AE80" s="50">
        <f>Data_Entry!AK69</f>
        <v>0</v>
      </c>
      <c r="AF80" s="50">
        <f>Data_Entry!AL69</f>
        <v>66</v>
      </c>
      <c r="AG80" s="153">
        <f>(Data_Entry!O69-Data_Entry!Q69)/Data_Entry!O69</f>
        <v>4.0540540540540543E-2</v>
      </c>
      <c r="AH80" s="79" t="str">
        <f t="shared" ref="AH80:AH143" si="2">IFERROR(IF(AND(AG80&lt;=10%,J80&gt;=90%),"CAT1",IF(AND(AG80&lt;=10%,J80&lt;90%),"CAT3",IF(AND(AG80&gt;10%,J80&gt;=90%),"CAT2",IF(AND(AG80&gt;10%,J80&lt;90%),"CAT4",)))),"ND")</f>
        <v>CAT1</v>
      </c>
      <c r="AI80" s="51">
        <f>SUBTOTAL(3,Tableau1[[#This Row],[ZS]])</f>
        <v>0</v>
      </c>
      <c r="AJ80" s="51" t="e">
        <f t="shared" ref="AJ80:AJ143" ca="1" si="3">_xlfn.IFS(L80&lt;50%,"&lt;50%",(AND(L80&lt;80%,L80&gt;50%)),"&gt;50%&lt;80%",(AND(L80&gt;=80%,L80&lt;95%)),"&gt;=80%&lt;95%",(AND(L80&gt;=95%,L80&lt;100%)),"95-100%",L80&gt;100%,"&gt;100%")</f>
        <v>#NAME?</v>
      </c>
      <c r="AK80" s="50" t="str">
        <f>IFERROR(IF((Data_Entry!O69-Data_Entry!Q69)/Data_Entry!O69&lt;=10%,"&lt;=10%","&gt;10%"),"&lt;=10%")</f>
        <v>&lt;=10%</v>
      </c>
    </row>
    <row r="81" spans="1:37" s="48" customFormat="1" ht="13" hidden="1" x14ac:dyDescent="0.3">
      <c r="A81" s="31" t="s">
        <v>16</v>
      </c>
      <c r="B81" s="48" t="str">
        <f>Data_Entry!B70</f>
        <v>Butembo</v>
      </c>
      <c r="C81" s="48" t="str">
        <f>Data_Entry!C70</f>
        <v xml:space="preserve"> Biena</v>
      </c>
      <c r="D81" s="48" t="str">
        <f>Data_Entry!D70</f>
        <v xml:space="preserve"> Katanga</v>
      </c>
      <c r="E81" s="49">
        <f>IFERROR(IF(Data_Entry!J70/Data_Entry!$I70&lt;0,0,Data_Entry!J70/Data_Entry!$I70),0)</f>
        <v>0.47223719676549863</v>
      </c>
      <c r="F81" s="49">
        <f>IFERROR(IF(Data_Entry!K70/Data_Entry!$H70&lt;0,0,Data_Entry!K70/Data_Entry!$H70),0)</f>
        <v>0.43744545447524313</v>
      </c>
      <c r="G81" s="49">
        <f>IFERROR(IF(Data_Entry!L70/Data_Entry!$H70&lt;0,0,Data_Entry!L70/Data_Entry!$H70),0)</f>
        <v>0.76738312776589257</v>
      </c>
      <c r="H81" s="49">
        <f>IFERROR(IF(Data_Entry!M70/Data_Entry!$H70&lt;0,0,Data_Entry!M70/Data_Entry!$H70),0)</f>
        <v>0.71918998447624716</v>
      </c>
      <c r="I81" s="49">
        <f>IFERROR(IF(Data_Entry!N70/Data_Entry!$H70&lt;0,0,Data_Entry!N70/Data_Entry!$H70),0)</f>
        <v>0.7488473034237213</v>
      </c>
      <c r="J81" s="49">
        <f>IFERROR(IF(Data_Entry!O70/Data_Entry!$H70&lt;0,0,Data_Entry!O70/Data_Entry!$H70),0)</f>
        <v>0.76738312776589257</v>
      </c>
      <c r="K81" s="49">
        <f>IFERROR(IF(Data_Entry!P70/Data_Entry!$H70&lt;0,0,Data_Entry!P70/Data_Entry!$H70),0)</f>
        <v>0.72289714934468141</v>
      </c>
      <c r="L81" s="49">
        <f>IFERROR(IF(Data_Entry!Q70/Data_Entry!$H70&lt;0,0,Data_Entry!Q70/Data_Entry!$H70),0)</f>
        <v>0.75255446829215555</v>
      </c>
      <c r="M81" s="49">
        <f>IFERROR(IF(Data_Entry!R70/Data_Entry!$H70&lt;0,0,Data_Entry!R70/Data_Entry!$H70),0)</f>
        <v>0.76738312776589257</v>
      </c>
      <c r="N81" s="49">
        <f>IFERROR(IF(Data_Entry!S70/Data_Entry!$H70&lt;0,0,Data_Entry!S70/Data_Entry!$H70),0)</f>
        <v>0.71918998447624716</v>
      </c>
      <c r="O81" s="49">
        <f>IFERROR(IF(Data_Entry!T70/Data_Entry!$H70&lt;0,0,Data_Entry!T70/Data_Entry!$H70),0)</f>
        <v>0.7488473034237213</v>
      </c>
      <c r="P81" s="49">
        <f>IFERROR(IF(Data_Entry!U70/Data_Entry!$H70&lt;0,0,Data_Entry!U70/Data_Entry!$H70),0)</f>
        <v>0.54495323565983678</v>
      </c>
      <c r="Q81" s="49">
        <f>IFERROR(IF(Data_Entry!V70/Data_Entry!$H70&lt;0,0,Data_Entry!V70/Data_Entry!$H70),0)</f>
        <v>0.54124607079140252</v>
      </c>
      <c r="R81" s="49">
        <f>IFERROR(IF(Data_Entry!W70/Data_Entry!$H70&lt;0,0,Data_Entry!W70/Data_Entry!$H70),0)</f>
        <v>0.51158875184392838</v>
      </c>
      <c r="S81" s="49">
        <f>IFERROR(IF(Data_Entry!X70/Data_Entry!$H70&lt;0,0,Data_Entry!X70/Data_Entry!$H70),0)</f>
        <v>0.80445477645023522</v>
      </c>
      <c r="T81" s="49">
        <f>IFERROR(IF(Data_Entry!Y70/Data_Entry!$H70&lt;0,0,Data_Entry!Y70/Data_Entry!$H70),0)</f>
        <v>0.28174453000100408</v>
      </c>
      <c r="U81" s="49">
        <f>IFERROR(IF(Data_Entry!Z70/Data_Entry!$H70&lt;0,0,Data_Entry!Z70/Data_Entry!$H70),0)</f>
        <v>0.80445477645023522</v>
      </c>
      <c r="V81" s="49">
        <f>IFERROR(IF(Data_Entry!AA70/Data_Entry!$H70&lt;0,0,Data_Entry!AA70/Data_Entry!$H70),0)</f>
        <v>0.73772580881841854</v>
      </c>
      <c r="W81" s="49">
        <f>IFERROR(IF(Data_Entry!AB70/Data_Entry!$H70&lt;0,0,Data_Entry!AB70/Data_Entry!$H70),0)</f>
        <v>0.63392519250225909</v>
      </c>
      <c r="X81" s="49">
        <f>IFERROR(IF(Data_Entry!AC70/Data_Entry!$I70&lt;0,0,Data_Entry!AC70/Data_Entry!$I70),0)</f>
        <v>0.25229110512129377</v>
      </c>
      <c r="Y81" s="49">
        <f>IFERROR(IF(Data_Entry!AD70/Data_Entry!$I70&lt;0,0,Data_Entry!AD70/Data_Entry!$I70),0)</f>
        <v>0.20053908355795147</v>
      </c>
      <c r="Z81" s="49">
        <f>IFERROR(IF(Data_Entry!AE70/Data_Entry!$I70&lt;0,0,Data_Entry!AE70/Data_Entry!$I70),0)</f>
        <v>0.24905660377358488</v>
      </c>
      <c r="AA81" s="49">
        <f>IFERROR(IF(Data_Entry!AF70/Data_Entry!$I70&lt;0,0,Data_Entry!AF70/Data_Entry!$I70),0)</f>
        <v>0.17789757412398921</v>
      </c>
      <c r="AB81" s="49">
        <f>IFERROR(IF(Data_Entry!AG70/Data_Entry!$I70&lt;0,0,Data_Entry!AG70/Data_Entry!$I70),0)</f>
        <v>0.11320754716981131</v>
      </c>
      <c r="AC81" s="49">
        <f>IFERROR(IF(Data_Entry!AI70/Data_Entry!$I70&lt;0,0,Data_Entry!AI70/Data_Entry!$I70),0)</f>
        <v>0.16172506738544473</v>
      </c>
      <c r="AD81" s="49">
        <f>IFERROR(IF(Data_Entry!AM70/Data_Entry!$H70&lt;0,0,Data_Entry!AM70/Data_Entry!$H70),0)</f>
        <v>0.80445477645023522</v>
      </c>
      <c r="AE81" s="50">
        <f>Data_Entry!AK70</f>
        <v>62.74791666666664</v>
      </c>
      <c r="AF81" s="50">
        <f>Data_Entry!AL70</f>
        <v>0</v>
      </c>
      <c r="AG81" s="153">
        <f>(Data_Entry!O70-Data_Entry!Q70)/Data_Entry!O70</f>
        <v>1.932367149758454E-2</v>
      </c>
      <c r="AH81" s="79" t="str">
        <f t="shared" si="2"/>
        <v>CAT3</v>
      </c>
      <c r="AI81" s="51">
        <f>SUBTOTAL(3,Tableau1[[#This Row],[ZS]])</f>
        <v>0</v>
      </c>
      <c r="AJ81" s="51" t="e">
        <f t="shared" ca="1" si="3"/>
        <v>#NAME?</v>
      </c>
      <c r="AK81" s="50" t="str">
        <f>IFERROR(IF((Data_Entry!O70-Data_Entry!Q70)/Data_Entry!O70&lt;=10%,"&lt;=10%","&gt;10%"),"&lt;=10%")</f>
        <v>&lt;=10%</v>
      </c>
    </row>
    <row r="82" spans="1:37" s="48" customFormat="1" ht="13" hidden="1" x14ac:dyDescent="0.3">
      <c r="A82" s="31" t="s">
        <v>16</v>
      </c>
      <c r="B82" s="48" t="str">
        <f>Data_Entry!B71</f>
        <v>Butembo</v>
      </c>
      <c r="C82" s="48" t="str">
        <f>Data_Entry!C71</f>
        <v xml:space="preserve"> Biena</v>
      </c>
      <c r="D82" s="48" t="str">
        <f>Data_Entry!D71</f>
        <v xml:space="preserve"> Kiragho</v>
      </c>
      <c r="E82" s="49">
        <f>IFERROR(IF(Data_Entry!J71/Data_Entry!$I71&lt;0,0,Data_Entry!J71/Data_Entry!$I71),0)</f>
        <v>0.67385786802030467</v>
      </c>
      <c r="F82" s="49">
        <f>IFERROR(IF(Data_Entry!K71/Data_Entry!$H71&lt;0,0,Data_Entry!K71/Data_Entry!$H71),0)</f>
        <v>0.3185315549866915</v>
      </c>
      <c r="G82" s="49">
        <f>IFERROR(IF(Data_Entry!L71/Data_Entry!$H71&lt;0,0,Data_Entry!L71/Data_Entry!$H71),0)</f>
        <v>0.82469128619842047</v>
      </c>
      <c r="H82" s="49">
        <f>IFERROR(IF(Data_Entry!M71/Data_Entry!$H71&lt;0,0,Data_Entry!M71/Data_Entry!$H71),0)</f>
        <v>0.78105682661120246</v>
      </c>
      <c r="I82" s="49">
        <f>IFERROR(IF(Data_Entry!N71/Data_Entry!$H71&lt;0,0,Data_Entry!N71/Data_Entry!$H71),0)</f>
        <v>0.77669338065248072</v>
      </c>
      <c r="J82" s="49">
        <f>IFERROR(IF(Data_Entry!O71/Data_Entry!$H71&lt;0,0,Data_Entry!O71/Data_Entry!$H71),0)</f>
        <v>1.0559539220106759</v>
      </c>
      <c r="K82" s="49">
        <f>IFERROR(IF(Data_Entry!P71/Data_Entry!$H71&lt;0,0,Data_Entry!P71/Data_Entry!$H71),0)</f>
        <v>0.93814088112518734</v>
      </c>
      <c r="L82" s="49">
        <f>IFERROR(IF(Data_Entry!Q71/Data_Entry!$H71&lt;0,0,Data_Entry!Q71/Data_Entry!$H71),0)</f>
        <v>0.92068709729030018</v>
      </c>
      <c r="M82" s="49">
        <f>IFERROR(IF(Data_Entry!R71/Data_Entry!$H71&lt;0,0,Data_Entry!R71/Data_Entry!$H71),0)</f>
        <v>0.72869547510654087</v>
      </c>
      <c r="N82" s="49">
        <f>IFERROR(IF(Data_Entry!S71/Data_Entry!$H71&lt;0,0,Data_Entry!S71/Data_Entry!$H71),0)</f>
        <v>0.65888033976699201</v>
      </c>
      <c r="O82" s="49">
        <f>IFERROR(IF(Data_Entry!T71/Data_Entry!$H71&lt;0,0,Data_Entry!T71/Data_Entry!$H71),0)</f>
        <v>0.637063109973383</v>
      </c>
      <c r="P82" s="49">
        <f>IFERROR(IF(Data_Entry!U71/Data_Entry!$H71&lt;0,0,Data_Entry!U71/Data_Entry!$H71),0)</f>
        <v>0.75923959681759345</v>
      </c>
      <c r="Q82" s="49">
        <f>IFERROR(IF(Data_Entry!V71/Data_Entry!$H71&lt;0,0,Data_Entry!V71/Data_Entry!$H71),0)</f>
        <v>0.68506101551932286</v>
      </c>
      <c r="R82" s="49">
        <f>IFERROR(IF(Data_Entry!W71/Data_Entry!$H71&lt;0,0,Data_Entry!W71/Data_Entry!$H71),0)</f>
        <v>0.67197067764315743</v>
      </c>
      <c r="S82" s="49">
        <f>IFERROR(IF(Data_Entry!X71/Data_Entry!$H71&lt;0,0,Data_Entry!X71/Data_Entry!$H71),0)</f>
        <v>1.1301325033089467</v>
      </c>
      <c r="T82" s="49">
        <f>IFERROR(IF(Data_Entry!Y71/Data_Entry!$H71&lt;0,0,Data_Entry!Y71/Data_Entry!$H71),0)</f>
        <v>0.19199162218375926</v>
      </c>
      <c r="U82" s="49">
        <f>IFERROR(IF(Data_Entry!Z71/Data_Entry!$H71&lt;0,0,Data_Entry!Z71/Data_Entry!$H71),0)</f>
        <v>1.1301325033089467</v>
      </c>
      <c r="V82" s="49">
        <f>IFERROR(IF(Data_Entry!AA71/Data_Entry!$H71&lt;0,0,Data_Entry!AA71/Data_Entry!$H71),0)</f>
        <v>0.77669338065248072</v>
      </c>
      <c r="W82" s="49">
        <f>IFERROR(IF(Data_Entry!AB71/Data_Entry!$H71&lt;0,0,Data_Entry!AB71/Data_Entry!$H71),0)</f>
        <v>0.83341817811586405</v>
      </c>
      <c r="X82" s="49">
        <f>IFERROR(IF(Data_Entry!AC71/Data_Entry!$I71&lt;0,0,Data_Entry!AC71/Data_Entry!$I71),0)</f>
        <v>0.46827411167512695</v>
      </c>
      <c r="Y82" s="49">
        <f>IFERROR(IF(Data_Entry!AD71/Data_Entry!$I71&lt;0,0,Data_Entry!AD71/Data_Entry!$I71),0)</f>
        <v>0.25126903553299496</v>
      </c>
      <c r="Z82" s="49">
        <f>IFERROR(IF(Data_Entry!AE71/Data_Entry!$I71&lt;0,0,Data_Entry!AE71/Data_Entry!$I71),0)</f>
        <v>0.28172588832487316</v>
      </c>
      <c r="AA82" s="49">
        <f>IFERROR(IF(Data_Entry!AF71/Data_Entry!$I71&lt;0,0,Data_Entry!AF71/Data_Entry!$I71),0)</f>
        <v>8.375634517766499E-2</v>
      </c>
      <c r="AB82" s="49">
        <f>IFERROR(IF(Data_Entry!AG71/Data_Entry!$I71&lt;0,0,Data_Entry!AG71/Data_Entry!$I71),0)</f>
        <v>4.1878172588832495E-2</v>
      </c>
      <c r="AC82" s="49">
        <f>IFERROR(IF(Data_Entry!AI71/Data_Entry!$I71&lt;0,0,Data_Entry!AI71/Data_Entry!$I71),0)</f>
        <v>0.2219543147208122</v>
      </c>
      <c r="AD82" s="49">
        <f>IFERROR(IF(Data_Entry!AM71/Data_Entry!$H71&lt;0,0,Data_Entry!AM71/Data_Entry!$H71),0)</f>
        <v>1.1301325033089467</v>
      </c>
      <c r="AE82" s="50">
        <f>Data_Entry!AK71</f>
        <v>0</v>
      </c>
      <c r="AF82" s="50">
        <f>Data_Entry!AL71</f>
        <v>0</v>
      </c>
      <c r="AG82" s="153">
        <f>(Data_Entry!O71-Data_Entry!Q71)/Data_Entry!O71</f>
        <v>0.128099173553719</v>
      </c>
      <c r="AH82" s="79" t="str">
        <f t="shared" si="2"/>
        <v>CAT2</v>
      </c>
      <c r="AI82" s="51">
        <f>SUBTOTAL(3,Tableau1[[#This Row],[ZS]])</f>
        <v>0</v>
      </c>
      <c r="AJ82" s="51" t="e">
        <f t="shared" ca="1" si="3"/>
        <v>#NAME?</v>
      </c>
      <c r="AK82" s="50" t="str">
        <f>IFERROR(IF((Data_Entry!O71-Data_Entry!Q71)/Data_Entry!O71&lt;=10%,"&lt;=10%","&gt;10%"),"&lt;=10%")</f>
        <v>&gt;10%</v>
      </c>
    </row>
    <row r="83" spans="1:37" s="48" customFormat="1" ht="13" hidden="1" x14ac:dyDescent="0.3">
      <c r="A83" s="31" t="s">
        <v>16</v>
      </c>
      <c r="B83" s="48" t="str">
        <f>Data_Entry!B72</f>
        <v>Butembo</v>
      </c>
      <c r="C83" s="48" t="str">
        <f>Data_Entry!C72</f>
        <v xml:space="preserve"> Biena</v>
      </c>
      <c r="D83" s="48" t="str">
        <f>Data_Entry!D72</f>
        <v xml:space="preserve"> Kirima</v>
      </c>
      <c r="E83" s="49">
        <f>IFERROR(IF(Data_Entry!J72/Data_Entry!$I72&lt;0,0,Data_Entry!J72/Data_Entry!$I72),0)</f>
        <v>0.51006160164271042</v>
      </c>
      <c r="F83" s="49">
        <f>IFERROR(IF(Data_Entry!K72/Data_Entry!$H72&lt;0,0,Data_Entry!K72/Data_Entry!$H72),0)</f>
        <v>0.13555891576401921</v>
      </c>
      <c r="G83" s="49">
        <f>IFERROR(IF(Data_Entry!L72/Data_Entry!$H72&lt;0,0,Data_Entry!L72/Data_Entry!$H72),0)</f>
        <v>0.62131169725175472</v>
      </c>
      <c r="H83" s="49">
        <f>IFERROR(IF(Data_Entry!M72/Data_Entry!$H72&lt;0,0,Data_Entry!M72/Data_Entry!$H72),0)</f>
        <v>0.57894953607549871</v>
      </c>
      <c r="I83" s="49">
        <f>IFERROR(IF(Data_Entry!N72/Data_Entry!$H72&lt;0,0,Data_Entry!N72/Data_Entry!$H72),0)</f>
        <v>0.60154268870283523</v>
      </c>
      <c r="J83" s="49">
        <f>IFERROR(IF(Data_Entry!O72/Data_Entry!$H72&lt;0,0,Data_Entry!O72/Data_Entry!$H72),0)</f>
        <v>0.82465007089778353</v>
      </c>
      <c r="K83" s="49">
        <f>IFERROR(IF(Data_Entry!P72/Data_Entry!$H72&lt;0,0,Data_Entry!P72/Data_Entry!$H72),0)</f>
        <v>0.72580502815318615</v>
      </c>
      <c r="L83" s="49">
        <f>IFERROR(IF(Data_Entry!Q72/Data_Entry!$H72&lt;0,0,Data_Entry!Q72/Data_Entry!$H72),0)</f>
        <v>0.81900178274094937</v>
      </c>
      <c r="M83" s="49">
        <f>IFERROR(IF(Data_Entry!R72/Data_Entry!$H72&lt;0,0,Data_Entry!R72/Data_Entry!$H72),0)</f>
        <v>0.60719097685966938</v>
      </c>
      <c r="N83" s="49">
        <f>IFERROR(IF(Data_Entry!S72/Data_Entry!$H72&lt;0,0,Data_Entry!S72/Data_Entry!$H72),0)</f>
        <v>0.52246665450715735</v>
      </c>
      <c r="O83" s="49">
        <f>IFERROR(IF(Data_Entry!T72/Data_Entry!$H72&lt;0,0,Data_Entry!T72/Data_Entry!$H72),0)</f>
        <v>0.61848755317333759</v>
      </c>
      <c r="P83" s="49">
        <f>IFERROR(IF(Data_Entry!U72/Data_Entry!$H72&lt;0,0,Data_Entry!U72/Data_Entry!$H72),0)</f>
        <v>0.70321187552584963</v>
      </c>
      <c r="Q83" s="49">
        <f>IFERROR(IF(Data_Entry!V72/Data_Entry!$H72&lt;0,0,Data_Entry!V72/Data_Entry!$H72),0)</f>
        <v>0.56482881568341337</v>
      </c>
      <c r="R83" s="49">
        <f>IFERROR(IF(Data_Entry!W72/Data_Entry!$H72&lt;0,0,Data_Entry!W72/Data_Entry!$H72),0)</f>
        <v>0.64108070580067411</v>
      </c>
      <c r="S83" s="49">
        <f>IFERROR(IF(Data_Entry!X72/Data_Entry!$H72&lt;0,0,Data_Entry!X72/Data_Entry!$H72),0)</f>
        <v>0.82182592681936639</v>
      </c>
      <c r="T83" s="49">
        <f>IFERROR(IF(Data_Entry!Y72/Data_Entry!$H72&lt;0,0,Data_Entry!Y72/Data_Entry!$H72),0)</f>
        <v>0.14685549207768747</v>
      </c>
      <c r="U83" s="49">
        <f>IFERROR(IF(Data_Entry!Z72/Data_Entry!$H72&lt;0,0,Data_Entry!Z72/Data_Entry!$H72),0)</f>
        <v>0.72580502815318615</v>
      </c>
      <c r="V83" s="49">
        <f>IFERROR(IF(Data_Entry!AA72/Data_Entry!$H72&lt;0,0,Data_Entry!AA72/Data_Entry!$H72),0)</f>
        <v>0.5281149426639915</v>
      </c>
      <c r="W83" s="49">
        <f>IFERROR(IF(Data_Entry!AB72/Data_Entry!$H72&lt;0,0,Data_Entry!AB72/Data_Entry!$H72),0)</f>
        <v>0.42079746768414295</v>
      </c>
      <c r="X83" s="49">
        <f>IFERROR(IF(Data_Entry!AC72/Data_Entry!$I72&lt;0,0,Data_Entry!AC72/Data_Entry!$I72),0)</f>
        <v>0.21437371663244351</v>
      </c>
      <c r="Y83" s="49">
        <f>IFERROR(IF(Data_Entry!AD72/Data_Entry!$I72&lt;0,0,Data_Entry!AD72/Data_Entry!$I72),0)</f>
        <v>0.1330595482546201</v>
      </c>
      <c r="Z83" s="49">
        <f>IFERROR(IF(Data_Entry!AE72/Data_Entry!$I72&lt;0,0,Data_Entry!AE72/Data_Entry!$I72),0)</f>
        <v>9.8562628336755637E-2</v>
      </c>
      <c r="AA83" s="49">
        <f>IFERROR(IF(Data_Entry!AF72/Data_Entry!$I72&lt;0,0,Data_Entry!AF72/Data_Entry!$I72),0)</f>
        <v>0.1330595482546201</v>
      </c>
      <c r="AB83" s="49">
        <f>IFERROR(IF(Data_Entry!AG72/Data_Entry!$I72&lt;0,0,Data_Entry!AG72/Data_Entry!$I72),0)</f>
        <v>0.13059548254620121</v>
      </c>
      <c r="AC83" s="49">
        <f>IFERROR(IF(Data_Entry!AI72/Data_Entry!$I72&lt;0,0,Data_Entry!AI72/Data_Entry!$I72),0)</f>
        <v>0.14365503080082134</v>
      </c>
      <c r="AD83" s="49">
        <f>IFERROR(IF(Data_Entry!AM72/Data_Entry!$H72&lt;0,0,Data_Entry!AM72/Data_Entry!$H72),0)</f>
        <v>0.72580502815318615</v>
      </c>
      <c r="AE83" s="50">
        <f>Data_Entry!AK72</f>
        <v>62.089583333333394</v>
      </c>
      <c r="AF83" s="50">
        <f>Data_Entry!AL72</f>
        <v>1</v>
      </c>
      <c r="AG83" s="153">
        <f>(Data_Entry!O72-Data_Entry!Q72)/Data_Entry!O72</f>
        <v>6.8493150684931503E-3</v>
      </c>
      <c r="AH83" s="79" t="str">
        <f t="shared" si="2"/>
        <v>CAT3</v>
      </c>
      <c r="AI83" s="51">
        <f>SUBTOTAL(3,Tableau1[[#This Row],[ZS]])</f>
        <v>0</v>
      </c>
      <c r="AJ83" s="51" t="e">
        <f t="shared" ca="1" si="3"/>
        <v>#NAME?</v>
      </c>
      <c r="AK83" s="50" t="str">
        <f>IFERROR(IF((Data_Entry!O72-Data_Entry!Q72)/Data_Entry!O72&lt;=10%,"&lt;=10%","&gt;10%"),"&lt;=10%")</f>
        <v>&lt;=10%</v>
      </c>
    </row>
    <row r="84" spans="1:37" s="48" customFormat="1" ht="13" hidden="1" x14ac:dyDescent="0.3">
      <c r="A84" s="31" t="s">
        <v>16</v>
      </c>
      <c r="B84" s="48" t="str">
        <f>Data_Entry!B73</f>
        <v>Butembo</v>
      </c>
      <c r="C84" s="48" t="str">
        <f>Data_Entry!C73</f>
        <v xml:space="preserve"> Biena</v>
      </c>
      <c r="D84" s="48" t="str">
        <f>Data_Entry!D73</f>
        <v xml:space="preserve"> Maeba</v>
      </c>
      <c r="E84" s="49">
        <f>IFERROR(IF(Data_Entry!J73/Data_Entry!$I73&lt;0,0,Data_Entry!J73/Data_Entry!$I73),0)</f>
        <v>0.22927531019600794</v>
      </c>
      <c r="F84" s="49">
        <f>IFERROR(IF(Data_Entry!K73/Data_Entry!$H73&lt;0,0,Data_Entry!K73/Data_Entry!$H73),0)</f>
        <v>1.2366104713083184E-2</v>
      </c>
      <c r="G84" s="49">
        <f>IFERROR(IF(Data_Entry!L73/Data_Entry!$H73&lt;0,0,Data_Entry!L73/Data_Entry!$H73),0)</f>
        <v>0.59357302622799279</v>
      </c>
      <c r="H84" s="49">
        <f>IFERROR(IF(Data_Entry!M73/Data_Entry!$H73&lt;0,0,Data_Entry!M73/Data_Entry!$H73),0)</f>
        <v>0.46063740056234864</v>
      </c>
      <c r="I84" s="49">
        <f>IFERROR(IF(Data_Entry!N73/Data_Entry!$H73&lt;0,0,Data_Entry!N73/Data_Entry!$H73),0)</f>
        <v>0.37098314139249555</v>
      </c>
      <c r="J84" s="49">
        <f>IFERROR(IF(Data_Entry!O73/Data_Entry!$H73&lt;0,0,Data_Entry!O73/Data_Entry!$H73),0)</f>
        <v>0.83471206813311494</v>
      </c>
      <c r="K84" s="49">
        <f>IFERROR(IF(Data_Entry!P73/Data_Entry!$H73&lt;0,0,Data_Entry!P73/Data_Entry!$H73),0)</f>
        <v>0.58429844769318051</v>
      </c>
      <c r="L84" s="49">
        <f>IFERROR(IF(Data_Entry!Q73/Data_Entry!$H73&lt;0,0,Data_Entry!Q73/Data_Entry!$H73),0)</f>
        <v>0.53483402884084774</v>
      </c>
      <c r="M84" s="49">
        <f>IFERROR(IF(Data_Entry!R73/Data_Entry!$H73&lt;0,0,Data_Entry!R73/Data_Entry!$H73),0)</f>
        <v>0.64303744508032556</v>
      </c>
      <c r="N84" s="49">
        <f>IFERROR(IF(Data_Entry!S73/Data_Entry!$H73&lt;0,0,Data_Entry!S73/Data_Entry!$H73),0)</f>
        <v>0.47300350527543178</v>
      </c>
      <c r="O84" s="49">
        <f>IFERROR(IF(Data_Entry!T73/Data_Entry!$H73&lt;0,0,Data_Entry!T73/Data_Entry!$H73),0)</f>
        <v>0.34625093196632917</v>
      </c>
      <c r="P84" s="49">
        <f>IFERROR(IF(Data_Entry!U73/Data_Entry!$H73&lt;0,0,Data_Entry!U73/Data_Entry!$H73),0)</f>
        <v>0.53174250266257694</v>
      </c>
      <c r="Q84" s="49">
        <f>IFERROR(IF(Data_Entry!V73/Data_Entry!$H73&lt;0,0,Data_Entry!V73/Data_Entry!$H73),0)</f>
        <v>0.32770177489670438</v>
      </c>
      <c r="R84" s="49">
        <f>IFERROR(IF(Data_Entry!W73/Data_Entry!$H73&lt;0,0,Data_Entry!W73/Data_Entry!$H73),0)</f>
        <v>0.35552551050114156</v>
      </c>
      <c r="S84" s="49">
        <f>IFERROR(IF(Data_Entry!X73/Data_Entry!$H73&lt;0,0,Data_Entry!X73/Data_Entry!$H73),0)</f>
        <v>0.50082724087986896</v>
      </c>
      <c r="T84" s="49">
        <f>IFERROR(IF(Data_Entry!Y73/Data_Entry!$H73&lt;0,0,Data_Entry!Y73/Data_Entry!$H73),0)</f>
        <v>9.892883770466547E-2</v>
      </c>
      <c r="U84" s="49">
        <f>IFERROR(IF(Data_Entry!Z73/Data_Entry!$H73&lt;0,0,Data_Entry!Z73/Data_Entry!$H73),0)</f>
        <v>0.51937639794949375</v>
      </c>
      <c r="V84" s="49">
        <f>IFERROR(IF(Data_Entry!AA73/Data_Entry!$H73&lt;0,0,Data_Entry!AA73/Data_Entry!$H73),0)</f>
        <v>0.44827129584926545</v>
      </c>
      <c r="W84" s="49">
        <f>IFERROR(IF(Data_Entry!AB73/Data_Entry!$H73&lt;0,0,Data_Entry!AB73/Data_Entry!$H73),0)</f>
        <v>0.46682045291889018</v>
      </c>
      <c r="X84" s="49">
        <f>IFERROR(IF(Data_Entry!AC73/Data_Entry!$I73&lt;0,0,Data_Entry!AC73/Data_Entry!$I73),0)</f>
        <v>0.32907750404603492</v>
      </c>
      <c r="Y84" s="49">
        <f>IFERROR(IF(Data_Entry!AD73/Data_Entry!$I73&lt;0,0,Data_Entry!AD73/Data_Entry!$I73),0)</f>
        <v>0.15914403884193493</v>
      </c>
      <c r="Z84" s="49">
        <f>IFERROR(IF(Data_Entry!AE73/Data_Entry!$I73&lt;0,0,Data_Entry!AE73/Data_Entry!$I73),0)</f>
        <v>0.11868368998381587</v>
      </c>
      <c r="AA84" s="49">
        <f>IFERROR(IF(Data_Entry!AF73/Data_Entry!$I73&lt;0,0,Data_Entry!AF73/Data_Entry!$I73),0)</f>
        <v>5.9341844991907935E-2</v>
      </c>
      <c r="AB84" s="49">
        <f>IFERROR(IF(Data_Entry!AG73/Data_Entry!$I73&lt;0,0,Data_Entry!AG73/Data_Entry!$I73),0)</f>
        <v>3.7762992267577775E-2</v>
      </c>
      <c r="AC84" s="49">
        <f>IFERROR(IF(Data_Entry!AI73/Data_Entry!$I73&lt;0,0,Data_Entry!AI73/Data_Entry!$I73),0)</f>
        <v>0.15725588922855602</v>
      </c>
      <c r="AD84" s="49">
        <f>IFERROR(IF(Data_Entry!AM73/Data_Entry!$H73&lt;0,0,Data_Entry!AM73/Data_Entry!$H73),0)</f>
        <v>0.50082724087986896</v>
      </c>
      <c r="AE84" s="50">
        <f>Data_Entry!AK73</f>
        <v>53.464833333333331</v>
      </c>
      <c r="AF84" s="50">
        <f>Data_Entry!AL73</f>
        <v>108</v>
      </c>
      <c r="AG84" s="153">
        <f>(Data_Entry!O73-Data_Entry!Q73)/Data_Entry!O73</f>
        <v>0.35925925925925928</v>
      </c>
      <c r="AH84" s="79" t="str">
        <f t="shared" si="2"/>
        <v>CAT4</v>
      </c>
      <c r="AI84" s="51">
        <f>SUBTOTAL(3,Tableau1[[#This Row],[ZS]])</f>
        <v>0</v>
      </c>
      <c r="AJ84" s="51" t="e">
        <f t="shared" ca="1" si="3"/>
        <v>#NAME?</v>
      </c>
      <c r="AK84" s="50" t="str">
        <f>IFERROR(IF((Data_Entry!O73-Data_Entry!Q73)/Data_Entry!O73&lt;=10%,"&lt;=10%","&gt;10%"),"&lt;=10%")</f>
        <v>&gt;10%</v>
      </c>
    </row>
    <row r="85" spans="1:37" s="48" customFormat="1" ht="13" hidden="1" x14ac:dyDescent="0.3">
      <c r="A85" s="31" t="s">
        <v>16</v>
      </c>
      <c r="B85" s="48" t="str">
        <f>Data_Entry!B74</f>
        <v>Butembo</v>
      </c>
      <c r="C85" s="48" t="str">
        <f>Data_Entry!C74</f>
        <v xml:space="preserve"> Biena</v>
      </c>
      <c r="D85" s="48" t="str">
        <f>Data_Entry!D74</f>
        <v xml:space="preserve"> Mambowa</v>
      </c>
      <c r="E85" s="49">
        <f>IFERROR(IF(Data_Entry!J74/Data_Entry!$I74&lt;0,0,Data_Entry!J74/Data_Entry!$I74),0)</f>
        <v>0.94935321201490885</v>
      </c>
      <c r="F85" s="49">
        <f>IFERROR(IF(Data_Entry!K74/Data_Entry!$H74&lt;0,0,Data_Entry!K74/Data_Entry!$H74),0)</f>
        <v>0.32165067103743022</v>
      </c>
      <c r="G85" s="49">
        <f>IFERROR(IF(Data_Entry!L74/Data_Entry!$H74&lt;0,0,Data_Entry!L74/Data_Entry!$H74),0)</f>
        <v>0.83679432387081454</v>
      </c>
      <c r="H85" s="49">
        <f>IFERROR(IF(Data_Entry!M74/Data_Entry!$H74&lt;0,0,Data_Entry!M74/Data_Entry!$H74),0)</f>
        <v>0.78904930238869597</v>
      </c>
      <c r="I85" s="49">
        <f>IFERROR(IF(Data_Entry!N74/Data_Entry!$H74&lt;0,0,Data_Entry!N74/Data_Entry!$H74),0)</f>
        <v>0.70361084289437859</v>
      </c>
      <c r="J85" s="49">
        <f>IFERROR(IF(Data_Entry!O74/Data_Entry!$H74&lt;0,0,Data_Entry!O74/Data_Entry!$H74),0)</f>
        <v>1.0026454511244896</v>
      </c>
      <c r="K85" s="49">
        <f>IFERROR(IF(Data_Entry!P74/Data_Entry!$H74&lt;0,0,Data_Entry!P74/Data_Entry!$H74),0)</f>
        <v>0.85941038667813385</v>
      </c>
      <c r="L85" s="49">
        <f>IFERROR(IF(Data_Entry!Q74/Data_Entry!$H74&lt;0,0,Data_Entry!Q74/Data_Entry!$H74),0)</f>
        <v>0.74381717677405734</v>
      </c>
      <c r="M85" s="49">
        <f>IFERROR(IF(Data_Entry!R74/Data_Entry!$H74&lt;0,0,Data_Entry!R74/Data_Entry!$H74),0)</f>
        <v>1.0152099304618891</v>
      </c>
      <c r="N85" s="49">
        <f>IFERROR(IF(Data_Entry!S74/Data_Entry!$H74&lt;0,0,Data_Entry!S74/Data_Entry!$H74),0)</f>
        <v>0.76643323958137666</v>
      </c>
      <c r="O85" s="49">
        <f>IFERROR(IF(Data_Entry!T74/Data_Entry!$H74&lt;0,0,Data_Entry!T74/Data_Entry!$H74),0)</f>
        <v>0.71114953049681839</v>
      </c>
      <c r="P85" s="49">
        <f>IFERROR(IF(Data_Entry!U74/Data_Entry!$H74&lt;0,0,Data_Entry!U74/Data_Entry!$H74),0)</f>
        <v>1.020235722196849</v>
      </c>
      <c r="Q85" s="49">
        <f>IFERROR(IF(Data_Entry!V74/Data_Entry!$H74&lt;0,0,Data_Entry!V74/Data_Entry!$H74),0)</f>
        <v>0.82171694866593503</v>
      </c>
      <c r="R85" s="49">
        <f>IFERROR(IF(Data_Entry!W74/Data_Entry!$H74&lt;0,0,Data_Entry!W74/Data_Entry!$H74),0)</f>
        <v>0.80412667759357559</v>
      </c>
      <c r="S85" s="49">
        <f>IFERROR(IF(Data_Entry!X74/Data_Entry!$H74&lt;0,0,Data_Entry!X74/Data_Entry!$H74),0)</f>
        <v>1.0227486180643288</v>
      </c>
      <c r="T85" s="49">
        <f>IFERROR(IF(Data_Entry!Y74/Data_Entry!$H74&lt;0,0,Data_Entry!Y74/Data_Entry!$H74),0)</f>
        <v>0.35180542144718929</v>
      </c>
      <c r="U85" s="49">
        <f>IFERROR(IF(Data_Entry!Z74/Data_Entry!$H74&lt;0,0,Data_Entry!Z74/Data_Entry!$H74),0)</f>
        <v>0.99259386765456981</v>
      </c>
      <c r="V85" s="49">
        <f>IFERROR(IF(Data_Entry!AA74/Data_Entry!$H74&lt;0,0,Data_Entry!AA74/Data_Entry!$H74),0)</f>
        <v>0.81166536519601529</v>
      </c>
      <c r="W85" s="49">
        <f>IFERROR(IF(Data_Entry!AB74/Data_Entry!$H74&lt;0,0,Data_Entry!AB74/Data_Entry!$H74),0)</f>
        <v>0.99259386765456981</v>
      </c>
      <c r="X85" s="49">
        <f>IFERROR(IF(Data_Entry!AC74/Data_Entry!$I74&lt;0,0,Data_Entry!AC74/Data_Entry!$I74),0)</f>
        <v>0.49112036834027617</v>
      </c>
      <c r="Y85" s="49">
        <f>IFERROR(IF(Data_Entry!AD74/Data_Entry!$I74&lt;0,0,Data_Entry!AD74/Data_Entry!$I74),0)</f>
        <v>0.29160271870203897</v>
      </c>
      <c r="Z85" s="49">
        <f>IFERROR(IF(Data_Entry!AE74/Data_Entry!$I74&lt;0,0,Data_Entry!AE74/Data_Entry!$I74),0)</f>
        <v>0.28283271212453404</v>
      </c>
      <c r="AA85" s="49">
        <f>IFERROR(IF(Data_Entry!AF74/Data_Entry!$I74&lt;0,0,Data_Entry!AF74/Data_Entry!$I74),0)</f>
        <v>0.18417013812760355</v>
      </c>
      <c r="AB85" s="49">
        <f>IFERROR(IF(Data_Entry!AG74/Data_Entry!$I74&lt;0,0,Data_Entry!AG74/Data_Entry!$I74),0)</f>
        <v>0.15566761675071253</v>
      </c>
      <c r="AC85" s="49">
        <f>IFERROR(IF(Data_Entry!AI74/Data_Entry!$I74&lt;0,0,Data_Entry!AI74/Data_Entry!$I74),0)</f>
        <v>0.10962508221881165</v>
      </c>
      <c r="AD85" s="49">
        <f>IFERROR(IF(Data_Entry!AM74/Data_Entry!$H74&lt;0,0,Data_Entry!AM74/Data_Entry!$H74),0)</f>
        <v>0.99259386765456981</v>
      </c>
      <c r="AE85" s="50">
        <f>Data_Entry!AK74</f>
        <v>0</v>
      </c>
      <c r="AF85" s="50">
        <f>Data_Entry!AL74</f>
        <v>0</v>
      </c>
      <c r="AG85" s="153">
        <f>(Data_Entry!O74-Data_Entry!Q74)/Data_Entry!O74</f>
        <v>0.25814536340852129</v>
      </c>
      <c r="AH85" s="79" t="str">
        <f t="shared" si="2"/>
        <v>CAT2</v>
      </c>
      <c r="AI85" s="51">
        <f>SUBTOTAL(3,Tableau1[[#This Row],[ZS]])</f>
        <v>0</v>
      </c>
      <c r="AJ85" s="51" t="e">
        <f t="shared" ca="1" si="3"/>
        <v>#NAME?</v>
      </c>
      <c r="AK85" s="50" t="str">
        <f>IFERROR(IF((Data_Entry!O74-Data_Entry!Q74)/Data_Entry!O74&lt;=10%,"&lt;=10%","&gt;10%"),"&lt;=10%")</f>
        <v>&gt;10%</v>
      </c>
    </row>
    <row r="86" spans="1:37" s="48" customFormat="1" ht="13" hidden="1" x14ac:dyDescent="0.3">
      <c r="A86" s="31" t="s">
        <v>16</v>
      </c>
      <c r="B86" s="48" t="str">
        <f>Data_Entry!B75</f>
        <v>Butembo</v>
      </c>
      <c r="C86" s="48" t="str">
        <f>Data_Entry!C75</f>
        <v xml:space="preserve"> Biena</v>
      </c>
      <c r="D86" s="48" t="str">
        <f>Data_Entry!D75</f>
        <v xml:space="preserve"> Mandelya</v>
      </c>
      <c r="E86" s="49">
        <f>IFERROR(IF(Data_Entry!J75/Data_Entry!$I75&lt;0,0,Data_Entry!J75/Data_Entry!$I75),0)</f>
        <v>0.32218368945072151</v>
      </c>
      <c r="F86" s="49">
        <f>IFERROR(IF(Data_Entry!K75/Data_Entry!$H75&lt;0,0,Data_Entry!K75/Data_Entry!$H75),0)</f>
        <v>0.3231068518846778</v>
      </c>
      <c r="G86" s="49">
        <f>IFERROR(IF(Data_Entry!L75/Data_Entry!$H75&lt;0,0,Data_Entry!L75/Data_Entry!$H75),0)</f>
        <v>0.71160437617458805</v>
      </c>
      <c r="H86" s="49">
        <f>IFERROR(IF(Data_Entry!M75/Data_Entry!$H75&lt;0,0,Data_Entry!M75/Data_Entry!$H75),0)</f>
        <v>0.96547404551254912</v>
      </c>
      <c r="I86" s="49">
        <f>IFERROR(IF(Data_Entry!N75/Data_Entry!$H75&lt;0,0,Data_Entry!N75/Data_Entry!$H75),0)</f>
        <v>0.55389746037373333</v>
      </c>
      <c r="J86" s="49">
        <f>IFERROR(IF(Data_Entry!O75/Data_Entry!$H75&lt;0,0,Data_Entry!O75/Data_Entry!$H75),0)</f>
        <v>0.68083229504271392</v>
      </c>
      <c r="K86" s="49">
        <f>IFERROR(IF(Data_Entry!P75/Data_Entry!$H75&lt;0,0,Data_Entry!P75/Data_Entry!$H75),0)</f>
        <v>0.68467880518419821</v>
      </c>
      <c r="L86" s="49">
        <f>IFERROR(IF(Data_Entry!Q75/Data_Entry!$H75&lt;0,0,Data_Entry!Q75/Data_Entry!$H75),0)</f>
        <v>0.55005095023224915</v>
      </c>
      <c r="M86" s="49">
        <f>IFERROR(IF(Data_Entry!R75/Data_Entry!$H75&lt;0,0,Data_Entry!R75/Data_Entry!$H75),0)</f>
        <v>0.85392525140950559</v>
      </c>
      <c r="N86" s="49">
        <f>IFERROR(IF(Data_Entry!S75/Data_Entry!$H75&lt;0,0,Data_Entry!S75/Data_Entry!$H75),0)</f>
        <v>0.45004168655365839</v>
      </c>
      <c r="O86" s="49">
        <f>IFERROR(IF(Data_Entry!T75/Data_Entry!$H75&lt;0,0,Data_Entry!T75/Data_Entry!$H75),0)</f>
        <v>0.16924644622530741</v>
      </c>
      <c r="P86" s="49">
        <f>IFERROR(IF(Data_Entry!U75/Data_Entry!$H75&lt;0,0,Data_Entry!U75/Data_Entry!$H75),0)</f>
        <v>0.85392525140950559</v>
      </c>
      <c r="Q86" s="49">
        <f>IFERROR(IF(Data_Entry!V75/Data_Entry!$H75&lt;0,0,Data_Entry!V75/Data_Entry!$H75),0)</f>
        <v>0.45773470683662687</v>
      </c>
      <c r="R86" s="49">
        <f>IFERROR(IF(Data_Entry!W75/Data_Entry!$H75&lt;0,0,Data_Entry!W75/Data_Entry!$H75),0)</f>
        <v>0.17309295636679167</v>
      </c>
      <c r="S86" s="49">
        <f>IFERROR(IF(Data_Entry!X75/Data_Entry!$H75&lt;0,0,Data_Entry!X75/Data_Entry!$H75),0)</f>
        <v>0.90777639339028526</v>
      </c>
      <c r="T86" s="49">
        <f>IFERROR(IF(Data_Entry!Y75/Data_Entry!$H75&lt;0,0,Data_Entry!Y75/Data_Entry!$H75),0)</f>
        <v>0.20001852735718151</v>
      </c>
      <c r="U86" s="49">
        <f>IFERROR(IF(Data_Entry!Z75/Data_Entry!$H75&lt;0,0,Data_Entry!Z75/Data_Entry!$H75),0)</f>
        <v>0.86161827169247418</v>
      </c>
      <c r="V86" s="49">
        <f>IFERROR(IF(Data_Entry!AA75/Data_Entry!$H75&lt;0,0,Data_Entry!AA75/Data_Entry!$H75),0)</f>
        <v>0.84623223112653712</v>
      </c>
      <c r="W86" s="49">
        <f>IFERROR(IF(Data_Entry!AB75/Data_Entry!$H75&lt;0,0,Data_Entry!AB75/Data_Entry!$H75),0)</f>
        <v>0.47696725754404817</v>
      </c>
      <c r="X86" s="49">
        <f>IFERROR(IF(Data_Entry!AC75/Data_Entry!$I75&lt;0,0,Data_Entry!AC75/Data_Entry!$I75),0)</f>
        <v>0.13424320393780065</v>
      </c>
      <c r="Y86" s="49">
        <f>IFERROR(IF(Data_Entry!AD75/Data_Entry!$I75&lt;0,0,Data_Entry!AD75/Data_Entry!$I75),0)</f>
        <v>9.0614162658015432E-2</v>
      </c>
      <c r="Z86" s="49">
        <f>IFERROR(IF(Data_Entry!AE75/Data_Entry!$I75&lt;0,0,Data_Entry!AE75/Data_Entry!$I75),0)</f>
        <v>0.14095536413469067</v>
      </c>
      <c r="AA86" s="49">
        <f>IFERROR(IF(Data_Entry!AF75/Data_Entry!$I75&lt;0,0,Data_Entry!AF75/Data_Entry!$I75),0)</f>
        <v>6.7121601968900324E-2</v>
      </c>
      <c r="AB86" s="49">
        <f>IFERROR(IF(Data_Entry!AG75/Data_Entry!$I75&lt;0,0,Data_Entry!AG75/Data_Entry!$I75),0)</f>
        <v>4.0272961181340189E-2</v>
      </c>
      <c r="AC86" s="49">
        <f>IFERROR(IF(Data_Entry!AI75/Data_Entry!$I75&lt;0,0,Data_Entry!AI75/Data_Entry!$I75),0)</f>
        <v>0.16780400492225078</v>
      </c>
      <c r="AD86" s="49">
        <f>IFERROR(IF(Data_Entry!AM75/Data_Entry!$H75&lt;0,0,Data_Entry!AM75/Data_Entry!$H75),0)</f>
        <v>0.86161827169247418</v>
      </c>
      <c r="AE86" s="50">
        <f>Data_Entry!AK75</f>
        <v>82.975916666666649</v>
      </c>
      <c r="AF86" s="50">
        <f>Data_Entry!AL75</f>
        <v>0</v>
      </c>
      <c r="AG86" s="153">
        <f>(Data_Entry!O75-Data_Entry!Q75)/Data_Entry!O75</f>
        <v>0.19209039548022599</v>
      </c>
      <c r="AH86" s="79" t="str">
        <f t="shared" si="2"/>
        <v>CAT4</v>
      </c>
      <c r="AI86" s="51">
        <f>SUBTOTAL(3,Tableau1[[#This Row],[ZS]])</f>
        <v>0</v>
      </c>
      <c r="AJ86" s="51" t="e">
        <f t="shared" ca="1" si="3"/>
        <v>#NAME?</v>
      </c>
      <c r="AK86" s="50" t="str">
        <f>IFERROR(IF((Data_Entry!O75-Data_Entry!Q75)/Data_Entry!O75&lt;=10%,"&lt;=10%","&gt;10%"),"&lt;=10%")</f>
        <v>&gt;10%</v>
      </c>
    </row>
    <row r="87" spans="1:37" s="48" customFormat="1" ht="13" hidden="1" x14ac:dyDescent="0.3">
      <c r="A87" s="31" t="s">
        <v>16</v>
      </c>
      <c r="B87" s="48" t="str">
        <f>Data_Entry!B76</f>
        <v>Butembo</v>
      </c>
      <c r="C87" s="48" t="str">
        <f>Data_Entry!C76</f>
        <v xml:space="preserve"> Biena</v>
      </c>
      <c r="D87" s="48" t="str">
        <f>Data_Entry!D76</f>
        <v xml:space="preserve"> Masayi</v>
      </c>
      <c r="E87" s="49">
        <f>IFERROR(IF(Data_Entry!J76/Data_Entry!$I76&lt;0,0,Data_Entry!J76/Data_Entry!$I76),0)</f>
        <v>0.19984508133230056</v>
      </c>
      <c r="F87" s="49">
        <f>IFERROR(IF(Data_Entry!K76/Data_Entry!$H76&lt;0,0,Data_Entry!K76/Data_Entry!$H76),0)</f>
        <v>3.7287014575227657E-2</v>
      </c>
      <c r="G87" s="49">
        <f>IFERROR(IF(Data_Entry!L76/Data_Entry!$H76&lt;0,0,Data_Entry!L76/Data_Entry!$H76),0)</f>
        <v>0.69247312782565651</v>
      </c>
      <c r="H87" s="49">
        <f>IFERROR(IF(Data_Entry!M76/Data_Entry!$H76&lt;0,0,Data_Entry!M76/Data_Entry!$H76),0)</f>
        <v>0.72976014240088416</v>
      </c>
      <c r="I87" s="49">
        <f>IFERROR(IF(Data_Entry!N76/Data_Entry!$H76&lt;0,0,Data_Entry!N76/Data_Entry!$H76),0)</f>
        <v>0.61257238230731148</v>
      </c>
      <c r="J87" s="49">
        <f>IFERROR(IF(Data_Entry!O76/Data_Entry!$H76&lt;0,0,Data_Entry!O76/Data_Entry!$H76),0)</f>
        <v>0.63387924777887017</v>
      </c>
      <c r="K87" s="49">
        <f>IFERROR(IF(Data_Entry!P76/Data_Entry!$H76&lt;0,0,Data_Entry!P76/Data_Entry!$H76),0)</f>
        <v>0.62322581504309083</v>
      </c>
      <c r="L87" s="49">
        <f>IFERROR(IF(Data_Entry!Q76/Data_Entry!$H76&lt;0,0,Data_Entry!Q76/Data_Entry!$H76),0)</f>
        <v>0.52201820405318722</v>
      </c>
      <c r="M87" s="49">
        <f>IFERROR(IF(Data_Entry!R76/Data_Entry!$H76&lt;0,0,Data_Entry!R76/Data_Entry!$H76),0)</f>
        <v>0.37287014575227656</v>
      </c>
      <c r="N87" s="49">
        <f>IFERROR(IF(Data_Entry!S76/Data_Entry!$H76&lt;0,0,Data_Entry!S76/Data_Entry!$H76),0)</f>
        <v>0.41015716032750427</v>
      </c>
      <c r="O87" s="49">
        <f>IFERROR(IF(Data_Entry!T76/Data_Entry!$H76&lt;0,0,Data_Entry!T76/Data_Entry!$H76),0)</f>
        <v>0.23437552018714528</v>
      </c>
      <c r="P87" s="49">
        <f>IFERROR(IF(Data_Entry!U76/Data_Entry!$H76&lt;0,0,Data_Entry!U76/Data_Entry!$H76),0)</f>
        <v>0.52734492042107683</v>
      </c>
      <c r="Q87" s="49">
        <f>IFERROR(IF(Data_Entry!V76/Data_Entry!$H76&lt;0,0,Data_Entry!V76/Data_Entry!$H76),0)</f>
        <v>0.44744417490273192</v>
      </c>
      <c r="R87" s="49">
        <f>IFERROR(IF(Data_Entry!W76/Data_Entry!$H76&lt;0,0,Data_Entry!W76/Data_Entry!$H76),0)</f>
        <v>0.45809760763851121</v>
      </c>
      <c r="S87" s="49">
        <f>IFERROR(IF(Data_Entry!X76/Data_Entry!$H76&lt;0,0,Data_Entry!X76/Data_Entry!$H76),0)</f>
        <v>0.58593880046786317</v>
      </c>
      <c r="T87" s="49">
        <f>IFERROR(IF(Data_Entry!Y76/Data_Entry!$H76&lt;0,0,Data_Entry!Y76/Data_Entry!$H76),0)</f>
        <v>9.5880894622013976E-2</v>
      </c>
      <c r="U87" s="49">
        <f>IFERROR(IF(Data_Entry!Z76/Data_Entry!$H76&lt;0,0,Data_Entry!Z76/Data_Entry!$H76),0)</f>
        <v>0.39950372759172492</v>
      </c>
      <c r="V87" s="49">
        <f>IFERROR(IF(Data_Entry!AA76/Data_Entry!$H76&lt;0,0,Data_Entry!AA76/Data_Entry!$H76),0)</f>
        <v>0.5646319349963046</v>
      </c>
      <c r="W87" s="49">
        <f>IFERROR(IF(Data_Entry!AB76/Data_Entry!$H76&lt;0,0,Data_Entry!AB76/Data_Entry!$H76),0)</f>
        <v>0.37287014575227656</v>
      </c>
      <c r="X87" s="49">
        <f>IFERROR(IF(Data_Entry!AC76/Data_Entry!$I76&lt;0,0,Data_Entry!AC76/Data_Entry!$I76),0)</f>
        <v>0.14407436096049575</v>
      </c>
      <c r="Y87" s="49">
        <f>IFERROR(IF(Data_Entry!AD76/Data_Entry!$I76&lt;0,0,Data_Entry!AD76/Data_Entry!$I76),0)</f>
        <v>0.19519752130131682</v>
      </c>
      <c r="Z87" s="49">
        <f>IFERROR(IF(Data_Entry!AE76/Data_Entry!$I76&lt;0,0,Data_Entry!AE76/Data_Entry!$I76),0)</f>
        <v>9.7598760650658409E-2</v>
      </c>
      <c r="AA87" s="49">
        <f>IFERROR(IF(Data_Entry!AF76/Data_Entry!$I76&lt;0,0,Data_Entry!AF76/Data_Entry!$I76),0)</f>
        <v>0.11154144074360961</v>
      </c>
      <c r="AB87" s="49">
        <f>IFERROR(IF(Data_Entry!AG76/Data_Entry!$I76&lt;0,0,Data_Entry!AG76/Data_Entry!$I76),0)</f>
        <v>4.1828040278853604E-2</v>
      </c>
      <c r="AC87" s="49">
        <f>IFERROR(IF(Data_Entry!AI76/Data_Entry!$I76&lt;0,0,Data_Entry!AI76/Data_Entry!$I76),0)</f>
        <v>0.27095274980635164</v>
      </c>
      <c r="AD87" s="49">
        <f>IFERROR(IF(Data_Entry!AM76/Data_Entry!$H76&lt;0,0,Data_Entry!AM76/Data_Entry!$H76),0)</f>
        <v>0.39950372759172492</v>
      </c>
      <c r="AE87" s="50">
        <f>Data_Entry!AK76</f>
        <v>68.732916666666682</v>
      </c>
      <c r="AF87" s="50">
        <f>Data_Entry!AL76</f>
        <v>9</v>
      </c>
      <c r="AG87" s="153">
        <f>(Data_Entry!O76-Data_Entry!Q76)/Data_Entry!O76</f>
        <v>0.17647058823529413</v>
      </c>
      <c r="AH87" s="79" t="str">
        <f t="shared" si="2"/>
        <v>CAT4</v>
      </c>
      <c r="AI87" s="51">
        <f>SUBTOTAL(3,Tableau1[[#This Row],[ZS]])</f>
        <v>0</v>
      </c>
      <c r="AJ87" s="51" t="e">
        <f t="shared" ca="1" si="3"/>
        <v>#NAME?</v>
      </c>
      <c r="AK87" s="50" t="str">
        <f>IFERROR(IF((Data_Entry!O76-Data_Entry!Q76)/Data_Entry!O76&lt;=10%,"&lt;=10%","&gt;10%"),"&lt;=10%")</f>
        <v>&gt;10%</v>
      </c>
    </row>
    <row r="88" spans="1:37" s="48" customFormat="1" ht="13" hidden="1" x14ac:dyDescent="0.3">
      <c r="A88" s="31" t="s">
        <v>16</v>
      </c>
      <c r="B88" s="48" t="str">
        <f>Data_Entry!B77</f>
        <v>Butembo</v>
      </c>
      <c r="C88" s="48" t="str">
        <f>Data_Entry!C77</f>
        <v xml:space="preserve"> Biena</v>
      </c>
      <c r="D88" s="48" t="str">
        <f>Data_Entry!D77</f>
        <v xml:space="preserve"> Masingi</v>
      </c>
      <c r="E88" s="49">
        <f>IFERROR(IF(Data_Entry!J77/Data_Entry!$I77&lt;0,0,Data_Entry!J77/Data_Entry!$I77),0)</f>
        <v>0.16078737088286882</v>
      </c>
      <c r="F88" s="49">
        <f>IFERROR(IF(Data_Entry!K77/Data_Entry!$H77&lt;0,0,Data_Entry!K77/Data_Entry!$H77),0)</f>
        <v>0.33841155424162028</v>
      </c>
      <c r="G88" s="49">
        <f>IFERROR(IF(Data_Entry!L77/Data_Entry!$H77&lt;0,0,Data_Entry!L77/Data_Entry!$H77),0)</f>
        <v>0.52269507387814618</v>
      </c>
      <c r="H88" s="49">
        <f>IFERROR(IF(Data_Entry!M77/Data_Entry!$H77&lt;0,0,Data_Entry!M77/Data_Entry!$H77),0)</f>
        <v>0.49253958884671462</v>
      </c>
      <c r="I88" s="49">
        <f>IFERROR(IF(Data_Entry!N77/Data_Entry!$H77&lt;0,0,Data_Entry!N77/Data_Entry!$H77),0)</f>
        <v>0.50594202663846199</v>
      </c>
      <c r="J88" s="49">
        <f>IFERROR(IF(Data_Entry!O77/Data_Entry!$H77&lt;0,0,Data_Entry!O77/Data_Entry!$H77),0)</f>
        <v>0.52269507387814618</v>
      </c>
      <c r="K88" s="49">
        <f>IFERROR(IF(Data_Entry!P77/Data_Entry!$H77&lt;0,0,Data_Entry!P77/Data_Entry!$H77),0)</f>
        <v>0.50259141719052514</v>
      </c>
      <c r="L88" s="49">
        <f>IFERROR(IF(Data_Entry!Q77/Data_Entry!$H77&lt;0,0,Data_Entry!Q77/Data_Entry!$H77),0)</f>
        <v>0.51599385498227246</v>
      </c>
      <c r="M88" s="49">
        <f>IFERROR(IF(Data_Entry!R77/Data_Entry!$H77&lt;0,0,Data_Entry!R77/Data_Entry!$H77),0)</f>
        <v>0.34176216368955709</v>
      </c>
      <c r="N88" s="49">
        <f>IFERROR(IF(Data_Entry!S77/Data_Entry!$H77&lt;0,0,Data_Entry!S77/Data_Entry!$H77),0)</f>
        <v>0.3250091164498729</v>
      </c>
      <c r="O88" s="49">
        <f>IFERROR(IF(Data_Entry!T77/Data_Entry!$H77&lt;0,0,Data_Entry!T77/Data_Entry!$H77),0)</f>
        <v>0.33841155424162028</v>
      </c>
      <c r="P88" s="49">
        <f>IFERROR(IF(Data_Entry!U77/Data_Entry!$H77&lt;0,0,Data_Entry!U77/Data_Entry!$H77),0)</f>
        <v>0.42552739988797794</v>
      </c>
      <c r="Q88" s="49">
        <f>IFERROR(IF(Data_Entry!V77/Data_Entry!$H77&lt;0,0,Data_Entry!V77/Data_Entry!$H77),0)</f>
        <v>0.40542374320035696</v>
      </c>
      <c r="R88" s="49">
        <f>IFERROR(IF(Data_Entry!W77/Data_Entry!$H77&lt;0,0,Data_Entry!W77/Data_Entry!$H77),0)</f>
        <v>0.40542374320035696</v>
      </c>
      <c r="S88" s="49">
        <f>IFERROR(IF(Data_Entry!X77/Data_Entry!$H77&lt;0,0,Data_Entry!X77/Data_Entry!$H77),0)</f>
        <v>0.55620116835751443</v>
      </c>
      <c r="T88" s="49">
        <f>IFERROR(IF(Data_Entry!Y77/Data_Entry!$H77&lt;0,0,Data_Entry!Y77/Data_Entry!$H77),0)</f>
        <v>0.37526825816892545</v>
      </c>
      <c r="U88" s="49">
        <f>IFERROR(IF(Data_Entry!Z77/Data_Entry!$H77&lt;0,0,Data_Entry!Z77/Data_Entry!$H77),0)</f>
        <v>0.51599385498227246</v>
      </c>
      <c r="V88" s="49">
        <f>IFERROR(IF(Data_Entry!AA77/Data_Entry!$H77&lt;0,0,Data_Entry!AA77/Data_Entry!$H77),0)</f>
        <v>0.41547557154416742</v>
      </c>
      <c r="W88" s="49">
        <f>IFERROR(IF(Data_Entry!AB77/Data_Entry!$H77&lt;0,0,Data_Entry!AB77/Data_Entry!$H77),0)</f>
        <v>0.36856703927305179</v>
      </c>
      <c r="X88" s="49">
        <f>IFERROR(IF(Data_Entry!AC77/Data_Entry!$I77&lt;0,0,Data_Entry!AC77/Data_Entry!$I77),0)</f>
        <v>0.16371077762619371</v>
      </c>
      <c r="Y88" s="49">
        <f>IFERROR(IF(Data_Entry!AD77/Data_Entry!$I77&lt;0,0,Data_Entry!AD77/Data_Entry!$I77),0)</f>
        <v>0.12278308321964528</v>
      </c>
      <c r="Z88" s="49">
        <f>IFERROR(IF(Data_Entry!AE77/Data_Entry!$I77&lt;0,0,Data_Entry!AE77/Data_Entry!$I77),0)</f>
        <v>0.12862989670629504</v>
      </c>
      <c r="AA88" s="49">
        <f>IFERROR(IF(Data_Entry!AF77/Data_Entry!$I77&lt;0,0,Data_Entry!AF77/Data_Entry!$I77),0)</f>
        <v>9.6472422529721283E-2</v>
      </c>
      <c r="AB88" s="49">
        <f>IFERROR(IF(Data_Entry!AG77/Data_Entry!$I77&lt;0,0,Data_Entry!AG77/Data_Entry!$I77),0)</f>
        <v>8.1855388813096855E-2</v>
      </c>
      <c r="AC88" s="49">
        <f>IFERROR(IF(Data_Entry!AI77/Data_Entry!$I77&lt;0,0,Data_Entry!AI77/Data_Entry!$I77),0)</f>
        <v>0.14617033716624436</v>
      </c>
      <c r="AD88" s="49">
        <f>IFERROR(IF(Data_Entry!AM77/Data_Entry!$H77&lt;0,0,Data_Entry!AM77/Data_Entry!$H77),0)</f>
        <v>0.51599385498227246</v>
      </c>
      <c r="AE88" s="50">
        <f>Data_Entry!AK77</f>
        <v>142.45316666666668</v>
      </c>
      <c r="AF88" s="50">
        <f>Data_Entry!AL77</f>
        <v>0</v>
      </c>
      <c r="AG88" s="153">
        <f>(Data_Entry!O77-Data_Entry!Q77)/Data_Entry!O77</f>
        <v>1.282051282051282E-2</v>
      </c>
      <c r="AH88" s="79" t="str">
        <f t="shared" si="2"/>
        <v>CAT3</v>
      </c>
      <c r="AI88" s="51">
        <f>SUBTOTAL(3,Tableau1[[#This Row],[ZS]])</f>
        <v>0</v>
      </c>
      <c r="AJ88" s="51" t="e">
        <f t="shared" ca="1" si="3"/>
        <v>#NAME?</v>
      </c>
      <c r="AK88" s="50" t="str">
        <f>IFERROR(IF((Data_Entry!O77-Data_Entry!Q77)/Data_Entry!O77&lt;=10%,"&lt;=10%","&gt;10%"),"&lt;=10%")</f>
        <v>&lt;=10%</v>
      </c>
    </row>
    <row r="89" spans="1:37" s="48" customFormat="1" ht="13" hidden="1" x14ac:dyDescent="0.3">
      <c r="A89" s="31" t="s">
        <v>16</v>
      </c>
      <c r="B89" s="48" t="str">
        <f>Data_Entry!B78</f>
        <v>Butembo</v>
      </c>
      <c r="C89" s="48" t="str">
        <f>Data_Entry!C78</f>
        <v xml:space="preserve"> Biena</v>
      </c>
      <c r="D89" s="48" t="str">
        <f>Data_Entry!D78</f>
        <v xml:space="preserve"> Masoya</v>
      </c>
      <c r="E89" s="49">
        <f>IFERROR(IF(Data_Entry!J78/Data_Entry!$I78&lt;0,0,Data_Entry!J78/Data_Entry!$I78),0)</f>
        <v>0.95548589341692802</v>
      </c>
      <c r="F89" s="49">
        <f>IFERROR(IF(Data_Entry!K78/Data_Entry!$H78&lt;0,0,Data_Entry!K78/Data_Entry!$H78),0)</f>
        <v>0.64672014084127516</v>
      </c>
      <c r="G89" s="49">
        <f>IFERROR(IF(Data_Entry!L78/Data_Entry!$H78&lt;0,0,Data_Entry!L78/Data_Entry!$H78),0)</f>
        <v>1.0131948873179979</v>
      </c>
      <c r="H89" s="49">
        <f>IFERROR(IF(Data_Entry!M78/Data_Entry!$H78&lt;0,0,Data_Entry!M78/Data_Entry!$H78),0)</f>
        <v>1.0519980957684743</v>
      </c>
      <c r="I89" s="49">
        <f>IFERROR(IF(Data_Entry!N78/Data_Entry!$H78&lt;0,0,Data_Entry!N78/Data_Entry!$H78),0)</f>
        <v>0.99594901689556381</v>
      </c>
      <c r="J89" s="49">
        <f>IFERROR(IF(Data_Entry!O78/Data_Entry!$H78&lt;0,0,Data_Entry!O78/Data_Entry!$H78),0)</f>
        <v>1.0735554337965167</v>
      </c>
      <c r="K89" s="49">
        <f>IFERROR(IF(Data_Entry!P78/Data_Entry!$H78&lt;0,0,Data_Entry!P78/Data_Entry!$H78),0)</f>
        <v>0.90540819717778531</v>
      </c>
      <c r="L89" s="49">
        <f>IFERROR(IF(Data_Entry!Q78/Data_Entry!$H78&lt;0,0,Data_Entry!Q78/Data_Entry!$H78),0)</f>
        <v>0.91834259999461076</v>
      </c>
      <c r="M89" s="49">
        <f>IFERROR(IF(Data_Entry!R78/Data_Entry!$H78&lt;0,0,Data_Entry!R78/Data_Entry!$H78),0)</f>
        <v>0.84073618309365772</v>
      </c>
      <c r="N89" s="49">
        <f>IFERROR(IF(Data_Entry!S78/Data_Entry!$H78&lt;0,0,Data_Entry!S78/Data_Entry!$H78),0)</f>
        <v>0.75881829858709626</v>
      </c>
      <c r="O89" s="49">
        <f>IFERROR(IF(Data_Entry!T78/Data_Entry!$H78&lt;0,0,Data_Entry!T78/Data_Entry!$H78),0)</f>
        <v>0.70276921971418571</v>
      </c>
      <c r="P89" s="49">
        <f>IFERROR(IF(Data_Entry!U78/Data_Entry!$H78&lt;0,0,Data_Entry!U78/Data_Entry!$H78),0)</f>
        <v>0.96576874365630427</v>
      </c>
      <c r="Q89" s="49">
        <f>IFERROR(IF(Data_Entry!V78/Data_Entry!$H78&lt;0,0,Data_Entry!V78/Data_Entry!$H78),0)</f>
        <v>0.86229352112170021</v>
      </c>
      <c r="R89" s="49">
        <f>IFERROR(IF(Data_Entry!W78/Data_Entry!$H78&lt;0,0,Data_Entry!W78/Data_Entry!$H78),0)</f>
        <v>0.76312976619270478</v>
      </c>
      <c r="S89" s="49">
        <f>IFERROR(IF(Data_Entry!X78/Data_Entry!$H78&lt;0,0,Data_Entry!X78/Data_Entry!$H78),0)</f>
        <v>1.0347522253460404</v>
      </c>
      <c r="T89" s="49">
        <f>IFERROR(IF(Data_Entry!Y78/Data_Entry!$H78&lt;0,0,Data_Entry!Y78/Data_Entry!$H78),0)</f>
        <v>0.57342519154593063</v>
      </c>
      <c r="U89" s="49">
        <f>IFERROR(IF(Data_Entry!Z78/Data_Entry!$H78&lt;0,0,Data_Entry!Z78/Data_Entry!$H78),0)</f>
        <v>0.97439167886752132</v>
      </c>
      <c r="V89" s="49">
        <f>IFERROR(IF(Data_Entry!AA78/Data_Entry!$H78&lt;0,0,Data_Entry!AA78/Data_Entry!$H78),0)</f>
        <v>0.88385085914974282</v>
      </c>
      <c r="W89" s="49">
        <f>IFERROR(IF(Data_Entry!AB78/Data_Entry!$H78&lt;0,0,Data_Entry!AB78/Data_Entry!$H78),0)</f>
        <v>0.87522792393852578</v>
      </c>
      <c r="X89" s="49">
        <f>IFERROR(IF(Data_Entry!AC78/Data_Entry!$I78&lt;0,0,Data_Entry!AC78/Data_Entry!$I78),0)</f>
        <v>0.33855799373040757</v>
      </c>
      <c r="Y89" s="49">
        <f>IFERROR(IF(Data_Entry!AD78/Data_Entry!$I78&lt;0,0,Data_Entry!AD78/Data_Entry!$I78),0)</f>
        <v>0.11285266457680251</v>
      </c>
      <c r="Z89" s="49">
        <f>IFERROR(IF(Data_Entry!AE78/Data_Entry!$I78&lt;0,0,Data_Entry!AE78/Data_Entry!$I78),0)</f>
        <v>6.0188087774294678E-2</v>
      </c>
      <c r="AA89" s="49">
        <f>IFERROR(IF(Data_Entry!AF78/Data_Entry!$I78&lt;0,0,Data_Entry!AF78/Data_Entry!$I78),0)</f>
        <v>3.3855799373040757E-2</v>
      </c>
      <c r="AB89" s="49">
        <f>IFERROR(IF(Data_Entry!AG78/Data_Entry!$I78&lt;0,0,Data_Entry!AG78/Data_Entry!$I78),0)</f>
        <v>1.1285266457680252E-2</v>
      </c>
      <c r="AC89" s="49">
        <f>IFERROR(IF(Data_Entry!AI78/Data_Entry!$I78&lt;0,0,Data_Entry!AI78/Data_Entry!$I78),0)</f>
        <v>0.23510971786833856</v>
      </c>
      <c r="AD89" s="49">
        <f>IFERROR(IF(Data_Entry!AM78/Data_Entry!$H78&lt;0,0,Data_Entry!AM78/Data_Entry!$H78),0)</f>
        <v>0.97439167886752132</v>
      </c>
      <c r="AE89" s="50">
        <f>Data_Entry!AK78</f>
        <v>0</v>
      </c>
      <c r="AF89" s="50">
        <f>Data_Entry!AL78</f>
        <v>9</v>
      </c>
      <c r="AG89" s="153">
        <f>(Data_Entry!O78-Data_Entry!Q78)/Data_Entry!O78</f>
        <v>0.14457831325301204</v>
      </c>
      <c r="AH89" s="79" t="str">
        <f t="shared" si="2"/>
        <v>CAT2</v>
      </c>
      <c r="AI89" s="51">
        <f>SUBTOTAL(3,Tableau1[[#This Row],[ZS]])</f>
        <v>0</v>
      </c>
      <c r="AJ89" s="51" t="e">
        <f t="shared" ca="1" si="3"/>
        <v>#NAME?</v>
      </c>
      <c r="AK89" s="50" t="str">
        <f>IFERROR(IF((Data_Entry!O78-Data_Entry!Q78)/Data_Entry!O78&lt;=10%,"&lt;=10%","&gt;10%"),"&lt;=10%")</f>
        <v>&gt;10%</v>
      </c>
    </row>
    <row r="90" spans="1:37" s="48" customFormat="1" ht="13" hidden="1" x14ac:dyDescent="0.3">
      <c r="A90" s="31" t="s">
        <v>16</v>
      </c>
      <c r="B90" s="48" t="str">
        <f>Data_Entry!B79</f>
        <v>Butembo</v>
      </c>
      <c r="C90" s="48" t="str">
        <f>Data_Entry!C79</f>
        <v xml:space="preserve"> Biena</v>
      </c>
      <c r="D90" s="48" t="str">
        <f>Data_Entry!D79</f>
        <v xml:space="preserve"> Mateto</v>
      </c>
      <c r="E90" s="49">
        <f>IFERROR(IF(Data_Entry!J79/Data_Entry!$I79&lt;0,0,Data_Entry!J79/Data_Entry!$I79),0)</f>
        <v>0.51895899297243031</v>
      </c>
      <c r="F90" s="49">
        <f>IFERROR(IF(Data_Entry!K79/Data_Entry!$H79&lt;0,0,Data_Entry!K79/Data_Entry!$H79),0)</f>
        <v>0.33988308995329042</v>
      </c>
      <c r="G90" s="49">
        <f>IFERROR(IF(Data_Entry!L79/Data_Entry!$H79&lt;0,0,Data_Entry!L79/Data_Entry!$H79),0)</f>
        <v>0.70100887302866155</v>
      </c>
      <c r="H90" s="49">
        <f>IFERROR(IF(Data_Entry!M79/Data_Entry!$H79&lt;0,0,Data_Entry!M79/Data_Entry!$H79),0)</f>
        <v>0.65586815014424016</v>
      </c>
      <c r="I90" s="49">
        <f>IFERROR(IF(Data_Entry!N79/Data_Entry!$H79&lt;0,0,Data_Entry!N79/Data_Entry!$H79),0)</f>
        <v>0.62931478374163929</v>
      </c>
      <c r="J90" s="49">
        <f>IFERROR(IF(Data_Entry!O79/Data_Entry!$H79&lt;0,0,Data_Entry!O79/Data_Entry!$H79),0)</f>
        <v>0.75411560583386317</v>
      </c>
      <c r="K90" s="49">
        <f>IFERROR(IF(Data_Entry!P79/Data_Entry!$H79&lt;0,0,Data_Entry!P79/Data_Entry!$H79),0)</f>
        <v>0.7063195463091817</v>
      </c>
      <c r="L90" s="49">
        <f>IFERROR(IF(Data_Entry!Q79/Data_Entry!$H79&lt;0,0,Data_Entry!Q79/Data_Entry!$H79),0)</f>
        <v>0.62665944710137922</v>
      </c>
      <c r="M90" s="49">
        <f>IFERROR(IF(Data_Entry!R79/Data_Entry!$H79&lt;0,0,Data_Entry!R79/Data_Entry!$H79),0)</f>
        <v>0.69304286310788132</v>
      </c>
      <c r="N90" s="49">
        <f>IFERROR(IF(Data_Entry!S79/Data_Entry!$H79&lt;0,0,Data_Entry!S79/Data_Entry!$H79),0)</f>
        <v>0.60010608069877847</v>
      </c>
      <c r="O90" s="49">
        <f>IFERROR(IF(Data_Entry!T79/Data_Entry!$H79&lt;0,0,Data_Entry!T79/Data_Entry!$H79),0)</f>
        <v>0.41688785252083277</v>
      </c>
      <c r="P90" s="49">
        <f>IFERROR(IF(Data_Entry!U79/Data_Entry!$H79&lt;0,0,Data_Entry!U79/Data_Entry!$H79),0)</f>
        <v>0.78863498215724426</v>
      </c>
      <c r="Q90" s="49">
        <f>IFERROR(IF(Data_Entry!V79/Data_Entry!$H79&lt;0,0,Data_Entry!V79/Data_Entry!$H79),0)</f>
        <v>0.73287291271178245</v>
      </c>
      <c r="R90" s="49">
        <f>IFERROR(IF(Data_Entry!W79/Data_Entry!$H79&lt;0,0,Data_Entry!W79/Data_Entry!$H79),0)</f>
        <v>0.50185862500915546</v>
      </c>
      <c r="S90" s="49">
        <f>IFERROR(IF(Data_Entry!X79/Data_Entry!$H79&lt;0,0,Data_Entry!X79/Data_Entry!$H79),0)</f>
        <v>0.77004762567542362</v>
      </c>
      <c r="T90" s="49">
        <f>IFERROR(IF(Data_Entry!Y79/Data_Entry!$H79&lt;0,0,Data_Entry!Y79/Data_Entry!$H79),0)</f>
        <v>0.19383957473898594</v>
      </c>
      <c r="U90" s="49">
        <f>IFERROR(IF(Data_Entry!Z79/Data_Entry!$H79&lt;0,0,Data_Entry!Z79/Data_Entry!$H79),0)</f>
        <v>0.76739228903516354</v>
      </c>
      <c r="V90" s="49">
        <f>IFERROR(IF(Data_Entry!AA79/Data_Entry!$H79&lt;0,0,Data_Entry!AA79/Data_Entry!$H79),0)</f>
        <v>0.62134877382085907</v>
      </c>
      <c r="W90" s="49">
        <f>IFERROR(IF(Data_Entry!AB79/Data_Entry!$H79&lt;0,0,Data_Entry!AB79/Data_Entry!$H79),0)</f>
        <v>0.69835353638840147</v>
      </c>
      <c r="X90" s="49">
        <f>IFERROR(IF(Data_Entry!AC79/Data_Entry!$I79&lt;0,0,Data_Entry!AC79/Data_Entry!$I79),0)</f>
        <v>0.10657193605683837</v>
      </c>
      <c r="Y90" s="49">
        <f>IFERROR(IF(Data_Entry!AD79/Data_Entry!$I79&lt;0,0,Data_Entry!AD79/Data_Entry!$I79),0)</f>
        <v>9.2671248745076845E-2</v>
      </c>
      <c r="Z90" s="49">
        <f>IFERROR(IF(Data_Entry!AE79/Data_Entry!$I79&lt;0,0,Data_Entry!AE79/Data_Entry!$I79),0)</f>
        <v>0.10888871727546529</v>
      </c>
      <c r="AA90" s="49">
        <f>IFERROR(IF(Data_Entry!AF79/Data_Entry!$I79&lt;0,0,Data_Entry!AF79/Data_Entry!$I79),0)</f>
        <v>9.9621592400957609E-2</v>
      </c>
      <c r="AB90" s="49">
        <f>IFERROR(IF(Data_Entry!AG79/Data_Entry!$I79&lt;0,0,Data_Entry!AG79/Data_Entry!$I79),0)</f>
        <v>8.1087342651942243E-2</v>
      </c>
      <c r="AC90" s="49">
        <f>IFERROR(IF(Data_Entry!AI79/Data_Entry!$I79&lt;0,0,Data_Entry!AI79/Data_Entry!$I79),0)</f>
        <v>0.12556954204957912</v>
      </c>
      <c r="AD90" s="49">
        <f>IFERROR(IF(Data_Entry!AM79/Data_Entry!$H79&lt;0,0,Data_Entry!AM79/Data_Entry!$H79),0)</f>
        <v>0.76739228903516354</v>
      </c>
      <c r="AE90" s="50">
        <f>Data_Entry!AK79</f>
        <v>92.600083333333316</v>
      </c>
      <c r="AF90" s="50">
        <f>Data_Entry!AL79</f>
        <v>0</v>
      </c>
      <c r="AG90" s="153">
        <f>(Data_Entry!O79-Data_Entry!Q79)/Data_Entry!O79</f>
        <v>0.16901408450704225</v>
      </c>
      <c r="AH90" s="79" t="str">
        <f t="shared" si="2"/>
        <v>CAT4</v>
      </c>
      <c r="AI90" s="51">
        <f>SUBTOTAL(3,Tableau1[[#This Row],[ZS]])</f>
        <v>0</v>
      </c>
      <c r="AJ90" s="51" t="e">
        <f t="shared" ca="1" si="3"/>
        <v>#NAME?</v>
      </c>
      <c r="AK90" s="50" t="str">
        <f>IFERROR(IF((Data_Entry!O79-Data_Entry!Q79)/Data_Entry!O79&lt;=10%,"&lt;=10%","&gt;10%"),"&lt;=10%")</f>
        <v>&gt;10%</v>
      </c>
    </row>
    <row r="91" spans="1:37" s="48" customFormat="1" ht="13" hidden="1" x14ac:dyDescent="0.3">
      <c r="A91" s="31" t="s">
        <v>16</v>
      </c>
      <c r="B91" s="48" t="str">
        <f>Data_Entry!B80</f>
        <v>Butembo</v>
      </c>
      <c r="C91" s="48" t="str">
        <f>Data_Entry!C80</f>
        <v xml:space="preserve"> Biena</v>
      </c>
      <c r="D91" s="48" t="str">
        <f>Data_Entry!D80</f>
        <v xml:space="preserve"> Mausa</v>
      </c>
      <c r="E91" s="49">
        <f>IFERROR(IF(Data_Entry!J80/Data_Entry!$I80&lt;0,0,Data_Entry!J80/Data_Entry!$I80),0)</f>
        <v>0.67855829349025376</v>
      </c>
      <c r="F91" s="49">
        <f>IFERROR(IF(Data_Entry!K80/Data_Entry!$H80&lt;0,0,Data_Entry!K80/Data_Entry!$H80),0)</f>
        <v>8.2197757265807525E-2</v>
      </c>
      <c r="G91" s="49">
        <f>IFERROR(IF(Data_Entry!L80/Data_Entry!$H80&lt;0,0,Data_Entry!L80/Data_Entry!$H80),0)</f>
        <v>0.91049823432894483</v>
      </c>
      <c r="H91" s="49">
        <f>IFERROR(IF(Data_Entry!M80/Data_Entry!$H80&lt;0,0,Data_Entry!M80/Data_Entry!$H80),0)</f>
        <v>0.89785242551882061</v>
      </c>
      <c r="I91" s="49">
        <f>IFERROR(IF(Data_Entry!N80/Data_Entry!$H80&lt;0,0,Data_Entry!N80/Data_Entry!$H80),0)</f>
        <v>0.82830047706313736</v>
      </c>
      <c r="J91" s="49">
        <f>IFERROR(IF(Data_Entry!O80/Data_Entry!$H80&lt;0,0,Data_Entry!O80/Data_Entry!$H80),0)</f>
        <v>0.91049823432894483</v>
      </c>
      <c r="K91" s="49">
        <f>IFERROR(IF(Data_Entry!P80/Data_Entry!$H80&lt;0,0,Data_Entry!P80/Data_Entry!$H80),0)</f>
        <v>0.89785242551882061</v>
      </c>
      <c r="L91" s="49">
        <f>IFERROR(IF(Data_Entry!Q80/Data_Entry!$H80&lt;0,0,Data_Entry!Q80/Data_Entry!$H80),0)</f>
        <v>0.82830047706313736</v>
      </c>
      <c r="M91" s="49">
        <f>IFERROR(IF(Data_Entry!R80/Data_Entry!$H80&lt;0,0,Data_Entry!R80/Data_Entry!$H80),0)</f>
        <v>0.7524256242023919</v>
      </c>
      <c r="N91" s="49">
        <f>IFERROR(IF(Data_Entry!S80/Data_Entry!$H80&lt;0,0,Data_Entry!S80/Data_Entry!$H80),0)</f>
        <v>0.72713400658214344</v>
      </c>
      <c r="O91" s="49">
        <f>IFERROR(IF(Data_Entry!T80/Data_Entry!$H80&lt;0,0,Data_Entry!T80/Data_Entry!$H80),0)</f>
        <v>0.63861334491127386</v>
      </c>
      <c r="P91" s="49">
        <f>IFERROR(IF(Data_Entry!U80/Data_Entry!$H80&lt;0,0,Data_Entry!U80/Data_Entry!$H80),0)</f>
        <v>0.86623790349351004</v>
      </c>
      <c r="Q91" s="49">
        <f>IFERROR(IF(Data_Entry!V80/Data_Entry!$H80&lt;0,0,Data_Entry!V80/Data_Entry!$H80),0)</f>
        <v>0.80300885944288891</v>
      </c>
      <c r="R91" s="49">
        <f>IFERROR(IF(Data_Entry!W80/Data_Entry!$H80&lt;0,0,Data_Entry!W80/Data_Entry!$H80),0)</f>
        <v>0.73345691098720556</v>
      </c>
      <c r="S91" s="49">
        <f>IFERROR(IF(Data_Entry!X80/Data_Entry!$H80&lt;0,0,Data_Entry!X80/Data_Entry!$H80),0)</f>
        <v>0.65125915372139809</v>
      </c>
      <c r="T91" s="49">
        <f>IFERROR(IF(Data_Entry!Y80/Data_Entry!$H80&lt;0,0,Data_Entry!Y80/Data_Entry!$H80),0)</f>
        <v>0.28453069822779525</v>
      </c>
      <c r="U91" s="49">
        <f>IFERROR(IF(Data_Entry!Z80/Data_Entry!$H80&lt;0,0,Data_Entry!Z80/Data_Entry!$H80),0)</f>
        <v>0.63229044050621175</v>
      </c>
      <c r="V91" s="49">
        <f>IFERROR(IF(Data_Entry!AA80/Data_Entry!$H80&lt;0,0,Data_Entry!AA80/Data_Entry!$H80),0)</f>
        <v>0.82830047706313736</v>
      </c>
      <c r="W91" s="49">
        <f>IFERROR(IF(Data_Entry!AB80/Data_Entry!$H80&lt;0,0,Data_Entry!AB80/Data_Entry!$H80),0)</f>
        <v>0.6575820581264602</v>
      </c>
      <c r="X91" s="49">
        <f>IFERROR(IF(Data_Entry!AC80/Data_Entry!$I80&lt;0,0,Data_Entry!AC80/Data_Entry!$I80),0)</f>
        <v>6.0684075027583669E-2</v>
      </c>
      <c r="Y91" s="49">
        <f>IFERROR(IF(Data_Entry!AD80/Data_Entry!$I80&lt;0,0,Data_Entry!AD80/Data_Entry!$I80),0)</f>
        <v>4.9650606840750275E-2</v>
      </c>
      <c r="Z91" s="49">
        <f>IFERROR(IF(Data_Entry!AE80/Data_Entry!$I80&lt;0,0,Data_Entry!AE80/Data_Entry!$I80),0)</f>
        <v>1.655020228025009E-2</v>
      </c>
      <c r="AA91" s="49">
        <f>IFERROR(IF(Data_Entry!AF80/Data_Entry!$I80&lt;0,0,Data_Entry!AF80/Data_Entry!$I80),0)</f>
        <v>2.7583670467083484E-2</v>
      </c>
      <c r="AB91" s="49">
        <f>IFERROR(IF(Data_Entry!AG80/Data_Entry!$I80&lt;0,0,Data_Entry!AG80/Data_Entry!$I80),0)</f>
        <v>1.655020228025009E-2</v>
      </c>
      <c r="AC91" s="49">
        <f>IFERROR(IF(Data_Entry!AI80/Data_Entry!$I80&lt;0,0,Data_Entry!AI80/Data_Entry!$I80),0)</f>
        <v>0.32162559764619342</v>
      </c>
      <c r="AD91" s="49">
        <f>IFERROR(IF(Data_Entry!AM80/Data_Entry!$H80&lt;0,0,Data_Entry!AM80/Data_Entry!$H80),0)</f>
        <v>0.63229044050621175</v>
      </c>
      <c r="AE91" s="50">
        <f>Data_Entry!AK80</f>
        <v>14.155166666666673</v>
      </c>
      <c r="AF91" s="50">
        <f>Data_Entry!AL80</f>
        <v>41</v>
      </c>
      <c r="AG91" s="153">
        <f>(Data_Entry!O80-Data_Entry!Q80)/Data_Entry!O80</f>
        <v>9.0277777777777776E-2</v>
      </c>
      <c r="AH91" s="79" t="str">
        <f t="shared" si="2"/>
        <v>CAT1</v>
      </c>
      <c r="AI91" s="51">
        <f>SUBTOTAL(3,Tableau1[[#This Row],[ZS]])</f>
        <v>0</v>
      </c>
      <c r="AJ91" s="51" t="e">
        <f t="shared" ca="1" si="3"/>
        <v>#NAME?</v>
      </c>
      <c r="AK91" s="50" t="str">
        <f>IFERROR(IF((Data_Entry!O80-Data_Entry!Q80)/Data_Entry!O80&lt;=10%,"&lt;=10%","&gt;10%"),"&lt;=10%")</f>
        <v>&lt;=10%</v>
      </c>
    </row>
    <row r="92" spans="1:37" s="48" customFormat="1" ht="13" hidden="1" x14ac:dyDescent="0.3">
      <c r="A92" s="31" t="s">
        <v>16</v>
      </c>
      <c r="B92" s="48" t="str">
        <f>Data_Entry!B81</f>
        <v>Butembo</v>
      </c>
      <c r="C92" s="48" t="str">
        <f>Data_Entry!C81</f>
        <v xml:space="preserve"> Biena</v>
      </c>
      <c r="D92" s="48" t="str">
        <f>Data_Entry!D81</f>
        <v xml:space="preserve"> Musenge</v>
      </c>
      <c r="E92" s="49">
        <f>IFERROR(IF(Data_Entry!J81/Data_Entry!$I81&lt;0,0,Data_Entry!J81/Data_Entry!$I81),0)</f>
        <v>0.6783088235294118</v>
      </c>
      <c r="F92" s="49">
        <f>IFERROR(IF(Data_Entry!K81/Data_Entry!$H81&lt;0,0,Data_Entry!K81/Data_Entry!$H81),0)</f>
        <v>0.4487611663576605</v>
      </c>
      <c r="G92" s="49">
        <f>IFERROR(IF(Data_Entry!L81/Data_Entry!$H81&lt;0,0,Data_Entry!L81/Data_Entry!$H81),0)</f>
        <v>0.87224001348390356</v>
      </c>
      <c r="H92" s="49">
        <f>IFERROR(IF(Data_Entry!M81/Data_Entry!$H81&lt;0,0,Data_Entry!M81/Data_Entry!$H81),0)</f>
        <v>0.78375189617394236</v>
      </c>
      <c r="I92" s="49">
        <f>IFERROR(IF(Data_Entry!N81/Data_Entry!$H81&lt;0,0,Data_Entry!N81/Data_Entry!$H81),0)</f>
        <v>0.83431653463677735</v>
      </c>
      <c r="J92" s="49">
        <f>IFERROR(IF(Data_Entry!O81/Data_Entry!$H81&lt;0,0,Data_Entry!O81/Data_Entry!$H81),0)</f>
        <v>0.897522332715321</v>
      </c>
      <c r="K92" s="49">
        <f>IFERROR(IF(Data_Entry!P81/Data_Entry!$H81&lt;0,0,Data_Entry!P81/Data_Entry!$H81),0)</f>
        <v>0.83431653463677735</v>
      </c>
      <c r="L92" s="49">
        <f>IFERROR(IF(Data_Entry!Q81/Data_Entry!$H81&lt;0,0,Data_Entry!Q81/Data_Entry!$H81),0)</f>
        <v>0.8532782740603404</v>
      </c>
      <c r="M92" s="49">
        <f>IFERROR(IF(Data_Entry!R81/Data_Entry!$H81&lt;0,0,Data_Entry!R81/Data_Entry!$H81),0)</f>
        <v>0.79639305578965103</v>
      </c>
      <c r="N92" s="49">
        <f>IFERROR(IF(Data_Entry!S81/Data_Entry!$H81&lt;0,0,Data_Entry!S81/Data_Entry!$H81),0)</f>
        <v>0.73318725771110738</v>
      </c>
      <c r="O92" s="49">
        <f>IFERROR(IF(Data_Entry!T81/Data_Entry!$H81&lt;0,0,Data_Entry!T81/Data_Entry!$H81),0)</f>
        <v>0.75214899713467043</v>
      </c>
      <c r="P92" s="49">
        <f>IFERROR(IF(Data_Entry!U81/Data_Entry!$H81&lt;0,0,Data_Entry!U81/Data_Entry!$H81),0)</f>
        <v>0.96704871060171915</v>
      </c>
      <c r="Q92" s="49">
        <f>IFERROR(IF(Data_Entry!V81/Data_Entry!$H81&lt;0,0,Data_Entry!V81/Data_Entry!$H81),0)</f>
        <v>0.87856059329175795</v>
      </c>
      <c r="R92" s="49">
        <f>IFERROR(IF(Data_Entry!W81/Data_Entry!$H81&lt;0,0,Data_Entry!W81/Data_Entry!$H81),0)</f>
        <v>0.92280465194673855</v>
      </c>
      <c r="S92" s="49">
        <f>IFERROR(IF(Data_Entry!X81/Data_Entry!$H81&lt;0,0,Data_Entry!X81/Data_Entry!$H81),0)</f>
        <v>0.97968987021742793</v>
      </c>
      <c r="T92" s="49">
        <f>IFERROR(IF(Data_Entry!Y81/Data_Entry!$H81&lt;0,0,Data_Entry!Y81/Data_Entry!$H81),0)</f>
        <v>0.59413450193831108</v>
      </c>
      <c r="U92" s="49">
        <f>IFERROR(IF(Data_Entry!Z81/Data_Entry!$H81&lt;0,0,Data_Entry!Z81/Data_Entry!$H81),0)</f>
        <v>0.97968987021742793</v>
      </c>
      <c r="V92" s="49">
        <f>IFERROR(IF(Data_Entry!AA81/Data_Entry!$H81&lt;0,0,Data_Entry!AA81/Data_Entry!$H81),0)</f>
        <v>1.2767571211865836</v>
      </c>
      <c r="W92" s="49">
        <f>IFERROR(IF(Data_Entry!AB81/Data_Entry!$H81&lt;0,0,Data_Entry!AB81/Data_Entry!$H81),0)</f>
        <v>0.71422551828754421</v>
      </c>
      <c r="X92" s="49">
        <f>IFERROR(IF(Data_Entry!AC81/Data_Entry!$I81&lt;0,0,Data_Entry!AC81/Data_Entry!$I81),0)</f>
        <v>0.3033088235294118</v>
      </c>
      <c r="Y92" s="49">
        <f>IFERROR(IF(Data_Entry!AD81/Data_Entry!$I81&lt;0,0,Data_Entry!AD81/Data_Entry!$I81),0)</f>
        <v>0.3033088235294118</v>
      </c>
      <c r="Z92" s="49">
        <f>IFERROR(IF(Data_Entry!AE81/Data_Entry!$I81&lt;0,0,Data_Entry!AE81/Data_Entry!$I81),0)</f>
        <v>0.22610294117647062</v>
      </c>
      <c r="AA92" s="49">
        <f>IFERROR(IF(Data_Entry!AF81/Data_Entry!$I81&lt;0,0,Data_Entry!AF81/Data_Entry!$I81),0)</f>
        <v>0.18750000000000003</v>
      </c>
      <c r="AB92" s="49">
        <f>IFERROR(IF(Data_Entry!AG81/Data_Entry!$I81&lt;0,0,Data_Entry!AG81/Data_Entry!$I81),0)</f>
        <v>0.13235294117647059</v>
      </c>
      <c r="AC92" s="49">
        <f>IFERROR(IF(Data_Entry!AI81/Data_Entry!$I81&lt;0,0,Data_Entry!AI81/Data_Entry!$I81),0)</f>
        <v>0.32150735294117649</v>
      </c>
      <c r="AD92" s="49">
        <f>IFERROR(IF(Data_Entry!AM81/Data_Entry!$H81&lt;0,0,Data_Entry!AM81/Data_Entry!$H81),0)</f>
        <v>0.97968987021742793</v>
      </c>
      <c r="AE92" s="50">
        <f>Data_Entry!AK81</f>
        <v>16.213333333333338</v>
      </c>
      <c r="AF92" s="50">
        <f>Data_Entry!AL81</f>
        <v>0</v>
      </c>
      <c r="AG92" s="153">
        <f>(Data_Entry!O81-Data_Entry!Q81)/Data_Entry!O81</f>
        <v>4.9295774647887321E-2</v>
      </c>
      <c r="AH92" s="79" t="str">
        <f t="shared" si="2"/>
        <v>CAT3</v>
      </c>
      <c r="AI92" s="51">
        <f>SUBTOTAL(3,Tableau1[[#This Row],[ZS]])</f>
        <v>0</v>
      </c>
      <c r="AJ92" s="51" t="e">
        <f t="shared" ca="1" si="3"/>
        <v>#NAME?</v>
      </c>
      <c r="AK92" s="50" t="str">
        <f>IFERROR(IF((Data_Entry!O81-Data_Entry!Q81)/Data_Entry!O81&lt;=10%,"&lt;=10%","&gt;10%"),"&lt;=10%")</f>
        <v>&lt;=10%</v>
      </c>
    </row>
    <row r="93" spans="1:37" s="48" customFormat="1" ht="13" hidden="1" x14ac:dyDescent="0.3">
      <c r="A93" s="31" t="s">
        <v>16</v>
      </c>
      <c r="B93" s="48" t="str">
        <f>Data_Entry!B82</f>
        <v>Butembo</v>
      </c>
      <c r="C93" s="48" t="str">
        <f>Data_Entry!C82</f>
        <v xml:space="preserve"> Biena</v>
      </c>
      <c r="D93" s="48" t="str">
        <f>Data_Entry!D82</f>
        <v xml:space="preserve"> Pombi</v>
      </c>
      <c r="E93" s="49">
        <f>IFERROR(IF(Data_Entry!J82/Data_Entry!$I82&lt;0,0,Data_Entry!J82/Data_Entry!$I82),0)</f>
        <v>0.84754797441364593</v>
      </c>
      <c r="F93" s="49">
        <f>IFERROR(IF(Data_Entry!K82/Data_Entry!$H82&lt;0,0,Data_Entry!K82/Data_Entry!$H82),0)</f>
        <v>0.46737251116500994</v>
      </c>
      <c r="G93" s="49">
        <f>IFERROR(IF(Data_Entry!L82/Data_Entry!$H82&lt;0,0,Data_Entry!L82/Data_Entry!$H82),0)</f>
        <v>1.3517146156242934</v>
      </c>
      <c r="H93" s="49">
        <f>IFERROR(IF(Data_Entry!M82/Data_Entry!$H82&lt;0,0,Data_Entry!M82/Data_Entry!$H82),0)</f>
        <v>1.2600729467684091</v>
      </c>
      <c r="I93" s="49">
        <f>IFERROR(IF(Data_Entry!N82/Data_Entry!$H82&lt;0,0,Data_Entry!N82/Data_Entry!$H82),0)</f>
        <v>1.2829833639823802</v>
      </c>
      <c r="J93" s="49">
        <f>IFERROR(IF(Data_Entry!O82/Data_Entry!$H82&lt;0,0,Data_Entry!O82/Data_Entry!$H82),0)</f>
        <v>1.3562966990670877</v>
      </c>
      <c r="K93" s="49">
        <f>IFERROR(IF(Data_Entry!P82/Data_Entry!$H82&lt;0,0,Data_Entry!P82/Data_Entry!$H82),0)</f>
        <v>1.2600729467684091</v>
      </c>
      <c r="L93" s="49">
        <f>IFERROR(IF(Data_Entry!Q82/Data_Entry!$H82&lt;0,0,Data_Entry!Q82/Data_Entry!$H82),0)</f>
        <v>1.2829833639823802</v>
      </c>
      <c r="M93" s="49">
        <f>IFERROR(IF(Data_Entry!R82/Data_Entry!$H82&lt;0,0,Data_Entry!R82/Data_Entry!$H82),0)</f>
        <v>1.0126404408575216</v>
      </c>
      <c r="N93" s="49">
        <f>IFERROR(IF(Data_Entry!S82/Data_Entry!$H82&lt;0,0,Data_Entry!S82/Data_Entry!$H82),0)</f>
        <v>0.93474502233001988</v>
      </c>
      <c r="O93" s="49">
        <f>IFERROR(IF(Data_Entry!T82/Data_Entry!$H82&lt;0,0,Data_Entry!T82/Data_Entry!$H82),0)</f>
        <v>0.96223752298678511</v>
      </c>
      <c r="P93" s="49">
        <f>IFERROR(IF(Data_Entry!U82/Data_Entry!$H82&lt;0,0,Data_Entry!U82/Data_Entry!$H82),0)</f>
        <v>1.1088641931562</v>
      </c>
      <c r="Q93" s="49">
        <f>IFERROR(IF(Data_Entry!V82/Data_Entry!$H82&lt;0,0,Data_Entry!V82/Data_Entry!$H82),0)</f>
        <v>0.99431210708634465</v>
      </c>
      <c r="R93" s="49">
        <f>IFERROR(IF(Data_Entry!W82/Data_Entry!$H82&lt;0,0,Data_Entry!W82/Data_Entry!$H82),0)</f>
        <v>0.98973002364355045</v>
      </c>
      <c r="S93" s="49">
        <f>IFERROR(IF(Data_Entry!X82/Data_Entry!$H82&lt;0,0,Data_Entry!X82/Data_Entry!$H82),0)</f>
        <v>1.6678783731770943</v>
      </c>
      <c r="T93" s="49">
        <f>IFERROR(IF(Data_Entry!Y82/Data_Entry!$H82&lt;0,0,Data_Entry!Y82/Data_Entry!$H82),0)</f>
        <v>0.31158167411000665</v>
      </c>
      <c r="U93" s="49">
        <f>IFERROR(IF(Data_Entry!Z82/Data_Entry!$H82&lt;0,0,Data_Entry!Z82/Data_Entry!$H82),0)</f>
        <v>1.4341921175945893</v>
      </c>
      <c r="V93" s="49">
        <f>IFERROR(IF(Data_Entry!AA82/Data_Entry!$H82&lt;0,0,Data_Entry!AA82/Data_Entry!$H82),0)</f>
        <v>1.2921475308679686</v>
      </c>
      <c r="W93" s="49">
        <f>IFERROR(IF(Data_Entry!AB82/Data_Entry!$H82&lt;0,0,Data_Entry!AB82/Data_Entry!$H82),0)</f>
        <v>1.4845950354653257</v>
      </c>
      <c r="X93" s="49">
        <f>IFERROR(IF(Data_Entry!AC82/Data_Entry!$I82&lt;0,0,Data_Entry!AC82/Data_Entry!$I82),0)</f>
        <v>0.30383795309168443</v>
      </c>
      <c r="Y93" s="49">
        <f>IFERROR(IF(Data_Entry!AD82/Data_Entry!$I82&lt;0,0,Data_Entry!AD82/Data_Entry!$I82),0)</f>
        <v>0.2038912579957356</v>
      </c>
      <c r="Z93" s="49">
        <f>IFERROR(IF(Data_Entry!AE82/Data_Entry!$I82&lt;0,0,Data_Entry!AE82/Data_Entry!$I82),0)</f>
        <v>0.19589552238805968</v>
      </c>
      <c r="AA93" s="49">
        <f>IFERROR(IF(Data_Entry!AF82/Data_Entry!$I82&lt;0,0,Data_Entry!AF82/Data_Entry!$I82),0)</f>
        <v>0.13992537313432835</v>
      </c>
      <c r="AB93" s="49">
        <f>IFERROR(IF(Data_Entry!AG82/Data_Entry!$I82&lt;0,0,Data_Entry!AG82/Data_Entry!$I82),0)</f>
        <v>5.5970149253731338E-2</v>
      </c>
      <c r="AC93" s="49">
        <f>IFERROR(IF(Data_Entry!AI82/Data_Entry!$I82&lt;0,0,Data_Entry!AI82/Data_Entry!$I82),0)</f>
        <v>0.23307569296375263</v>
      </c>
      <c r="AD93" s="49">
        <f>IFERROR(IF(Data_Entry!AM82/Data_Entry!$H82&lt;0,0,Data_Entry!AM82/Data_Entry!$H82),0)</f>
        <v>1.4341921175945893</v>
      </c>
      <c r="AE93" s="50">
        <f>Data_Entry!AK82</f>
        <v>0</v>
      </c>
      <c r="AF93" s="50">
        <f>Data_Entry!AL82</f>
        <v>0</v>
      </c>
      <c r="AG93" s="153">
        <f>(Data_Entry!O82-Data_Entry!Q82)/Data_Entry!O82</f>
        <v>5.4054054054054057E-2</v>
      </c>
      <c r="AH93" s="79" t="str">
        <f t="shared" si="2"/>
        <v>CAT1</v>
      </c>
      <c r="AI93" s="51">
        <f>SUBTOTAL(3,Tableau1[[#This Row],[ZS]])</f>
        <v>0</v>
      </c>
      <c r="AJ93" s="51" t="e">
        <f t="shared" ca="1" si="3"/>
        <v>#NAME?</v>
      </c>
      <c r="AK93" s="50" t="str">
        <f>IFERROR(IF((Data_Entry!O82-Data_Entry!Q82)/Data_Entry!O82&lt;=10%,"&lt;=10%","&gt;10%"),"&lt;=10%")</f>
        <v>&lt;=10%</v>
      </c>
    </row>
    <row r="94" spans="1:37" s="48" customFormat="1" ht="13" hidden="1" x14ac:dyDescent="0.3">
      <c r="A94" s="31" t="s">
        <v>16</v>
      </c>
      <c r="B94" s="48" t="str">
        <f>Data_Entry!B83</f>
        <v>Butembo</v>
      </c>
      <c r="C94" s="48" t="str">
        <f>Data_Entry!C83</f>
        <v xml:space="preserve"> Biena</v>
      </c>
      <c r="D94" s="48" t="str">
        <f>Data_Entry!D83</f>
        <v xml:space="preserve"> Somea</v>
      </c>
      <c r="E94" s="49">
        <f>IFERROR(IF(Data_Entry!J83/Data_Entry!$I83&lt;0,0,Data_Entry!J83/Data_Entry!$I83),0)</f>
        <v>0.20317694865164385</v>
      </c>
      <c r="F94" s="49">
        <f>IFERROR(IF(Data_Entry!K83/Data_Entry!$H83&lt;0,0,Data_Entry!K83/Data_Entry!$H83),0)</f>
        <v>0.22439965154544672</v>
      </c>
      <c r="G94" s="49">
        <f>IFERROR(IF(Data_Entry!L83/Data_Entry!$H83&lt;0,0,Data_Entry!L83/Data_Entry!$H83),0)</f>
        <v>0.39375787912691596</v>
      </c>
      <c r="H94" s="49">
        <f>IFERROR(IF(Data_Entry!M83/Data_Entry!$H83&lt;0,0,Data_Entry!M83/Data_Entry!$H83),0)</f>
        <v>0.37258810067923226</v>
      </c>
      <c r="I94" s="49">
        <f>IFERROR(IF(Data_Entry!N83/Data_Entry!$H83&lt;0,0,Data_Entry!N83/Data_Entry!$H83),0)</f>
        <v>0.35988623361062211</v>
      </c>
      <c r="J94" s="49">
        <f>IFERROR(IF(Data_Entry!O83/Data_Entry!$H83&lt;0,0,Data_Entry!O83/Data_Entry!$H83),0)</f>
        <v>0.64356126480958298</v>
      </c>
      <c r="K94" s="49">
        <f>IFERROR(IF(Data_Entry!P83/Data_Entry!$H83&lt;0,0,Data_Entry!P83/Data_Entry!$H83),0)</f>
        <v>0.6139235749828259</v>
      </c>
      <c r="L94" s="49">
        <f>IFERROR(IF(Data_Entry!Q83/Data_Entry!$H83&lt;0,0,Data_Entry!Q83/Data_Entry!$H83),0)</f>
        <v>0.59698775222467904</v>
      </c>
      <c r="M94" s="49">
        <f>IFERROR(IF(Data_Entry!R83/Data_Entry!$H83&lt;0,0,Data_Entry!R83/Data_Entry!$H83),0)</f>
        <v>0.35988623361062211</v>
      </c>
      <c r="N94" s="49">
        <f>IFERROR(IF(Data_Entry!S83/Data_Entry!$H83&lt;0,0,Data_Entry!S83/Data_Entry!$H83),0)</f>
        <v>0.35141832223154862</v>
      </c>
      <c r="O94" s="49">
        <f>IFERROR(IF(Data_Entry!T83/Data_Entry!$H83&lt;0,0,Data_Entry!T83/Data_Entry!$H83),0)</f>
        <v>0.33871645516293841</v>
      </c>
      <c r="P94" s="49">
        <f>IFERROR(IF(Data_Entry!U83/Data_Entry!$H83&lt;0,0,Data_Entry!U83/Data_Entry!$H83),0)</f>
        <v>0.64356126480958298</v>
      </c>
      <c r="Q94" s="49">
        <f>IFERROR(IF(Data_Entry!V83/Data_Entry!$H83&lt;0,0,Data_Entry!V83/Data_Entry!$H83),0)</f>
        <v>0.61815753067236268</v>
      </c>
      <c r="R94" s="49">
        <f>IFERROR(IF(Data_Entry!W83/Data_Entry!$H83&lt;0,0,Data_Entry!W83/Data_Entry!$H83),0)</f>
        <v>0.59698775222467904</v>
      </c>
      <c r="S94" s="49">
        <f>IFERROR(IF(Data_Entry!X83/Data_Entry!$H83&lt;0,0,Data_Entry!X83/Data_Entry!$H83),0)</f>
        <v>0.66049708756772996</v>
      </c>
      <c r="T94" s="49">
        <f>IFERROR(IF(Data_Entry!Y83/Data_Entry!$H83&lt;0,0,Data_Entry!Y83/Data_Entry!$H83),0)</f>
        <v>0.51654259412348114</v>
      </c>
      <c r="U94" s="49">
        <f>IFERROR(IF(Data_Entry!Z83/Data_Entry!$H83&lt;0,0,Data_Entry!Z83/Data_Entry!$H83),0)</f>
        <v>0.43609743602228324</v>
      </c>
      <c r="V94" s="49">
        <f>IFERROR(IF(Data_Entry!AA83/Data_Entry!$H83&lt;0,0,Data_Entry!AA83/Data_Entry!$H83),0)</f>
        <v>0.66049708756772996</v>
      </c>
      <c r="W94" s="49">
        <f>IFERROR(IF(Data_Entry!AB83/Data_Entry!$H83&lt;0,0,Data_Entry!AB83/Data_Entry!$H83),0)</f>
        <v>0.60968961929328913</v>
      </c>
      <c r="X94" s="49">
        <f>IFERROR(IF(Data_Entry!AC83/Data_Entry!$I83&lt;0,0,Data_Entry!AC83/Data_Entry!$I83),0)</f>
        <v>0.22534170668636863</v>
      </c>
      <c r="Y94" s="49">
        <f>IFERROR(IF(Data_Entry!AD83/Data_Entry!$I83&lt;0,0,Data_Entry!AD83/Data_Entry!$I83),0)</f>
        <v>0.15884743258219428</v>
      </c>
      <c r="Z94" s="49">
        <f>IFERROR(IF(Data_Entry!AE83/Data_Entry!$I83&lt;0,0,Data_Entry!AE83/Data_Entry!$I83),0)</f>
        <v>0.1403768008865903</v>
      </c>
      <c r="AA94" s="49">
        <f>IFERROR(IF(Data_Entry!AF83/Data_Entry!$I83&lt;0,0,Data_Entry!AF83/Data_Entry!$I83),0)</f>
        <v>0.1256002955301071</v>
      </c>
      <c r="AB94" s="49">
        <f>IFERROR(IF(Data_Entry!AG83/Data_Entry!$I83&lt;0,0,Data_Entry!AG83/Data_Entry!$I83),0)</f>
        <v>9.9741411156261534E-2</v>
      </c>
      <c r="AC94" s="49">
        <f>IFERROR(IF(Data_Entry!AI83/Data_Entry!$I83&lt;0,0,Data_Entry!AI83/Data_Entry!$I83),0)</f>
        <v>0.18470631695603987</v>
      </c>
      <c r="AD94" s="49">
        <f>IFERROR(IF(Data_Entry!AM83/Data_Entry!$H83&lt;0,0,Data_Entry!AM83/Data_Entry!$H83),0)</f>
        <v>0.43609743602228324</v>
      </c>
      <c r="AE94" s="50">
        <f>Data_Entry!AK83</f>
        <v>84.185750000000041</v>
      </c>
      <c r="AF94" s="50">
        <f>Data_Entry!AL83</f>
        <v>0</v>
      </c>
      <c r="AG94" s="153">
        <f>(Data_Entry!O83-Data_Entry!Q83)/Data_Entry!O83</f>
        <v>7.2368421052631582E-2</v>
      </c>
      <c r="AH94" s="79" t="str">
        <f t="shared" si="2"/>
        <v>CAT3</v>
      </c>
      <c r="AI94" s="51">
        <f>SUBTOTAL(3,Tableau1[[#This Row],[ZS]])</f>
        <v>0</v>
      </c>
      <c r="AJ94" s="51" t="e">
        <f t="shared" ca="1" si="3"/>
        <v>#NAME?</v>
      </c>
      <c r="AK94" s="50" t="str">
        <f>IFERROR(IF((Data_Entry!O83-Data_Entry!Q83)/Data_Entry!O83&lt;=10%,"&lt;=10%","&gt;10%"),"&lt;=10%")</f>
        <v>&lt;=10%</v>
      </c>
    </row>
    <row r="95" spans="1:37" s="48" customFormat="1" ht="13" hidden="1" x14ac:dyDescent="0.3">
      <c r="A95" s="31" t="s">
        <v>16</v>
      </c>
      <c r="B95" s="48" t="str">
        <f>Data_Entry!B84</f>
        <v>Goma</v>
      </c>
      <c r="C95" s="48" t="str">
        <f>Data_Entry!C84</f>
        <v xml:space="preserve"> Binza</v>
      </c>
      <c r="D95" s="48" t="str">
        <f>Data_Entry!D84</f>
        <v xml:space="preserve"> Buramba</v>
      </c>
      <c r="E95" s="49">
        <f>IFERROR(IF(Data_Entry!J84/Data_Entry!$I84&lt;0,0,Data_Entry!J84/Data_Entry!$I84),0)</f>
        <v>0.67020068156001511</v>
      </c>
      <c r="F95" s="49">
        <f>IFERROR(IF(Data_Entry!K84/Data_Entry!$H84&lt;0,0,Data_Entry!K84/Data_Entry!$H84),0)</f>
        <v>0.44265597927328471</v>
      </c>
      <c r="G95" s="49">
        <f>IFERROR(IF(Data_Entry!L84/Data_Entry!$H84&lt;0,0,Data_Entry!L84/Data_Entry!$H84),0)</f>
        <v>0.73992984770681414</v>
      </c>
      <c r="H95" s="49">
        <f>IFERROR(IF(Data_Entry!M84/Data_Entry!$H84&lt;0,0,Data_Entry!M84/Data_Entry!$H84),0)</f>
        <v>0.7681383169742293</v>
      </c>
      <c r="I95" s="49">
        <f>IFERROR(IF(Data_Entry!N84/Data_Entry!$H84&lt;0,0,Data_Entry!N84/Data_Entry!$H84),0)</f>
        <v>0.86144325378183351</v>
      </c>
      <c r="J95" s="49">
        <f>IFERROR(IF(Data_Entry!O84/Data_Entry!$H84&lt;0,0,Data_Entry!O84/Data_Entry!$H84),0)</f>
        <v>0.83323478451441824</v>
      </c>
      <c r="K95" s="49">
        <f>IFERROR(IF(Data_Entry!P84/Data_Entry!$H84&lt;0,0,Data_Entry!P84/Data_Entry!$H84),0)</f>
        <v>0.86795290053585239</v>
      </c>
      <c r="L95" s="49">
        <f>IFERROR(IF(Data_Entry!Q84/Data_Entry!$H84&lt;0,0,Data_Entry!Q84/Data_Entry!$H84),0)</f>
        <v>0.93521925032738096</v>
      </c>
      <c r="M95" s="49">
        <f>IFERROR(IF(Data_Entry!R84/Data_Entry!$H84&lt;0,0,Data_Entry!R84/Data_Entry!$H84),0)</f>
        <v>0.82672513776039935</v>
      </c>
      <c r="N95" s="49">
        <f>IFERROR(IF(Data_Entry!S84/Data_Entry!$H84&lt;0,0,Data_Entry!S84/Data_Entry!$H84),0)</f>
        <v>0.86795290053585239</v>
      </c>
      <c r="O95" s="49">
        <f>IFERROR(IF(Data_Entry!T84/Data_Entry!$H84&lt;0,0,Data_Entry!T84/Data_Entry!$H84),0)</f>
        <v>0.93521925032738096</v>
      </c>
      <c r="P95" s="49">
        <f>IFERROR(IF(Data_Entry!U84/Data_Entry!$H84&lt;0,0,Data_Entry!U84/Data_Entry!$H84),0)</f>
        <v>0.79851666849298419</v>
      </c>
      <c r="Q95" s="49">
        <f>IFERROR(IF(Data_Entry!V84/Data_Entry!$H84&lt;0,0,Data_Entry!V84/Data_Entry!$H84),0)</f>
        <v>0.81804560875504084</v>
      </c>
      <c r="R95" s="49">
        <f>IFERROR(IF(Data_Entry!W84/Data_Entry!$H84&lt;0,0,Data_Entry!W84/Data_Entry!$H84),0)</f>
        <v>0.85493360702781462</v>
      </c>
      <c r="S95" s="49">
        <f>IFERROR(IF(Data_Entry!X84/Data_Entry!$H84&lt;0,0,Data_Entry!X84/Data_Entry!$H84),0)</f>
        <v>1.0610724209050795</v>
      </c>
      <c r="T95" s="49">
        <f>IFERROR(IF(Data_Entry!Y84/Data_Entry!$H84&lt;0,0,Data_Entry!Y84/Data_Entry!$H84),0)</f>
        <v>1.0285241871349851</v>
      </c>
      <c r="U95" s="49">
        <f>IFERROR(IF(Data_Entry!Z84/Data_Entry!$H84&lt;0,0,Data_Entry!Z84/Data_Entry!$H84),0)</f>
        <v>1.0610724209050795</v>
      </c>
      <c r="V95" s="49">
        <f>IFERROR(IF(Data_Entry!AA84/Data_Entry!$H84&lt;0,0,Data_Entry!AA84/Data_Entry!$H84),0)</f>
        <v>0.95040842608675835</v>
      </c>
      <c r="W95" s="49">
        <f>IFERROR(IF(Data_Entry!AB84/Data_Entry!$H84&lt;0,0,Data_Entry!AB84/Data_Entry!$H84),0)</f>
        <v>1.0610724209050795</v>
      </c>
      <c r="X95" s="49">
        <f>IFERROR(IF(Data_Entry!AC84/Data_Entry!$I84&lt;0,0,Data_Entry!AC84/Data_Entry!$I84),0)</f>
        <v>0.43733434305187424</v>
      </c>
      <c r="Y95" s="49">
        <f>IFERROR(IF(Data_Entry!AD84/Data_Entry!$I84&lt;0,0,Data_Entry!AD84/Data_Entry!$I84),0)</f>
        <v>0.41461567588034831</v>
      </c>
      <c r="Z95" s="49">
        <f>IFERROR(IF(Data_Entry!AE84/Data_Entry!$I84&lt;0,0,Data_Entry!AE84/Data_Entry!$I84),0)</f>
        <v>0.24801211662249145</v>
      </c>
      <c r="AA95" s="49">
        <f>IFERROR(IF(Data_Entry!AF84/Data_Entry!$I84&lt;0,0,Data_Entry!AF84/Data_Entry!$I84),0)</f>
        <v>0.21204089360090872</v>
      </c>
      <c r="AB95" s="49">
        <f>IFERROR(IF(Data_Entry!AG84/Data_Entry!$I84&lt;0,0,Data_Entry!AG84/Data_Entry!$I84),0)</f>
        <v>0.26315789473684209</v>
      </c>
      <c r="AC95" s="49">
        <f>IFERROR(IF(Data_Entry!AI84/Data_Entry!$I84&lt;0,0,Data_Entry!AI84/Data_Entry!$I84),0)</f>
        <v>0.1065884134797425</v>
      </c>
      <c r="AD95" s="49">
        <f>IFERROR(IF(Data_Entry!AM84/Data_Entry!$H84&lt;0,0,Data_Entry!AM84/Data_Entry!$H84),0)</f>
        <v>1.0610724209050795</v>
      </c>
      <c r="AE95" s="50">
        <f>Data_Entry!AK84</f>
        <v>76.85450000000003</v>
      </c>
      <c r="AF95" s="50">
        <f>Data_Entry!AL84</f>
        <v>0</v>
      </c>
      <c r="AG95" s="153">
        <f>(Data_Entry!O84-Data_Entry!Q84)/Data_Entry!O84</f>
        <v>-0.12239583333333333</v>
      </c>
      <c r="AH95" s="79" t="str">
        <f t="shared" si="2"/>
        <v>CAT3</v>
      </c>
      <c r="AI95" s="51">
        <f>SUBTOTAL(3,Tableau1[[#This Row],[ZS]])</f>
        <v>0</v>
      </c>
      <c r="AJ95" s="51" t="e">
        <f t="shared" ca="1" si="3"/>
        <v>#NAME?</v>
      </c>
      <c r="AK95" s="50" t="str">
        <f>IFERROR(IF((Data_Entry!O84-Data_Entry!Q84)/Data_Entry!O84&lt;=10%,"&lt;=10%","&gt;10%"),"&lt;=10%")</f>
        <v>&lt;=10%</v>
      </c>
    </row>
    <row r="96" spans="1:37" s="48" customFormat="1" ht="13" hidden="1" x14ac:dyDescent="0.3">
      <c r="A96" s="31" t="s">
        <v>16</v>
      </c>
      <c r="B96" s="48" t="str">
        <f>Data_Entry!B85</f>
        <v>Goma</v>
      </c>
      <c r="C96" s="48" t="str">
        <f>Data_Entry!C85</f>
        <v xml:space="preserve"> Binza</v>
      </c>
      <c r="D96" s="48" t="str">
        <f>Data_Entry!D85</f>
        <v xml:space="preserve"> Camps 5 Heures</v>
      </c>
      <c r="E96" s="49">
        <f>IFERROR(IF(Data_Entry!J85/Data_Entry!$I85&lt;0,0,Data_Entry!J85/Data_Entry!$I85),0)</f>
        <v>0.93077917499118579</v>
      </c>
      <c r="F96" s="49">
        <f>IFERROR(IF(Data_Entry!K85/Data_Entry!$H85&lt;0,0,Data_Entry!K85/Data_Entry!$H85),0)</f>
        <v>0.29700559764631479</v>
      </c>
      <c r="G96" s="49">
        <f>IFERROR(IF(Data_Entry!L85/Data_Entry!$H85&lt;0,0,Data_Entry!L85/Data_Entry!$H85),0)</f>
        <v>1.0688160622782348</v>
      </c>
      <c r="H96" s="49">
        <f>IFERROR(IF(Data_Entry!M85/Data_Entry!$H85&lt;0,0,Data_Entry!M85/Data_Entry!$H85),0)</f>
        <v>1.0425502611258397</v>
      </c>
      <c r="I96" s="49">
        <f>IFERROR(IF(Data_Entry!N85/Data_Entry!$H85&lt;0,0,Data_Entry!N85/Data_Entry!$H85),0)</f>
        <v>1.0607342773082671</v>
      </c>
      <c r="J96" s="49">
        <f>IFERROR(IF(Data_Entry!O85/Data_Entry!$H85&lt;0,0,Data_Entry!O85/Data_Entry!$H85),0)</f>
        <v>1.0688160622782348</v>
      </c>
      <c r="K96" s="49">
        <f>IFERROR(IF(Data_Entry!P85/Data_Entry!$H85&lt;0,0,Data_Entry!P85/Data_Entry!$H85),0)</f>
        <v>1.0425502611258397</v>
      </c>
      <c r="L96" s="49">
        <f>IFERROR(IF(Data_Entry!Q85/Data_Entry!$H85&lt;0,0,Data_Entry!Q85/Data_Entry!$H85),0)</f>
        <v>1.0607342773082671</v>
      </c>
      <c r="M96" s="49">
        <f>IFERROR(IF(Data_Entry!R85/Data_Entry!$H85&lt;0,0,Data_Entry!R85/Data_Entry!$H85),0)</f>
        <v>1.0688160622782348</v>
      </c>
      <c r="N96" s="49">
        <f>IFERROR(IF(Data_Entry!S85/Data_Entry!$H85&lt;0,0,Data_Entry!S85/Data_Entry!$H85),0)</f>
        <v>1.0405298148833477</v>
      </c>
      <c r="O96" s="49">
        <f>IFERROR(IF(Data_Entry!T85/Data_Entry!$H85&lt;0,0,Data_Entry!T85/Data_Entry!$H85),0)</f>
        <v>1.0607342773082671</v>
      </c>
      <c r="P96" s="49">
        <f>IFERROR(IF(Data_Entry!U85/Data_Entry!$H85&lt;0,0,Data_Entry!U85/Data_Entry!$H85),0)</f>
        <v>1.0688160622782348</v>
      </c>
      <c r="Q96" s="49">
        <f>IFERROR(IF(Data_Entry!V85/Data_Entry!$H85&lt;0,0,Data_Entry!V85/Data_Entry!$H85),0)</f>
        <v>1.0425502611258397</v>
      </c>
      <c r="R96" s="49">
        <f>IFERROR(IF(Data_Entry!W85/Data_Entry!$H85&lt;0,0,Data_Entry!W85/Data_Entry!$H85),0)</f>
        <v>1.0607342773082671</v>
      </c>
      <c r="S96" s="49">
        <f>IFERROR(IF(Data_Entry!X85/Data_Entry!$H85&lt;0,0,Data_Entry!X85/Data_Entry!$H85),0)</f>
        <v>1.1314498957954848</v>
      </c>
      <c r="T96" s="49">
        <f>IFERROR(IF(Data_Entry!Y85/Data_Entry!$H85&lt;0,0,Data_Entry!Y85/Data_Entry!$H85),0)</f>
        <v>1.1860019443427672</v>
      </c>
      <c r="U96" s="49">
        <f>IFERROR(IF(Data_Entry!Z85/Data_Entry!$H85&lt;0,0,Data_Entry!Z85/Data_Entry!$H85),0)</f>
        <v>1.1193272183405332</v>
      </c>
      <c r="V96" s="49">
        <f>IFERROR(IF(Data_Entry!AA85/Data_Entry!$H85&lt;0,0,Data_Entry!AA85/Data_Entry!$H85),0)</f>
        <v>1.0607342773082671</v>
      </c>
      <c r="W96" s="49">
        <f>IFERROR(IF(Data_Entry!AB85/Data_Entry!$H85&lt;0,0,Data_Entry!AB85/Data_Entry!$H85),0)</f>
        <v>1.1092249871280735</v>
      </c>
      <c r="X96" s="49">
        <f>IFERROR(IF(Data_Entry!AC85/Data_Entry!$I85&lt;0,0,Data_Entry!AC85/Data_Entry!$I85),0)</f>
        <v>0.25032318721353863</v>
      </c>
      <c r="Y96" s="49">
        <f>IFERROR(IF(Data_Entry!AD85/Data_Entry!$I85&lt;0,0,Data_Entry!AD85/Data_Entry!$I85),0)</f>
        <v>0.19920084616288636</v>
      </c>
      <c r="Z96" s="49">
        <f>IFERROR(IF(Data_Entry!AE85/Data_Entry!$I85&lt;0,0,Data_Entry!AE85/Data_Entry!$I85),0)</f>
        <v>0.23445763309437068</v>
      </c>
      <c r="AA96" s="49">
        <f>IFERROR(IF(Data_Entry!AF85/Data_Entry!$I85&lt;0,0,Data_Entry!AF85/Data_Entry!$I85),0)</f>
        <v>0.18333529204371843</v>
      </c>
      <c r="AB96" s="49">
        <f>IFERROR(IF(Data_Entry!AG85/Data_Entry!$I85&lt;0,0,Data_Entry!AG85/Data_Entry!$I85),0)</f>
        <v>0.19567516746973793</v>
      </c>
      <c r="AC96" s="49">
        <f>IFERROR(IF(Data_Entry!AI85/Data_Entry!$I85&lt;0,0,Data_Entry!AI85/Data_Entry!$I85),0)</f>
        <v>0.10277353390527676</v>
      </c>
      <c r="AD96" s="49">
        <f>IFERROR(IF(Data_Entry!AM85/Data_Entry!$H85&lt;0,0,Data_Entry!AM85/Data_Entry!$H85),0)</f>
        <v>1.1193272183405332</v>
      </c>
      <c r="AE96" s="50">
        <f>Data_Entry!AK85</f>
        <v>0</v>
      </c>
      <c r="AF96" s="50">
        <f>Data_Entry!AL85</f>
        <v>0</v>
      </c>
      <c r="AG96" s="153">
        <f>(Data_Entry!O85-Data_Entry!Q85)/Data_Entry!O85</f>
        <v>7.5614366729678641E-3</v>
      </c>
      <c r="AH96" s="79" t="str">
        <f t="shared" si="2"/>
        <v>CAT1</v>
      </c>
      <c r="AI96" s="51">
        <f>SUBTOTAL(3,Tableau1[[#This Row],[ZS]])</f>
        <v>0</v>
      </c>
      <c r="AJ96" s="51" t="e">
        <f t="shared" ca="1" si="3"/>
        <v>#NAME?</v>
      </c>
      <c r="AK96" s="50" t="str">
        <f>IFERROR(IF((Data_Entry!O85-Data_Entry!Q85)/Data_Entry!O85&lt;=10%,"&lt;=10%","&gt;10%"),"&lt;=10%")</f>
        <v>&lt;=10%</v>
      </c>
    </row>
    <row r="97" spans="1:37" s="48" customFormat="1" ht="13" hidden="1" x14ac:dyDescent="0.3">
      <c r="A97" s="31" t="s">
        <v>16</v>
      </c>
      <c r="B97" s="48" t="str">
        <f>Data_Entry!B86</f>
        <v>Goma</v>
      </c>
      <c r="C97" s="48" t="str">
        <f>Data_Entry!C86</f>
        <v xml:space="preserve"> Binza</v>
      </c>
      <c r="D97" s="48" t="str">
        <f>Data_Entry!D86</f>
        <v xml:space="preserve"> Ishasha</v>
      </c>
      <c r="E97" s="49">
        <f>IFERROR(IF(Data_Entry!J86/Data_Entry!$I86&lt;0,0,Data_Entry!J86/Data_Entry!$I86),0)</f>
        <v>1.223088923556942</v>
      </c>
      <c r="F97" s="49">
        <f>IFERROR(IF(Data_Entry!K86/Data_Entry!$H86&lt;0,0,Data_Entry!K86/Data_Entry!$H86),0)</f>
        <v>1.2659302933721934</v>
      </c>
      <c r="G97" s="49">
        <f>IFERROR(IF(Data_Entry!L86/Data_Entry!$H86&lt;0,0,Data_Entry!L86/Data_Entry!$H86),0)</f>
        <v>1.4161254129248266</v>
      </c>
      <c r="H97" s="49">
        <f>IFERROR(IF(Data_Entry!M86/Data_Entry!$H86&lt;0,0,Data_Entry!M86/Data_Entry!$H86),0)</f>
        <v>1.376788595899137</v>
      </c>
      <c r="I97" s="49">
        <f>IFERROR(IF(Data_Entry!N86/Data_Entry!$H86&lt;0,0,Data_Entry!N86/Data_Entry!$H86),0)</f>
        <v>1.3910928929993878</v>
      </c>
      <c r="J97" s="49">
        <f>IFERROR(IF(Data_Entry!O86/Data_Entry!$H86&lt;0,0,Data_Entry!O86/Data_Entry!$H86),0)</f>
        <v>1.3839407444492624</v>
      </c>
      <c r="K97" s="49">
        <f>IFERROR(IF(Data_Entry!P86/Data_Entry!$H86&lt;0,0,Data_Entry!P86/Data_Entry!$H86),0)</f>
        <v>1.3267235560482593</v>
      </c>
      <c r="L97" s="49">
        <f>IFERROR(IF(Data_Entry!Q86/Data_Entry!$H86&lt;0,0,Data_Entry!Q86/Data_Entry!$H86),0)</f>
        <v>1.3732125216240743</v>
      </c>
      <c r="M97" s="49">
        <f>IFERROR(IF(Data_Entry!R86/Data_Entry!$H86&lt;0,0,Data_Entry!R86/Data_Entry!$H86),0)</f>
        <v>1.3875168187243252</v>
      </c>
      <c r="N97" s="49">
        <f>IFERROR(IF(Data_Entry!S86/Data_Entry!$H86&lt;0,0,Data_Entry!S86/Data_Entry!$H86),0)</f>
        <v>1.3374517788734475</v>
      </c>
      <c r="O97" s="49">
        <f>IFERROR(IF(Data_Entry!T86/Data_Entry!$H86&lt;0,0,Data_Entry!T86/Data_Entry!$H86),0)</f>
        <v>1.376788595899137</v>
      </c>
      <c r="P97" s="49">
        <f>IFERROR(IF(Data_Entry!U86/Data_Entry!$H86&lt;0,0,Data_Entry!U86/Data_Entry!$H86),0)</f>
        <v>1.3839407444492624</v>
      </c>
      <c r="Q97" s="49">
        <f>IFERROR(IF(Data_Entry!V86/Data_Entry!$H86&lt;0,0,Data_Entry!V86/Data_Entry!$H86),0)</f>
        <v>1.3267235560482593</v>
      </c>
      <c r="R97" s="49">
        <f>IFERROR(IF(Data_Entry!W86/Data_Entry!$H86&lt;0,0,Data_Entry!W86/Data_Entry!$H86),0)</f>
        <v>1.3732125216240743</v>
      </c>
      <c r="S97" s="49">
        <f>IFERROR(IF(Data_Entry!X86/Data_Entry!$H86&lt;0,0,Data_Entry!X86/Data_Entry!$H86),0)</f>
        <v>1.2552020705470055</v>
      </c>
      <c r="T97" s="49">
        <f>IFERROR(IF(Data_Entry!Y86/Data_Entry!$H86&lt;0,0,Data_Entry!Y86/Data_Entry!$H86),0)</f>
        <v>0.91905108869111229</v>
      </c>
      <c r="U97" s="49">
        <f>IFERROR(IF(Data_Entry!Z86/Data_Entry!$H86&lt;0,0,Data_Entry!Z86/Data_Entry!$H86),0)</f>
        <v>1.2552020705470055</v>
      </c>
      <c r="V97" s="49">
        <f>IFERROR(IF(Data_Entry!AA86/Data_Entry!$H86&lt;0,0,Data_Entry!AA86/Data_Entry!$H86),0)</f>
        <v>1.3624842987988863</v>
      </c>
      <c r="W97" s="49">
        <f>IFERROR(IF(Data_Entry!AB86/Data_Entry!$H86&lt;0,0,Data_Entry!AB86/Data_Entry!$H86),0)</f>
        <v>1.2516259962719427</v>
      </c>
      <c r="X97" s="49">
        <f>IFERROR(IF(Data_Entry!AC86/Data_Entry!$I86&lt;0,0,Data_Entry!AC86/Data_Entry!$I86),0)</f>
        <v>0.24024960998439934</v>
      </c>
      <c r="Y97" s="49">
        <f>IFERROR(IF(Data_Entry!AD86/Data_Entry!$I86&lt;0,0,Data_Entry!AD86/Data_Entry!$I86),0)</f>
        <v>0.23088923556942273</v>
      </c>
      <c r="Z97" s="49">
        <f>IFERROR(IF(Data_Entry!AE86/Data_Entry!$I86&lt;0,0,Data_Entry!AE86/Data_Entry!$I86),0)</f>
        <v>0.17160686427457095</v>
      </c>
      <c r="AA97" s="49">
        <f>IFERROR(IF(Data_Entry!AF86/Data_Entry!$I86&lt;0,0,Data_Entry!AF86/Data_Entry!$I86),0)</f>
        <v>0.16848673946957876</v>
      </c>
      <c r="AB97" s="49">
        <f>IFERROR(IF(Data_Entry!AG86/Data_Entry!$I86&lt;0,0,Data_Entry!AG86/Data_Entry!$I86),0)</f>
        <v>0.14352574102964116</v>
      </c>
      <c r="AC97" s="49">
        <f>IFERROR(IF(Data_Entry!AI86/Data_Entry!$I86&lt;0,0,Data_Entry!AI86/Data_Entry!$I86),0)</f>
        <v>0.13853354134165363</v>
      </c>
      <c r="AD97" s="49">
        <f>IFERROR(IF(Data_Entry!AM86/Data_Entry!$H86&lt;0,0,Data_Entry!AM86/Data_Entry!$H86),0)</f>
        <v>1.2552020705470055</v>
      </c>
      <c r="AE97" s="50">
        <f>Data_Entry!AK86</f>
        <v>0</v>
      </c>
      <c r="AF97" s="50">
        <f>Data_Entry!AL86</f>
        <v>36</v>
      </c>
      <c r="AG97" s="153">
        <f>(Data_Entry!O86-Data_Entry!Q86)/Data_Entry!O86</f>
        <v>7.7519379844961239E-3</v>
      </c>
      <c r="AH97" s="79" t="str">
        <f t="shared" si="2"/>
        <v>CAT1</v>
      </c>
      <c r="AI97" s="51">
        <f>SUBTOTAL(3,Tableau1[[#This Row],[ZS]])</f>
        <v>0</v>
      </c>
      <c r="AJ97" s="51" t="e">
        <f t="shared" ca="1" si="3"/>
        <v>#NAME?</v>
      </c>
      <c r="AK97" s="50" t="str">
        <f>IFERROR(IF((Data_Entry!O86-Data_Entry!Q86)/Data_Entry!O86&lt;=10%,"&lt;=10%","&gt;10%"),"&lt;=10%")</f>
        <v>&lt;=10%</v>
      </c>
    </row>
    <row r="98" spans="1:37" s="48" customFormat="1" ht="13" hidden="1" x14ac:dyDescent="0.3">
      <c r="A98" s="31" t="s">
        <v>16</v>
      </c>
      <c r="B98" s="48" t="str">
        <f>Data_Entry!B87</f>
        <v>Goma</v>
      </c>
      <c r="C98" s="48" t="str">
        <f>Data_Entry!C87</f>
        <v xml:space="preserve"> Binza</v>
      </c>
      <c r="D98" s="48" t="str">
        <f>Data_Entry!D87</f>
        <v xml:space="preserve"> Kasave </v>
      </c>
      <c r="E98" s="49">
        <f>IFERROR(IF(Data_Entry!J87/Data_Entry!$I87&lt;0,0,Data_Entry!J87/Data_Entry!$I87),0)</f>
        <v>0.9005394937059068</v>
      </c>
      <c r="F98" s="49">
        <f>IFERROR(IF(Data_Entry!K87/Data_Entry!$H87&lt;0,0,Data_Entry!K87/Data_Entry!$H87),0)</f>
        <v>0.78004820602785419</v>
      </c>
      <c r="G98" s="49">
        <f>IFERROR(IF(Data_Entry!L87/Data_Entry!$H87&lt;0,0,Data_Entry!L87/Data_Entry!$H87),0)</f>
        <v>1.0321369555368558</v>
      </c>
      <c r="H98" s="49">
        <f>IFERROR(IF(Data_Entry!M87/Data_Entry!$H87&lt;0,0,Data_Entry!M87/Data_Entry!$H87),0)</f>
        <v>1.0606753045378747</v>
      </c>
      <c r="I98" s="49">
        <f>IFERROR(IF(Data_Entry!N87/Data_Entry!$H87&lt;0,0,Data_Entry!N87/Data_Entry!$H87),0)</f>
        <v>1.0749444790383844</v>
      </c>
      <c r="J98" s="49">
        <f>IFERROR(IF(Data_Entry!O87/Data_Entry!$H87&lt;0,0,Data_Entry!O87/Data_Entry!$H87),0)</f>
        <v>1.0131113895361763</v>
      </c>
      <c r="K98" s="49">
        <f>IFERROR(IF(Data_Entry!P87/Data_Entry!$H87&lt;0,0,Data_Entry!P87/Data_Entry!$H87),0)</f>
        <v>1.0606753045378747</v>
      </c>
      <c r="L98" s="49">
        <f>IFERROR(IF(Data_Entry!Q87/Data_Entry!$H87&lt;0,0,Data_Entry!Q87/Data_Entry!$H87),0)</f>
        <v>1.0749444790383844</v>
      </c>
      <c r="M98" s="49">
        <f>IFERROR(IF(Data_Entry!R87/Data_Entry!$H87&lt;0,0,Data_Entry!R87/Data_Entry!$H87),0)</f>
        <v>1.0321369555368558</v>
      </c>
      <c r="N98" s="49">
        <f>IFERROR(IF(Data_Entry!S87/Data_Entry!$H87&lt;0,0,Data_Entry!S87/Data_Entry!$H87),0)</f>
        <v>1.0606753045378747</v>
      </c>
      <c r="O98" s="49">
        <f>IFERROR(IF(Data_Entry!T87/Data_Entry!$H87&lt;0,0,Data_Entry!T87/Data_Entry!$H87),0)</f>
        <v>1.0749444790383844</v>
      </c>
      <c r="P98" s="49">
        <f>IFERROR(IF(Data_Entry!U87/Data_Entry!$H87&lt;0,0,Data_Entry!U87/Data_Entry!$H87),0)</f>
        <v>1.0321369555368558</v>
      </c>
      <c r="Q98" s="49">
        <f>IFERROR(IF(Data_Entry!V87/Data_Entry!$H87&lt;0,0,Data_Entry!V87/Data_Entry!$H87),0)</f>
        <v>1.0606753045378747</v>
      </c>
      <c r="R98" s="49">
        <f>IFERROR(IF(Data_Entry!W87/Data_Entry!$H87&lt;0,0,Data_Entry!W87/Data_Entry!$H87),0)</f>
        <v>1.0749444790383844</v>
      </c>
      <c r="S98" s="49">
        <f>IFERROR(IF(Data_Entry!X87/Data_Entry!$H87&lt;0,0,Data_Entry!X87/Data_Entry!$H87),0)</f>
        <v>1.0178677810363463</v>
      </c>
      <c r="T98" s="49">
        <f>IFERROR(IF(Data_Entry!Y87/Data_Entry!$H87&lt;0,0,Data_Entry!Y87/Data_Entry!$H87),0)</f>
        <v>0.91322716803260973</v>
      </c>
      <c r="U98" s="49">
        <f>IFERROR(IF(Data_Entry!Z87/Data_Entry!$H87&lt;0,0,Data_Entry!Z87/Data_Entry!$H87),0)</f>
        <v>1.0178677810363463</v>
      </c>
      <c r="V98" s="49">
        <f>IFERROR(IF(Data_Entry!AA87/Data_Entry!$H87&lt;0,0,Data_Entry!AA87/Data_Entry!$H87),0)</f>
        <v>1.0749444790383844</v>
      </c>
      <c r="W98" s="49">
        <f>IFERROR(IF(Data_Entry!AB87/Data_Entry!$H87&lt;0,0,Data_Entry!AB87/Data_Entry!$H87),0)</f>
        <v>1.0178677810363463</v>
      </c>
      <c r="X98" s="49">
        <f>IFERROR(IF(Data_Entry!AC87/Data_Entry!$I87&lt;0,0,Data_Entry!AC87/Data_Entry!$I87),0)</f>
        <v>0.14939825702033477</v>
      </c>
      <c r="Y98" s="49">
        <f>IFERROR(IF(Data_Entry!AD87/Data_Entry!$I87&lt;0,0,Data_Entry!AD87/Data_Entry!$I87),0)</f>
        <v>0.16599806335592751</v>
      </c>
      <c r="Z98" s="49">
        <f>IFERROR(IF(Data_Entry!AE87/Data_Entry!$I87&lt;0,0,Data_Entry!AE87/Data_Entry!$I87),0)</f>
        <v>0.22824733711440032</v>
      </c>
      <c r="AA98" s="49">
        <f>IFERROR(IF(Data_Entry!AF87/Data_Entry!$I87&lt;0,0,Data_Entry!AF87/Data_Entry!$I87),0)</f>
        <v>0.15354820860423296</v>
      </c>
      <c r="AB98" s="49">
        <f>IFERROR(IF(Data_Entry!AG87/Data_Entry!$I87&lt;0,0,Data_Entry!AG87/Data_Entry!$I87),0)</f>
        <v>6.224927375847282E-2</v>
      </c>
      <c r="AC98" s="49">
        <f>IFERROR(IF(Data_Entry!AI87/Data_Entry!$I87&lt;0,0,Data_Entry!AI87/Data_Entry!$I87),0)</f>
        <v>0.24194217734126433</v>
      </c>
      <c r="AD98" s="49">
        <f>IFERROR(IF(Data_Entry!AM87/Data_Entry!$H87&lt;0,0,Data_Entry!AM87/Data_Entry!$H87),0)</f>
        <v>1.0178677810363463</v>
      </c>
      <c r="AE98" s="50">
        <f>Data_Entry!AK87</f>
        <v>0</v>
      </c>
      <c r="AF98" s="50">
        <f>Data_Entry!AL87</f>
        <v>0</v>
      </c>
      <c r="AG98" s="153">
        <f>(Data_Entry!O87-Data_Entry!Q87)/Data_Entry!O87</f>
        <v>-6.1032863849765258E-2</v>
      </c>
      <c r="AH98" s="79" t="str">
        <f t="shared" si="2"/>
        <v>CAT1</v>
      </c>
      <c r="AI98" s="51">
        <f>SUBTOTAL(3,Tableau1[[#This Row],[ZS]])</f>
        <v>0</v>
      </c>
      <c r="AJ98" s="51" t="e">
        <f t="shared" ca="1" si="3"/>
        <v>#NAME?</v>
      </c>
      <c r="AK98" s="50" t="str">
        <f>IFERROR(IF((Data_Entry!O87-Data_Entry!Q87)/Data_Entry!O87&lt;=10%,"&lt;=10%","&gt;10%"),"&lt;=10%")</f>
        <v>&lt;=10%</v>
      </c>
    </row>
    <row r="99" spans="1:37" s="48" customFormat="1" ht="13" hidden="1" x14ac:dyDescent="0.3">
      <c r="A99" s="31" t="s">
        <v>16</v>
      </c>
      <c r="B99" s="48" t="str">
        <f>Data_Entry!B88</f>
        <v>Goma</v>
      </c>
      <c r="C99" s="48" t="str">
        <f>Data_Entry!C88</f>
        <v xml:space="preserve"> Binza</v>
      </c>
      <c r="D99" s="48" t="str">
        <f>Data_Entry!D88</f>
        <v xml:space="preserve"> Katwiguru</v>
      </c>
      <c r="E99" s="49">
        <f>IFERROR(IF(Data_Entry!J88/Data_Entry!$I88&lt;0,0,Data_Entry!J88/Data_Entry!$I88),0)</f>
        <v>0.97705696202531633</v>
      </c>
      <c r="F99" s="49">
        <f>IFERROR(IF(Data_Entry!K88/Data_Entry!$H88&lt;0,0,Data_Entry!K88/Data_Entry!$H88),0)</f>
        <v>0.64228114081220611</v>
      </c>
      <c r="G99" s="49">
        <f>IFERROR(IF(Data_Entry!L88/Data_Entry!$H88&lt;0,0,Data_Entry!L88/Data_Entry!$H88),0)</f>
        <v>1.0880998150230314</v>
      </c>
      <c r="H99" s="49">
        <f>IFERROR(IF(Data_Entry!M88/Data_Entry!$H88&lt;0,0,Data_Entry!M88/Data_Entry!$H88),0)</f>
        <v>1.0125373278686542</v>
      </c>
      <c r="I99" s="49">
        <f>IFERROR(IF(Data_Entry!N88/Data_Entry!$H88&lt;0,0,Data_Entry!N88/Data_Entry!$H88),0)</f>
        <v>1.0835660657937689</v>
      </c>
      <c r="J99" s="49">
        <f>IFERROR(IF(Data_Entry!O88/Data_Entry!$H88&lt;0,0,Data_Entry!O88/Data_Entry!$H88),0)</f>
        <v>1.1092573114262572</v>
      </c>
      <c r="K99" s="49">
        <f>IFERROR(IF(Data_Entry!P88/Data_Entry!$H88&lt;0,0,Data_Entry!P88/Data_Entry!$H88),0)</f>
        <v>1.0488073217027554</v>
      </c>
      <c r="L99" s="49">
        <f>IFERROR(IF(Data_Entry!Q88/Data_Entry!$H88&lt;0,0,Data_Entry!Q88/Data_Entry!$H88),0)</f>
        <v>1.1092573114262572</v>
      </c>
      <c r="M99" s="49">
        <f>IFERROR(IF(Data_Entry!R88/Data_Entry!$H88&lt;0,0,Data_Entry!R88/Data_Entry!$H88),0)</f>
        <v>1.1092573114262572</v>
      </c>
      <c r="N99" s="49">
        <f>IFERROR(IF(Data_Entry!S88/Data_Entry!$H88&lt;0,0,Data_Entry!S88/Data_Entry!$H88),0)</f>
        <v>1.0488073217027554</v>
      </c>
      <c r="O99" s="49">
        <f>IFERROR(IF(Data_Entry!T88/Data_Entry!$H88&lt;0,0,Data_Entry!T88/Data_Entry!$H88),0)</f>
        <v>1.0941448139953818</v>
      </c>
      <c r="P99" s="49">
        <f>IFERROR(IF(Data_Entry!U88/Data_Entry!$H88&lt;0,0,Data_Entry!U88/Data_Entry!$H88),0)</f>
        <v>1.1092573114262572</v>
      </c>
      <c r="Q99" s="49">
        <f>IFERROR(IF(Data_Entry!V88/Data_Entry!$H88&lt;0,0,Data_Entry!V88/Data_Entry!$H88),0)</f>
        <v>1.0488073217027554</v>
      </c>
      <c r="R99" s="49">
        <f>IFERROR(IF(Data_Entry!W88/Data_Entry!$H88&lt;0,0,Data_Entry!W88/Data_Entry!$H88),0)</f>
        <v>1.1092573114262572</v>
      </c>
      <c r="S99" s="49">
        <f>IFERROR(IF(Data_Entry!X88/Data_Entry!$H88&lt;0,0,Data_Entry!X88/Data_Entry!$H88),0)</f>
        <v>1.0200935765840922</v>
      </c>
      <c r="T99" s="49">
        <f>IFERROR(IF(Data_Entry!Y88/Data_Entry!$H88&lt;0,0,Data_Entry!Y88/Data_Entry!$H88),0)</f>
        <v>0.92790734225575189</v>
      </c>
      <c r="U99" s="49">
        <f>IFERROR(IF(Data_Entry!Z88/Data_Entry!$H88&lt;0,0,Data_Entry!Z88/Data_Entry!$H88),0)</f>
        <v>1.0200935765840922</v>
      </c>
      <c r="V99" s="49">
        <f>IFERROR(IF(Data_Entry!AA88/Data_Entry!$H88&lt;0,0,Data_Entry!AA88/Data_Entry!$H88),0)</f>
        <v>1.1092573114262572</v>
      </c>
      <c r="W99" s="49">
        <f>IFERROR(IF(Data_Entry!AB88/Data_Entry!$H88&lt;0,0,Data_Entry!AB88/Data_Entry!$H88),0)</f>
        <v>1.0200935765840922</v>
      </c>
      <c r="X99" s="49">
        <f>IFERROR(IF(Data_Entry!AC88/Data_Entry!$I88&lt;0,0,Data_Entry!AC88/Data_Entry!$I88),0)</f>
        <v>0.21492616033755271</v>
      </c>
      <c r="Y99" s="49">
        <f>IFERROR(IF(Data_Entry!AD88/Data_Entry!$I88&lt;0,0,Data_Entry!AD88/Data_Entry!$I88),0)</f>
        <v>0.21097046413502107</v>
      </c>
      <c r="Z99" s="49">
        <f>IFERROR(IF(Data_Entry!AE88/Data_Entry!$I88&lt;0,0,Data_Entry!AE88/Data_Entry!$I88),0)</f>
        <v>0.20174050632911389</v>
      </c>
      <c r="AA99" s="49">
        <f>IFERROR(IF(Data_Entry!AF88/Data_Entry!$I88&lt;0,0,Data_Entry!AF88/Data_Entry!$I88),0)</f>
        <v>0.16218354430379744</v>
      </c>
      <c r="AB99" s="49">
        <f>IFERROR(IF(Data_Entry!AG88/Data_Entry!$I88&lt;0,0,Data_Entry!AG88/Data_Entry!$I88),0)</f>
        <v>0.1371308016877637</v>
      </c>
      <c r="AC99" s="49">
        <f>IFERROR(IF(Data_Entry!AI88/Data_Entry!$I88&lt;0,0,Data_Entry!AI88/Data_Entry!$I88),0)</f>
        <v>7.6872362869198296E-2</v>
      </c>
      <c r="AD99" s="49">
        <f>IFERROR(IF(Data_Entry!AM88/Data_Entry!$H88&lt;0,0,Data_Entry!AM88/Data_Entry!$H88),0)</f>
        <v>1.0200935765840922</v>
      </c>
      <c r="AE99" s="50">
        <f>Data_Entry!AK88</f>
        <v>0</v>
      </c>
      <c r="AF99" s="50">
        <f>Data_Entry!AL88</f>
        <v>59</v>
      </c>
      <c r="AG99" s="153">
        <f>(Data_Entry!O88-Data_Entry!Q88)/Data_Entry!O88</f>
        <v>0</v>
      </c>
      <c r="AH99" s="79" t="str">
        <f t="shared" si="2"/>
        <v>CAT1</v>
      </c>
      <c r="AI99" s="51">
        <f>SUBTOTAL(3,Tableau1[[#This Row],[ZS]])</f>
        <v>0</v>
      </c>
      <c r="AJ99" s="51" t="e">
        <f t="shared" ca="1" si="3"/>
        <v>#NAME?</v>
      </c>
      <c r="AK99" s="50" t="str">
        <f>IFERROR(IF((Data_Entry!O88-Data_Entry!Q88)/Data_Entry!O88&lt;=10%,"&lt;=10%","&gt;10%"),"&lt;=10%")</f>
        <v>&lt;=10%</v>
      </c>
    </row>
    <row r="100" spans="1:37" s="48" customFormat="1" ht="13" hidden="1" x14ac:dyDescent="0.3">
      <c r="A100" s="31" t="s">
        <v>16</v>
      </c>
      <c r="B100" s="48" t="str">
        <f>Data_Entry!B89</f>
        <v>Goma</v>
      </c>
      <c r="C100" s="48" t="str">
        <f>Data_Entry!C89</f>
        <v xml:space="preserve"> Binza</v>
      </c>
      <c r="D100" s="48" t="str">
        <f>Data_Entry!D89</f>
        <v xml:space="preserve"> Kiseguru</v>
      </c>
      <c r="E100" s="49">
        <f>IFERROR(IF(Data_Entry!J89/Data_Entry!$I89&lt;0,0,Data_Entry!J89/Data_Entry!$I89),0)</f>
        <v>0.95686755992099493</v>
      </c>
      <c r="F100" s="49">
        <f>IFERROR(IF(Data_Entry!K89/Data_Entry!$H89&lt;0,0,Data_Entry!K89/Data_Entry!$H89),0)</f>
        <v>0.70849337018763292</v>
      </c>
      <c r="G100" s="49">
        <f>IFERROR(IF(Data_Entry!L89/Data_Entry!$H89&lt;0,0,Data_Entry!L89/Data_Entry!$H89),0)</f>
        <v>1.051727204967652</v>
      </c>
      <c r="H100" s="49">
        <f>IFERROR(IF(Data_Entry!M89/Data_Entry!$H89&lt;0,0,Data_Entry!M89/Data_Entry!$H89),0)</f>
        <v>1.0049225911340132</v>
      </c>
      <c r="I100" s="49">
        <f>IFERROR(IF(Data_Entry!N89/Data_Entry!$H89&lt;0,0,Data_Entry!N89/Data_Entry!$H89),0)</f>
        <v>1.013182228869361</v>
      </c>
      <c r="J100" s="49">
        <f>IFERROR(IF(Data_Entry!O89/Data_Entry!$H89&lt;0,0,Data_Entry!O89/Data_Entry!$H89),0)</f>
        <v>1.090272181065943</v>
      </c>
      <c r="K100" s="49">
        <f>IFERROR(IF(Data_Entry!P89/Data_Entry!$H89&lt;0,0,Data_Entry!P89/Data_Entry!$H89),0)</f>
        <v>1.0462207798107535</v>
      </c>
      <c r="L100" s="49">
        <f>IFERROR(IF(Data_Entry!Q89/Data_Entry!$H89&lt;0,0,Data_Entry!Q89/Data_Entry!$H89),0)</f>
        <v>1.0379611420754054</v>
      </c>
      <c r="M100" s="49">
        <f>IFERROR(IF(Data_Entry!R89/Data_Entry!$H89&lt;0,0,Data_Entry!R89/Data_Entry!$H89),0)</f>
        <v>1.090272181065943</v>
      </c>
      <c r="N100" s="49">
        <f>IFERROR(IF(Data_Entry!S89/Data_Entry!$H89&lt;0,0,Data_Entry!S89/Data_Entry!$H89),0)</f>
        <v>1.0462207798107535</v>
      </c>
      <c r="O100" s="49">
        <f>IFERROR(IF(Data_Entry!T89/Data_Entry!$H89&lt;0,0,Data_Entry!T89/Data_Entry!$H89),0)</f>
        <v>1.0352079294969558</v>
      </c>
      <c r="P100" s="49">
        <f>IFERROR(IF(Data_Entry!U89/Data_Entry!$H89&lt;0,0,Data_Entry!U89/Data_Entry!$H89),0)</f>
        <v>1.0664110053860485</v>
      </c>
      <c r="Q100" s="49">
        <f>IFERROR(IF(Data_Entry!V89/Data_Entry!$H89&lt;0,0,Data_Entry!V89/Data_Entry!$H89),0)</f>
        <v>1.0278660292877577</v>
      </c>
      <c r="R100" s="49">
        <f>IFERROR(IF(Data_Entry!W89/Data_Entry!$H89&lt;0,0,Data_Entry!W89/Data_Entry!$H89),0)</f>
        <v>1.0232773416570087</v>
      </c>
      <c r="S100" s="49">
        <f>IFERROR(IF(Data_Entry!X89/Data_Entry!$H89&lt;0,0,Data_Entry!X89/Data_Entry!$H89),0)</f>
        <v>0.9819791529802685</v>
      </c>
      <c r="T100" s="49">
        <f>IFERROR(IF(Data_Entry!Y89/Data_Entry!$H89&lt;0,0,Data_Entry!Y89/Data_Entry!$H89),0)</f>
        <v>0.74244965865517498</v>
      </c>
      <c r="U100" s="49">
        <f>IFERROR(IF(Data_Entry!Z89/Data_Entry!$H89&lt;0,0,Data_Entry!Z89/Data_Entry!$H89),0)</f>
        <v>0.9819791529802685</v>
      </c>
      <c r="V100" s="49">
        <f>IFERROR(IF(Data_Entry!AA89/Data_Entry!$H89&lt;0,0,Data_Entry!AA89/Data_Entry!$H89),0)</f>
        <v>1.0379611420754054</v>
      </c>
      <c r="W100" s="49">
        <f>IFERROR(IF(Data_Entry!AB89/Data_Entry!$H89&lt;0,0,Data_Entry!AB89/Data_Entry!$H89),0)</f>
        <v>0.98014367792796897</v>
      </c>
      <c r="X100" s="49">
        <f>IFERROR(IF(Data_Entry!AC89/Data_Entry!$I89&lt;0,0,Data_Entry!AC89/Data_Entry!$I89),0)</f>
        <v>0.17776117012758233</v>
      </c>
      <c r="Y100" s="49">
        <f>IFERROR(IF(Data_Entry!AD89/Data_Entry!$I89&lt;0,0,Data_Entry!AD89/Data_Entry!$I89),0)</f>
        <v>0.20658730582394702</v>
      </c>
      <c r="Z100" s="49">
        <f>IFERROR(IF(Data_Entry!AE89/Data_Entry!$I89&lt;0,0,Data_Entry!AE89/Data_Entry!$I89),0)</f>
        <v>0.18817060801793625</v>
      </c>
      <c r="AA100" s="49">
        <f>IFERROR(IF(Data_Entry!AF89/Data_Entry!$I89&lt;0,0,Data_Entry!AF89/Data_Entry!$I89),0)</f>
        <v>0.1681524582287941</v>
      </c>
      <c r="AB100" s="49">
        <f>IFERROR(IF(Data_Entry!AG89/Data_Entry!$I89&lt;0,0,Data_Entry!AG89/Data_Entry!$I89),0)</f>
        <v>0.1905727859926333</v>
      </c>
      <c r="AC100" s="49">
        <f>IFERROR(IF(Data_Entry!AI89/Data_Entry!$I89&lt;0,0,Data_Entry!AI89/Data_Entry!$I89),0)</f>
        <v>4.6682325308279503E-2</v>
      </c>
      <c r="AD100" s="49">
        <f>IFERROR(IF(Data_Entry!AM89/Data_Entry!$H89&lt;0,0,Data_Entry!AM89/Data_Entry!$H89),0)</f>
        <v>0.9819791529802685</v>
      </c>
      <c r="AE100" s="50">
        <f>Data_Entry!AK89</f>
        <v>0</v>
      </c>
      <c r="AF100" s="50">
        <f>Data_Entry!AL89</f>
        <v>118</v>
      </c>
      <c r="AG100" s="153">
        <f>(Data_Entry!O89-Data_Entry!Q89)/Data_Entry!O89</f>
        <v>4.7979797979797977E-2</v>
      </c>
      <c r="AH100" s="79" t="str">
        <f t="shared" si="2"/>
        <v>CAT1</v>
      </c>
      <c r="AI100" s="51">
        <f>SUBTOTAL(3,Tableau1[[#This Row],[ZS]])</f>
        <v>0</v>
      </c>
      <c r="AJ100" s="51" t="e">
        <f t="shared" ca="1" si="3"/>
        <v>#NAME?</v>
      </c>
      <c r="AK100" s="50" t="str">
        <f>IFERROR(IF((Data_Entry!O89-Data_Entry!Q89)/Data_Entry!O89&lt;=10%,"&lt;=10%","&gt;10%"),"&lt;=10%")</f>
        <v>&lt;=10%</v>
      </c>
    </row>
    <row r="101" spans="1:37" s="48" customFormat="1" ht="13" hidden="1" x14ac:dyDescent="0.3">
      <c r="A101" s="31" t="s">
        <v>16</v>
      </c>
      <c r="B101" s="48" t="str">
        <f>Data_Entry!B90</f>
        <v>Goma</v>
      </c>
      <c r="C101" s="48" t="str">
        <f>Data_Entry!C90</f>
        <v xml:space="preserve"> Binza</v>
      </c>
      <c r="D101" s="48" t="str">
        <f>Data_Entry!D90</f>
        <v xml:space="preserve"> Kisharo</v>
      </c>
      <c r="E101" s="49">
        <f>IFERROR(IF(Data_Entry!J90/Data_Entry!$I90&lt;0,0,Data_Entry!J90/Data_Entry!$I90),0)</f>
        <v>0.93705048290978832</v>
      </c>
      <c r="F101" s="49">
        <f>IFERROR(IF(Data_Entry!K90/Data_Entry!$H90&lt;0,0,Data_Entry!K90/Data_Entry!$H90),0)</f>
        <v>0.54876781410038877</v>
      </c>
      <c r="G101" s="49">
        <f>IFERROR(IF(Data_Entry!L90/Data_Entry!$H90&lt;0,0,Data_Entry!L90/Data_Entry!$H90),0)</f>
        <v>0.93266976130366508</v>
      </c>
      <c r="H101" s="49">
        <f>IFERROR(IF(Data_Entry!M90/Data_Entry!$H90&lt;0,0,Data_Entry!M90/Data_Entry!$H90),0)</f>
        <v>0.91853840128391262</v>
      </c>
      <c r="I101" s="49">
        <f>IFERROR(IF(Data_Entry!N90/Data_Entry!$H90&lt;0,0,Data_Entry!N90/Data_Entry!$H90),0)</f>
        <v>0.93502498797362388</v>
      </c>
      <c r="J101" s="49">
        <f>IFERROR(IF(Data_Entry!O90/Data_Entry!$H90&lt;0,0,Data_Entry!O90/Data_Entry!$H90),0)</f>
        <v>0.93266976130366508</v>
      </c>
      <c r="K101" s="49">
        <f>IFERROR(IF(Data_Entry!P90/Data_Entry!$H90&lt;0,0,Data_Entry!P90/Data_Entry!$H90),0)</f>
        <v>0.91853840128391262</v>
      </c>
      <c r="L101" s="49">
        <f>IFERROR(IF(Data_Entry!Q90/Data_Entry!$H90&lt;0,0,Data_Entry!Q90/Data_Entry!$H90),0)</f>
        <v>0.93738021464358257</v>
      </c>
      <c r="M101" s="49">
        <f>IFERROR(IF(Data_Entry!R90/Data_Entry!$H90&lt;0,0,Data_Entry!R90/Data_Entry!$H90),0)</f>
        <v>0.93266976130366508</v>
      </c>
      <c r="N101" s="49">
        <f>IFERROR(IF(Data_Entry!S90/Data_Entry!$H90&lt;0,0,Data_Entry!S90/Data_Entry!$H90),0)</f>
        <v>0.91853840128391262</v>
      </c>
      <c r="O101" s="49">
        <f>IFERROR(IF(Data_Entry!T90/Data_Entry!$H90&lt;0,0,Data_Entry!T90/Data_Entry!$H90),0)</f>
        <v>0.93502498797362388</v>
      </c>
      <c r="P101" s="49">
        <f>IFERROR(IF(Data_Entry!U90/Data_Entry!$H90&lt;0,0,Data_Entry!U90/Data_Entry!$H90),0)</f>
        <v>0.82197410781560387</v>
      </c>
      <c r="Q101" s="49">
        <f>IFERROR(IF(Data_Entry!V90/Data_Entry!$H90&lt;0,0,Data_Entry!V90/Data_Entry!$H90),0)</f>
        <v>0.81255320113576879</v>
      </c>
      <c r="R101" s="49">
        <f>IFERROR(IF(Data_Entry!W90/Data_Entry!$H90&lt;0,0,Data_Entry!W90/Data_Entry!$H90),0)</f>
        <v>0.81726365447568627</v>
      </c>
      <c r="S101" s="49">
        <f>IFERROR(IF(Data_Entry!X90/Data_Entry!$H90&lt;0,0,Data_Entry!X90/Data_Entry!$H90),0)</f>
        <v>1.0080370147423452</v>
      </c>
      <c r="T101" s="49">
        <f>IFERROR(IF(Data_Entry!Y90/Data_Entry!$H90&lt;0,0,Data_Entry!Y90/Data_Entry!$H90),0)</f>
        <v>0.61235893418927501</v>
      </c>
      <c r="U101" s="49">
        <f>IFERROR(IF(Data_Entry!Z90/Data_Entry!$H90&lt;0,0,Data_Entry!Z90/Data_Entry!$H90),0)</f>
        <v>0.91382794794399502</v>
      </c>
      <c r="V101" s="49">
        <f>IFERROR(IF(Data_Entry!AA90/Data_Entry!$H90&lt;0,0,Data_Entry!AA90/Data_Entry!$H90),0)</f>
        <v>1.0103922414123039</v>
      </c>
      <c r="W101" s="49">
        <f>IFERROR(IF(Data_Entry!AB90/Data_Entry!$H90&lt;0,0,Data_Entry!AB90/Data_Entry!$H90),0)</f>
        <v>0.75367253438680004</v>
      </c>
      <c r="X101" s="49">
        <f>IFERROR(IF(Data_Entry!AC90/Data_Entry!$I90&lt;0,0,Data_Entry!AC90/Data_Entry!$I90),0)</f>
        <v>0.211658332762518</v>
      </c>
      <c r="Y101" s="49">
        <f>IFERROR(IF(Data_Entry!AD90/Data_Entry!$I90&lt;0,0,Data_Entry!AD90/Data_Entry!$I90),0)</f>
        <v>0.20343859168436196</v>
      </c>
      <c r="Z101" s="49">
        <f>IFERROR(IF(Data_Entry!AE90/Data_Entry!$I90&lt;0,0,Data_Entry!AE90/Data_Entry!$I90),0)</f>
        <v>0.14795533940680869</v>
      </c>
      <c r="AA101" s="49">
        <f>IFERROR(IF(Data_Entry!AF90/Data_Entry!$I90&lt;0,0,Data_Entry!AF90/Data_Entry!$I90),0)</f>
        <v>0.11918624563326255</v>
      </c>
      <c r="AB101" s="49">
        <f>IFERROR(IF(Data_Entry!AG90/Data_Entry!$I90&lt;0,0,Data_Entry!AG90/Data_Entry!$I90),0)</f>
        <v>0.10685663401602849</v>
      </c>
      <c r="AC101" s="49">
        <f>IFERROR(IF(Data_Entry!AI90/Data_Entry!$I90&lt;0,0,Data_Entry!AI90/Data_Entry!$I90),0)</f>
        <v>0.11980272621412424</v>
      </c>
      <c r="AD101" s="49">
        <f>IFERROR(IF(Data_Entry!AM90/Data_Entry!$H90&lt;0,0,Data_Entry!AM90/Data_Entry!$H90),0)</f>
        <v>0.91382794794399502</v>
      </c>
      <c r="AE101" s="50">
        <f>Data_Entry!AK90</f>
        <v>28.587583333333328</v>
      </c>
      <c r="AF101" s="50">
        <f>Data_Entry!AL90</f>
        <v>0</v>
      </c>
      <c r="AG101" s="153">
        <f>(Data_Entry!O90-Data_Entry!Q90)/Data_Entry!O90</f>
        <v>-5.0505050505050509E-3</v>
      </c>
      <c r="AH101" s="79" t="str">
        <f t="shared" si="2"/>
        <v>CAT1</v>
      </c>
      <c r="AI101" s="51">
        <f>SUBTOTAL(3,Tableau1[[#This Row],[ZS]])</f>
        <v>0</v>
      </c>
      <c r="AJ101" s="51" t="e">
        <f t="shared" ca="1" si="3"/>
        <v>#NAME?</v>
      </c>
      <c r="AK101" s="50" t="str">
        <f>IFERROR(IF((Data_Entry!O90-Data_Entry!Q90)/Data_Entry!O90&lt;=10%,"&lt;=10%","&gt;10%"),"&lt;=10%")</f>
        <v>&lt;=10%</v>
      </c>
    </row>
    <row r="102" spans="1:37" s="48" customFormat="1" ht="13" hidden="1" x14ac:dyDescent="0.3">
      <c r="A102" s="31" t="s">
        <v>16</v>
      </c>
      <c r="B102" s="48" t="str">
        <f>Data_Entry!B91</f>
        <v>Goma</v>
      </c>
      <c r="C102" s="48" t="str">
        <f>Data_Entry!C91</f>
        <v xml:space="preserve"> Binza</v>
      </c>
      <c r="D102" s="48" t="str">
        <f>Data_Entry!D91</f>
        <v xml:space="preserve"> Majengo </v>
      </c>
      <c r="E102" s="49">
        <f>IFERROR(IF(Data_Entry!J91/Data_Entry!$I91&lt;0,0,Data_Entry!J91/Data_Entry!$I91),0)</f>
        <v>0.81806998359759431</v>
      </c>
      <c r="F102" s="49">
        <f>IFERROR(IF(Data_Entry!K91/Data_Entry!$H91&lt;0,0,Data_Entry!K91/Data_Entry!$H91),0)</f>
        <v>0.44648382240283491</v>
      </c>
      <c r="G102" s="49">
        <f>IFERROR(IF(Data_Entry!L91/Data_Entry!$H91&lt;0,0,Data_Entry!L91/Data_Entry!$H91),0)</f>
        <v>1.0927104074595697</v>
      </c>
      <c r="H102" s="49">
        <f>IFERROR(IF(Data_Entry!M91/Data_Entry!$H91&lt;0,0,Data_Entry!M91/Data_Entry!$H91),0)</f>
        <v>1.2431049581636824</v>
      </c>
      <c r="I102" s="49">
        <f>IFERROR(IF(Data_Entry!N91/Data_Entry!$H91&lt;0,0,Data_Entry!N91/Data_Entry!$H91),0)</f>
        <v>1.097410237169073</v>
      </c>
      <c r="J102" s="49">
        <f>IFERROR(IF(Data_Entry!O91/Data_Entry!$H91&lt;0,0,Data_Entry!O91/Data_Entry!$H91),0)</f>
        <v>1.0927104074595697</v>
      </c>
      <c r="K102" s="49">
        <f>IFERROR(IF(Data_Entry!P91/Data_Entry!$H91&lt;0,0,Data_Entry!P91/Data_Entry!$H91),0)</f>
        <v>1.0762610034763074</v>
      </c>
      <c r="L102" s="49">
        <f>IFERROR(IF(Data_Entry!Q91/Data_Entry!$H91&lt;0,0,Data_Entry!Q91/Data_Entry!$H91),0)</f>
        <v>1.097410237169073</v>
      </c>
      <c r="M102" s="49">
        <f>IFERROR(IF(Data_Entry!R91/Data_Entry!$H91&lt;0,0,Data_Entry!R91/Data_Entry!$H91),0)</f>
        <v>1.0927104074595697</v>
      </c>
      <c r="N102" s="49">
        <f>IFERROR(IF(Data_Entry!S91/Data_Entry!$H91&lt;0,0,Data_Entry!S91/Data_Entry!$H91),0)</f>
        <v>1.0762610034763074</v>
      </c>
      <c r="O102" s="49">
        <f>IFERROR(IF(Data_Entry!T91/Data_Entry!$H91&lt;0,0,Data_Entry!T91/Data_Entry!$H91),0)</f>
        <v>1.097410237169073</v>
      </c>
      <c r="P102" s="49">
        <f>IFERROR(IF(Data_Entry!U91/Data_Entry!$H91&lt;0,0,Data_Entry!U91/Data_Entry!$H91),0)</f>
        <v>1.0222129618170168</v>
      </c>
      <c r="Q102" s="49">
        <f>IFERROR(IF(Data_Entry!V91/Data_Entry!$H91&lt;0,0,Data_Entry!V91/Data_Entry!$H91),0)</f>
        <v>0.96581500530297448</v>
      </c>
      <c r="R102" s="49">
        <f>IFERROR(IF(Data_Entry!W91/Data_Entry!$H91&lt;0,0,Data_Entry!W91/Data_Entry!$H91),0)</f>
        <v>0.95641534588396737</v>
      </c>
      <c r="S102" s="49">
        <f>IFERROR(IF(Data_Entry!X91/Data_Entry!$H91&lt;0,0,Data_Entry!X91/Data_Entry!$H91),0)</f>
        <v>1.0621615143477967</v>
      </c>
      <c r="T102" s="49">
        <f>IFERROR(IF(Data_Entry!Y91/Data_Entry!$H91&lt;0,0,Data_Entry!Y91/Data_Entry!$H91),0)</f>
        <v>0.63682692563772769</v>
      </c>
      <c r="U102" s="49">
        <f>IFERROR(IF(Data_Entry!Z91/Data_Entry!$H91&lt;0,0,Data_Entry!Z91/Data_Entry!$H91),0)</f>
        <v>1.0621615143477967</v>
      </c>
      <c r="V102" s="49">
        <f>IFERROR(IF(Data_Entry!AA91/Data_Entry!$H91&lt;0,0,Data_Entry!AA91/Data_Entry!$H91),0)</f>
        <v>1.097410237169073</v>
      </c>
      <c r="W102" s="49">
        <f>IFERROR(IF(Data_Entry!AB91/Data_Entry!$H91&lt;0,0,Data_Entry!AB91/Data_Entry!$H91),0)</f>
        <v>1.0621615143477967</v>
      </c>
      <c r="X102" s="49">
        <f>IFERROR(IF(Data_Entry!AC91/Data_Entry!$I91&lt;0,0,Data_Entry!AC91/Data_Entry!$I91),0)</f>
        <v>0.17837616183706942</v>
      </c>
      <c r="Y102" s="49">
        <f>IFERROR(IF(Data_Entry!AD91/Data_Entry!$I91&lt;0,0,Data_Entry!AD91/Data_Entry!$I91),0)</f>
        <v>0.13737014762165117</v>
      </c>
      <c r="Z102" s="49">
        <f>IFERROR(IF(Data_Entry!AE91/Data_Entry!$I91&lt;0,0,Data_Entry!AE91/Data_Entry!$I91),0)</f>
        <v>0.15582285401858939</v>
      </c>
      <c r="AA102" s="49">
        <f>IFERROR(IF(Data_Entry!AF91/Data_Entry!$I91&lt;0,0,Data_Entry!AF91/Data_Entry!$I91),0)</f>
        <v>0.11481683980317113</v>
      </c>
      <c r="AB102" s="49">
        <f>IFERROR(IF(Data_Entry!AG91/Data_Entry!$I91&lt;0,0,Data_Entry!AG91/Data_Entry!$I91),0)</f>
        <v>7.5861126298523776E-2</v>
      </c>
      <c r="AC102" s="49">
        <f>IFERROR(IF(Data_Entry!AI91/Data_Entry!$I91&lt;0,0,Data_Entry!AI91/Data_Entry!$I91),0)</f>
        <v>0.11953253143794422</v>
      </c>
      <c r="AD102" s="49">
        <f>IFERROR(IF(Data_Entry!AM91/Data_Entry!$H91&lt;0,0,Data_Entry!AM91/Data_Entry!$H91),0)</f>
        <v>1.0621615143477967</v>
      </c>
      <c r="AE102" s="50">
        <f>Data_Entry!AK91</f>
        <v>0</v>
      </c>
      <c r="AF102" s="50">
        <f>Data_Entry!AL91</f>
        <v>13</v>
      </c>
      <c r="AG102" s="153">
        <f>(Data_Entry!O91-Data_Entry!Q91)/Data_Entry!O91</f>
        <v>-4.3010752688172043E-3</v>
      </c>
      <c r="AH102" s="79" t="str">
        <f t="shared" si="2"/>
        <v>CAT1</v>
      </c>
      <c r="AI102" s="51">
        <f>SUBTOTAL(3,Tableau1[[#This Row],[ZS]])</f>
        <v>0</v>
      </c>
      <c r="AJ102" s="51" t="e">
        <f t="shared" ca="1" si="3"/>
        <v>#NAME?</v>
      </c>
      <c r="AK102" s="50" t="str">
        <f>IFERROR(IF((Data_Entry!O91-Data_Entry!Q91)/Data_Entry!O91&lt;=10%,"&lt;=10%","&gt;10%"),"&lt;=10%")</f>
        <v>&lt;=10%</v>
      </c>
    </row>
    <row r="103" spans="1:37" s="48" customFormat="1" ht="13" hidden="1" x14ac:dyDescent="0.3">
      <c r="A103" s="31" t="s">
        <v>16</v>
      </c>
      <c r="B103" s="48" t="str">
        <f>Data_Entry!B92</f>
        <v>Goma</v>
      </c>
      <c r="C103" s="48" t="str">
        <f>Data_Entry!C92</f>
        <v xml:space="preserve"> Binza</v>
      </c>
      <c r="D103" s="48" t="str">
        <f>Data_Entry!D92</f>
        <v xml:space="preserve"> Munyaga</v>
      </c>
      <c r="E103" s="49">
        <f>IFERROR(IF(Data_Entry!J92/Data_Entry!$I92&lt;0,0,Data_Entry!J92/Data_Entry!$I92),0)</f>
        <v>0.93299232736572879</v>
      </c>
      <c r="F103" s="49">
        <f>IFERROR(IF(Data_Entry!K92/Data_Entry!$H92&lt;0,0,Data_Entry!K92/Data_Entry!$H92),0)</f>
        <v>0.76330619453462212</v>
      </c>
      <c r="G103" s="49">
        <f>IFERROR(IF(Data_Entry!L92/Data_Entry!$H92&lt;0,0,Data_Entry!L92/Data_Entry!$H92),0)</f>
        <v>1.1080251210986451</v>
      </c>
      <c r="H103" s="49">
        <f>IFERROR(IF(Data_Entry!M92/Data_Entry!$H92&lt;0,0,Data_Entry!M92/Data_Entry!$H92),0)</f>
        <v>1.1009900409646853</v>
      </c>
      <c r="I103" s="49">
        <f>IFERROR(IF(Data_Entry!N92/Data_Entry!$H92&lt;0,0,Data_Entry!N92/Data_Entry!$H92),0)</f>
        <v>1.1396829817014635</v>
      </c>
      <c r="J103" s="49">
        <f>IFERROR(IF(Data_Entry!O92/Data_Entry!$H92&lt;0,0,Data_Entry!O92/Data_Entry!$H92),0)</f>
        <v>1.1080251210986451</v>
      </c>
      <c r="K103" s="49">
        <f>IFERROR(IF(Data_Entry!P92/Data_Entry!$H92&lt;0,0,Data_Entry!P92/Data_Entry!$H92),0)</f>
        <v>1.1009900409646853</v>
      </c>
      <c r="L103" s="49">
        <f>IFERROR(IF(Data_Entry!Q92/Data_Entry!$H92&lt;0,0,Data_Entry!Q92/Data_Entry!$H92),0)</f>
        <v>1.1326479015675037</v>
      </c>
      <c r="M103" s="49">
        <f>IFERROR(IF(Data_Entry!R92/Data_Entry!$H92&lt;0,0,Data_Entry!R92/Data_Entry!$H92),0)</f>
        <v>1.1432005217684433</v>
      </c>
      <c r="N103" s="49">
        <f>IFERROR(IF(Data_Entry!S92/Data_Entry!$H92&lt;0,0,Data_Entry!S92/Data_Entry!$H92),0)</f>
        <v>1.1009900409646853</v>
      </c>
      <c r="O103" s="49">
        <f>IFERROR(IF(Data_Entry!T92/Data_Entry!$H92&lt;0,0,Data_Entry!T92/Data_Entry!$H92),0)</f>
        <v>1.1256128214335441</v>
      </c>
      <c r="P103" s="49">
        <f>IFERROR(IF(Data_Entry!U92/Data_Entry!$H92&lt;0,0,Data_Entry!U92/Data_Entry!$H92),0)</f>
        <v>1.0939549608307257</v>
      </c>
      <c r="Q103" s="49">
        <f>IFERROR(IF(Data_Entry!V92/Data_Entry!$H92&lt;0,0,Data_Entry!V92/Data_Entry!$H92),0)</f>
        <v>1.030639239625089</v>
      </c>
      <c r="R103" s="49">
        <f>IFERROR(IF(Data_Entry!W92/Data_Entry!$H92&lt;0,0,Data_Entry!W92/Data_Entry!$H92),0)</f>
        <v>1.0834023406297864</v>
      </c>
      <c r="S103" s="49">
        <f>IFERROR(IF(Data_Entry!X92/Data_Entry!$H92&lt;0,0,Data_Entry!X92/Data_Entry!$H92),0)</f>
        <v>1.0552620200939478</v>
      </c>
      <c r="T103" s="49">
        <f>IFERROR(IF(Data_Entry!Y92/Data_Entry!$H92&lt;0,0,Data_Entry!Y92/Data_Entry!$H92),0)</f>
        <v>0.54170117031489318</v>
      </c>
      <c r="U103" s="49">
        <f>IFERROR(IF(Data_Entry!Z92/Data_Entry!$H92&lt;0,0,Data_Entry!Z92/Data_Entry!$H92),0)</f>
        <v>1.0693321803618669</v>
      </c>
      <c r="V103" s="49">
        <f>IFERROR(IF(Data_Entry!AA92/Data_Entry!$H92&lt;0,0,Data_Entry!AA92/Data_Entry!$H92),0)</f>
        <v>1.1326479015675037</v>
      </c>
      <c r="W103" s="49">
        <f>IFERROR(IF(Data_Entry!AB92/Data_Entry!$H92&lt;0,0,Data_Entry!AB92/Data_Entry!$H92),0)</f>
        <v>1.0693321803618669</v>
      </c>
      <c r="X103" s="49">
        <f>IFERROR(IF(Data_Entry!AC92/Data_Entry!$I92&lt;0,0,Data_Entry!AC92/Data_Entry!$I92),0)</f>
        <v>0.16572890025575446</v>
      </c>
      <c r="Y103" s="49">
        <f>IFERROR(IF(Data_Entry!AD92/Data_Entry!$I92&lt;0,0,Data_Entry!AD92/Data_Entry!$I92),0)</f>
        <v>0.18721227621483374</v>
      </c>
      <c r="Z103" s="49">
        <f>IFERROR(IF(Data_Entry!AE92/Data_Entry!$I92&lt;0,0,Data_Entry!AE92/Data_Entry!$I92),0)</f>
        <v>0.15959079283887467</v>
      </c>
      <c r="AA103" s="49">
        <f>IFERROR(IF(Data_Entry!AF92/Data_Entry!$I92&lt;0,0,Data_Entry!AF92/Data_Entry!$I92),0)</f>
        <v>0.14424552429667517</v>
      </c>
      <c r="AB103" s="49">
        <f>IFERROR(IF(Data_Entry!AG92/Data_Entry!$I92&lt;0,0,Data_Entry!AG92/Data_Entry!$I92),0)</f>
        <v>0.14117647058823526</v>
      </c>
      <c r="AC103" s="49">
        <f>IFERROR(IF(Data_Entry!AI92/Data_Entry!$I92&lt;0,0,Data_Entry!AI92/Data_Entry!$I92),0)</f>
        <v>0.178925831202046</v>
      </c>
      <c r="AD103" s="49">
        <f>IFERROR(IF(Data_Entry!AM92/Data_Entry!$H92&lt;0,0,Data_Entry!AM92/Data_Entry!$H92),0)</f>
        <v>1.0552620200939478</v>
      </c>
      <c r="AE103" s="50">
        <f>Data_Entry!AK92</f>
        <v>0</v>
      </c>
      <c r="AF103" s="50">
        <f>Data_Entry!AL92</f>
        <v>15</v>
      </c>
      <c r="AG103" s="153">
        <f>(Data_Entry!O92-Data_Entry!Q92)/Data_Entry!O92</f>
        <v>-2.2222222222222223E-2</v>
      </c>
      <c r="AH103" s="79" t="str">
        <f t="shared" si="2"/>
        <v>CAT1</v>
      </c>
      <c r="AI103" s="51">
        <f>SUBTOTAL(3,Tableau1[[#This Row],[ZS]])</f>
        <v>0</v>
      </c>
      <c r="AJ103" s="51" t="e">
        <f t="shared" ca="1" si="3"/>
        <v>#NAME?</v>
      </c>
      <c r="AK103" s="50" t="str">
        <f>IFERROR(IF((Data_Entry!O92-Data_Entry!Q92)/Data_Entry!O92&lt;=10%,"&lt;=10%","&gt;10%"),"&lt;=10%")</f>
        <v>&lt;=10%</v>
      </c>
    </row>
    <row r="104" spans="1:37" s="48" customFormat="1" ht="13" hidden="1" x14ac:dyDescent="0.3">
      <c r="A104" s="31" t="s">
        <v>16</v>
      </c>
      <c r="B104" s="48" t="str">
        <f>Data_Entry!B93</f>
        <v>Goma</v>
      </c>
      <c r="C104" s="48" t="str">
        <f>Data_Entry!C93</f>
        <v xml:space="preserve"> Binza</v>
      </c>
      <c r="D104" s="48" t="str">
        <f>Data_Entry!D93</f>
        <v xml:space="preserve"> Nyabanira</v>
      </c>
      <c r="E104" s="49">
        <f>IFERROR(IF(Data_Entry!J93/Data_Entry!$I93&lt;0,0,Data_Entry!J93/Data_Entry!$I93),0)</f>
        <v>1.091217489634376</v>
      </c>
      <c r="F104" s="49">
        <f>IFERROR(IF(Data_Entry!K93/Data_Entry!$H93&lt;0,0,Data_Entry!K93/Data_Entry!$H93),0)</f>
        <v>0.89102783570958755</v>
      </c>
      <c r="G104" s="49">
        <f>IFERROR(IF(Data_Entry!L93/Data_Entry!$H93&lt;0,0,Data_Entry!L93/Data_Entry!$H93),0)</f>
        <v>1.0173917833193109</v>
      </c>
      <c r="H104" s="49">
        <f>IFERROR(IF(Data_Entry!M93/Data_Entry!$H93&lt;0,0,Data_Entry!M93/Data_Entry!$H93),0)</f>
        <v>1.1113547187214128</v>
      </c>
      <c r="I104" s="49">
        <f>IFERROR(IF(Data_Entry!N93/Data_Entry!$H93&lt;0,0,Data_Entry!N93/Data_Entry!$H93),0)</f>
        <v>1.0659933016307428</v>
      </c>
      <c r="J104" s="49">
        <f>IFERROR(IF(Data_Entry!O93/Data_Entry!$H93&lt;0,0,Data_Entry!O93/Data_Entry!$H93),0)</f>
        <v>0.99471107477397591</v>
      </c>
      <c r="K104" s="49">
        <f>IFERROR(IF(Data_Entry!P93/Data_Entry!$H93&lt;0,0,Data_Entry!P93/Data_Entry!$H93),0)</f>
        <v>1.020631884540073</v>
      </c>
      <c r="L104" s="49">
        <f>IFERROR(IF(Data_Entry!Q93/Data_Entry!$H93&lt;0,0,Data_Entry!Q93/Data_Entry!$H93),0)</f>
        <v>1.0076714796570245</v>
      </c>
      <c r="M104" s="49">
        <f>IFERROR(IF(Data_Entry!R93/Data_Entry!$H93&lt;0,0,Data_Entry!R93/Data_Entry!$H93),0)</f>
        <v>0.99471107477397591</v>
      </c>
      <c r="N104" s="49">
        <f>IFERROR(IF(Data_Entry!S93/Data_Entry!$H93&lt;0,0,Data_Entry!S93/Data_Entry!$H93),0)</f>
        <v>1.020631884540073</v>
      </c>
      <c r="O104" s="49">
        <f>IFERROR(IF(Data_Entry!T93/Data_Entry!$H93&lt;0,0,Data_Entry!T93/Data_Entry!$H93),0)</f>
        <v>1.0076714796570245</v>
      </c>
      <c r="P104" s="49">
        <f>IFERROR(IF(Data_Entry!U93/Data_Entry!$H93&lt;0,0,Data_Entry!U93/Data_Entry!$H93),0)</f>
        <v>0.93962935402101955</v>
      </c>
      <c r="Q104" s="49">
        <f>IFERROR(IF(Data_Entry!V93/Data_Entry!$H93&lt;0,0,Data_Entry!V93/Data_Entry!$H93),0)</f>
        <v>0.97851056867016517</v>
      </c>
      <c r="R104" s="49">
        <f>IFERROR(IF(Data_Entry!W93/Data_Entry!$H93&lt;0,0,Data_Entry!W93/Data_Entry!$H93),0)</f>
        <v>1.0368323906438837</v>
      </c>
      <c r="S104" s="49">
        <f>IFERROR(IF(Data_Entry!X93/Data_Entry!$H93&lt;0,0,Data_Entry!X93/Data_Entry!$H93),0)</f>
        <v>1.1243151236044613</v>
      </c>
      <c r="T104" s="49">
        <f>IFERROR(IF(Data_Entry!Y93/Data_Entry!$H93&lt;0,0,Data_Entry!Y93/Data_Entry!$H93),0)</f>
        <v>0.86834712716425255</v>
      </c>
      <c r="U104" s="49">
        <f>IFERROR(IF(Data_Entry!Z93/Data_Entry!$H93&lt;0,0,Data_Entry!Z93/Data_Entry!$H93),0)</f>
        <v>1.0951542126176022</v>
      </c>
      <c r="V104" s="49">
        <f>IFERROR(IF(Data_Entry!AA93/Data_Entry!$H93&lt;0,0,Data_Entry!AA93/Data_Entry!$H93),0)</f>
        <v>1.0109115808777867</v>
      </c>
      <c r="W104" s="49">
        <f>IFERROR(IF(Data_Entry!AB93/Data_Entry!$H93&lt;0,0,Data_Entry!AB93/Data_Entry!$H93),0)</f>
        <v>1.0951542126176022</v>
      </c>
      <c r="X104" s="49">
        <f>IFERROR(IF(Data_Entry!AC93/Data_Entry!$I93&lt;0,0,Data_Entry!AC93/Data_Entry!$I93),0)</f>
        <v>0.14417640407086316</v>
      </c>
      <c r="Y104" s="49">
        <f>IFERROR(IF(Data_Entry!AD93/Data_Entry!$I93&lt;0,0,Data_Entry!AD93/Data_Entry!$I93),0)</f>
        <v>0.14134941575574819</v>
      </c>
      <c r="Z104" s="49">
        <f>IFERROR(IF(Data_Entry!AE93/Data_Entry!$I93&lt;0,0,Data_Entry!AE93/Data_Entry!$I93),0)</f>
        <v>0.14417640407086316</v>
      </c>
      <c r="AA104" s="49">
        <f>IFERROR(IF(Data_Entry!AF93/Data_Entry!$I93&lt;0,0,Data_Entry!AF93/Data_Entry!$I93),0)</f>
        <v>0.14700339238597812</v>
      </c>
      <c r="AB104" s="49">
        <f>IFERROR(IF(Data_Entry!AG93/Data_Entry!$I93&lt;0,0,Data_Entry!AG93/Data_Entry!$I93),0)</f>
        <v>0.15831134564643798</v>
      </c>
      <c r="AC104" s="49">
        <f>IFERROR(IF(Data_Entry!AI93/Data_Entry!$I93&lt;0,0,Data_Entry!AI93/Data_Entry!$I93),0)</f>
        <v>0.1648134187712024</v>
      </c>
      <c r="AD104" s="49">
        <f>IFERROR(IF(Data_Entry!AM93/Data_Entry!$H93&lt;0,0,Data_Entry!AM93/Data_Entry!$H93),0)</f>
        <v>1.0951542126176022</v>
      </c>
      <c r="AE104" s="50">
        <f>Data_Entry!AK93</f>
        <v>1.6323333333333494</v>
      </c>
      <c r="AF104" s="50">
        <f>Data_Entry!AL93</f>
        <v>0</v>
      </c>
      <c r="AG104" s="153">
        <f>(Data_Entry!O93-Data_Entry!Q93)/Data_Entry!O93</f>
        <v>-1.3029315960912053E-2</v>
      </c>
      <c r="AH104" s="79" t="str">
        <f t="shared" si="2"/>
        <v>CAT1</v>
      </c>
      <c r="AI104" s="51">
        <f>SUBTOTAL(3,Tableau1[[#This Row],[ZS]])</f>
        <v>0</v>
      </c>
      <c r="AJ104" s="51" t="e">
        <f t="shared" ca="1" si="3"/>
        <v>#NAME?</v>
      </c>
      <c r="AK104" s="50" t="str">
        <f>IFERROR(IF((Data_Entry!O93-Data_Entry!Q93)/Data_Entry!O93&lt;=10%,"&lt;=10%","&gt;10%"),"&lt;=10%")</f>
        <v>&lt;=10%</v>
      </c>
    </row>
    <row r="105" spans="1:37" s="48" customFormat="1" ht="13" hidden="1" x14ac:dyDescent="0.3">
      <c r="A105" s="31" t="s">
        <v>16</v>
      </c>
      <c r="B105" s="48" t="str">
        <f>Data_Entry!B94</f>
        <v>Goma</v>
      </c>
      <c r="C105" s="48" t="str">
        <f>Data_Entry!C94</f>
        <v xml:space="preserve"> Binza</v>
      </c>
      <c r="D105" s="48" t="str">
        <f>Data_Entry!D94</f>
        <v xml:space="preserve"> Nyakahanga</v>
      </c>
      <c r="E105" s="49">
        <f>IFERROR(IF(Data_Entry!J94/Data_Entry!$I94&lt;0,0,Data_Entry!J94/Data_Entry!$I94),0)</f>
        <v>0.93687374749498986</v>
      </c>
      <c r="F105" s="49">
        <f>IFERROR(IF(Data_Entry!K94/Data_Entry!$H94&lt;0,0,Data_Entry!K94/Data_Entry!$H94),0)</f>
        <v>0.5627300446164536</v>
      </c>
      <c r="G105" s="49">
        <f>IFERROR(IF(Data_Entry!L94/Data_Entry!$H94&lt;0,0,Data_Entry!L94/Data_Entry!$H94),0)</f>
        <v>0.89003221342398275</v>
      </c>
      <c r="H105" s="49">
        <f>IFERROR(IF(Data_Entry!M94/Data_Entry!$H94&lt;0,0,Data_Entry!M94/Data_Entry!$H94),0)</f>
        <v>0.89003221342398275</v>
      </c>
      <c r="I105" s="49">
        <f>IFERROR(IF(Data_Entry!N94/Data_Entry!$H94&lt;0,0,Data_Entry!N94/Data_Entry!$H94),0)</f>
        <v>0.89003221342398275</v>
      </c>
      <c r="J105" s="49">
        <f>IFERROR(IF(Data_Entry!O94/Data_Entry!$H94&lt;0,0,Data_Entry!O94/Data_Entry!$H94),0)</f>
        <v>0.89003221342398275</v>
      </c>
      <c r="K105" s="49">
        <f>IFERROR(IF(Data_Entry!P94/Data_Entry!$H94&lt;0,0,Data_Entry!P94/Data_Entry!$H94),0)</f>
        <v>0.89003221342398275</v>
      </c>
      <c r="L105" s="49">
        <f>IFERROR(IF(Data_Entry!Q94/Data_Entry!$H94&lt;0,0,Data_Entry!Q94/Data_Entry!$H94),0)</f>
        <v>0.89003221342398275</v>
      </c>
      <c r="M105" s="49">
        <f>IFERROR(IF(Data_Entry!R94/Data_Entry!$H94&lt;0,0,Data_Entry!R94/Data_Entry!$H94),0)</f>
        <v>0.89003221342398275</v>
      </c>
      <c r="N105" s="49">
        <f>IFERROR(IF(Data_Entry!S94/Data_Entry!$H94&lt;0,0,Data_Entry!S94/Data_Entry!$H94),0)</f>
        <v>0.89003221342398275</v>
      </c>
      <c r="O105" s="49">
        <f>IFERROR(IF(Data_Entry!T94/Data_Entry!$H94&lt;0,0,Data_Entry!T94/Data_Entry!$H94),0)</f>
        <v>0.89003221342398275</v>
      </c>
      <c r="P105" s="49">
        <f>IFERROR(IF(Data_Entry!U94/Data_Entry!$H94&lt;0,0,Data_Entry!U94/Data_Entry!$H94),0)</f>
        <v>0.8842900701115699</v>
      </c>
      <c r="Q105" s="49">
        <f>IFERROR(IF(Data_Entry!V94/Data_Entry!$H94&lt;0,0,Data_Entry!V94/Data_Entry!$H94),0)</f>
        <v>0.89003221342398275</v>
      </c>
      <c r="R105" s="49">
        <f>IFERROR(IF(Data_Entry!W94/Data_Entry!$H94&lt;0,0,Data_Entry!W94/Data_Entry!$H94),0)</f>
        <v>0.89003221342398275</v>
      </c>
      <c r="S105" s="49">
        <f>IFERROR(IF(Data_Entry!X94/Data_Entry!$H94&lt;0,0,Data_Entry!X94/Data_Entry!$H94),0)</f>
        <v>0.9474536465481106</v>
      </c>
      <c r="T105" s="49">
        <f>IFERROR(IF(Data_Entry!Y94/Data_Entry!$H94&lt;0,0,Data_Entry!Y94/Data_Entry!$H94),0)</f>
        <v>0.54550361467921527</v>
      </c>
      <c r="U105" s="49">
        <f>IFERROR(IF(Data_Entry!Z94/Data_Entry!$H94&lt;0,0,Data_Entry!Z94/Data_Entry!$H94),0)</f>
        <v>0.91300078667363394</v>
      </c>
      <c r="V105" s="49">
        <f>IFERROR(IF(Data_Entry!AA94/Data_Entry!$H94&lt;0,0,Data_Entry!AA94/Data_Entry!$H94),0)</f>
        <v>0.89003221342398275</v>
      </c>
      <c r="W105" s="49">
        <f>IFERROR(IF(Data_Entry!AB94/Data_Entry!$H94&lt;0,0,Data_Entry!AB94/Data_Entry!$H94),0)</f>
        <v>0.92448507329845953</v>
      </c>
      <c r="X105" s="49">
        <f>IFERROR(IF(Data_Entry!AC94/Data_Entry!$I94&lt;0,0,Data_Entry!AC94/Data_Entry!$I94),0)</f>
        <v>0.14529058116232463</v>
      </c>
      <c r="Y105" s="49">
        <f>IFERROR(IF(Data_Entry!AD94/Data_Entry!$I94&lt;0,0,Data_Entry!AD94/Data_Entry!$I94),0)</f>
        <v>0.12525050100200399</v>
      </c>
      <c r="Z105" s="49">
        <f>IFERROR(IF(Data_Entry!AE94/Data_Entry!$I94&lt;0,0,Data_Entry!AE94/Data_Entry!$I94),0)</f>
        <v>0.12525050100200399</v>
      </c>
      <c r="AA105" s="49">
        <f>IFERROR(IF(Data_Entry!AF94/Data_Entry!$I94&lt;0,0,Data_Entry!AF94/Data_Entry!$I94),0)</f>
        <v>0.1002004008016032</v>
      </c>
      <c r="AB105" s="49">
        <f>IFERROR(IF(Data_Entry!AG94/Data_Entry!$I94&lt;0,0,Data_Entry!AG94/Data_Entry!$I94),0)</f>
        <v>5.5110220440881756E-2</v>
      </c>
      <c r="AC105" s="49">
        <f>IFERROR(IF(Data_Entry!AI94/Data_Entry!$I94&lt;0,0,Data_Entry!AI94/Data_Entry!$I94),0)</f>
        <v>0.29208416833667328</v>
      </c>
      <c r="AD105" s="49">
        <f>IFERROR(IF(Data_Entry!AM94/Data_Entry!$H94&lt;0,0,Data_Entry!AM94/Data_Entry!$H94),0)</f>
        <v>0.91300078667363394</v>
      </c>
      <c r="AE105" s="50">
        <f>Data_Entry!AK94</f>
        <v>19.150999999999982</v>
      </c>
      <c r="AF105" s="50">
        <f>Data_Entry!AL94</f>
        <v>0</v>
      </c>
      <c r="AG105" s="153">
        <f>(Data_Entry!O94-Data_Entry!Q94)/Data_Entry!O94</f>
        <v>0</v>
      </c>
      <c r="AH105" s="79" t="str">
        <f t="shared" si="2"/>
        <v>CAT3</v>
      </c>
      <c r="AI105" s="51">
        <f>SUBTOTAL(3,Tableau1[[#This Row],[ZS]])</f>
        <v>0</v>
      </c>
      <c r="AJ105" s="51" t="e">
        <f t="shared" ca="1" si="3"/>
        <v>#NAME?</v>
      </c>
      <c r="AK105" s="50" t="str">
        <f>IFERROR(IF((Data_Entry!O94-Data_Entry!Q94)/Data_Entry!O94&lt;=10%,"&lt;=10%","&gt;10%"),"&lt;=10%")</f>
        <v>&lt;=10%</v>
      </c>
    </row>
    <row r="106" spans="1:37" s="48" customFormat="1" ht="13" hidden="1" x14ac:dyDescent="0.3">
      <c r="A106" s="31" t="s">
        <v>16</v>
      </c>
      <c r="B106" s="48" t="str">
        <f>Data_Entry!B95</f>
        <v>Goma</v>
      </c>
      <c r="C106" s="48" t="str">
        <f>Data_Entry!C95</f>
        <v xml:space="preserve"> Binza</v>
      </c>
      <c r="D106" s="48" t="str">
        <f>Data_Entry!D95</f>
        <v xml:space="preserve"> Nyakakoma</v>
      </c>
      <c r="E106" s="49">
        <f>IFERROR(IF(Data_Entry!J95/Data_Entry!$I95&lt;0,0,Data_Entry!J95/Data_Entry!$I95),0)</f>
        <v>1.0146137787056368</v>
      </c>
      <c r="F106" s="49">
        <f>IFERROR(IF(Data_Entry!K95/Data_Entry!$H95&lt;0,0,Data_Entry!K95/Data_Entry!$H95),0)</f>
        <v>0.20960573305178529</v>
      </c>
      <c r="G106" s="49">
        <f>IFERROR(IF(Data_Entry!L95/Data_Entry!$H95&lt;0,0,Data_Entry!L95/Data_Entry!$H95),0)</f>
        <v>1.2059507929006825</v>
      </c>
      <c r="H106" s="49">
        <f>IFERROR(IF(Data_Entry!M95/Data_Entry!$H95&lt;0,0,Data_Entry!M95/Data_Entry!$H95),0)</f>
        <v>1.1657524331373263</v>
      </c>
      <c r="I106" s="49">
        <f>IFERROR(IF(Data_Entry!N95/Data_Entry!$H95&lt;0,0,Data_Entry!N95/Data_Entry!$H95),0)</f>
        <v>1.1973368586656776</v>
      </c>
      <c r="J106" s="49">
        <f>IFERROR(IF(Data_Entry!O95/Data_Entry!$H95&lt;0,0,Data_Entry!O95/Data_Entry!$H95),0)</f>
        <v>1.2059507929006825</v>
      </c>
      <c r="K106" s="49">
        <f>IFERROR(IF(Data_Entry!P95/Data_Entry!$H95&lt;0,0,Data_Entry!P95/Data_Entry!$H95),0)</f>
        <v>1.2260499727823606</v>
      </c>
      <c r="L106" s="49">
        <f>IFERROR(IF(Data_Entry!Q95/Data_Entry!$H95&lt;0,0,Data_Entry!Q95/Data_Entry!$H95),0)</f>
        <v>1.2116934157240191</v>
      </c>
      <c r="M106" s="49">
        <f>IFERROR(IF(Data_Entry!R95/Data_Entry!$H95&lt;0,0,Data_Entry!R95/Data_Entry!$H95),0)</f>
        <v>1.2059507929006825</v>
      </c>
      <c r="N106" s="49">
        <f>IFERROR(IF(Data_Entry!S95/Data_Entry!$H95&lt;0,0,Data_Entry!S95/Data_Entry!$H95),0)</f>
        <v>1.1657524331373263</v>
      </c>
      <c r="O106" s="49">
        <f>IFERROR(IF(Data_Entry!T95/Data_Entry!$H95&lt;0,0,Data_Entry!T95/Data_Entry!$H95),0)</f>
        <v>1.1973368586656776</v>
      </c>
      <c r="P106" s="49">
        <f>IFERROR(IF(Data_Entry!U95/Data_Entry!$H95&lt;0,0,Data_Entry!U95/Data_Entry!$H95),0)</f>
        <v>1.04228604243559</v>
      </c>
      <c r="Q106" s="49">
        <f>IFERROR(IF(Data_Entry!V95/Data_Entry!$H95&lt;0,0,Data_Entry!V95/Data_Entry!$H95),0)</f>
        <v>1.0767417793756093</v>
      </c>
      <c r="R106" s="49">
        <f>IFERROR(IF(Data_Entry!W95/Data_Entry!$H95&lt;0,0,Data_Entry!W95/Data_Entry!$H95),0)</f>
        <v>1.1513958760789849</v>
      </c>
      <c r="S106" s="49">
        <f>IFERROR(IF(Data_Entry!X95/Data_Entry!$H95&lt;0,0,Data_Entry!X95/Data_Entry!$H95),0)</f>
        <v>1.102583582080624</v>
      </c>
      <c r="T106" s="49">
        <f>IFERROR(IF(Data_Entry!Y95/Data_Entry!$H95&lt;0,0,Data_Entry!Y95/Data_Entry!$H95),0)</f>
        <v>0.65178769044870222</v>
      </c>
      <c r="U106" s="49">
        <f>IFERROR(IF(Data_Entry!Z95/Data_Entry!$H95&lt;0,0,Data_Entry!Z95/Data_Entry!$H95),0)</f>
        <v>1.1198114505506338</v>
      </c>
      <c r="V106" s="49">
        <f>IFERROR(IF(Data_Entry!AA95/Data_Entry!$H95&lt;0,0,Data_Entry!AA95/Data_Entry!$H95),0)</f>
        <v>1.1973368586656776</v>
      </c>
      <c r="W106" s="49">
        <f>IFERROR(IF(Data_Entry!AB95/Data_Entry!$H95&lt;0,0,Data_Entry!AB95/Data_Entry!$H95),0)</f>
        <v>1.1083262049039606</v>
      </c>
      <c r="X106" s="49">
        <f>IFERROR(IF(Data_Entry!AC95/Data_Entry!$I95&lt;0,0,Data_Entry!AC95/Data_Entry!$I95),0)</f>
        <v>0.12776617954070982</v>
      </c>
      <c r="Y106" s="49">
        <f>IFERROR(IF(Data_Entry!AD95/Data_Entry!$I95&lt;0,0,Data_Entry!AD95/Data_Entry!$I95),0)</f>
        <v>0.1152400835073069</v>
      </c>
      <c r="Z106" s="49">
        <f>IFERROR(IF(Data_Entry!AE95/Data_Entry!$I95&lt;0,0,Data_Entry!AE95/Data_Entry!$I95),0)</f>
        <v>0.14279749478079334</v>
      </c>
      <c r="AA106" s="49">
        <f>IFERROR(IF(Data_Entry!AF95/Data_Entry!$I95&lt;0,0,Data_Entry!AF95/Data_Entry!$I95),0)</f>
        <v>0.15281837160751569</v>
      </c>
      <c r="AB106" s="49">
        <f>IFERROR(IF(Data_Entry!AG95/Data_Entry!$I95&lt;0,0,Data_Entry!AG95/Data_Entry!$I95),0)</f>
        <v>0.17286012526096034</v>
      </c>
      <c r="AC106" s="49">
        <f>IFERROR(IF(Data_Entry!AI95/Data_Entry!$I95&lt;0,0,Data_Entry!AI95/Data_Entry!$I95),0)</f>
        <v>0.1460542797494781</v>
      </c>
      <c r="AD106" s="49">
        <f>IFERROR(IF(Data_Entry!AM95/Data_Entry!$H95&lt;0,0,Data_Entry!AM95/Data_Entry!$H95),0)</f>
        <v>1.102583582080624</v>
      </c>
      <c r="AE106" s="50">
        <f>Data_Entry!AK95</f>
        <v>0</v>
      </c>
      <c r="AF106" s="50">
        <f>Data_Entry!AL95</f>
        <v>36</v>
      </c>
      <c r="AG106" s="153">
        <f>(Data_Entry!O95-Data_Entry!Q95)/Data_Entry!O95</f>
        <v>-4.7619047619047623E-3</v>
      </c>
      <c r="AH106" s="79" t="str">
        <f t="shared" si="2"/>
        <v>CAT1</v>
      </c>
      <c r="AI106" s="51">
        <f>SUBTOTAL(3,Tableau1[[#This Row],[ZS]])</f>
        <v>0</v>
      </c>
      <c r="AJ106" s="51" t="e">
        <f t="shared" ca="1" si="3"/>
        <v>#NAME?</v>
      </c>
      <c r="AK106" s="50" t="str">
        <f>IFERROR(IF((Data_Entry!O95-Data_Entry!Q95)/Data_Entry!O95&lt;=10%,"&lt;=10%","&gt;10%"),"&lt;=10%")</f>
        <v>&lt;=10%</v>
      </c>
    </row>
    <row r="107" spans="1:37" s="48" customFormat="1" ht="13" hidden="1" x14ac:dyDescent="0.3">
      <c r="A107" s="31" t="s">
        <v>16</v>
      </c>
      <c r="B107" s="48" t="str">
        <f>Data_Entry!B96</f>
        <v>Goma</v>
      </c>
      <c r="C107" s="48" t="str">
        <f>Data_Entry!C96</f>
        <v xml:space="preserve"> Binza</v>
      </c>
      <c r="D107" s="48" t="str">
        <f>Data_Entry!D96</f>
        <v xml:space="preserve"> Nyamilima</v>
      </c>
      <c r="E107" s="49">
        <f>IFERROR(IF(Data_Entry!J96/Data_Entry!$I96&lt;0,0,Data_Entry!J96/Data_Entry!$I96),0)</f>
        <v>0.90305126536762448</v>
      </c>
      <c r="F107" s="49">
        <f>IFERROR(IF(Data_Entry!K96/Data_Entry!$H96&lt;0,0,Data_Entry!K96/Data_Entry!$H96),0)</f>
        <v>0.72415779614251541</v>
      </c>
      <c r="G107" s="49">
        <f>IFERROR(IF(Data_Entry!L96/Data_Entry!$H96&lt;0,0,Data_Entry!L96/Data_Entry!$H96),0)</f>
        <v>0.8972491718058484</v>
      </c>
      <c r="H107" s="49">
        <f>IFERROR(IF(Data_Entry!M96/Data_Entry!$H96&lt;0,0,Data_Entry!M96/Data_Entry!$H96),0)</f>
        <v>0.84779449304489607</v>
      </c>
      <c r="I107" s="49">
        <f>IFERROR(IF(Data_Entry!N96/Data_Entry!$H96&lt;0,0,Data_Entry!N96/Data_Entry!$H96),0)</f>
        <v>0.87252183242537218</v>
      </c>
      <c r="J107" s="49">
        <f>IFERROR(IF(Data_Entry!O96/Data_Entry!$H96&lt;0,0,Data_Entry!O96/Data_Entry!$H96),0)</f>
        <v>0.8972491718058484</v>
      </c>
      <c r="K107" s="49">
        <f>IFERROR(IF(Data_Entry!P96/Data_Entry!$H96&lt;0,0,Data_Entry!P96/Data_Entry!$H96),0)</f>
        <v>0.81600219955571252</v>
      </c>
      <c r="L107" s="49">
        <f>IFERROR(IF(Data_Entry!Q96/Data_Entry!$H96&lt;0,0,Data_Entry!Q96/Data_Entry!$H96),0)</f>
        <v>0.89018421769714084</v>
      </c>
      <c r="M107" s="49">
        <f>IFERROR(IF(Data_Entry!R96/Data_Entry!$H96&lt;0,0,Data_Entry!R96/Data_Entry!$H96),0)</f>
        <v>0.8972491718058484</v>
      </c>
      <c r="N107" s="49">
        <f>IFERROR(IF(Data_Entry!S96/Data_Entry!$H96&lt;0,0,Data_Entry!S96/Data_Entry!$H96),0)</f>
        <v>0.81600219955571252</v>
      </c>
      <c r="O107" s="49">
        <f>IFERROR(IF(Data_Entry!T96/Data_Entry!$H96&lt;0,0,Data_Entry!T96/Data_Entry!$H96),0)</f>
        <v>0.89018421769714084</v>
      </c>
      <c r="P107" s="49">
        <f>IFERROR(IF(Data_Entry!U96/Data_Entry!$H96&lt;0,0,Data_Entry!U96/Data_Entry!$H96),0)</f>
        <v>0.8972491718058484</v>
      </c>
      <c r="Q107" s="49">
        <f>IFERROR(IF(Data_Entry!V96/Data_Entry!$H96&lt;0,0,Data_Entry!V96/Data_Entry!$H96),0)</f>
        <v>0.81600219955571252</v>
      </c>
      <c r="R107" s="49">
        <f>IFERROR(IF(Data_Entry!W96/Data_Entry!$H96&lt;0,0,Data_Entry!W96/Data_Entry!$H96),0)</f>
        <v>0.89018421769714084</v>
      </c>
      <c r="S107" s="49">
        <f>IFERROR(IF(Data_Entry!X96/Data_Entry!$H96&lt;0,0,Data_Entry!X96/Data_Entry!$H96),0)</f>
        <v>0.96789871289292306</v>
      </c>
      <c r="T107" s="49">
        <f>IFERROR(IF(Data_Entry!Y96/Data_Entry!$H96&lt;0,0,Data_Entry!Y96/Data_Entry!$H96),0)</f>
        <v>0.42978470827970428</v>
      </c>
      <c r="U107" s="49">
        <f>IFERROR(IF(Data_Entry!Z96/Data_Entry!$H96&lt;0,0,Data_Entry!Z96/Data_Entry!$H96),0)</f>
        <v>0.91137908002326329</v>
      </c>
      <c r="V107" s="49">
        <f>IFERROR(IF(Data_Entry!AA96/Data_Entry!$H96&lt;0,0,Data_Entry!AA96/Data_Entry!$H96),0)</f>
        <v>0.89018421769714084</v>
      </c>
      <c r="W107" s="49">
        <f>IFERROR(IF(Data_Entry!AB96/Data_Entry!$H96&lt;0,0,Data_Entry!AB96/Data_Entry!$H96),0)</f>
        <v>0.87369932477682344</v>
      </c>
      <c r="X107" s="49">
        <f>IFERROR(IF(Data_Entry!AC96/Data_Entry!$I96&lt;0,0,Data_Entry!AC96/Data_Entry!$I96),0)</f>
        <v>0.18184308756549436</v>
      </c>
      <c r="Y107" s="49">
        <f>IFERROR(IF(Data_Entry!AD96/Data_Entry!$I96&lt;0,0,Data_Entry!AD96/Data_Entry!$I96),0)</f>
        <v>0.17465155302900587</v>
      </c>
      <c r="Z107" s="49">
        <f>IFERROR(IF(Data_Entry!AE96/Data_Entry!$I96&lt;0,0,Data_Entry!AE96/Data_Entry!$I96),0)</f>
        <v>0.17156946679908225</v>
      </c>
      <c r="AA107" s="49">
        <f>IFERROR(IF(Data_Entry!AF96/Data_Entry!$I96&lt;0,0,Data_Entry!AF96/Data_Entry!$I96),0)</f>
        <v>0.1304749837334338</v>
      </c>
      <c r="AB107" s="49">
        <f>IFERROR(IF(Data_Entry!AG96/Data_Entry!$I96&lt;0,0,Data_Entry!AG96/Data_Entry!$I96),0)</f>
        <v>0.11711927673709806</v>
      </c>
      <c r="AC107" s="49">
        <f>IFERROR(IF(Data_Entry!AI96/Data_Entry!$I96&lt;0,0,Data_Entry!AI96/Data_Entry!$I96),0)</f>
        <v>5.5683024553953638E-2</v>
      </c>
      <c r="AD107" s="49">
        <f>IFERROR(IF(Data_Entry!AM96/Data_Entry!$H96&lt;0,0,Data_Entry!AM96/Data_Entry!$H96),0)</f>
        <v>0.91137908002326329</v>
      </c>
      <c r="AE107" s="50">
        <f>Data_Entry!AK96</f>
        <v>87.262416666666695</v>
      </c>
      <c r="AF107" s="50">
        <f>Data_Entry!AL96</f>
        <v>0</v>
      </c>
      <c r="AG107" s="153">
        <f>(Data_Entry!O96-Data_Entry!Q96)/Data_Entry!O96</f>
        <v>7.874015748031496E-3</v>
      </c>
      <c r="AH107" s="79" t="str">
        <f t="shared" si="2"/>
        <v>CAT3</v>
      </c>
      <c r="AI107" s="51">
        <f>SUBTOTAL(3,Tableau1[[#This Row],[ZS]])</f>
        <v>0</v>
      </c>
      <c r="AJ107" s="51" t="e">
        <f t="shared" ca="1" si="3"/>
        <v>#NAME?</v>
      </c>
      <c r="AK107" s="50" t="str">
        <f>IFERROR(IF((Data_Entry!O96-Data_Entry!Q96)/Data_Entry!O96&lt;=10%,"&lt;=10%","&gt;10%"),"&lt;=10%")</f>
        <v>&lt;=10%</v>
      </c>
    </row>
    <row r="108" spans="1:37" s="48" customFormat="1" ht="13" hidden="1" x14ac:dyDescent="0.3">
      <c r="A108" s="31" t="s">
        <v>16</v>
      </c>
      <c r="B108" s="48" t="str">
        <f>Data_Entry!B97</f>
        <v>Goma</v>
      </c>
      <c r="C108" s="48" t="str">
        <f>Data_Entry!C97</f>
        <v xml:space="preserve"> Binza</v>
      </c>
      <c r="D108" s="48" t="str">
        <f>Data_Entry!D97</f>
        <v xml:space="preserve"> Nyaruhange</v>
      </c>
      <c r="E108" s="49">
        <f>IFERROR(IF(Data_Entry!J97/Data_Entry!$I97&lt;0,0,Data_Entry!J97/Data_Entry!$I97),0)</f>
        <v>0.92068732648007789</v>
      </c>
      <c r="F108" s="49">
        <f>IFERROR(IF(Data_Entry!K97/Data_Entry!$H97&lt;0,0,Data_Entry!K97/Data_Entry!$H97),0)</f>
        <v>0.37152317838079107</v>
      </c>
      <c r="G108" s="49">
        <f>IFERROR(IF(Data_Entry!L97/Data_Entry!$H97&lt;0,0,Data_Entry!L97/Data_Entry!$H97),0)</f>
        <v>1.1610099324399721</v>
      </c>
      <c r="H108" s="49">
        <f>IFERROR(IF(Data_Entry!M97/Data_Entry!$H97&lt;0,0,Data_Entry!M97/Data_Entry!$H97),0)</f>
        <v>1.1842301310887715</v>
      </c>
      <c r="I108" s="49">
        <f>IFERROR(IF(Data_Entry!N97/Data_Entry!$H97&lt;0,0,Data_Entry!N97/Data_Entry!$H97),0)</f>
        <v>1.2203504400980152</v>
      </c>
      <c r="J108" s="49">
        <f>IFERROR(IF(Data_Entry!O97/Data_Entry!$H97&lt;0,0,Data_Entry!O97/Data_Entry!$H97),0)</f>
        <v>1.1610099324399721</v>
      </c>
      <c r="K108" s="49">
        <f>IFERROR(IF(Data_Entry!P97/Data_Entry!$H97&lt;0,0,Data_Entry!P97/Data_Entry!$H97),0)</f>
        <v>1.1842301310887715</v>
      </c>
      <c r="L108" s="49">
        <f>IFERROR(IF(Data_Entry!Q97/Data_Entry!$H97&lt;0,0,Data_Entry!Q97/Data_Entry!$H97),0)</f>
        <v>1.2203504400980152</v>
      </c>
      <c r="M108" s="49">
        <f>IFERROR(IF(Data_Entry!R97/Data_Entry!$H97&lt;0,0,Data_Entry!R97/Data_Entry!$H97),0)</f>
        <v>1.1610099324399721</v>
      </c>
      <c r="N108" s="49">
        <f>IFERROR(IF(Data_Entry!S97/Data_Entry!$H97&lt;0,0,Data_Entry!S97/Data_Entry!$H97),0)</f>
        <v>1.1842301310887715</v>
      </c>
      <c r="O108" s="49">
        <f>IFERROR(IF(Data_Entry!T97/Data_Entry!$H97&lt;0,0,Data_Entry!T97/Data_Entry!$H97),0)</f>
        <v>1.2177704180259263</v>
      </c>
      <c r="P108" s="49">
        <f>IFERROR(IF(Data_Entry!U97/Data_Entry!$H97&lt;0,0,Data_Entry!U97/Data_Entry!$H97),0)</f>
        <v>1.0965093806377515</v>
      </c>
      <c r="Q108" s="49">
        <f>IFERROR(IF(Data_Entry!V97/Data_Entry!$H97&lt;0,0,Data_Entry!V97/Data_Entry!$H97),0)</f>
        <v>1.1119895130702844</v>
      </c>
      <c r="R108" s="49">
        <f>IFERROR(IF(Data_Entry!W97/Data_Entry!$H97&lt;0,0,Data_Entry!W97/Data_Entry!$H97),0)</f>
        <v>1.1790700869445938</v>
      </c>
      <c r="S108" s="49">
        <f>IFERROR(IF(Data_Entry!X97/Data_Entry!$H97&lt;0,0,Data_Entry!X97/Data_Entry!$H97),0)</f>
        <v>1.0500689833401526</v>
      </c>
      <c r="T108" s="49">
        <f>IFERROR(IF(Data_Entry!Y97/Data_Entry!$H97&lt;0,0,Data_Entry!Y97/Data_Entry!$H97),0)</f>
        <v>0.50310430405732121</v>
      </c>
      <c r="U108" s="49">
        <f>IFERROR(IF(Data_Entry!Z97/Data_Entry!$H97&lt;0,0,Data_Entry!Z97/Data_Entry!$H97),0)</f>
        <v>1.0500689833401526</v>
      </c>
      <c r="V108" s="49">
        <f>IFERROR(IF(Data_Entry!AA97/Data_Entry!$H97&lt;0,0,Data_Entry!AA97/Data_Entry!$H97),0)</f>
        <v>1.2203504400980152</v>
      </c>
      <c r="W108" s="49">
        <f>IFERROR(IF(Data_Entry!AB97/Data_Entry!$H97&lt;0,0,Data_Entry!AB97/Data_Entry!$H97),0)</f>
        <v>1.0500689833401526</v>
      </c>
      <c r="X108" s="49">
        <f>IFERROR(IF(Data_Entry!AC97/Data_Entry!$I97&lt;0,0,Data_Entry!AC97/Data_Entry!$I97),0)</f>
        <v>0.20484730246867258</v>
      </c>
      <c r="Y108" s="49">
        <f>IFERROR(IF(Data_Entry!AD97/Data_Entry!$I97&lt;0,0,Data_Entry!AD97/Data_Entry!$I97),0)</f>
        <v>0.13506415547385006</v>
      </c>
      <c r="Z108" s="49">
        <f>IFERROR(IF(Data_Entry!AE97/Data_Entry!$I97&lt;0,0,Data_Entry!AE97/Data_Entry!$I97),0)</f>
        <v>0.18683874840549258</v>
      </c>
      <c r="AA108" s="49">
        <f>IFERROR(IF(Data_Entry!AF97/Data_Entry!$I97&lt;0,0,Data_Entry!AF97/Data_Entry!$I97),0)</f>
        <v>0.15757484805282507</v>
      </c>
      <c r="AB108" s="49">
        <f>IFERROR(IF(Data_Entry!AG97/Data_Entry!$I97&lt;0,0,Data_Entry!AG97/Data_Entry!$I97),0)</f>
        <v>0.19359195617918509</v>
      </c>
      <c r="AC108" s="49">
        <f>IFERROR(IF(Data_Entry!AI97/Data_Entry!$I97&lt;0,0,Data_Entry!AI97/Data_Entry!$I97),0)</f>
        <v>0.13123733773542429</v>
      </c>
      <c r="AD108" s="49">
        <f>IFERROR(IF(Data_Entry!AM97/Data_Entry!$H97&lt;0,0,Data_Entry!AM97/Data_Entry!$H97),0)</f>
        <v>1.0500689833401526</v>
      </c>
      <c r="AE108" s="50">
        <f>Data_Entry!AK97</f>
        <v>0</v>
      </c>
      <c r="AF108" s="50">
        <f>Data_Entry!AL97</f>
        <v>43</v>
      </c>
      <c r="AG108" s="153">
        <f>(Data_Entry!O97-Data_Entry!Q97)/Data_Entry!O97</f>
        <v>-5.1111111111111114E-2</v>
      </c>
      <c r="AH108" s="79" t="str">
        <f t="shared" si="2"/>
        <v>CAT1</v>
      </c>
      <c r="AI108" s="51">
        <f>SUBTOTAL(3,Tableau1[[#This Row],[ZS]])</f>
        <v>0</v>
      </c>
      <c r="AJ108" s="51" t="e">
        <f t="shared" ca="1" si="3"/>
        <v>#NAME?</v>
      </c>
      <c r="AK108" s="50" t="str">
        <f>IFERROR(IF((Data_Entry!O97-Data_Entry!Q97)/Data_Entry!O97&lt;=10%,"&lt;=10%","&gt;10%"),"&lt;=10%")</f>
        <v>&lt;=10%</v>
      </c>
    </row>
    <row r="109" spans="1:37" s="48" customFormat="1" ht="13" hidden="1" x14ac:dyDescent="0.3">
      <c r="A109" s="31" t="s">
        <v>16</v>
      </c>
      <c r="B109" s="48" t="str">
        <f>Data_Entry!B98</f>
        <v>Goma</v>
      </c>
      <c r="C109" s="48" t="str">
        <f>Data_Entry!C98</f>
        <v xml:space="preserve"> Birambizo</v>
      </c>
      <c r="D109" s="48" t="str">
        <f>Data_Entry!D98</f>
        <v xml:space="preserve"> Birambizo</v>
      </c>
      <c r="E109" s="49">
        <f>IFERROR(IF(Data_Entry!J98/Data_Entry!$I98&lt;0,0,Data_Entry!J98/Data_Entry!$I98),0)</f>
        <v>0.84467612703928963</v>
      </c>
      <c r="F109" s="49">
        <f>IFERROR(IF(Data_Entry!K98/Data_Entry!$H98&lt;0,0,Data_Entry!K98/Data_Entry!$H98),0)</f>
        <v>0.64171874407896912</v>
      </c>
      <c r="G109" s="49">
        <f>IFERROR(IF(Data_Entry!L98/Data_Entry!$H98&lt;0,0,Data_Entry!L98/Data_Entry!$H98),0)</f>
        <v>1.0732192788906896</v>
      </c>
      <c r="H109" s="49">
        <f>IFERROR(IF(Data_Entry!M98/Data_Entry!$H98&lt;0,0,Data_Entry!M98/Data_Entry!$H98),0)</f>
        <v>1.022324344015461</v>
      </c>
      <c r="I109" s="49">
        <f>IFERROR(IF(Data_Entry!N98/Data_Entry!$H98&lt;0,0,Data_Entry!N98/Data_Entry!$H98),0)</f>
        <v>0.96589735100162066</v>
      </c>
      <c r="J109" s="49">
        <f>IFERROR(IF(Data_Entry!O98/Data_Entry!$H98&lt;0,0,Data_Entry!O98/Data_Entry!$H98),0)</f>
        <v>1.0732192788906896</v>
      </c>
      <c r="K109" s="49">
        <f>IFERROR(IF(Data_Entry!P98/Data_Entry!$H98&lt;0,0,Data_Entry!P98/Data_Entry!$H98),0)</f>
        <v>1.022324344015461</v>
      </c>
      <c r="L109" s="49">
        <f>IFERROR(IF(Data_Entry!Q98/Data_Entry!$H98&lt;0,0,Data_Entry!Q98/Data_Entry!$H98),0)</f>
        <v>0.96589735100162066</v>
      </c>
      <c r="M109" s="49">
        <f>IFERROR(IF(Data_Entry!R98/Data_Entry!$H98&lt;0,0,Data_Entry!R98/Data_Entry!$H98),0)</f>
        <v>1.0732192788906896</v>
      </c>
      <c r="N109" s="49">
        <f>IFERROR(IF(Data_Entry!S98/Data_Entry!$H98&lt;0,0,Data_Entry!S98/Data_Entry!$H98),0)</f>
        <v>1.022324344015461</v>
      </c>
      <c r="O109" s="49">
        <f>IFERROR(IF(Data_Entry!T98/Data_Entry!$H98&lt;0,0,Data_Entry!T98/Data_Entry!$H98),0)</f>
        <v>0.96589735100162066</v>
      </c>
      <c r="P109" s="49">
        <f>IFERROR(IF(Data_Entry!U98/Data_Entry!$H98&lt;0,0,Data_Entry!U98/Data_Entry!$H98),0)</f>
        <v>0.95593964635211948</v>
      </c>
      <c r="Q109" s="49">
        <f>IFERROR(IF(Data_Entry!V98/Data_Entry!$H98&lt;0,0,Data_Entry!V98/Data_Entry!$H98),0)</f>
        <v>0.923853709148171</v>
      </c>
      <c r="R109" s="49">
        <f>IFERROR(IF(Data_Entry!W98/Data_Entry!$H98&lt;0,0,Data_Entry!W98/Data_Entry!$H98),0)</f>
        <v>0.87627800915610954</v>
      </c>
      <c r="S109" s="49">
        <f>IFERROR(IF(Data_Entry!X98/Data_Entry!$H98&lt;0,0,Data_Entry!X98/Data_Entry!$H98),0)</f>
        <v>0.75678555336209452</v>
      </c>
      <c r="T109" s="49">
        <f>IFERROR(IF(Data_Entry!Y98/Data_Entry!$H98&lt;0,0,Data_Entry!Y98/Data_Entry!$H98),0)</f>
        <v>0.54988657897801319</v>
      </c>
      <c r="U109" s="49">
        <f>IFERROR(IF(Data_Entry!Z98/Data_Entry!$H98&lt;0,0,Data_Entry!Z98/Data_Entry!$H98),0)</f>
        <v>0.83202154404721507</v>
      </c>
      <c r="V109" s="49">
        <f>IFERROR(IF(Data_Entry!AA98/Data_Entry!$H98&lt;0,0,Data_Entry!AA98/Data_Entry!$H98),0)</f>
        <v>0.96589735100162066</v>
      </c>
      <c r="W109" s="49">
        <f>IFERROR(IF(Data_Entry!AB98/Data_Entry!$H98&lt;0,0,Data_Entry!AB98/Data_Entry!$H98),0)</f>
        <v>0.51448140689089761</v>
      </c>
      <c r="X109" s="49">
        <f>IFERROR(IF(Data_Entry!AC98/Data_Entry!$I98&lt;0,0,Data_Entry!AC98/Data_Entry!$I98),0)</f>
        <v>0.38999903465585484</v>
      </c>
      <c r="Y109" s="49">
        <f>IFERROR(IF(Data_Entry!AD98/Data_Entry!$I98&lt;0,0,Data_Entry!AD98/Data_Entry!$I98),0)</f>
        <v>0.28381117868520134</v>
      </c>
      <c r="Z109" s="49">
        <f>IFERROR(IF(Data_Entry!AE98/Data_Entry!$I98&lt;0,0,Data_Entry!AE98/Data_Entry!$I98),0)</f>
        <v>0.23168259484506229</v>
      </c>
      <c r="AA109" s="49">
        <f>IFERROR(IF(Data_Entry!AF98/Data_Entry!$I98&lt;0,0,Data_Entry!AF98/Data_Entry!$I98),0)</f>
        <v>0.19017279660198863</v>
      </c>
      <c r="AB109" s="49">
        <f>IFERROR(IF(Data_Entry!AG98/Data_Entry!$I98&lt;0,0,Data_Entry!AG98/Data_Entry!$I98),0)</f>
        <v>0.12646008301959649</v>
      </c>
      <c r="AC109" s="49">
        <f>IFERROR(IF(Data_Entry!AI98/Data_Entry!$I98&lt;0,0,Data_Entry!AI98/Data_Entry!$I98),0)</f>
        <v>5.6279563664446378E-2</v>
      </c>
      <c r="AD109" s="49">
        <f>IFERROR(IF(Data_Entry!AM98/Data_Entry!$H98&lt;0,0,Data_Entry!AM98/Data_Entry!$H98),0)</f>
        <v>0.75678555336209452</v>
      </c>
      <c r="AE109" s="50">
        <f>Data_Entry!AK98</f>
        <v>0</v>
      </c>
      <c r="AF109" s="50">
        <f>Data_Entry!AL98</f>
        <v>286</v>
      </c>
      <c r="AG109" s="153">
        <f>(Data_Entry!O98-Data_Entry!Q98)/Data_Entry!O98</f>
        <v>0.1</v>
      </c>
      <c r="AH109" s="79" t="str">
        <f t="shared" si="2"/>
        <v>CAT1</v>
      </c>
      <c r="AI109" s="51">
        <f>SUBTOTAL(3,Tableau1[[#This Row],[ZS]])</f>
        <v>0</v>
      </c>
      <c r="AJ109" s="51" t="e">
        <f t="shared" ca="1" si="3"/>
        <v>#NAME?</v>
      </c>
      <c r="AK109" s="50" t="str">
        <f>IFERROR(IF((Data_Entry!O98-Data_Entry!Q98)/Data_Entry!O98&lt;=10%,"&lt;=10%","&gt;10%"),"&lt;=10%")</f>
        <v>&lt;=10%</v>
      </c>
    </row>
    <row r="110" spans="1:37" s="48" customFormat="1" ht="13" hidden="1" x14ac:dyDescent="0.3">
      <c r="A110" s="31" t="s">
        <v>16</v>
      </c>
      <c r="B110" s="48" t="str">
        <f>Data_Entry!B99</f>
        <v>Goma</v>
      </c>
      <c r="C110" s="48" t="str">
        <f>Data_Entry!C99</f>
        <v xml:space="preserve"> Birambizo</v>
      </c>
      <c r="D110" s="48" t="str">
        <f>Data_Entry!D99</f>
        <v xml:space="preserve"> Bishusha</v>
      </c>
      <c r="E110" s="49">
        <f>IFERROR(IF(Data_Entry!J99/Data_Entry!$I99&lt;0,0,Data_Entry!J99/Data_Entry!$I99),0)</f>
        <v>0.95721777532431684</v>
      </c>
      <c r="F110" s="49">
        <f>IFERROR(IF(Data_Entry!K99/Data_Entry!$H99&lt;0,0,Data_Entry!K99/Data_Entry!$H99),0)</f>
        <v>0.86932658034034394</v>
      </c>
      <c r="G110" s="49">
        <f>IFERROR(IF(Data_Entry!L99/Data_Entry!$H99&lt;0,0,Data_Entry!L99/Data_Entry!$H99),0)</f>
        <v>1.0059892741929746</v>
      </c>
      <c r="H110" s="49">
        <f>IFERROR(IF(Data_Entry!M99/Data_Entry!$H99&lt;0,0,Data_Entry!M99/Data_Entry!$H99),0)</f>
        <v>0.96612932181929057</v>
      </c>
      <c r="I110" s="49">
        <f>IFERROR(IF(Data_Entry!N99/Data_Entry!$H99&lt;0,0,Data_Entry!N99/Data_Entry!$H99),0)</f>
        <v>0.98131406558069401</v>
      </c>
      <c r="J110" s="49">
        <f>IFERROR(IF(Data_Entry!O99/Data_Entry!$H99&lt;0,0,Data_Entry!O99/Data_Entry!$H99),0)</f>
        <v>1.0059892741929746</v>
      </c>
      <c r="K110" s="49">
        <f>IFERROR(IF(Data_Entry!P99/Data_Entry!$H99&lt;0,0,Data_Entry!P99/Data_Entry!$H99),0)</f>
        <v>0.96423122884911516</v>
      </c>
      <c r="L110" s="49">
        <f>IFERROR(IF(Data_Entry!Q99/Data_Entry!$H99&lt;0,0,Data_Entry!Q99/Data_Entry!$H99),0)</f>
        <v>0.98131406558069401</v>
      </c>
      <c r="M110" s="49">
        <f>IFERROR(IF(Data_Entry!R99/Data_Entry!$H99&lt;0,0,Data_Entry!R99/Data_Entry!$H99),0)</f>
        <v>1.0059892741929746</v>
      </c>
      <c r="N110" s="49">
        <f>IFERROR(IF(Data_Entry!S99/Data_Entry!$H99&lt;0,0,Data_Entry!S99/Data_Entry!$H99),0)</f>
        <v>0.96612932181929057</v>
      </c>
      <c r="O110" s="49">
        <f>IFERROR(IF(Data_Entry!T99/Data_Entry!$H99&lt;0,0,Data_Entry!T99/Data_Entry!$H99),0)</f>
        <v>0.98131406558069401</v>
      </c>
      <c r="P110" s="49">
        <f>IFERROR(IF(Data_Entry!U99/Data_Entry!$H99&lt;0,0,Data_Entry!U99/Data_Entry!$H99),0)</f>
        <v>0.70039630599473124</v>
      </c>
      <c r="Q110" s="49">
        <f>IFERROR(IF(Data_Entry!V99/Data_Entry!$H99&lt;0,0,Data_Entry!V99/Data_Entry!$H99),0)</f>
        <v>0.67572109738245079</v>
      </c>
      <c r="R110" s="49">
        <f>IFERROR(IF(Data_Entry!W99/Data_Entry!$H99&lt;0,0,Data_Entry!W99/Data_Entry!$H99),0)</f>
        <v>0.67572109738245079</v>
      </c>
      <c r="S110" s="49">
        <f>IFERROR(IF(Data_Entry!X99/Data_Entry!$H99&lt;0,0,Data_Entry!X99/Data_Entry!$H99),0)</f>
        <v>0.7687276529210465</v>
      </c>
      <c r="T110" s="49">
        <f>IFERROR(IF(Data_Entry!Y99/Data_Entry!$H99&lt;0,0,Data_Entry!Y99/Data_Entry!$H99),0)</f>
        <v>0.47452324254385586</v>
      </c>
      <c r="U110" s="49">
        <f>IFERROR(IF(Data_Entry!Z99/Data_Entry!$H99&lt;0,0,Data_Entry!Z99/Data_Entry!$H99),0)</f>
        <v>0.84465137172806348</v>
      </c>
      <c r="V110" s="49">
        <f>IFERROR(IF(Data_Entry!AA99/Data_Entry!$H99&lt;0,0,Data_Entry!AA99/Data_Entry!$H99),0)</f>
        <v>0.80668951232455499</v>
      </c>
      <c r="W110" s="49">
        <f>IFERROR(IF(Data_Entry!AB99/Data_Entry!$H99&lt;0,0,Data_Entry!AB99/Data_Entry!$H99),0)</f>
        <v>0.62826877312806517</v>
      </c>
      <c r="X110" s="49">
        <f>IFERROR(IF(Data_Entry!AC99/Data_Entry!$I99&lt;0,0,Data_Entry!AC99/Data_Entry!$I99),0)</f>
        <v>0.46204802649737786</v>
      </c>
      <c r="Y110" s="49">
        <f>IFERROR(IF(Data_Entry!AD99/Data_Entry!$I99&lt;0,0,Data_Entry!AD99/Data_Entry!$I99),0)</f>
        <v>0.40077284018768972</v>
      </c>
      <c r="Z110" s="49">
        <f>IFERROR(IF(Data_Entry!AE99/Data_Entry!$I99&lt;0,0,Data_Entry!AE99/Data_Entry!$I99),0)</f>
        <v>0.20866685067623514</v>
      </c>
      <c r="AA110" s="49">
        <f>IFERROR(IF(Data_Entry!AF99/Data_Entry!$I99&lt;0,0,Data_Entry!AF99/Data_Entry!$I99),0)</f>
        <v>0.14076731990063482</v>
      </c>
      <c r="AB110" s="49">
        <f>IFERROR(IF(Data_Entry!AG99/Data_Entry!$I99&lt;0,0,Data_Entry!AG99/Data_Entry!$I99),0)</f>
        <v>0.12751863096881036</v>
      </c>
      <c r="AC110" s="49">
        <f>IFERROR(IF(Data_Entry!AI99/Data_Entry!$I99&lt;0,0,Data_Entry!AI99/Data_Entry!$I99),0)</f>
        <v>9.6549820590670701E-2</v>
      </c>
      <c r="AD110" s="49">
        <f>IFERROR(IF(Data_Entry!AM99/Data_Entry!$H99&lt;0,0,Data_Entry!AM99/Data_Entry!$H99),0)</f>
        <v>0.7687276529210465</v>
      </c>
      <c r="AE110" s="50">
        <f>Data_Entry!AK99</f>
        <v>0</v>
      </c>
      <c r="AF110" s="50">
        <f>Data_Entry!AL99</f>
        <v>125</v>
      </c>
      <c r="AG110" s="153">
        <f>(Data_Entry!O99-Data_Entry!Q99)/Data_Entry!O99</f>
        <v>2.4528301886792454E-2</v>
      </c>
      <c r="AH110" s="79" t="str">
        <f t="shared" si="2"/>
        <v>CAT1</v>
      </c>
      <c r="AI110" s="51">
        <f>SUBTOTAL(3,Tableau1[[#This Row],[ZS]])</f>
        <v>0</v>
      </c>
      <c r="AJ110" s="51" t="e">
        <f t="shared" ca="1" si="3"/>
        <v>#NAME?</v>
      </c>
      <c r="AK110" s="50" t="str">
        <f>IFERROR(IF((Data_Entry!O99-Data_Entry!Q99)/Data_Entry!O99&lt;=10%,"&lt;=10%","&gt;10%"),"&lt;=10%")</f>
        <v>&lt;=10%</v>
      </c>
    </row>
    <row r="111" spans="1:37" s="48" customFormat="1" ht="13" hidden="1" x14ac:dyDescent="0.3">
      <c r="A111" s="31" t="s">
        <v>16</v>
      </c>
      <c r="B111" s="48" t="str">
        <f>Data_Entry!B100</f>
        <v>Goma</v>
      </c>
      <c r="C111" s="48" t="str">
        <f>Data_Entry!C100</f>
        <v xml:space="preserve"> Birambizo</v>
      </c>
      <c r="D111" s="48" t="str">
        <f>Data_Entry!D100</f>
        <v xml:space="preserve"> Bwiza</v>
      </c>
      <c r="E111" s="49">
        <f>IFERROR(IF(Data_Entry!J100/Data_Entry!$I100&lt;0,0,Data_Entry!J100/Data_Entry!$I100),0)</f>
        <v>1.200131161875615</v>
      </c>
      <c r="F111" s="49">
        <f>IFERROR(IF(Data_Entry!K100/Data_Entry!$H100&lt;0,0,Data_Entry!K100/Data_Entry!$H100),0)</f>
        <v>0.51863435056863438</v>
      </c>
      <c r="G111" s="49">
        <f>IFERROR(IF(Data_Entry!L100/Data_Entry!$H100&lt;0,0,Data_Entry!L100/Data_Entry!$H100),0)</f>
        <v>1.1800810585402259</v>
      </c>
      <c r="H111" s="49">
        <f>IFERROR(IF(Data_Entry!M100/Data_Entry!$H100&lt;0,0,Data_Entry!M100/Data_Entry!$H100),0)</f>
        <v>0.9771371822307604</v>
      </c>
      <c r="I111" s="49">
        <f>IFERROR(IF(Data_Entry!N100/Data_Entry!$H100&lt;0,0,Data_Entry!N100/Data_Entry!$H100),0)</f>
        <v>1.1500152990869719</v>
      </c>
      <c r="J111" s="49">
        <f>IFERROR(IF(Data_Entry!O100/Data_Entry!$H100&lt;0,0,Data_Entry!O100/Data_Entry!$H100),0)</f>
        <v>1.1800810585402259</v>
      </c>
      <c r="K111" s="49">
        <f>IFERROR(IF(Data_Entry!P100/Data_Entry!$H100&lt;0,0,Data_Entry!P100/Data_Entry!$H100),0)</f>
        <v>0.9771371822307604</v>
      </c>
      <c r="L111" s="49">
        <f>IFERROR(IF(Data_Entry!Q100/Data_Entry!$H100&lt;0,0,Data_Entry!Q100/Data_Entry!$H100),0)</f>
        <v>1.1462570791553151</v>
      </c>
      <c r="M111" s="49">
        <f>IFERROR(IF(Data_Entry!R100/Data_Entry!$H100&lt;0,0,Data_Entry!R100/Data_Entry!$H100),0)</f>
        <v>1.1800810585402259</v>
      </c>
      <c r="N111" s="49">
        <f>IFERROR(IF(Data_Entry!S100/Data_Entry!$H100&lt;0,0,Data_Entry!S100/Data_Entry!$H100),0)</f>
        <v>0.9771371822307604</v>
      </c>
      <c r="O111" s="49">
        <f>IFERROR(IF(Data_Entry!T100/Data_Entry!$H100&lt;0,0,Data_Entry!T100/Data_Entry!$H100),0)</f>
        <v>1.1462570791553151</v>
      </c>
      <c r="P111" s="49">
        <f>IFERROR(IF(Data_Entry!U100/Data_Entry!$H100&lt;0,0,Data_Entry!U100/Data_Entry!$H100),0)</f>
        <v>0.80801728530620565</v>
      </c>
      <c r="Q111" s="49">
        <f>IFERROR(IF(Data_Entry!V100/Data_Entry!$H100&lt;0,0,Data_Entry!V100/Data_Entry!$H100),0)</f>
        <v>0.67272136776656188</v>
      </c>
      <c r="R111" s="49">
        <f>IFERROR(IF(Data_Entry!W100/Data_Entry!$H100&lt;0,0,Data_Entry!W100/Data_Entry!$H100),0)</f>
        <v>0.78546796571626509</v>
      </c>
      <c r="S111" s="49">
        <f>IFERROR(IF(Data_Entry!X100/Data_Entry!$H100&lt;0,0,Data_Entry!X100/Data_Entry!$H100),0)</f>
        <v>1.0410269210689254</v>
      </c>
      <c r="T111" s="49">
        <f>IFERROR(IF(Data_Entry!Y100/Data_Entry!$H100&lt;0,0,Data_Entry!Y100/Data_Entry!$H100),0)</f>
        <v>0.54870011002188845</v>
      </c>
      <c r="U111" s="49">
        <f>IFERROR(IF(Data_Entry!Z100/Data_Entry!$H100&lt;0,0,Data_Entry!Z100/Data_Entry!$H100),0)</f>
        <v>1.0072029416840145</v>
      </c>
      <c r="V111" s="49">
        <f>IFERROR(IF(Data_Entry!AA100/Data_Entry!$H100&lt;0,0,Data_Entry!AA100/Data_Entry!$H100),0)</f>
        <v>0.89821456366596819</v>
      </c>
      <c r="W111" s="49">
        <f>IFERROR(IF(Data_Entry!AB100/Data_Entry!$H100&lt;0,0,Data_Entry!AB100/Data_Entry!$H100),0)</f>
        <v>0.36454733337070677</v>
      </c>
      <c r="X111" s="49">
        <f>IFERROR(IF(Data_Entry!AC100/Data_Entry!$I100&lt;0,0,Data_Entry!AC100/Data_Entry!$I100),0)</f>
        <v>0.9771559733304187</v>
      </c>
      <c r="Y111" s="49">
        <f>IFERROR(IF(Data_Entry!AD100/Data_Entry!$I100&lt;0,0,Data_Entry!AD100/Data_Entry!$I100),0)</f>
        <v>0.83943600393485629</v>
      </c>
      <c r="Z111" s="49">
        <f>IFERROR(IF(Data_Entry!AE100/Data_Entry!$I100&lt;0,0,Data_Entry!AE100/Data_Entry!$I100),0)</f>
        <v>0.58039129959558422</v>
      </c>
      <c r="AA111" s="49">
        <f>IFERROR(IF(Data_Entry!AF100/Data_Entry!$I100&lt;0,0,Data_Entry!AF100/Data_Entry!$I100),0)</f>
        <v>0.22297518854519621</v>
      </c>
      <c r="AB111" s="49">
        <f>IFERROR(IF(Data_Entry!AG100/Data_Entry!$I100&lt;0,0,Data_Entry!AG100/Data_Entry!$I100),0)</f>
        <v>9.837140671111598E-2</v>
      </c>
      <c r="AC111" s="49">
        <f>IFERROR(IF(Data_Entry!AI100/Data_Entry!$I100&lt;0,0,Data_Entry!AI100/Data_Entry!$I100),0)</f>
        <v>0.19116843370860204</v>
      </c>
      <c r="AD111" s="49">
        <f>IFERROR(IF(Data_Entry!AM100/Data_Entry!$H100&lt;0,0,Data_Entry!AM100/Data_Entry!$H100),0)</f>
        <v>1.0072029416840145</v>
      </c>
      <c r="AE111" s="50">
        <f>Data_Entry!AK100</f>
        <v>0</v>
      </c>
      <c r="AF111" s="50">
        <f>Data_Entry!AL100</f>
        <v>37</v>
      </c>
      <c r="AG111" s="153">
        <f>(Data_Entry!O100-Data_Entry!Q100)/Data_Entry!O100</f>
        <v>2.8662420382165606E-2</v>
      </c>
      <c r="AH111" s="79" t="str">
        <f t="shared" si="2"/>
        <v>CAT1</v>
      </c>
      <c r="AI111" s="51">
        <f>SUBTOTAL(3,Tableau1[[#This Row],[ZS]])</f>
        <v>0</v>
      </c>
      <c r="AJ111" s="51" t="e">
        <f t="shared" ca="1" si="3"/>
        <v>#NAME?</v>
      </c>
      <c r="AK111" s="50" t="str">
        <f>IFERROR(IF((Data_Entry!O100-Data_Entry!Q100)/Data_Entry!O100&lt;=10%,"&lt;=10%","&gt;10%"),"&lt;=10%")</f>
        <v>&lt;=10%</v>
      </c>
    </row>
    <row r="112" spans="1:37" s="48" customFormat="1" ht="13" hidden="1" x14ac:dyDescent="0.3">
      <c r="A112" s="31" t="s">
        <v>16</v>
      </c>
      <c r="B112" s="48" t="str">
        <f>Data_Entry!B101</f>
        <v>Goma</v>
      </c>
      <c r="C112" s="48" t="str">
        <f>Data_Entry!C101</f>
        <v xml:space="preserve"> Birambizo</v>
      </c>
      <c r="D112" s="48" t="str">
        <f>Data_Entry!D101</f>
        <v xml:space="preserve"> JTN</v>
      </c>
      <c r="E112" s="49">
        <f>IFERROR(IF(Data_Entry!J101/Data_Entry!$I101&lt;0,0,Data_Entry!J101/Data_Entry!$I101),0)</f>
        <v>0.77353689567430017</v>
      </c>
      <c r="F112" s="49">
        <f>IFERROR(IF(Data_Entry!K101/Data_Entry!$H101&lt;0,0,Data_Entry!K101/Data_Entry!$H101),0)</f>
        <v>0.37329483730323637</v>
      </c>
      <c r="G112" s="49">
        <f>IFERROR(IF(Data_Entry!L101/Data_Entry!$H101&lt;0,0,Data_Entry!L101/Data_Entry!$H101),0)</f>
        <v>1.0207280707510371</v>
      </c>
      <c r="H112" s="49">
        <f>IFERROR(IF(Data_Entry!M101/Data_Entry!$H101&lt;0,0,Data_Entry!M101/Data_Entry!$H101),0)</f>
        <v>0.92157162959236483</v>
      </c>
      <c r="I112" s="49">
        <f>IFERROR(IF(Data_Entry!N101/Data_Entry!$H101&lt;0,0,Data_Entry!N101/Data_Entry!$H101),0)</f>
        <v>0.94490255692381708</v>
      </c>
      <c r="J112" s="49">
        <f>IFERROR(IF(Data_Entry!O101/Data_Entry!$H101&lt;0,0,Data_Entry!O101/Data_Entry!$H101),0)</f>
        <v>1.0207280707510371</v>
      </c>
      <c r="K112" s="49">
        <f>IFERROR(IF(Data_Entry!P101/Data_Entry!$H101&lt;0,0,Data_Entry!P101/Data_Entry!$H101),0)</f>
        <v>0.92157162959236483</v>
      </c>
      <c r="L112" s="49">
        <f>IFERROR(IF(Data_Entry!Q101/Data_Entry!$H101&lt;0,0,Data_Entry!Q101/Data_Entry!$H101),0)</f>
        <v>0.94490255692381708</v>
      </c>
      <c r="M112" s="49">
        <f>IFERROR(IF(Data_Entry!R101/Data_Entry!$H101&lt;0,0,Data_Entry!R101/Data_Entry!$H101),0)</f>
        <v>1.0207280707510371</v>
      </c>
      <c r="N112" s="49">
        <f>IFERROR(IF(Data_Entry!S101/Data_Entry!$H101&lt;0,0,Data_Entry!S101/Data_Entry!$H101),0)</f>
        <v>0.92157162959236483</v>
      </c>
      <c r="O112" s="49">
        <f>IFERROR(IF(Data_Entry!T101/Data_Entry!$H101&lt;0,0,Data_Entry!T101/Data_Entry!$H101),0)</f>
        <v>0.94490255692381708</v>
      </c>
      <c r="P112" s="49">
        <f>IFERROR(IF(Data_Entry!U101/Data_Entry!$H101&lt;0,0,Data_Entry!U101/Data_Entry!$H101),0)</f>
        <v>1.0207280707510371</v>
      </c>
      <c r="Q112" s="49">
        <f>IFERROR(IF(Data_Entry!V101/Data_Entry!$H101&lt;0,0,Data_Entry!V101/Data_Entry!$H101),0)</f>
        <v>0.92157162959236483</v>
      </c>
      <c r="R112" s="49">
        <f>IFERROR(IF(Data_Entry!W101/Data_Entry!$H101&lt;0,0,Data_Entry!W101/Data_Entry!$H101),0)</f>
        <v>0.94490255692381708</v>
      </c>
      <c r="S112" s="49">
        <f>IFERROR(IF(Data_Entry!X101/Data_Entry!$H101&lt;0,0,Data_Entry!X101/Data_Entry!$H101),0)</f>
        <v>0.99156441158672171</v>
      </c>
      <c r="T112" s="49">
        <f>IFERROR(IF(Data_Entry!Y101/Data_Entry!$H101&lt;0,0,Data_Entry!Y101/Data_Entry!$H101),0)</f>
        <v>0.49286583987692928</v>
      </c>
      <c r="U112" s="49">
        <f>IFERROR(IF(Data_Entry!Z101/Data_Entry!$H101&lt;0,0,Data_Entry!Z101/Data_Entry!$H101),0)</f>
        <v>0.9624007524224063</v>
      </c>
      <c r="V112" s="49">
        <f>IFERROR(IF(Data_Entry!AA101/Data_Entry!$H101&lt;0,0,Data_Entry!AA101/Data_Entry!$H101),0)</f>
        <v>0.96531711833883782</v>
      </c>
      <c r="W112" s="49">
        <f>IFERROR(IF(Data_Entry!AB101/Data_Entry!$H101&lt;0,0,Data_Entry!AB101/Data_Entry!$H101),0)</f>
        <v>0.78158606560365118</v>
      </c>
      <c r="X112" s="49">
        <f>IFERROR(IF(Data_Entry!AC101/Data_Entry!$I101&lt;0,0,Data_Entry!AC101/Data_Entry!$I101),0)</f>
        <v>0.69465648854961826</v>
      </c>
      <c r="Y112" s="49">
        <f>IFERROR(IF(Data_Entry!AD101/Data_Entry!$I101&lt;0,0,Data_Entry!AD101/Data_Entry!$I101),0)</f>
        <v>0.53435114503816783</v>
      </c>
      <c r="Z112" s="49">
        <f>IFERROR(IF(Data_Entry!AE101/Data_Entry!$I101&lt;0,0,Data_Entry!AE101/Data_Entry!$I101),0)</f>
        <v>0.3587786259541984</v>
      </c>
      <c r="AA112" s="49">
        <f>IFERROR(IF(Data_Entry!AF101/Data_Entry!$I101&lt;0,0,Data_Entry!AF101/Data_Entry!$I101),0)</f>
        <v>0.22391857506361321</v>
      </c>
      <c r="AB112" s="49">
        <f>IFERROR(IF(Data_Entry!AG101/Data_Entry!$I101&lt;0,0,Data_Entry!AG101/Data_Entry!$I101),0)</f>
        <v>6.3613231552162836E-2</v>
      </c>
      <c r="AC112" s="49">
        <f>IFERROR(IF(Data_Entry!AI101/Data_Entry!$I101&lt;0,0,Data_Entry!AI101/Data_Entry!$I101),0)</f>
        <v>0.14834605597964373</v>
      </c>
      <c r="AD112" s="49">
        <f>IFERROR(IF(Data_Entry!AM101/Data_Entry!$H101&lt;0,0,Data_Entry!AM101/Data_Entry!$H101),0)</f>
        <v>0.9624007524224063</v>
      </c>
      <c r="AE112" s="50">
        <f>Data_Entry!AK101</f>
        <v>0</v>
      </c>
      <c r="AF112" s="50">
        <f>Data_Entry!AL101</f>
        <v>10</v>
      </c>
      <c r="AG112" s="153">
        <f>(Data_Entry!O101-Data_Entry!Q101)/Data_Entry!O101</f>
        <v>7.4285714285714288E-2</v>
      </c>
      <c r="AH112" s="79" t="str">
        <f t="shared" si="2"/>
        <v>CAT1</v>
      </c>
      <c r="AI112" s="51">
        <f>SUBTOTAL(3,Tableau1[[#This Row],[ZS]])</f>
        <v>0</v>
      </c>
      <c r="AJ112" s="51" t="e">
        <f t="shared" ca="1" si="3"/>
        <v>#NAME?</v>
      </c>
      <c r="AK112" s="50" t="str">
        <f>IFERROR(IF((Data_Entry!O101-Data_Entry!Q101)/Data_Entry!O101&lt;=10%,"&lt;=10%","&gt;10%"),"&lt;=10%")</f>
        <v>&lt;=10%</v>
      </c>
    </row>
    <row r="113" spans="1:37" s="48" customFormat="1" ht="13" hidden="1" x14ac:dyDescent="0.3">
      <c r="A113" s="31" t="s">
        <v>16</v>
      </c>
      <c r="B113" s="48" t="str">
        <f>Data_Entry!B102</f>
        <v>Goma</v>
      </c>
      <c r="C113" s="48" t="str">
        <f>Data_Entry!C102</f>
        <v xml:space="preserve"> Birambizo</v>
      </c>
      <c r="D113" s="48" t="str">
        <f>Data_Entry!D102</f>
        <v xml:space="preserve"> Kahe</v>
      </c>
      <c r="E113" s="49">
        <f>IFERROR(IF(Data_Entry!J102/Data_Entry!$I102&lt;0,0,Data_Entry!J102/Data_Entry!$I102),0)</f>
        <v>0.72729893341020457</v>
      </c>
      <c r="F113" s="49">
        <f>IFERROR(IF(Data_Entry!K102/Data_Entry!$H102&lt;0,0,Data_Entry!K102/Data_Entry!$H102),0)</f>
        <v>0.10110012464059484</v>
      </c>
      <c r="G113" s="49">
        <f>IFERROR(IF(Data_Entry!L102/Data_Entry!$H102&lt;0,0,Data_Entry!L102/Data_Entry!$H102),0)</f>
        <v>0.87818343560359824</v>
      </c>
      <c r="H113" s="49">
        <f>IFERROR(IF(Data_Entry!M102/Data_Entry!$H102&lt;0,0,Data_Entry!M102/Data_Entry!$H102),0)</f>
        <v>0.85340399328972705</v>
      </c>
      <c r="I113" s="49">
        <f>IFERROR(IF(Data_Entry!N102/Data_Entry!$H102&lt;0,0,Data_Entry!N102/Data_Entry!$H102),0)</f>
        <v>0.85142163790461733</v>
      </c>
      <c r="J113" s="49">
        <f>IFERROR(IF(Data_Entry!O102/Data_Entry!$H102&lt;0,0,Data_Entry!O102/Data_Entry!$H102),0)</f>
        <v>0.86827165867804978</v>
      </c>
      <c r="K113" s="49">
        <f>IFERROR(IF(Data_Entry!P102/Data_Entry!$H102&lt;0,0,Data_Entry!P102/Data_Entry!$H102),0)</f>
        <v>0.85340399328972705</v>
      </c>
      <c r="L113" s="49">
        <f>IFERROR(IF(Data_Entry!Q102/Data_Entry!$H102&lt;0,0,Data_Entry!Q102/Data_Entry!$H102),0)</f>
        <v>0.84646574944184305</v>
      </c>
      <c r="M113" s="49">
        <f>IFERROR(IF(Data_Entry!R102/Data_Entry!$H102&lt;0,0,Data_Entry!R102/Data_Entry!$H102),0)</f>
        <v>0.87818343560359824</v>
      </c>
      <c r="N113" s="49">
        <f>IFERROR(IF(Data_Entry!S102/Data_Entry!$H102&lt;0,0,Data_Entry!S102/Data_Entry!$H102),0)</f>
        <v>0.85439517098228179</v>
      </c>
      <c r="O113" s="49">
        <f>IFERROR(IF(Data_Entry!T102/Data_Entry!$H102&lt;0,0,Data_Entry!T102/Data_Entry!$H102),0)</f>
        <v>0.85142163790461733</v>
      </c>
      <c r="P113" s="49">
        <f>IFERROR(IF(Data_Entry!U102/Data_Entry!$H102&lt;0,0,Data_Entry!U102/Data_Entry!$H102),0)</f>
        <v>0.87818343560359824</v>
      </c>
      <c r="Q113" s="49">
        <f>IFERROR(IF(Data_Entry!V102/Data_Entry!$H102&lt;0,0,Data_Entry!V102/Data_Entry!$H102),0)</f>
        <v>0.85340399328972705</v>
      </c>
      <c r="R113" s="49">
        <f>IFERROR(IF(Data_Entry!W102/Data_Entry!$H102&lt;0,0,Data_Entry!W102/Data_Entry!$H102),0)</f>
        <v>0.85142163790461733</v>
      </c>
      <c r="S113" s="49">
        <f>IFERROR(IF(Data_Entry!X102/Data_Entry!$H102&lt;0,0,Data_Entry!X102/Data_Entry!$H102),0)</f>
        <v>0.75131269095657727</v>
      </c>
      <c r="T113" s="49">
        <f>IFERROR(IF(Data_Entry!Y102/Data_Entry!$H102&lt;0,0,Data_Entry!Y102/Data_Entry!$H102),0)</f>
        <v>0.44503878395712826</v>
      </c>
      <c r="U113" s="49">
        <f>IFERROR(IF(Data_Entry!Z102/Data_Entry!$H102&lt;0,0,Data_Entry!Z102/Data_Entry!$H102),0)</f>
        <v>0.83258926174607506</v>
      </c>
      <c r="V113" s="49">
        <f>IFERROR(IF(Data_Entry!AA102/Data_Entry!$H102&lt;0,0,Data_Entry!AA102/Data_Entry!$H102),0)</f>
        <v>0.85142163790461733</v>
      </c>
      <c r="W113" s="49">
        <f>IFERROR(IF(Data_Entry!AB102/Data_Entry!$H102&lt;0,0,Data_Entry!AB102/Data_Entry!$H102),0)</f>
        <v>0.76816271173000983</v>
      </c>
      <c r="X113" s="49">
        <f>IFERROR(IF(Data_Entry!AC102/Data_Entry!$I102&lt;0,0,Data_Entry!AC102/Data_Entry!$I102),0)</f>
        <v>8.2156240991640234E-2</v>
      </c>
      <c r="Y113" s="49">
        <f>IFERROR(IF(Data_Entry!AD102/Data_Entry!$I102&lt;0,0,Data_Entry!AD102/Data_Entry!$I102),0)</f>
        <v>2.6808878639377337E-2</v>
      </c>
      <c r="Z113" s="49">
        <f>IFERROR(IF(Data_Entry!AE102/Data_Entry!$I102&lt;0,0,Data_Entry!AE102/Data_Entry!$I102),0)</f>
        <v>5.1888152205246466E-3</v>
      </c>
      <c r="AA113" s="49">
        <f>IFERROR(IF(Data_Entry!AF102/Data_Entry!$I102&lt;0,0,Data_Entry!AF102/Data_Entry!$I102),0)</f>
        <v>4.3240126837705388E-3</v>
      </c>
      <c r="AB113" s="49">
        <f>IFERROR(IF(Data_Entry!AG102/Data_Entry!$I102&lt;0,0,Data_Entry!AG102/Data_Entry!$I102),0)</f>
        <v>8.6480253675410776E-3</v>
      </c>
      <c r="AC113" s="49">
        <f>IFERROR(IF(Data_Entry!AI102/Data_Entry!$I102&lt;0,0,Data_Entry!AI102/Data_Entry!$I102),0)</f>
        <v>5.0417987892764478E-2</v>
      </c>
      <c r="AD113" s="49">
        <f>IFERROR(IF(Data_Entry!AM102/Data_Entry!$H102&lt;0,0,Data_Entry!AM102/Data_Entry!$H102),0)</f>
        <v>0.75131269095657727</v>
      </c>
      <c r="AE113" s="50">
        <f>Data_Entry!AK102</f>
        <v>132.90083333333337</v>
      </c>
      <c r="AF113" s="50">
        <f>Data_Entry!AL102</f>
        <v>118</v>
      </c>
      <c r="AG113" s="153">
        <f>(Data_Entry!O102-Data_Entry!Q102)/Data_Entry!O102</f>
        <v>2.5114155251141551E-2</v>
      </c>
      <c r="AH113" s="79" t="str">
        <f t="shared" si="2"/>
        <v>CAT3</v>
      </c>
      <c r="AI113" s="51">
        <f>SUBTOTAL(3,Tableau1[[#This Row],[ZS]])</f>
        <v>0</v>
      </c>
      <c r="AJ113" s="51" t="e">
        <f t="shared" ca="1" si="3"/>
        <v>#NAME?</v>
      </c>
      <c r="AK113" s="50" t="str">
        <f>IFERROR(IF((Data_Entry!O102-Data_Entry!Q102)/Data_Entry!O102&lt;=10%,"&lt;=10%","&gt;10%"),"&lt;=10%")</f>
        <v>&lt;=10%</v>
      </c>
    </row>
    <row r="114" spans="1:37" s="48" customFormat="1" ht="13" hidden="1" x14ac:dyDescent="0.3">
      <c r="A114" s="31" t="s">
        <v>16</v>
      </c>
      <c r="B114" s="48" t="str">
        <f>Data_Entry!B103</f>
        <v>Goma</v>
      </c>
      <c r="C114" s="48" t="str">
        <f>Data_Entry!C103</f>
        <v xml:space="preserve"> Birambizo</v>
      </c>
      <c r="D114" s="48" t="str">
        <f>Data_Entry!D103</f>
        <v xml:space="preserve"> Kanyangohe</v>
      </c>
      <c r="E114" s="49">
        <f>IFERROR(IF(Data_Entry!J103/Data_Entry!$I103&lt;0,0,Data_Entry!J103/Data_Entry!$I103),0)</f>
        <v>0.96612992781787888</v>
      </c>
      <c r="F114" s="49">
        <f>IFERROR(IF(Data_Entry!K103/Data_Entry!$H103&lt;0,0,Data_Entry!K103/Data_Entry!$H103),0)</f>
        <v>0.353194420800924</v>
      </c>
      <c r="G114" s="49">
        <f>IFERROR(IF(Data_Entry!L103/Data_Entry!$H103&lt;0,0,Data_Entry!L103/Data_Entry!$H103),0)</f>
        <v>1.1900424628787889</v>
      </c>
      <c r="H114" s="49">
        <f>IFERROR(IF(Data_Entry!M103/Data_Entry!$H103&lt;0,0,Data_Entry!M103/Data_Entry!$H103),0)</f>
        <v>1.151859282251662</v>
      </c>
      <c r="I114" s="49">
        <f>IFERROR(IF(Data_Entry!N103/Data_Entry!$H103&lt;0,0,Data_Entry!N103/Data_Entry!$H103),0)</f>
        <v>1.0373097403702813</v>
      </c>
      <c r="J114" s="49">
        <f>IFERROR(IF(Data_Entry!O103/Data_Entry!$H103&lt;0,0,Data_Entry!O103/Data_Entry!$H103),0)</f>
        <v>1.1900424628787889</v>
      </c>
      <c r="K114" s="49">
        <f>IFERROR(IF(Data_Entry!P103/Data_Entry!$H103&lt;0,0,Data_Entry!P103/Data_Entry!$H103),0)</f>
        <v>1.151859282251662</v>
      </c>
      <c r="L114" s="49">
        <f>IFERROR(IF(Data_Entry!Q103/Data_Entry!$H103&lt;0,0,Data_Entry!Q103/Data_Entry!$H103),0)</f>
        <v>1.0373097403702813</v>
      </c>
      <c r="M114" s="49">
        <f>IFERROR(IF(Data_Entry!R103/Data_Entry!$H103&lt;0,0,Data_Entry!R103/Data_Entry!$H103),0)</f>
        <v>1.1900424628787889</v>
      </c>
      <c r="N114" s="49">
        <f>IFERROR(IF(Data_Entry!S103/Data_Entry!$H103&lt;0,0,Data_Entry!S103/Data_Entry!$H103),0)</f>
        <v>1.1582231456895165</v>
      </c>
      <c r="O114" s="49">
        <f>IFERROR(IF(Data_Entry!T103/Data_Entry!$H103&lt;0,0,Data_Entry!T103/Data_Entry!$H103),0)</f>
        <v>1.0373097403702813</v>
      </c>
      <c r="P114" s="49">
        <f>IFERROR(IF(Data_Entry!U103/Data_Entry!$H103&lt;0,0,Data_Entry!U103/Data_Entry!$H103),0)</f>
        <v>1.1900424628787889</v>
      </c>
      <c r="Q114" s="49">
        <f>IFERROR(IF(Data_Entry!V103/Data_Entry!$H103&lt;0,0,Data_Entry!V103/Data_Entry!$H103),0)</f>
        <v>1.151859282251662</v>
      </c>
      <c r="R114" s="49">
        <f>IFERROR(IF(Data_Entry!W103/Data_Entry!$H103&lt;0,0,Data_Entry!W103/Data_Entry!$H103),0)</f>
        <v>1.0373097403702813</v>
      </c>
      <c r="S114" s="49">
        <f>IFERROR(IF(Data_Entry!X103/Data_Entry!$H103&lt;0,0,Data_Entry!X103/Data_Entry!$H103),0)</f>
        <v>0.93230599364568223</v>
      </c>
      <c r="T114" s="49">
        <f>IFERROR(IF(Data_Entry!Y103/Data_Entry!$H103&lt;0,0,Data_Entry!Y103/Data_Entry!$H103),0)</f>
        <v>1.072310989278481</v>
      </c>
      <c r="U114" s="49">
        <f>IFERROR(IF(Data_Entry!Z103/Data_Entry!$H103&lt;0,0,Data_Entry!Z103/Data_Entry!$H103),0)</f>
        <v>0.95776144739710012</v>
      </c>
      <c r="V114" s="49">
        <f>IFERROR(IF(Data_Entry!AA103/Data_Entry!$H103&lt;0,0,Data_Entry!AA103/Data_Entry!$H103),0)</f>
        <v>1.0373097403702813</v>
      </c>
      <c r="W114" s="49">
        <f>IFERROR(IF(Data_Entry!AB103/Data_Entry!$H103&lt;0,0,Data_Entry!AB103/Data_Entry!$H103),0)</f>
        <v>0.86866735926713734</v>
      </c>
      <c r="X114" s="49">
        <f>IFERROR(IF(Data_Entry!AC103/Data_Entry!$I103&lt;0,0,Data_Entry!AC103/Data_Entry!$I103),0)</f>
        <v>0.17490283176013324</v>
      </c>
      <c r="Y114" s="49">
        <f>IFERROR(IF(Data_Entry!AD103/Data_Entry!$I103&lt;0,0,Data_Entry!AD103/Data_Entry!$I103),0)</f>
        <v>0.15824541921154911</v>
      </c>
      <c r="Z114" s="49">
        <f>IFERROR(IF(Data_Entry!AE103/Data_Entry!$I103&lt;0,0,Data_Entry!AE103/Data_Entry!$I103),0)</f>
        <v>0.10827318156579677</v>
      </c>
      <c r="AA114" s="49">
        <f>IFERROR(IF(Data_Entry!AF103/Data_Entry!$I103&lt;0,0,Data_Entry!AF103/Data_Entry!$I103),0)</f>
        <v>4.7196002220988333E-2</v>
      </c>
      <c r="AB114" s="49">
        <f>IFERROR(IF(Data_Entry!AG103/Data_Entry!$I103&lt;0,0,Data_Entry!AG103/Data_Entry!$I103),0)</f>
        <v>6.6629650194336476E-2</v>
      </c>
      <c r="AC114" s="49">
        <f>IFERROR(IF(Data_Entry!AI103/Data_Entry!$I103&lt;0,0,Data_Entry!AI103/Data_Entry!$I103),0)</f>
        <v>0.16185452526374233</v>
      </c>
      <c r="AD114" s="49">
        <f>IFERROR(IF(Data_Entry!AM103/Data_Entry!$H103&lt;0,0,Data_Entry!AM103/Data_Entry!$H103),0)</f>
        <v>0.93230599364568223</v>
      </c>
      <c r="AE114" s="50">
        <f>Data_Entry!AK103</f>
        <v>0</v>
      </c>
      <c r="AF114" s="50">
        <f>Data_Entry!AL103</f>
        <v>81</v>
      </c>
      <c r="AG114" s="153">
        <f>(Data_Entry!O103-Data_Entry!Q103)/Data_Entry!O103</f>
        <v>0.12834224598930483</v>
      </c>
      <c r="AH114" s="79" t="str">
        <f t="shared" si="2"/>
        <v>CAT2</v>
      </c>
      <c r="AI114" s="51">
        <f>SUBTOTAL(3,Tableau1[[#This Row],[ZS]])</f>
        <v>0</v>
      </c>
      <c r="AJ114" s="51" t="e">
        <f t="shared" ca="1" si="3"/>
        <v>#NAME?</v>
      </c>
      <c r="AK114" s="50" t="str">
        <f>IFERROR(IF((Data_Entry!O103-Data_Entry!Q103)/Data_Entry!O103&lt;=10%,"&lt;=10%","&gt;10%"),"&lt;=10%")</f>
        <v>&gt;10%</v>
      </c>
    </row>
    <row r="115" spans="1:37" s="48" customFormat="1" ht="13" hidden="1" x14ac:dyDescent="0.3">
      <c r="A115" s="31" t="s">
        <v>16</v>
      </c>
      <c r="B115" s="48" t="str">
        <f>Data_Entry!B104</f>
        <v>Goma</v>
      </c>
      <c r="C115" s="48" t="str">
        <f>Data_Entry!C104</f>
        <v xml:space="preserve"> Birambizo</v>
      </c>
      <c r="D115" s="48" t="str">
        <f>Data_Entry!D104</f>
        <v xml:space="preserve"> Katsiru</v>
      </c>
      <c r="E115" s="49">
        <f>IFERROR(IF(Data_Entry!J104/Data_Entry!$I104&lt;0,0,Data_Entry!J104/Data_Entry!$I104),0)</f>
        <v>0.84758771929824561</v>
      </c>
      <c r="F115" s="49">
        <f>IFERROR(IF(Data_Entry!K104/Data_Entry!$H104&lt;0,0,Data_Entry!K104/Data_Entry!$H104),0)</f>
        <v>0.74775046498768405</v>
      </c>
      <c r="G115" s="49">
        <f>IFERROR(IF(Data_Entry!L104/Data_Entry!$H104&lt;0,0,Data_Entry!L104/Data_Entry!$H104),0)</f>
        <v>0.80304629769265568</v>
      </c>
      <c r="H115" s="49">
        <f>IFERROR(IF(Data_Entry!M104/Data_Entry!$H104&lt;0,0,Data_Entry!M104/Data_Entry!$H104),0)</f>
        <v>0.71130548434122554</v>
      </c>
      <c r="I115" s="49">
        <f>IFERROR(IF(Data_Entry!N104/Data_Entry!$H104&lt;0,0,Data_Entry!N104/Data_Entry!$H104),0)</f>
        <v>0.73392650681144123</v>
      </c>
      <c r="J115" s="49">
        <f>IFERROR(IF(Data_Entry!O104/Data_Entry!$H104&lt;0,0,Data_Entry!O104/Data_Entry!$H104),0)</f>
        <v>0.97396068968984062</v>
      </c>
      <c r="K115" s="49">
        <f>IFERROR(IF(Data_Entry!P104/Data_Entry!$H104&lt;0,0,Data_Entry!P104/Data_Entry!$H104),0)</f>
        <v>0.8973005579852209</v>
      </c>
      <c r="L115" s="49">
        <f>IFERROR(IF(Data_Entry!Q104/Data_Entry!$H104&lt;0,0,Data_Entry!Q104/Data_Entry!$H104),0)</f>
        <v>0.91238123963203133</v>
      </c>
      <c r="M115" s="49">
        <f>IFERROR(IF(Data_Entry!R104/Data_Entry!$H104&lt;0,0,Data_Entry!R104/Data_Entry!$H104),0)</f>
        <v>0.97396068968984062</v>
      </c>
      <c r="N115" s="49">
        <f>IFERROR(IF(Data_Entry!S104/Data_Entry!$H104&lt;0,0,Data_Entry!S104/Data_Entry!$H104),0)</f>
        <v>0.8973005579852209</v>
      </c>
      <c r="O115" s="49">
        <f>IFERROR(IF(Data_Entry!T104/Data_Entry!$H104&lt;0,0,Data_Entry!T104/Data_Entry!$H104),0)</f>
        <v>0.91238123963203133</v>
      </c>
      <c r="P115" s="49">
        <f>IFERROR(IF(Data_Entry!U104/Data_Entry!$H104&lt;0,0,Data_Entry!U104/Data_Entry!$H104),0)</f>
        <v>0.97396068968984062</v>
      </c>
      <c r="Q115" s="49">
        <f>IFERROR(IF(Data_Entry!V104/Data_Entry!$H104&lt;0,0,Data_Entry!V104/Data_Entry!$H104),0)</f>
        <v>0.8973005579852209</v>
      </c>
      <c r="R115" s="49">
        <f>IFERROR(IF(Data_Entry!W104/Data_Entry!$H104&lt;0,0,Data_Entry!W104/Data_Entry!$H104),0)</f>
        <v>0.91238123963203133</v>
      </c>
      <c r="S115" s="49">
        <f>IFERROR(IF(Data_Entry!X104/Data_Entry!$H104&lt;0,0,Data_Entry!X104/Data_Entry!$H104),0)</f>
        <v>0.84577489569195197</v>
      </c>
      <c r="T115" s="49">
        <f>IFERROR(IF(Data_Entry!Y104/Data_Entry!$H104&lt;0,0,Data_Entry!Y104/Data_Entry!$H104),0)</f>
        <v>0.45367717287488057</v>
      </c>
      <c r="U115" s="49">
        <f>IFERROR(IF(Data_Entry!Z104/Data_Entry!$H104&lt;0,0,Data_Entry!Z104/Data_Entry!$H104),0)</f>
        <v>0.82064042628060119</v>
      </c>
      <c r="V115" s="49">
        <f>IFERROR(IF(Data_Entry!AA104/Data_Entry!$H104&lt;0,0,Data_Entry!AA104/Data_Entry!$H104),0)</f>
        <v>0.76283114663449447</v>
      </c>
      <c r="W115" s="49">
        <f>IFERROR(IF(Data_Entry!AB104/Data_Entry!$H104&lt;0,0,Data_Entry!AB104/Data_Entry!$H104),0)</f>
        <v>0.57180917910822904</v>
      </c>
      <c r="X115" s="49">
        <f>IFERROR(IF(Data_Entry!AC104/Data_Entry!$I104&lt;0,0,Data_Entry!AC104/Data_Entry!$I104),0)</f>
        <v>0.7192982456140351</v>
      </c>
      <c r="Y115" s="49">
        <f>IFERROR(IF(Data_Entry!AD104/Data_Entry!$I104&lt;0,0,Data_Entry!AD104/Data_Entry!$I104),0)</f>
        <v>0.44188596491228072</v>
      </c>
      <c r="Z115" s="49">
        <f>IFERROR(IF(Data_Entry!AE104/Data_Entry!$I104&lt;0,0,Data_Entry!AE104/Data_Entry!$I104),0)</f>
        <v>0.19736842105263158</v>
      </c>
      <c r="AA115" s="49">
        <f>IFERROR(IF(Data_Entry!AF104/Data_Entry!$I104&lt;0,0,Data_Entry!AF104/Data_Entry!$I104),0)</f>
        <v>8.4429824561403508E-2</v>
      </c>
      <c r="AB115" s="49">
        <f>IFERROR(IF(Data_Entry!AG104/Data_Entry!$I104&lt;0,0,Data_Entry!AG104/Data_Entry!$I104),0)</f>
        <v>9.8684210526315784E-3</v>
      </c>
      <c r="AC115" s="49">
        <f>IFERROR(IF(Data_Entry!AI104/Data_Entry!$I104&lt;0,0,Data_Entry!AI104/Data_Entry!$I104),0)</f>
        <v>5.4824561403508769E-2</v>
      </c>
      <c r="AD115" s="49">
        <f>IFERROR(IF(Data_Entry!AM104/Data_Entry!$H104&lt;0,0,Data_Entry!AM104/Data_Entry!$H104),0)</f>
        <v>0.82064042628060119</v>
      </c>
      <c r="AE115" s="50">
        <f>Data_Entry!AK104</f>
        <v>20.720000000000027</v>
      </c>
      <c r="AF115" s="50">
        <f>Data_Entry!AL104</f>
        <v>102</v>
      </c>
      <c r="AG115" s="153">
        <f>(Data_Entry!O104-Data_Entry!Q104)/Data_Entry!O104</f>
        <v>6.3225806451612909E-2</v>
      </c>
      <c r="AH115" s="79" t="str">
        <f t="shared" si="2"/>
        <v>CAT1</v>
      </c>
      <c r="AI115" s="51">
        <f>SUBTOTAL(3,Tableau1[[#This Row],[ZS]])</f>
        <v>0</v>
      </c>
      <c r="AJ115" s="51" t="e">
        <f t="shared" ca="1" si="3"/>
        <v>#NAME?</v>
      </c>
      <c r="AK115" s="50" t="str">
        <f>IFERROR(IF((Data_Entry!O104-Data_Entry!Q104)/Data_Entry!O104&lt;=10%,"&lt;=10%","&gt;10%"),"&lt;=10%")</f>
        <v>&lt;=10%</v>
      </c>
    </row>
    <row r="116" spans="1:37" s="48" customFormat="1" ht="13" hidden="1" x14ac:dyDescent="0.3">
      <c r="A116" s="31" t="s">
        <v>16</v>
      </c>
      <c r="B116" s="48" t="str">
        <f>Data_Entry!B105</f>
        <v>Goma</v>
      </c>
      <c r="C116" s="48" t="str">
        <f>Data_Entry!C105</f>
        <v xml:space="preserve"> Birambizo</v>
      </c>
      <c r="D116" s="48" t="str">
        <f>Data_Entry!D105</f>
        <v xml:space="preserve"> Kizimba</v>
      </c>
      <c r="E116" s="49">
        <f>IFERROR(IF(Data_Entry!J105/Data_Entry!$I105&lt;0,0,Data_Entry!J105/Data_Entry!$I105),0)</f>
        <v>0.92828646492166977</v>
      </c>
      <c r="F116" s="49">
        <f>IFERROR(IF(Data_Entry!K105/Data_Entry!$H105&lt;0,0,Data_Entry!K105/Data_Entry!$H105),0)</f>
        <v>1.0639386417440342</v>
      </c>
      <c r="G116" s="49">
        <f>IFERROR(IF(Data_Entry!L105/Data_Entry!$H105&lt;0,0,Data_Entry!L105/Data_Entry!$H105),0)</f>
        <v>0.99033282376174248</v>
      </c>
      <c r="H116" s="49">
        <f>IFERROR(IF(Data_Entry!M105/Data_Entry!$H105&lt;0,0,Data_Entry!M105/Data_Entry!$H105),0)</f>
        <v>0.97360422876576713</v>
      </c>
      <c r="I116" s="49">
        <f>IFERROR(IF(Data_Entry!N105/Data_Entry!$H105&lt;0,0,Data_Entry!N105/Data_Entry!$H105),0)</f>
        <v>0.97025850976657202</v>
      </c>
      <c r="J116" s="49">
        <f>IFERROR(IF(Data_Entry!O105/Data_Entry!$H105&lt;0,0,Data_Entry!O105/Data_Entry!$H105),0)</f>
        <v>0.99033282376174248</v>
      </c>
      <c r="K116" s="49">
        <f>IFERROR(IF(Data_Entry!P105/Data_Entry!$H105&lt;0,0,Data_Entry!P105/Data_Entry!$H105),0)</f>
        <v>0.97360422876576713</v>
      </c>
      <c r="L116" s="49">
        <f>IFERROR(IF(Data_Entry!Q105/Data_Entry!$H105&lt;0,0,Data_Entry!Q105/Data_Entry!$H105),0)</f>
        <v>0.97025850976657202</v>
      </c>
      <c r="M116" s="49">
        <f>IFERROR(IF(Data_Entry!R105/Data_Entry!$H105&lt;0,0,Data_Entry!R105/Data_Entry!$H105),0)</f>
        <v>0.99033282376174248</v>
      </c>
      <c r="N116" s="49">
        <f>IFERROR(IF(Data_Entry!S105/Data_Entry!$H105&lt;0,0,Data_Entry!S105/Data_Entry!$H105),0)</f>
        <v>0.97360422876576713</v>
      </c>
      <c r="O116" s="49">
        <f>IFERROR(IF(Data_Entry!T105/Data_Entry!$H105&lt;0,0,Data_Entry!T105/Data_Entry!$H105),0)</f>
        <v>0.97025850976657202</v>
      </c>
      <c r="P116" s="49">
        <f>IFERROR(IF(Data_Entry!U105/Data_Entry!$H105&lt;0,0,Data_Entry!U105/Data_Entry!$H105),0)</f>
        <v>0.99033282376174248</v>
      </c>
      <c r="Q116" s="49">
        <f>IFERROR(IF(Data_Entry!V105/Data_Entry!$H105&lt;0,0,Data_Entry!V105/Data_Entry!$H105),0)</f>
        <v>0.97360422876576713</v>
      </c>
      <c r="R116" s="49">
        <f>IFERROR(IF(Data_Entry!W105/Data_Entry!$H105&lt;0,0,Data_Entry!W105/Data_Entry!$H105),0)</f>
        <v>0.97025850976657202</v>
      </c>
      <c r="S116" s="49">
        <f>IFERROR(IF(Data_Entry!X105/Data_Entry!$H105&lt;0,0,Data_Entry!X105/Data_Entry!$H105),0)</f>
        <v>1.622673714609612</v>
      </c>
      <c r="T116" s="49">
        <f>IFERROR(IF(Data_Entry!Y105/Data_Entry!$H105&lt;0,0,Data_Entry!Y105/Data_Entry!$H105),0)</f>
        <v>0.76951536981486746</v>
      </c>
      <c r="U116" s="49">
        <f>IFERROR(IF(Data_Entry!Z105/Data_Entry!$H105&lt;0,0,Data_Entry!Z105/Data_Entry!$H105),0)</f>
        <v>1.4553877646498581</v>
      </c>
      <c r="V116" s="49">
        <f>IFERROR(IF(Data_Entry!AA105/Data_Entry!$H105&lt;0,0,Data_Entry!AA105/Data_Entry!$H105),0)</f>
        <v>0.97025850976657202</v>
      </c>
      <c r="W116" s="49">
        <f>IFERROR(IF(Data_Entry!AB105/Data_Entry!$H105&lt;0,0,Data_Entry!AB105/Data_Entry!$H105),0)</f>
        <v>1.4553877646498581</v>
      </c>
      <c r="X116" s="49">
        <f>IFERROR(IF(Data_Entry!AC105/Data_Entry!$I105&lt;0,0,Data_Entry!AC105/Data_Entry!$I105),0)</f>
        <v>0.62469592293470855</v>
      </c>
      <c r="Y116" s="49">
        <f>IFERROR(IF(Data_Entry!AD105/Data_Entry!$I105&lt;0,0,Data_Entry!AD105/Data_Entry!$I105),0)</f>
        <v>0.37364989783010605</v>
      </c>
      <c r="Z116" s="49">
        <f>IFERROR(IF(Data_Entry!AE105/Data_Entry!$I105&lt;0,0,Data_Entry!AE105/Data_Entry!$I105),0)</f>
        <v>0.27731828354578186</v>
      </c>
      <c r="AA116" s="49">
        <f>IFERROR(IF(Data_Entry!AF105/Data_Entry!$I105&lt;0,0,Data_Entry!AF105/Data_Entry!$I105),0)</f>
        <v>0.18682494891505302</v>
      </c>
      <c r="AB116" s="49">
        <f>IFERROR(IF(Data_Entry!AG105/Data_Entry!$I105&lt;0,0,Data_Entry!AG105/Data_Entry!$I105),0)</f>
        <v>0.14595699133988518</v>
      </c>
      <c r="AC116" s="49">
        <f>IFERROR(IF(Data_Entry!AI105/Data_Entry!$I105&lt;0,0,Data_Entry!AI105/Data_Entry!$I105),0)</f>
        <v>0.17018585190230612</v>
      </c>
      <c r="AD116" s="49">
        <f>IFERROR(IF(Data_Entry!AM105/Data_Entry!$H105&lt;0,0,Data_Entry!AM105/Data_Entry!$H105),0)</f>
        <v>1.4553877646498581</v>
      </c>
      <c r="AE116" s="50">
        <f>Data_Entry!AK105</f>
        <v>2.8894166666666479</v>
      </c>
      <c r="AF116" s="50">
        <f>Data_Entry!AL105</f>
        <v>0</v>
      </c>
      <c r="AG116" s="153">
        <f>(Data_Entry!O105-Data_Entry!Q105)/Data_Entry!O105</f>
        <v>2.0270270270270271E-2</v>
      </c>
      <c r="AH116" s="79" t="str">
        <f t="shared" si="2"/>
        <v>CAT1</v>
      </c>
      <c r="AI116" s="51">
        <f>SUBTOTAL(3,Tableau1[[#This Row],[ZS]])</f>
        <v>0</v>
      </c>
      <c r="AJ116" s="51" t="e">
        <f t="shared" ca="1" si="3"/>
        <v>#NAME?</v>
      </c>
      <c r="AK116" s="50" t="str">
        <f>IFERROR(IF((Data_Entry!O105-Data_Entry!Q105)/Data_Entry!O105&lt;=10%,"&lt;=10%","&gt;10%"),"&lt;=10%")</f>
        <v>&lt;=10%</v>
      </c>
    </row>
    <row r="117" spans="1:37" s="48" customFormat="1" ht="13" hidden="1" x14ac:dyDescent="0.3">
      <c r="A117" s="31" t="s">
        <v>16</v>
      </c>
      <c r="B117" s="48" t="str">
        <f>Data_Entry!B106</f>
        <v>Goma</v>
      </c>
      <c r="C117" s="48" t="str">
        <f>Data_Entry!C106</f>
        <v xml:space="preserve"> Birambizo</v>
      </c>
      <c r="D117" s="48" t="str">
        <f>Data_Entry!D106</f>
        <v xml:space="preserve"> Luya</v>
      </c>
      <c r="E117" s="49">
        <f>IFERROR(IF(Data_Entry!J106/Data_Entry!$I106&lt;0,0,Data_Entry!J106/Data_Entry!$I106),0)</f>
        <v>1.1369193154034229</v>
      </c>
      <c r="F117" s="49">
        <f>IFERROR(IF(Data_Entry!K106/Data_Entry!$H106&lt;0,0,Data_Entry!K106/Data_Entry!$H106),0)</f>
        <v>0.8530464679549179</v>
      </c>
      <c r="G117" s="49">
        <f>IFERROR(IF(Data_Entry!L106/Data_Entry!$H106&lt;0,0,Data_Entry!L106/Data_Entry!$H106),0)</f>
        <v>1.0854707229919101</v>
      </c>
      <c r="H117" s="49">
        <f>IFERROR(IF(Data_Entry!M106/Data_Entry!$H106&lt;0,0,Data_Entry!M106/Data_Entry!$H106),0)</f>
        <v>0.80853969571379181</v>
      </c>
      <c r="I117" s="49">
        <f>IFERROR(IF(Data_Entry!N106/Data_Entry!$H106&lt;0,0,Data_Entry!N106/Data_Entry!$H106),0)</f>
        <v>0.99892977696749807</v>
      </c>
      <c r="J117" s="49">
        <f>IFERROR(IF(Data_Entry!O106/Data_Entry!$H106&lt;0,0,Data_Entry!O106/Data_Entry!$H106),0)</f>
        <v>1.0854707229919101</v>
      </c>
      <c r="K117" s="49">
        <f>IFERROR(IF(Data_Entry!P106/Data_Entry!$H106&lt;0,0,Data_Entry!P106/Data_Entry!$H106),0)</f>
        <v>0.80853969571379181</v>
      </c>
      <c r="L117" s="49">
        <f>IFERROR(IF(Data_Entry!Q106/Data_Entry!$H106&lt;0,0,Data_Entry!Q106/Data_Entry!$H106),0)</f>
        <v>0.98656678467829639</v>
      </c>
      <c r="M117" s="49">
        <f>IFERROR(IF(Data_Entry!R106/Data_Entry!$H106&lt;0,0,Data_Entry!R106/Data_Entry!$H106),0)</f>
        <v>1.0854707229919101</v>
      </c>
      <c r="N117" s="49">
        <f>IFERROR(IF(Data_Entry!S106/Data_Entry!$H106&lt;0,0,Data_Entry!S106/Data_Entry!$H106),0)</f>
        <v>0.80853969571379181</v>
      </c>
      <c r="O117" s="49">
        <f>IFERROR(IF(Data_Entry!T106/Data_Entry!$H106&lt;0,0,Data_Entry!T106/Data_Entry!$H106),0)</f>
        <v>0.99892977696749807</v>
      </c>
      <c r="P117" s="49">
        <f>IFERROR(IF(Data_Entry!U106/Data_Entry!$H106&lt;0,0,Data_Entry!U106/Data_Entry!$H106),0)</f>
        <v>1.0928885183654311</v>
      </c>
      <c r="Q117" s="49">
        <f>IFERROR(IF(Data_Entry!V106/Data_Entry!$H106&lt;0,0,Data_Entry!V106/Data_Entry!$H106),0)</f>
        <v>0.81348489262947243</v>
      </c>
      <c r="R117" s="49">
        <f>IFERROR(IF(Data_Entry!W106/Data_Entry!$H106&lt;0,0,Data_Entry!W106/Data_Entry!$H106),0)</f>
        <v>0.99645717850965776</v>
      </c>
      <c r="S117" s="49">
        <f>IFERROR(IF(Data_Entry!X106/Data_Entry!$H106&lt;0,0,Data_Entry!X106/Data_Entry!$H106),0)</f>
        <v>1.0063475723410191</v>
      </c>
      <c r="T117" s="49">
        <f>IFERROR(IF(Data_Entry!Y106/Data_Entry!$H106&lt;0,0,Data_Entry!Y106/Data_Entry!$H106),0)</f>
        <v>0.72199874968937983</v>
      </c>
      <c r="U117" s="49">
        <f>IFERROR(IF(Data_Entry!Z106/Data_Entry!$H106&lt;0,0,Data_Entry!Z106/Data_Entry!$H106),0)</f>
        <v>1.0038749738831787</v>
      </c>
      <c r="V117" s="49">
        <f>IFERROR(IF(Data_Entry!AA106/Data_Entry!$H106&lt;0,0,Data_Entry!AA106/Data_Entry!$H106),0)</f>
        <v>0.99892977696749807</v>
      </c>
      <c r="W117" s="49">
        <f>IFERROR(IF(Data_Entry!AB106/Data_Entry!$H106&lt;0,0,Data_Entry!AB106/Data_Entry!$H106),0)</f>
        <v>0.81101229417163212</v>
      </c>
      <c r="X117" s="49">
        <f>IFERROR(IF(Data_Entry!AC106/Data_Entry!$I106&lt;0,0,Data_Entry!AC106/Data_Entry!$I106),0)</f>
        <v>0.73349633251833746</v>
      </c>
      <c r="Y117" s="49">
        <f>IFERROR(IF(Data_Entry!AD106/Data_Entry!$I106&lt;0,0,Data_Entry!AD106/Data_Entry!$I106),0)</f>
        <v>0.50481806414497343</v>
      </c>
      <c r="Z117" s="49">
        <f>IFERROR(IF(Data_Entry!AE106/Data_Entry!$I106&lt;0,0,Data_Entry!AE106/Data_Entry!$I106),0)</f>
        <v>0.19631813605637854</v>
      </c>
      <c r="AA117" s="49">
        <f>IFERROR(IF(Data_Entry!AF106/Data_Entry!$I106&lt;0,0,Data_Entry!AF106/Data_Entry!$I106),0)</f>
        <v>2.3730763699122682E-2</v>
      </c>
      <c r="AB117" s="49">
        <f>IFERROR(IF(Data_Entry!AG106/Data_Entry!$I106&lt;0,0,Data_Entry!AG106/Data_Entry!$I106),0)</f>
        <v>0</v>
      </c>
      <c r="AC117" s="49">
        <f>IFERROR(IF(Data_Entry!AI106/Data_Entry!$I106&lt;0,0,Data_Entry!AI106/Data_Entry!$I106),0)</f>
        <v>0.12577304760535021</v>
      </c>
      <c r="AD117" s="49">
        <f>IFERROR(IF(Data_Entry!AM106/Data_Entry!$H106&lt;0,0,Data_Entry!AM106/Data_Entry!$H106),0)</f>
        <v>1.0038749738831787</v>
      </c>
      <c r="AE117" s="50">
        <f>Data_Entry!AK106</f>
        <v>0</v>
      </c>
      <c r="AF117" s="50">
        <f>Data_Entry!AL106</f>
        <v>32</v>
      </c>
      <c r="AG117" s="153">
        <f>(Data_Entry!O106-Data_Entry!Q106)/Data_Entry!O106</f>
        <v>9.1116173120728935E-2</v>
      </c>
      <c r="AH117" s="79" t="str">
        <f t="shared" si="2"/>
        <v>CAT1</v>
      </c>
      <c r="AI117" s="51">
        <f>SUBTOTAL(3,Tableau1[[#This Row],[ZS]])</f>
        <v>0</v>
      </c>
      <c r="AJ117" s="51" t="e">
        <f t="shared" ca="1" si="3"/>
        <v>#NAME?</v>
      </c>
      <c r="AK117" s="50" t="str">
        <f>IFERROR(IF((Data_Entry!O106-Data_Entry!Q106)/Data_Entry!O106&lt;=10%,"&lt;=10%","&gt;10%"),"&lt;=10%")</f>
        <v>&lt;=10%</v>
      </c>
    </row>
    <row r="118" spans="1:37" s="48" customFormat="1" ht="13" hidden="1" x14ac:dyDescent="0.3">
      <c r="A118" s="31" t="s">
        <v>16</v>
      </c>
      <c r="B118" s="48" t="str">
        <f>Data_Entry!B107</f>
        <v>Goma</v>
      </c>
      <c r="C118" s="48" t="str">
        <f>Data_Entry!C107</f>
        <v xml:space="preserve"> Birambizo</v>
      </c>
      <c r="D118" s="48" t="str">
        <f>Data_Entry!D107</f>
        <v xml:space="preserve"> Mulimbi</v>
      </c>
      <c r="E118" s="49">
        <f>IFERROR(IF(Data_Entry!J107/Data_Entry!$I107&lt;0,0,Data_Entry!J107/Data_Entry!$I107),0)</f>
        <v>0.96710408053208685</v>
      </c>
      <c r="F118" s="49">
        <f>IFERROR(IF(Data_Entry!K107/Data_Entry!$H107&lt;0,0,Data_Entry!K107/Data_Entry!$H107),0)</f>
        <v>1.1084287455955153</v>
      </c>
      <c r="G118" s="49">
        <f>IFERROR(IF(Data_Entry!L107/Data_Entry!$H107&lt;0,0,Data_Entry!L107/Data_Entry!$H107),0)</f>
        <v>1.0342587923586406</v>
      </c>
      <c r="H118" s="49">
        <f>IFERROR(IF(Data_Entry!M107/Data_Entry!$H107&lt;0,0,Data_Entry!M107/Data_Entry!$H107),0)</f>
        <v>0.97863132743098469</v>
      </c>
      <c r="I118" s="49">
        <f>IFERROR(IF(Data_Entry!N107/Data_Entry!$H107&lt;0,0,Data_Entry!N107/Data_Entry!$H107),0)</f>
        <v>0.99717381574020336</v>
      </c>
      <c r="J118" s="49">
        <f>IFERROR(IF(Data_Entry!O107/Data_Entry!$H107&lt;0,0,Data_Entry!O107/Data_Entry!$H107),0)</f>
        <v>1.0342587923586406</v>
      </c>
      <c r="K118" s="49">
        <f>IFERROR(IF(Data_Entry!P107/Data_Entry!$H107&lt;0,0,Data_Entry!P107/Data_Entry!$H107),0)</f>
        <v>0.9724504979945785</v>
      </c>
      <c r="L118" s="49">
        <f>IFERROR(IF(Data_Entry!Q107/Data_Entry!$H107&lt;0,0,Data_Entry!Q107/Data_Entry!$H107),0)</f>
        <v>0.99717381574020336</v>
      </c>
      <c r="M118" s="49">
        <f>IFERROR(IF(Data_Entry!R107/Data_Entry!$H107&lt;0,0,Data_Entry!R107/Data_Entry!$H107),0)</f>
        <v>1.0342587923586406</v>
      </c>
      <c r="N118" s="49">
        <f>IFERROR(IF(Data_Entry!S107/Data_Entry!$H107&lt;0,0,Data_Entry!S107/Data_Entry!$H107),0)</f>
        <v>0.97863132743098469</v>
      </c>
      <c r="O118" s="49">
        <f>IFERROR(IF(Data_Entry!T107/Data_Entry!$H107&lt;0,0,Data_Entry!T107/Data_Entry!$H107),0)</f>
        <v>0.99717381574020336</v>
      </c>
      <c r="P118" s="49">
        <f>IFERROR(IF(Data_Entry!U107/Data_Entry!$H107&lt;0,0,Data_Entry!U107/Data_Entry!$H107),0)</f>
        <v>1.0342587923586406</v>
      </c>
      <c r="Q118" s="49">
        <f>IFERROR(IF(Data_Entry!V107/Data_Entry!$H107&lt;0,0,Data_Entry!V107/Data_Entry!$H107),0)</f>
        <v>0.97863132743098469</v>
      </c>
      <c r="R118" s="49">
        <f>IFERROR(IF(Data_Entry!W107/Data_Entry!$H107&lt;0,0,Data_Entry!W107/Data_Entry!$H107),0)</f>
        <v>0.99717381574020336</v>
      </c>
      <c r="S118" s="49">
        <f>IFERROR(IF(Data_Entry!X107/Data_Entry!$H107&lt;0,0,Data_Entry!X107/Data_Entry!$H107),0)</f>
        <v>0.8982805447577038</v>
      </c>
      <c r="T118" s="49">
        <f>IFERROR(IF(Data_Entry!Y107/Data_Entry!$H107&lt;0,0,Data_Entry!Y107/Data_Entry!$H107),0)</f>
        <v>0.68813234391989242</v>
      </c>
      <c r="U118" s="49">
        <f>IFERROR(IF(Data_Entry!Z107/Data_Entry!$H107&lt;0,0,Data_Entry!Z107/Data_Entry!$H107),0)</f>
        <v>0.97039022151577636</v>
      </c>
      <c r="V118" s="49">
        <f>IFERROR(IF(Data_Entry!AA107/Data_Entry!$H107&lt;0,0,Data_Entry!AA107/Data_Entry!$H107),0)</f>
        <v>0.99717381574020336</v>
      </c>
      <c r="W118" s="49">
        <f>IFERROR(IF(Data_Entry!AB107/Data_Entry!$H107&lt;0,0,Data_Entry!AB107/Data_Entry!$H107),0)</f>
        <v>0.97039022151577636</v>
      </c>
      <c r="X118" s="49">
        <f>IFERROR(IF(Data_Entry!AC107/Data_Entry!$I107&lt;0,0,Data_Entry!AC107/Data_Entry!$I107),0)</f>
        <v>0.77476181916232234</v>
      </c>
      <c r="Y118" s="49">
        <f>IFERROR(IF(Data_Entry!AD107/Data_Entry!$I107&lt;0,0,Data_Entry!AD107/Data_Entry!$I107),0)</f>
        <v>0.46557612798849535</v>
      </c>
      <c r="Z118" s="49">
        <f>IFERROR(IF(Data_Entry!AE107/Data_Entry!$I107&lt;0,0,Data_Entry!AE107/Data_Entry!$I107),0)</f>
        <v>0.24806758943016355</v>
      </c>
      <c r="AA118" s="49">
        <f>IFERROR(IF(Data_Entry!AF107/Data_Entry!$I107&lt;0,0,Data_Entry!AF107/Data_Entry!$I107),0)</f>
        <v>8.987956138774042E-2</v>
      </c>
      <c r="AB118" s="49">
        <f>IFERROR(IF(Data_Entry!AG107/Data_Entry!$I107&lt;0,0,Data_Entry!AG107/Data_Entry!$I107),0)</f>
        <v>5.3927736832644249E-2</v>
      </c>
      <c r="AC118" s="49">
        <f>IFERROR(IF(Data_Entry!AI107/Data_Entry!$I107&lt;0,0,Data_Entry!AI107/Data_Entry!$I107),0)</f>
        <v>0.10479956857810532</v>
      </c>
      <c r="AD118" s="49">
        <f>IFERROR(IF(Data_Entry!AM107/Data_Entry!$H107&lt;0,0,Data_Entry!AM107/Data_Entry!$H107),0)</f>
        <v>0.8982805447577038</v>
      </c>
      <c r="AE118" s="50">
        <f>Data_Entry!AK107</f>
        <v>0</v>
      </c>
      <c r="AF118" s="50">
        <f>Data_Entry!AL107</f>
        <v>66</v>
      </c>
      <c r="AG118" s="153">
        <f>(Data_Entry!O107-Data_Entry!Q107)/Data_Entry!O107</f>
        <v>3.5856573705179286E-2</v>
      </c>
      <c r="AH118" s="79" t="str">
        <f t="shared" si="2"/>
        <v>CAT1</v>
      </c>
      <c r="AI118" s="51">
        <f>SUBTOTAL(3,Tableau1[[#This Row],[ZS]])</f>
        <v>0</v>
      </c>
      <c r="AJ118" s="51" t="e">
        <f t="shared" ca="1" si="3"/>
        <v>#NAME?</v>
      </c>
      <c r="AK118" s="50" t="str">
        <f>IFERROR(IF((Data_Entry!O107-Data_Entry!Q107)/Data_Entry!O107&lt;=10%,"&lt;=10%","&gt;10%"),"&lt;=10%")</f>
        <v>&lt;=10%</v>
      </c>
    </row>
    <row r="119" spans="1:37" s="48" customFormat="1" ht="13" hidden="1" x14ac:dyDescent="0.3">
      <c r="A119" s="31" t="s">
        <v>16</v>
      </c>
      <c r="B119" s="48" t="str">
        <f>Data_Entry!B108</f>
        <v>Goma</v>
      </c>
      <c r="C119" s="48" t="str">
        <f>Data_Entry!C108</f>
        <v xml:space="preserve"> Birambizo</v>
      </c>
      <c r="D119" s="48" t="str">
        <f>Data_Entry!D108</f>
        <v xml:space="preserve"> Mushebere</v>
      </c>
      <c r="E119" s="49">
        <f>IFERROR(IF(Data_Entry!J108/Data_Entry!$I108&lt;0,0,Data_Entry!J108/Data_Entry!$I108),0)</f>
        <v>0.82791817087845954</v>
      </c>
      <c r="F119" s="49">
        <f>IFERROR(IF(Data_Entry!K108/Data_Entry!$H108&lt;0,0,Data_Entry!K108/Data_Entry!$H108),0)</f>
        <v>0.7916722697478441</v>
      </c>
      <c r="G119" s="49">
        <f>IFERROR(IF(Data_Entry!L108/Data_Entry!$H108&lt;0,0,Data_Entry!L108/Data_Entry!$H108),0)</f>
        <v>0.94338646778314528</v>
      </c>
      <c r="H119" s="49">
        <f>IFERROR(IF(Data_Entry!M108/Data_Entry!$H108&lt;0,0,Data_Entry!M108/Data_Entry!$H108),0)</f>
        <v>0.86063326885479918</v>
      </c>
      <c r="I119" s="49">
        <f>IFERROR(IF(Data_Entry!N108/Data_Entry!$H108&lt;0,0,Data_Entry!N108/Data_Entry!$H108),0)</f>
        <v>0.7916722697478441</v>
      </c>
      <c r="J119" s="49">
        <f>IFERROR(IF(Data_Entry!O108/Data_Entry!$H108&lt;0,0,Data_Entry!O108/Data_Entry!$H108),0)</f>
        <v>0.94338646778314528</v>
      </c>
      <c r="K119" s="49">
        <f>IFERROR(IF(Data_Entry!P108/Data_Entry!$H108&lt;0,0,Data_Entry!P108/Data_Entry!$H108),0)</f>
        <v>0.86063326885479918</v>
      </c>
      <c r="L119" s="49">
        <f>IFERROR(IF(Data_Entry!Q108/Data_Entry!$H108&lt;0,0,Data_Entry!Q108/Data_Entry!$H108),0)</f>
        <v>0.7916722697478441</v>
      </c>
      <c r="M119" s="49">
        <f>IFERROR(IF(Data_Entry!R108/Data_Entry!$H108&lt;0,0,Data_Entry!R108/Data_Entry!$H108),0)</f>
        <v>0.94338646778314528</v>
      </c>
      <c r="N119" s="49">
        <f>IFERROR(IF(Data_Entry!S108/Data_Entry!$H108&lt;0,0,Data_Entry!S108/Data_Entry!$H108),0)</f>
        <v>0.86063326885479918</v>
      </c>
      <c r="O119" s="49">
        <f>IFERROR(IF(Data_Entry!T108/Data_Entry!$H108&lt;0,0,Data_Entry!T108/Data_Entry!$H108),0)</f>
        <v>0.7916722697478441</v>
      </c>
      <c r="P119" s="49">
        <f>IFERROR(IF(Data_Entry!U108/Data_Entry!$H108&lt;0,0,Data_Entry!U108/Data_Entry!$H108),0)</f>
        <v>0.93235270792603242</v>
      </c>
      <c r="Q119" s="49">
        <f>IFERROR(IF(Data_Entry!V108/Data_Entry!$H108&lt;0,0,Data_Entry!V108/Data_Entry!$H108),0)</f>
        <v>0.86063326885479918</v>
      </c>
      <c r="R119" s="49">
        <f>IFERROR(IF(Data_Entry!W108/Data_Entry!$H108&lt;0,0,Data_Entry!W108/Data_Entry!$H108),0)</f>
        <v>0.78615538981928768</v>
      </c>
      <c r="S119" s="49">
        <f>IFERROR(IF(Data_Entry!X108/Data_Entry!$H108&lt;0,0,Data_Entry!X108/Data_Entry!$H108),0)</f>
        <v>0.81925666939062614</v>
      </c>
      <c r="T119" s="49">
        <f>IFERROR(IF(Data_Entry!Y108/Data_Entry!$H108&lt;0,0,Data_Entry!Y108/Data_Entry!$H108),0)</f>
        <v>0.6344411917839865</v>
      </c>
      <c r="U119" s="49">
        <f>IFERROR(IF(Data_Entry!Z108/Data_Entry!$H108&lt;0,0,Data_Entry!Z108/Data_Entry!$H108),0)</f>
        <v>0.71995283067661087</v>
      </c>
      <c r="V119" s="49">
        <f>IFERROR(IF(Data_Entry!AA108/Data_Entry!$H108&lt;0,0,Data_Entry!AA108/Data_Entry!$H108),0)</f>
        <v>0.78615538981928768</v>
      </c>
      <c r="W119" s="49">
        <f>IFERROR(IF(Data_Entry!AB108/Data_Entry!$H108&lt;0,0,Data_Entry!AB108/Data_Entry!$H108),0)</f>
        <v>0.64547495164109936</v>
      </c>
      <c r="X119" s="49">
        <f>IFERROR(IF(Data_Entry!AC108/Data_Entry!$I108&lt;0,0,Data_Entry!AC108/Data_Entry!$I108),0)</f>
        <v>0.31046931407942235</v>
      </c>
      <c r="Y119" s="49">
        <f>IFERROR(IF(Data_Entry!AD108/Data_Entry!$I108&lt;0,0,Data_Entry!AD108/Data_Entry!$I108),0)</f>
        <v>0.18291215403128758</v>
      </c>
      <c r="Z119" s="49">
        <f>IFERROR(IF(Data_Entry!AE108/Data_Entry!$I108&lt;0,0,Data_Entry!AE108/Data_Entry!$I108),0)</f>
        <v>0.13959085439229843</v>
      </c>
      <c r="AA119" s="49">
        <f>IFERROR(IF(Data_Entry!AF108/Data_Entry!$I108&lt;0,0,Data_Entry!AF108/Data_Entry!$I108),0)</f>
        <v>6.9795427196149215E-2</v>
      </c>
      <c r="AB119" s="49">
        <f>IFERROR(IF(Data_Entry!AG108/Data_Entry!$I108&lt;0,0,Data_Entry!AG108/Data_Entry!$I108),0)</f>
        <v>3.1287605294825507E-2</v>
      </c>
      <c r="AC119" s="49">
        <f>IFERROR(IF(Data_Entry!AI108/Data_Entry!$I108&lt;0,0,Data_Entry!AI108/Data_Entry!$I108),0)</f>
        <v>0.14031287605294823</v>
      </c>
      <c r="AD119" s="49">
        <f>IFERROR(IF(Data_Entry!AM108/Data_Entry!$H108&lt;0,0,Data_Entry!AM108/Data_Entry!$H108),0)</f>
        <v>0.71995283067661087</v>
      </c>
      <c r="AE119" s="50">
        <f>Data_Entry!AK108</f>
        <v>20.523750000000007</v>
      </c>
      <c r="AF119" s="50">
        <f>Data_Entry!AL108</f>
        <v>45</v>
      </c>
      <c r="AG119" s="153">
        <f>(Data_Entry!O108-Data_Entry!Q108)/Data_Entry!O108</f>
        <v>0.16081871345029239</v>
      </c>
      <c r="AH119" s="79" t="str">
        <f t="shared" si="2"/>
        <v>CAT2</v>
      </c>
      <c r="AI119" s="51">
        <f>SUBTOTAL(3,Tableau1[[#This Row],[ZS]])</f>
        <v>0</v>
      </c>
      <c r="AJ119" s="51" t="e">
        <f t="shared" ca="1" si="3"/>
        <v>#NAME?</v>
      </c>
      <c r="AK119" s="50" t="str">
        <f>IFERROR(IF((Data_Entry!O108-Data_Entry!Q108)/Data_Entry!O108&lt;=10%,"&lt;=10%","&gt;10%"),"&lt;=10%")</f>
        <v>&gt;10%</v>
      </c>
    </row>
    <row r="120" spans="1:37" s="48" customFormat="1" ht="13" hidden="1" x14ac:dyDescent="0.3">
      <c r="A120" s="31" t="s">
        <v>16</v>
      </c>
      <c r="B120" s="48" t="str">
        <f>Data_Entry!B109</f>
        <v>Goma</v>
      </c>
      <c r="C120" s="48" t="str">
        <f>Data_Entry!C109</f>
        <v xml:space="preserve"> Birambizo</v>
      </c>
      <c r="D120" s="48" t="str">
        <f>Data_Entry!D109</f>
        <v xml:space="preserve"> Ngogholo</v>
      </c>
      <c r="E120" s="49">
        <f>IFERROR(IF(Data_Entry!J109/Data_Entry!$I109&lt;0,0,Data_Entry!J109/Data_Entry!$I109),0)</f>
        <v>0.89292814541323484</v>
      </c>
      <c r="F120" s="49">
        <f>IFERROR(IF(Data_Entry!K109/Data_Entry!$H109&lt;0,0,Data_Entry!K109/Data_Entry!$H109),0)</f>
        <v>0.90232245495508334</v>
      </c>
      <c r="G120" s="49">
        <f>IFERROR(IF(Data_Entry!L109/Data_Entry!$H109&lt;0,0,Data_Entry!L109/Data_Entry!$H109),0)</f>
        <v>1.0663810831287348</v>
      </c>
      <c r="H120" s="49">
        <f>IFERROR(IF(Data_Entry!M109/Data_Entry!$H109&lt;0,0,Data_Entry!M109/Data_Entry!$H109),0)</f>
        <v>0.95310250653264217</v>
      </c>
      <c r="I120" s="49">
        <f>IFERROR(IF(Data_Entry!N109/Data_Entry!$H109&lt;0,0,Data_Entry!N109/Data_Entry!$H109),0)</f>
        <v>1.0038825581102009</v>
      </c>
      <c r="J120" s="49">
        <f>IFERROR(IF(Data_Entry!O109/Data_Entry!$H109&lt;0,0,Data_Entry!O109/Data_Entry!$H109),0)</f>
        <v>1.0663810831287348</v>
      </c>
      <c r="K120" s="49">
        <f>IFERROR(IF(Data_Entry!P109/Data_Entry!$H109&lt;0,0,Data_Entry!P109/Data_Entry!$H109),0)</f>
        <v>0.97263329560093392</v>
      </c>
      <c r="L120" s="49">
        <f>IFERROR(IF(Data_Entry!Q109/Data_Entry!$H109&lt;0,0,Data_Entry!Q109/Data_Entry!$H109),0)</f>
        <v>1.0038825581102009</v>
      </c>
      <c r="M120" s="49">
        <f>IFERROR(IF(Data_Entry!R109/Data_Entry!$H109&lt;0,0,Data_Entry!R109/Data_Entry!$H109),0)</f>
        <v>1.0663810831287348</v>
      </c>
      <c r="N120" s="49">
        <f>IFERROR(IF(Data_Entry!S109/Data_Entry!$H109&lt;0,0,Data_Entry!S109/Data_Entry!$H109),0)</f>
        <v>0.96872713778727559</v>
      </c>
      <c r="O120" s="49">
        <f>IFERROR(IF(Data_Entry!T109/Data_Entry!$H109&lt;0,0,Data_Entry!T109/Data_Entry!$H109),0)</f>
        <v>1.0038825581102009</v>
      </c>
      <c r="P120" s="49">
        <f>IFERROR(IF(Data_Entry!U109/Data_Entry!$H109&lt;0,0,Data_Entry!U109/Data_Entry!$H109),0)</f>
        <v>1.0663810831287348</v>
      </c>
      <c r="Q120" s="49">
        <f>IFERROR(IF(Data_Entry!V109/Data_Entry!$H109&lt;0,0,Data_Entry!V109/Data_Entry!$H109),0)</f>
        <v>0.95310250653264217</v>
      </c>
      <c r="R120" s="49">
        <f>IFERROR(IF(Data_Entry!W109/Data_Entry!$H109&lt;0,0,Data_Entry!W109/Data_Entry!$H109),0)</f>
        <v>1.0038825581102009</v>
      </c>
      <c r="S120" s="49">
        <f>IFERROR(IF(Data_Entry!X109/Data_Entry!$H109&lt;0,0,Data_Entry!X109/Data_Entry!$H109),0)</f>
        <v>0.80271543070679485</v>
      </c>
      <c r="T120" s="49">
        <f>IFERROR(IF(Data_Entry!Y109/Data_Entry!$H109&lt;0,0,Data_Entry!Y109/Data_Entry!$H109),0)</f>
        <v>0.27538412586291505</v>
      </c>
      <c r="U120" s="49">
        <f>IFERROR(IF(Data_Entry!Z109/Data_Entry!$H109&lt;0,0,Data_Entry!Z109/Data_Entry!$H109),0)</f>
        <v>0.83787085102972025</v>
      </c>
      <c r="V120" s="49">
        <f>IFERROR(IF(Data_Entry!AA109/Data_Entry!$H109&lt;0,0,Data_Entry!AA109/Data_Entry!$H109),0)</f>
        <v>1.0077887159238592</v>
      </c>
      <c r="W120" s="49">
        <f>IFERROR(IF(Data_Entry!AB109/Data_Entry!$H109&lt;0,0,Data_Entry!AB109/Data_Entry!$H109),0)</f>
        <v>0.38475654464534936</v>
      </c>
      <c r="X120" s="49">
        <f>IFERROR(IF(Data_Entry!AC109/Data_Entry!$I109&lt;0,0,Data_Entry!AC109/Data_Entry!$I109),0)</f>
        <v>0.6543595569440499</v>
      </c>
      <c r="Y120" s="49">
        <f>IFERROR(IF(Data_Entry!AD109/Data_Entry!$I109&lt;0,0,Data_Entry!AD109/Data_Entry!$I109),0)</f>
        <v>0.30843510366373189</v>
      </c>
      <c r="Z120" s="49">
        <f>IFERROR(IF(Data_Entry!AE109/Data_Entry!$I109&lt;0,0,Data_Entry!AE109/Data_Entry!$I109),0)</f>
        <v>0.15506958250497016</v>
      </c>
      <c r="AA120" s="49">
        <f>IFERROR(IF(Data_Entry!AF109/Data_Entry!$I109&lt;0,0,Data_Entry!AF109/Data_Entry!$I109),0)</f>
        <v>4.6009656347628512E-2</v>
      </c>
      <c r="AB120" s="49">
        <f>IFERROR(IF(Data_Entry!AG109/Data_Entry!$I109&lt;0,0,Data_Entry!AG109/Data_Entry!$I109),0)</f>
        <v>1.1928429423459244E-2</v>
      </c>
      <c r="AC120" s="49">
        <f>IFERROR(IF(Data_Entry!AI109/Data_Entry!$I109&lt;0,0,Data_Entry!AI109/Data_Entry!$I109),0)</f>
        <v>9.9346776483953417E-2</v>
      </c>
      <c r="AD120" s="49">
        <f>IFERROR(IF(Data_Entry!AM109/Data_Entry!$H109&lt;0,0,Data_Entry!AM109/Data_Entry!$H109),0)</f>
        <v>0.80271543070679485</v>
      </c>
      <c r="AE120" s="50">
        <f>Data_Entry!AK109</f>
        <v>0</v>
      </c>
      <c r="AF120" s="50">
        <f>Data_Entry!AL109</f>
        <v>135</v>
      </c>
      <c r="AG120" s="153">
        <f>(Data_Entry!O109-Data_Entry!Q109)/Data_Entry!O109</f>
        <v>5.8608058608058608E-2</v>
      </c>
      <c r="AH120" s="79" t="str">
        <f t="shared" si="2"/>
        <v>CAT1</v>
      </c>
      <c r="AI120" s="51">
        <f>SUBTOTAL(3,Tableau1[[#This Row],[ZS]])</f>
        <v>0</v>
      </c>
      <c r="AJ120" s="51" t="e">
        <f t="shared" ca="1" si="3"/>
        <v>#NAME?</v>
      </c>
      <c r="AK120" s="50" t="str">
        <f>IFERROR(IF((Data_Entry!O109-Data_Entry!Q109)/Data_Entry!O109&lt;=10%,"&lt;=10%","&gt;10%"),"&lt;=10%")</f>
        <v>&lt;=10%</v>
      </c>
    </row>
    <row r="121" spans="1:37" s="48" customFormat="1" ht="13" hidden="1" x14ac:dyDescent="0.3">
      <c r="A121" s="31" t="s">
        <v>16</v>
      </c>
      <c r="B121" s="48" t="str">
        <f>Data_Entry!B110</f>
        <v>Goma</v>
      </c>
      <c r="C121" s="48" t="str">
        <f>Data_Entry!C110</f>
        <v xml:space="preserve"> Birambizo</v>
      </c>
      <c r="D121" s="48" t="str">
        <f>Data_Entry!D110</f>
        <v xml:space="preserve"> Rusekera</v>
      </c>
      <c r="E121" s="49">
        <f>IFERROR(IF(Data_Entry!J110/Data_Entry!$I110&lt;0,0,Data_Entry!J110/Data_Entry!$I110),0)</f>
        <v>0.95314238042269195</v>
      </c>
      <c r="F121" s="49">
        <f>IFERROR(IF(Data_Entry!K110/Data_Entry!$H110&lt;0,0,Data_Entry!K110/Data_Entry!$H110),0)</f>
        <v>1.1330641177239276</v>
      </c>
      <c r="G121" s="49">
        <f>IFERROR(IF(Data_Entry!L110/Data_Entry!$H110&lt;0,0,Data_Entry!L110/Data_Entry!$H110),0)</f>
        <v>0.99680957192168318</v>
      </c>
      <c r="H121" s="49">
        <f>IFERROR(IF(Data_Entry!M110/Data_Entry!$H110&lt;0,0,Data_Entry!M110/Data_Entry!$H110),0)</f>
        <v>0.90836363868162973</v>
      </c>
      <c r="I121" s="49">
        <f>IFERROR(IF(Data_Entry!N110/Data_Entry!$H110&lt;0,0,Data_Entry!N110/Data_Entry!$H110),0)</f>
        <v>0.91792536119406798</v>
      </c>
      <c r="J121" s="49">
        <f>IFERROR(IF(Data_Entry!O110/Data_Entry!$H110&lt;0,0,Data_Entry!O110/Data_Entry!$H110),0)</f>
        <v>0.99680957192168318</v>
      </c>
      <c r="K121" s="49">
        <f>IFERROR(IF(Data_Entry!P110/Data_Entry!$H110&lt;0,0,Data_Entry!P110/Data_Entry!$H110),0)</f>
        <v>0.90836363868162973</v>
      </c>
      <c r="L121" s="49">
        <f>IFERROR(IF(Data_Entry!Q110/Data_Entry!$H110&lt;0,0,Data_Entry!Q110/Data_Entry!$H110),0)</f>
        <v>0.91792536119406798</v>
      </c>
      <c r="M121" s="49">
        <f>IFERROR(IF(Data_Entry!R110/Data_Entry!$H110&lt;0,0,Data_Entry!R110/Data_Entry!$H110),0)</f>
        <v>0.99680957192168318</v>
      </c>
      <c r="N121" s="49">
        <f>IFERROR(IF(Data_Entry!S110/Data_Entry!$H110&lt;0,0,Data_Entry!S110/Data_Entry!$H110),0)</f>
        <v>0.90836363868162973</v>
      </c>
      <c r="O121" s="49">
        <f>IFERROR(IF(Data_Entry!T110/Data_Entry!$H110&lt;0,0,Data_Entry!T110/Data_Entry!$H110),0)</f>
        <v>0.91792536119406798</v>
      </c>
      <c r="P121" s="49">
        <f>IFERROR(IF(Data_Entry!U110/Data_Entry!$H110&lt;0,0,Data_Entry!U110/Data_Entry!$H110),0)</f>
        <v>0.99680957192168318</v>
      </c>
      <c r="Q121" s="49">
        <f>IFERROR(IF(Data_Entry!V110/Data_Entry!$H110&lt;0,0,Data_Entry!V110/Data_Entry!$H110),0)</f>
        <v>0.90836363868162973</v>
      </c>
      <c r="R121" s="49">
        <f>IFERROR(IF(Data_Entry!W110/Data_Entry!$H110&lt;0,0,Data_Entry!W110/Data_Entry!$H110),0)</f>
        <v>0.91792536119406798</v>
      </c>
      <c r="S121" s="49">
        <f>IFERROR(IF(Data_Entry!X110/Data_Entry!$H110&lt;0,0,Data_Entry!X110/Data_Entry!$H110),0)</f>
        <v>0.95617225124382077</v>
      </c>
      <c r="T121" s="49">
        <f>IFERROR(IF(Data_Entry!Y110/Data_Entry!$H110&lt;0,0,Data_Entry!Y110/Data_Entry!$H110),0)</f>
        <v>0.54501818320897788</v>
      </c>
      <c r="U121" s="49">
        <f>IFERROR(IF(Data_Entry!Z110/Data_Entry!$H110&lt;0,0,Data_Entry!Z110/Data_Entry!$H110),0)</f>
        <v>0.98007655752491629</v>
      </c>
      <c r="V121" s="49">
        <f>IFERROR(IF(Data_Entry!AA110/Data_Entry!$H110&lt;0,0,Data_Entry!AA110/Data_Entry!$H110),0)</f>
        <v>0.90358277742541071</v>
      </c>
      <c r="W121" s="49">
        <f>IFERROR(IF(Data_Entry!AB110/Data_Entry!$H110&lt;0,0,Data_Entry!AB110/Data_Entry!$H110),0)</f>
        <v>0.95617225124382077</v>
      </c>
      <c r="X121" s="49">
        <f>IFERROR(IF(Data_Entry!AC110/Data_Entry!$I110&lt;0,0,Data_Entry!AC110/Data_Entry!$I110),0)</f>
        <v>0.26279199110122359</v>
      </c>
      <c r="Y121" s="49">
        <f>IFERROR(IF(Data_Entry!AD110/Data_Entry!$I110&lt;0,0,Data_Entry!AD110/Data_Entry!$I110),0)</f>
        <v>0.13348164627363737</v>
      </c>
      <c r="Z121" s="49">
        <f>IFERROR(IF(Data_Entry!AE110/Data_Entry!$I110&lt;0,0,Data_Entry!AE110/Data_Entry!$I110),0)</f>
        <v>7.7169076751946605E-2</v>
      </c>
      <c r="AA121" s="49">
        <f>IFERROR(IF(Data_Entry!AF110/Data_Entry!$I110&lt;0,0,Data_Entry!AF110/Data_Entry!$I110),0)</f>
        <v>6.4655172413793108E-2</v>
      </c>
      <c r="AB121" s="49">
        <f>IFERROR(IF(Data_Entry!AG110/Data_Entry!$I110&lt;0,0,Data_Entry!AG110/Data_Entry!$I110),0)</f>
        <v>5.8398220244716352E-2</v>
      </c>
      <c r="AC121" s="49">
        <f>IFERROR(IF(Data_Entry!AI110/Data_Entry!$I110&lt;0,0,Data_Entry!AI110/Data_Entry!$I110),0)</f>
        <v>0.12159343715239154</v>
      </c>
      <c r="AD121" s="49">
        <f>IFERROR(IF(Data_Entry!AM110/Data_Entry!$H110&lt;0,0,Data_Entry!AM110/Data_Entry!$H110),0)</f>
        <v>0.95617225124382077</v>
      </c>
      <c r="AE121" s="50">
        <f>Data_Entry!AK110</f>
        <v>1.3346666666666351</v>
      </c>
      <c r="AF121" s="50">
        <f>Data_Entry!AL110</f>
        <v>17</v>
      </c>
      <c r="AG121" s="153">
        <f>(Data_Entry!O110-Data_Entry!Q110)/Data_Entry!O110</f>
        <v>7.9136690647482008E-2</v>
      </c>
      <c r="AH121" s="79" t="str">
        <f t="shared" si="2"/>
        <v>CAT1</v>
      </c>
      <c r="AI121" s="51">
        <f>SUBTOTAL(3,Tableau1[[#This Row],[ZS]])</f>
        <v>0</v>
      </c>
      <c r="AJ121" s="51" t="e">
        <f t="shared" ca="1" si="3"/>
        <v>#NAME?</v>
      </c>
      <c r="AK121" s="50" t="str">
        <f>IFERROR(IF((Data_Entry!O110-Data_Entry!Q110)/Data_Entry!O110&lt;=10%,"&lt;=10%","&gt;10%"),"&lt;=10%")</f>
        <v>&lt;=10%</v>
      </c>
    </row>
    <row r="122" spans="1:37" s="48" customFormat="1" ht="13" hidden="1" x14ac:dyDescent="0.3">
      <c r="A122" s="31" t="s">
        <v>16</v>
      </c>
      <c r="B122" s="48" t="str">
        <f>Data_Entry!B111</f>
        <v>Goma</v>
      </c>
      <c r="C122" s="48" t="str">
        <f>Data_Entry!C111</f>
        <v xml:space="preserve"> Birambizo</v>
      </c>
      <c r="D122" s="48" t="str">
        <f>Data_Entry!D111</f>
        <v xml:space="preserve"> Rwindi</v>
      </c>
      <c r="E122" s="49">
        <f>IFERROR(IF(Data_Entry!J111/Data_Entry!$I111&lt;0,0,Data_Entry!J111/Data_Entry!$I111),0)</f>
        <v>0.73803036200856376</v>
      </c>
      <c r="F122" s="49">
        <f>IFERROR(IF(Data_Entry!K111/Data_Entry!$H111&lt;0,0,Data_Entry!K111/Data_Entry!$H111),0)</f>
        <v>0.84588007106998697</v>
      </c>
      <c r="G122" s="49">
        <f>IFERROR(IF(Data_Entry!L111/Data_Entry!$H111&lt;0,0,Data_Entry!L111/Data_Entry!$H111),0)</f>
        <v>1.4294302466815603</v>
      </c>
      <c r="H122" s="49">
        <f>IFERROR(IF(Data_Entry!M111/Data_Entry!$H111&lt;0,0,Data_Entry!M111/Data_Entry!$H111),0)</f>
        <v>1.1590698442193175</v>
      </c>
      <c r="I122" s="49">
        <f>IFERROR(IF(Data_Entry!N111/Data_Entry!$H111&lt;0,0,Data_Entry!N111/Data_Entry!$H111),0)</f>
        <v>1.1456856658796026</v>
      </c>
      <c r="J122" s="49">
        <f>IFERROR(IF(Data_Entry!O111/Data_Entry!$H111&lt;0,0,Data_Entry!O111/Data_Entry!$H111),0)</f>
        <v>1.4294302466815603</v>
      </c>
      <c r="K122" s="49">
        <f>IFERROR(IF(Data_Entry!P111/Data_Entry!$H111&lt;0,0,Data_Entry!P111/Data_Entry!$H111),0)</f>
        <v>1.1590698442193175</v>
      </c>
      <c r="L122" s="49">
        <f>IFERROR(IF(Data_Entry!Q111/Data_Entry!$H111&lt;0,0,Data_Entry!Q111/Data_Entry!$H111),0)</f>
        <v>1.1456856658796026</v>
      </c>
      <c r="M122" s="49">
        <f>IFERROR(IF(Data_Entry!R111/Data_Entry!$H111&lt;0,0,Data_Entry!R111/Data_Entry!$H111),0)</f>
        <v>1.4294302466815603</v>
      </c>
      <c r="N122" s="49">
        <f>IFERROR(IF(Data_Entry!S111/Data_Entry!$H111&lt;0,0,Data_Entry!S111/Data_Entry!$H111),0)</f>
        <v>1.1590698442193175</v>
      </c>
      <c r="O122" s="49">
        <f>IFERROR(IF(Data_Entry!T111/Data_Entry!$H111&lt;0,0,Data_Entry!T111/Data_Entry!$H111),0)</f>
        <v>1.1456856658796026</v>
      </c>
      <c r="P122" s="49">
        <f>IFERROR(IF(Data_Entry!U111/Data_Entry!$H111&lt;0,0,Data_Entry!U111/Data_Entry!$H111),0)</f>
        <v>1.4294302466815603</v>
      </c>
      <c r="Q122" s="49">
        <f>IFERROR(IF(Data_Entry!V111/Data_Entry!$H111&lt;0,0,Data_Entry!V111/Data_Entry!$H111),0)</f>
        <v>1.1590698442193175</v>
      </c>
      <c r="R122" s="49">
        <f>IFERROR(IF(Data_Entry!W111/Data_Entry!$H111&lt;0,0,Data_Entry!W111/Data_Entry!$H111),0)</f>
        <v>1.1456856658796026</v>
      </c>
      <c r="S122" s="49">
        <f>IFERROR(IF(Data_Entry!X111/Data_Entry!$H111&lt;0,0,Data_Entry!X111/Data_Entry!$H111),0)</f>
        <v>1.2554359282652654</v>
      </c>
      <c r="T122" s="49">
        <f>IFERROR(IF(Data_Entry!Y111/Data_Entry!$H111&lt;0,0,Data_Entry!Y111/Data_Entry!$H111),0)</f>
        <v>0.85391057807381598</v>
      </c>
      <c r="U122" s="49">
        <f>IFERROR(IF(Data_Entry!Z111/Data_Entry!$H111&lt;0,0,Data_Entry!Z111/Data_Entry!$H111),0)</f>
        <v>1.2340212429217214</v>
      </c>
      <c r="V122" s="49">
        <f>IFERROR(IF(Data_Entry!AA111/Data_Entry!$H111&lt;0,0,Data_Entry!AA111/Data_Entry!$H111),0)</f>
        <v>1.1617466798872607</v>
      </c>
      <c r="W122" s="49">
        <f>IFERROR(IF(Data_Entry!AB111/Data_Entry!$H111&lt;0,0,Data_Entry!AB111/Data_Entry!$H111),0)</f>
        <v>1.0894721168527997</v>
      </c>
      <c r="X122" s="49">
        <f>IFERROR(IF(Data_Entry!AC111/Data_Entry!$I111&lt;0,0,Data_Entry!AC111/Data_Entry!$I111),0)</f>
        <v>0.61658232775398991</v>
      </c>
      <c r="Y122" s="49">
        <f>IFERROR(IF(Data_Entry!AD111/Data_Entry!$I111&lt;0,0,Data_Entry!AD111/Data_Entry!$I111),0)</f>
        <v>0.50681198910081748</v>
      </c>
      <c r="Z122" s="49">
        <f>IFERROR(IF(Data_Entry!AE111/Data_Entry!$I111&lt;0,0,Data_Entry!AE111/Data_Entry!$I111),0)</f>
        <v>0.33865317244063842</v>
      </c>
      <c r="AA122" s="49">
        <f>IFERROR(IF(Data_Entry!AF111/Data_Entry!$I111&lt;0,0,Data_Entry!AF111/Data_Entry!$I111),0)</f>
        <v>6.0724017127286888E-2</v>
      </c>
      <c r="AB122" s="49">
        <f>IFERROR(IF(Data_Entry!AG111/Data_Entry!$I111&lt;0,0,Data_Entry!AG111/Data_Entry!$I111),0)</f>
        <v>4.6710782405605302E-3</v>
      </c>
      <c r="AC122" s="49">
        <f>IFERROR(IF(Data_Entry!AI111/Data_Entry!$I111&lt;0,0,Data_Entry!AI111/Data_Entry!$I111),0)</f>
        <v>0.13616193071233942</v>
      </c>
      <c r="AD122" s="49">
        <f>IFERROR(IF(Data_Entry!AM111/Data_Entry!$H111&lt;0,0,Data_Entry!AM111/Data_Entry!$H111),0)</f>
        <v>1.2340212429217214</v>
      </c>
      <c r="AE122" s="50">
        <f>Data_Entry!AK111</f>
        <v>0</v>
      </c>
      <c r="AF122" s="50">
        <f>Data_Entry!AL111</f>
        <v>65</v>
      </c>
      <c r="AG122" s="153">
        <f>(Data_Entry!O111-Data_Entry!Q111)/Data_Entry!O111</f>
        <v>0.19850187265917604</v>
      </c>
      <c r="AH122" s="79" t="str">
        <f t="shared" si="2"/>
        <v>CAT2</v>
      </c>
      <c r="AI122" s="51">
        <f>SUBTOTAL(3,Tableau1[[#This Row],[ZS]])</f>
        <v>0</v>
      </c>
      <c r="AJ122" s="51" t="e">
        <f t="shared" ca="1" si="3"/>
        <v>#NAME?</v>
      </c>
      <c r="AK122" s="50" t="str">
        <f>IFERROR(IF((Data_Entry!O111-Data_Entry!Q111)/Data_Entry!O111&lt;=10%,"&lt;=10%","&gt;10%"),"&lt;=10%")</f>
        <v>&gt;10%</v>
      </c>
    </row>
    <row r="123" spans="1:37" s="48" customFormat="1" ht="13" hidden="1" x14ac:dyDescent="0.3">
      <c r="A123" s="31" t="s">
        <v>16</v>
      </c>
      <c r="B123" s="48" t="str">
        <f>Data_Entry!B112</f>
        <v>Butembo</v>
      </c>
      <c r="C123" s="48" t="str">
        <f>Data_Entry!C112</f>
        <v xml:space="preserve"> Butembo</v>
      </c>
      <c r="D123" s="48" t="str">
        <f>Data_Entry!D112</f>
        <v xml:space="preserve"> Katsya</v>
      </c>
      <c r="E123" s="49">
        <f>IFERROR(IF(Data_Entry!J112/Data_Entry!$I112&lt;0,0,Data_Entry!J112/Data_Entry!$I112),0)</f>
        <v>0.65136476426798995</v>
      </c>
      <c r="F123" s="49">
        <f>IFERROR(IF(Data_Entry!K112/Data_Entry!$H112&lt;0,0,Data_Entry!K112/Data_Entry!$H112),0)</f>
        <v>0.12950354941296802</v>
      </c>
      <c r="G123" s="49">
        <f>IFERROR(IF(Data_Entry!L112/Data_Entry!$H112&lt;0,0,Data_Entry!L112/Data_Entry!$H112),0)</f>
        <v>0.91109555939946918</v>
      </c>
      <c r="H123" s="49">
        <f>IFERROR(IF(Data_Entry!M112/Data_Entry!$H112&lt;0,0,Data_Entry!M112/Data_Entry!$H112),0)</f>
        <v>0.82272843156473807</v>
      </c>
      <c r="I123" s="49">
        <f>IFERROR(IF(Data_Entry!N112/Data_Entry!$H112&lt;0,0,Data_Entry!N112/Data_Entry!$H112),0)</f>
        <v>0.86081771080384628</v>
      </c>
      <c r="J123" s="49">
        <f>IFERROR(IF(Data_Entry!O112/Data_Entry!$H112&lt;0,0,Data_Entry!O112/Data_Entry!$H112),0)</f>
        <v>0.81206343337778775</v>
      </c>
      <c r="K123" s="49">
        <f>IFERROR(IF(Data_Entry!P112/Data_Entry!$H112&lt;0,0,Data_Entry!P112/Data_Entry!$H112),0)</f>
        <v>0.73740844606913558</v>
      </c>
      <c r="L123" s="49">
        <f>IFERROR(IF(Data_Entry!Q112/Data_Entry!$H112&lt;0,0,Data_Entry!Q112/Data_Entry!$H112),0)</f>
        <v>0.77092701179955081</v>
      </c>
      <c r="M123" s="49">
        <f>IFERROR(IF(Data_Entry!R112/Data_Entry!$H112&lt;0,0,Data_Entry!R112/Data_Entry!$H112),0)</f>
        <v>0.81206343337778775</v>
      </c>
      <c r="N123" s="49">
        <f>IFERROR(IF(Data_Entry!S112/Data_Entry!$H112&lt;0,0,Data_Entry!S112/Data_Entry!$H112),0)</f>
        <v>0.73740844606913558</v>
      </c>
      <c r="O123" s="49">
        <f>IFERROR(IF(Data_Entry!T112/Data_Entry!$H112&lt;0,0,Data_Entry!T112/Data_Entry!$H112),0)</f>
        <v>0.77092701179955081</v>
      </c>
      <c r="P123" s="49">
        <f>IFERROR(IF(Data_Entry!U112/Data_Entry!$H112&lt;0,0,Data_Entry!U112/Data_Entry!$H112),0)</f>
        <v>0.80444557752996615</v>
      </c>
      <c r="Q123" s="49">
        <f>IFERROR(IF(Data_Entry!V112/Data_Entry!$H112&lt;0,0,Data_Entry!V112/Data_Entry!$H112),0)</f>
        <v>0.73131416139087824</v>
      </c>
      <c r="R123" s="49">
        <f>IFERROR(IF(Data_Entry!W112/Data_Entry!$H112&lt;0,0,Data_Entry!W112/Data_Entry!$H112),0)</f>
        <v>0.77245058296911517</v>
      </c>
      <c r="S123" s="49">
        <f>IFERROR(IF(Data_Entry!X112/Data_Entry!$H112&lt;0,0,Data_Entry!X112/Data_Entry!$H112),0)</f>
        <v>0.8059691486995304</v>
      </c>
      <c r="T123" s="49">
        <f>IFERROR(IF(Data_Entry!Y112/Data_Entry!$H112&lt;0,0,Data_Entry!Y112/Data_Entry!$H112),0)</f>
        <v>6.7037131460830512E-2</v>
      </c>
      <c r="U123" s="49">
        <f>IFERROR(IF(Data_Entry!Z112/Data_Entry!$H112&lt;0,0,Data_Entry!Z112/Data_Entry!$H112),0)</f>
        <v>0.8059691486995304</v>
      </c>
      <c r="V123" s="49">
        <f>IFERROR(IF(Data_Entry!AA112/Data_Entry!$H112&lt;0,0,Data_Entry!AA112/Data_Entry!$H112),0)</f>
        <v>0.87605342249948959</v>
      </c>
      <c r="W123" s="49">
        <f>IFERROR(IF(Data_Entry!AB112/Data_Entry!$H112&lt;0,0,Data_Entry!AB112/Data_Entry!$H112),0)</f>
        <v>0.8059691486995304</v>
      </c>
      <c r="X123" s="49">
        <f>IFERROR(IF(Data_Entry!AC112/Data_Entry!$I112&lt;0,0,Data_Entry!AC112/Data_Entry!$I112),0)</f>
        <v>8.2417582417582402E-2</v>
      </c>
      <c r="Y123" s="49">
        <f>IFERROR(IF(Data_Entry!AD112/Data_Entry!$I112&lt;0,0,Data_Entry!AD112/Data_Entry!$I112),0)</f>
        <v>4.3867422899680958E-2</v>
      </c>
      <c r="Z123" s="49">
        <f>IFERROR(IF(Data_Entry!AE112/Data_Entry!$I112&lt;0,0,Data_Entry!AE112/Data_Entry!$I112),0)</f>
        <v>3.4562211981566816E-2</v>
      </c>
      <c r="AA123" s="49">
        <f>IFERROR(IF(Data_Entry!AF112/Data_Entry!$I112&lt;0,0,Data_Entry!AF112/Data_Entry!$I112),0)</f>
        <v>2.5257001063452671E-2</v>
      </c>
      <c r="AB123" s="49">
        <f>IFERROR(IF(Data_Entry!AG112/Data_Entry!$I112&lt;0,0,Data_Entry!AG112/Data_Entry!$I112),0)</f>
        <v>1.7281105990783408E-2</v>
      </c>
      <c r="AC123" s="49">
        <f>IFERROR(IF(Data_Entry!AI112/Data_Entry!$I112&lt;0,0,Data_Entry!AI112/Data_Entry!$I112),0)</f>
        <v>7.7499113789436358E-2</v>
      </c>
      <c r="AD123" s="49">
        <f>IFERROR(IF(Data_Entry!AM112/Data_Entry!$H112&lt;0,0,Data_Entry!AM112/Data_Entry!$H112),0)</f>
        <v>0.8059691486995304</v>
      </c>
      <c r="AE123" s="50">
        <f>Data_Entry!AK112</f>
        <v>123.35266666666666</v>
      </c>
      <c r="AF123" s="50">
        <f>Data_Entry!AL112</f>
        <v>4</v>
      </c>
      <c r="AG123" s="153">
        <f>(Data_Entry!O112-Data_Entry!Q112)/Data_Entry!O112</f>
        <v>5.0656660412757973E-2</v>
      </c>
      <c r="AH123" s="79" t="str">
        <f t="shared" si="2"/>
        <v>CAT3</v>
      </c>
      <c r="AI123" s="51">
        <f>SUBTOTAL(3,Tableau1[[#This Row],[ZS]])</f>
        <v>0</v>
      </c>
      <c r="AJ123" s="51" t="e">
        <f t="shared" ca="1" si="3"/>
        <v>#NAME?</v>
      </c>
      <c r="AK123" s="50" t="str">
        <f>IFERROR(IF((Data_Entry!O112-Data_Entry!Q112)/Data_Entry!O112&lt;=10%,"&lt;=10%","&gt;10%"),"&lt;=10%")</f>
        <v>&lt;=10%</v>
      </c>
    </row>
    <row r="124" spans="1:37" s="48" customFormat="1" ht="13" hidden="1" x14ac:dyDescent="0.3">
      <c r="A124" s="31" t="s">
        <v>16</v>
      </c>
      <c r="B124" s="48" t="str">
        <f>Data_Entry!B113</f>
        <v>Butembo</v>
      </c>
      <c r="C124" s="48" t="str">
        <f>Data_Entry!C113</f>
        <v xml:space="preserve"> Butembo</v>
      </c>
      <c r="D124" s="48" t="str">
        <f>Data_Entry!D113</f>
        <v xml:space="preserve"> Kyangike</v>
      </c>
      <c r="E124" s="49">
        <f>IFERROR(IF(Data_Entry!J113/Data_Entry!$I113&lt;0,0,Data_Entry!J113/Data_Entry!$I113),0)</f>
        <v>0.76908682634730541</v>
      </c>
      <c r="F124" s="49">
        <f>IFERROR(IF(Data_Entry!K113/Data_Entry!$H113&lt;0,0,Data_Entry!K113/Data_Entry!$H113),0)</f>
        <v>0.11152480140006521</v>
      </c>
      <c r="G124" s="49">
        <f>IFERROR(IF(Data_Entry!L113/Data_Entry!$H113&lt;0,0,Data_Entry!L113/Data_Entry!$H113),0)</f>
        <v>0.87718545716589746</v>
      </c>
      <c r="H124" s="49">
        <f>IFERROR(IF(Data_Entry!M113/Data_Entry!$H113&lt;0,0,Data_Entry!M113/Data_Entry!$H113),0)</f>
        <v>0.86646191856973742</v>
      </c>
      <c r="I124" s="49">
        <f>IFERROR(IF(Data_Entry!N113/Data_Entry!$H113&lt;0,0,Data_Entry!N113/Data_Entry!$H113),0)</f>
        <v>0.81284422558893688</v>
      </c>
      <c r="J124" s="49">
        <f>IFERROR(IF(Data_Entry!O113/Data_Entry!$H113&lt;0,0,Data_Entry!O113/Data_Entry!$H113),0)</f>
        <v>0.95225022733901832</v>
      </c>
      <c r="K124" s="49">
        <f>IFERROR(IF(Data_Entry!P113/Data_Entry!$H113&lt;0,0,Data_Entry!P113/Data_Entry!$H113),0)</f>
        <v>0.86646191856973742</v>
      </c>
      <c r="L124" s="49">
        <f>IFERROR(IF(Data_Entry!Q113/Data_Entry!$H113&lt;0,0,Data_Entry!Q113/Data_Entry!$H113),0)</f>
        <v>0.83858071821972113</v>
      </c>
      <c r="M124" s="49">
        <f>IFERROR(IF(Data_Entry!R113/Data_Entry!$H113&lt;0,0,Data_Entry!R113/Data_Entry!$H113),0)</f>
        <v>0.94796081190055426</v>
      </c>
      <c r="N124" s="49">
        <f>IFERROR(IF(Data_Entry!S113/Data_Entry!$H113&lt;0,0,Data_Entry!S113/Data_Entry!$H113),0)</f>
        <v>0.86431721085050539</v>
      </c>
      <c r="O124" s="49">
        <f>IFERROR(IF(Data_Entry!T113/Data_Entry!$H113&lt;0,0,Data_Entry!T113/Data_Entry!$H113),0)</f>
        <v>0.69703000875040755</v>
      </c>
      <c r="P124" s="49">
        <f>IFERROR(IF(Data_Entry!U113/Data_Entry!$H113&lt;0,0,Data_Entry!U113/Data_Entry!$H113),0)</f>
        <v>0.60695228454266259</v>
      </c>
      <c r="Q124" s="49">
        <f>IFERROR(IF(Data_Entry!V113/Data_Entry!$H113&lt;0,0,Data_Entry!V113/Data_Entry!$H113),0)</f>
        <v>0.58550520735034239</v>
      </c>
      <c r="R124" s="49">
        <f>IFERROR(IF(Data_Entry!W113/Data_Entry!$H113&lt;0,0,Data_Entry!W113/Data_Entry!$H113),0)</f>
        <v>0.55547929928109407</v>
      </c>
      <c r="S124" s="49">
        <f>IFERROR(IF(Data_Entry!X113/Data_Entry!$H113&lt;0,0,Data_Entry!X113/Data_Entry!$H113),0)</f>
        <v>0.97798671996980258</v>
      </c>
      <c r="T124" s="49">
        <f>IFERROR(IF(Data_Entry!Y113/Data_Entry!$H113&lt;0,0,Data_Entry!Y113/Data_Entry!$H113),0)</f>
        <v>0.10723538596160116</v>
      </c>
      <c r="U124" s="49">
        <f>IFERROR(IF(Data_Entry!Z113/Data_Entry!$H113&lt;0,0,Data_Entry!Z113/Data_Entry!$H113),0)</f>
        <v>0.68416176243501547</v>
      </c>
      <c r="V124" s="49">
        <f>IFERROR(IF(Data_Entry!AA113/Data_Entry!$H113&lt;0,0,Data_Entry!AA113/Data_Entry!$H113),0)</f>
        <v>0.80641010243124078</v>
      </c>
      <c r="W124" s="49">
        <f>IFERROR(IF(Data_Entry!AB113/Data_Entry!$H113&lt;0,0,Data_Entry!AB113/Data_Entry!$H113),0)</f>
        <v>0.81069951786970484</v>
      </c>
      <c r="X124" s="49">
        <f>IFERROR(IF(Data_Entry!AC113/Data_Entry!$I113&lt;0,0,Data_Entry!AC113/Data_Entry!$I113),0)</f>
        <v>1.2855538922155689</v>
      </c>
      <c r="Y124" s="49">
        <f>IFERROR(IF(Data_Entry!AD113/Data_Entry!$I113&lt;0,0,Data_Entry!AD113/Data_Entry!$I113),0)</f>
        <v>0.79341317365269459</v>
      </c>
      <c r="Z124" s="49">
        <f>IFERROR(IF(Data_Entry!AE113/Data_Entry!$I113&lt;0,0,Data_Entry!AE113/Data_Entry!$I113),0)</f>
        <v>0.14782934131736528</v>
      </c>
      <c r="AA124" s="49">
        <f>IFERROR(IF(Data_Entry!AF113/Data_Entry!$I113&lt;0,0,Data_Entry!AF113/Data_Entry!$I113),0)</f>
        <v>2.9940119760479042E-2</v>
      </c>
      <c r="AB124" s="49">
        <f>IFERROR(IF(Data_Entry!AG113/Data_Entry!$I113&lt;0,0,Data_Entry!AG113/Data_Entry!$I113),0)</f>
        <v>2.4326347305389222E-2</v>
      </c>
      <c r="AC124" s="49">
        <f>IFERROR(IF(Data_Entry!AI113/Data_Entry!$I113&lt;0,0,Data_Entry!AI113/Data_Entry!$I113),0)</f>
        <v>9.3562874251497008E-2</v>
      </c>
      <c r="AD124" s="49">
        <f>IFERROR(IF(Data_Entry!AM113/Data_Entry!$H113&lt;0,0,Data_Entry!AM113/Data_Entry!$H113),0)</f>
        <v>0.68416176243501547</v>
      </c>
      <c r="AE124" s="50">
        <f>Data_Entry!AK113</f>
        <v>22.263999999999953</v>
      </c>
      <c r="AF124" s="50">
        <f>Data_Entry!AL113</f>
        <v>0</v>
      </c>
      <c r="AG124" s="153">
        <f>(Data_Entry!O113-Data_Entry!Q113)/Data_Entry!O113</f>
        <v>0.11936936936936937</v>
      </c>
      <c r="AH124" s="79" t="str">
        <f t="shared" si="2"/>
        <v>CAT2</v>
      </c>
      <c r="AI124" s="51">
        <f>SUBTOTAL(3,Tableau1[[#This Row],[ZS]])</f>
        <v>0</v>
      </c>
      <c r="AJ124" s="51" t="e">
        <f t="shared" ca="1" si="3"/>
        <v>#NAME?</v>
      </c>
      <c r="AK124" s="50" t="str">
        <f>IFERROR(IF((Data_Entry!O113-Data_Entry!Q113)/Data_Entry!O113&lt;=10%,"&lt;=10%","&gt;10%"),"&lt;=10%")</f>
        <v>&gt;10%</v>
      </c>
    </row>
    <row r="125" spans="1:37" s="48" customFormat="1" ht="13" hidden="1" x14ac:dyDescent="0.3">
      <c r="A125" s="31" t="s">
        <v>16</v>
      </c>
      <c r="B125" s="48" t="str">
        <f>Data_Entry!B114</f>
        <v>Butembo</v>
      </c>
      <c r="C125" s="48" t="str">
        <f>Data_Entry!C114</f>
        <v xml:space="preserve"> Butembo</v>
      </c>
      <c r="D125" s="48" t="str">
        <f>Data_Entry!D114</f>
        <v xml:space="preserve"> Makasi</v>
      </c>
      <c r="E125" s="49">
        <f>IFERROR(IF(Data_Entry!J114/Data_Entry!$I114&lt;0,0,Data_Entry!J114/Data_Entry!$I114),0)</f>
        <v>1.5091249415067851</v>
      </c>
      <c r="F125" s="49">
        <f>IFERROR(IF(Data_Entry!K114/Data_Entry!$H114&lt;0,0,Data_Entry!K114/Data_Entry!$H114),0)</f>
        <v>0.93320979923921954</v>
      </c>
      <c r="G125" s="49">
        <f>IFERROR(IF(Data_Entry!L114/Data_Entry!$H114&lt;0,0,Data_Entry!L114/Data_Entry!$H114),0)</f>
        <v>0.84471576655274183</v>
      </c>
      <c r="H125" s="49">
        <f>IFERROR(IF(Data_Entry!M114/Data_Entry!$H114&lt;0,0,Data_Entry!M114/Data_Entry!$H114),0)</f>
        <v>0.76694828328280684</v>
      </c>
      <c r="I125" s="49">
        <f>IFERROR(IF(Data_Entry!N114/Data_Entry!$H114&lt;0,0,Data_Entry!N114/Data_Entry!$H114),0)</f>
        <v>0.72672372297077148</v>
      </c>
      <c r="J125" s="49">
        <f>IFERROR(IF(Data_Entry!O114/Data_Entry!$H114&lt;0,0,Data_Entry!O114/Data_Entry!$H114),0)</f>
        <v>0.88494032686477708</v>
      </c>
      <c r="K125" s="49">
        <f>IFERROR(IF(Data_Entry!P114/Data_Entry!$H114&lt;0,0,Data_Entry!P114/Data_Entry!$H114),0)</f>
        <v>0.79108301947002801</v>
      </c>
      <c r="L125" s="49">
        <f>IFERROR(IF(Data_Entry!Q114/Data_Entry!$H114&lt;0,0,Data_Entry!Q114/Data_Entry!$H114),0)</f>
        <v>0.75890337122039975</v>
      </c>
      <c r="M125" s="49">
        <f>IFERROR(IF(Data_Entry!R114/Data_Entry!$H114&lt;0,0,Data_Entry!R114/Data_Entry!$H114),0)</f>
        <v>0.86616886538582727</v>
      </c>
      <c r="N125" s="49">
        <f>IFERROR(IF(Data_Entry!S114/Data_Entry!$H114&lt;0,0,Data_Entry!S114/Data_Entry!$H114),0)</f>
        <v>0.8071728435948422</v>
      </c>
      <c r="O125" s="49">
        <f>IFERROR(IF(Data_Entry!T114/Data_Entry!$H114&lt;0,0,Data_Entry!T114/Data_Entry!$H114),0)</f>
        <v>0.73476863503317857</v>
      </c>
      <c r="P125" s="49">
        <f>IFERROR(IF(Data_Entry!U114/Data_Entry!$H114&lt;0,0,Data_Entry!U114/Data_Entry!$H114),0)</f>
        <v>0.91175670040613399</v>
      </c>
      <c r="Q125" s="49">
        <f>IFERROR(IF(Data_Entry!V114/Data_Entry!$H114&lt;0,0,Data_Entry!V114/Data_Entry!$H114),0)</f>
        <v>0.80985448094897783</v>
      </c>
      <c r="R125" s="49">
        <f>IFERROR(IF(Data_Entry!W114/Data_Entry!$H114&lt;0,0,Data_Entry!W114/Data_Entry!$H114),0)</f>
        <v>0.81789939301138492</v>
      </c>
      <c r="S125" s="49">
        <f>IFERROR(IF(Data_Entry!X114/Data_Entry!$H114&lt;0,0,Data_Entry!X114/Data_Entry!$H114),0)</f>
        <v>0.81521775565724919</v>
      </c>
      <c r="T125" s="49">
        <f>IFERROR(IF(Data_Entry!Y114/Data_Entry!$H114&lt;0,0,Data_Entry!Y114/Data_Entry!$H114),0)</f>
        <v>0.15017169183159854</v>
      </c>
      <c r="U125" s="49">
        <f>IFERROR(IF(Data_Entry!Z114/Data_Entry!$H114&lt;0,0,Data_Entry!Z114/Data_Entry!$H114),0)</f>
        <v>0.74281354709558567</v>
      </c>
      <c r="V125" s="49">
        <f>IFERROR(IF(Data_Entry!AA114/Data_Entry!$H114&lt;0,0,Data_Entry!AA114/Data_Entry!$H114),0)</f>
        <v>0.76158500857453548</v>
      </c>
      <c r="W125" s="49">
        <f>IFERROR(IF(Data_Entry!AB114/Data_Entry!$H114&lt;0,0,Data_Entry!AB114/Data_Entry!$H114),0)</f>
        <v>0.81521775565724919</v>
      </c>
      <c r="X125" s="49">
        <f>IFERROR(IF(Data_Entry!AC114/Data_Entry!$I114&lt;0,0,Data_Entry!AC114/Data_Entry!$I114),0)</f>
        <v>1.8858212447356104</v>
      </c>
      <c r="Y125" s="49">
        <f>IFERROR(IF(Data_Entry!AD114/Data_Entry!$I114&lt;0,0,Data_Entry!AD114/Data_Entry!$I114),0)</f>
        <v>1.5348619560131023</v>
      </c>
      <c r="Z125" s="49">
        <f>IFERROR(IF(Data_Entry!AE114/Data_Entry!$I114&lt;0,0,Data_Entry!AE114/Data_Entry!$I114),0)</f>
        <v>0.86803930744033686</v>
      </c>
      <c r="AA125" s="49">
        <f>IFERROR(IF(Data_Entry!AF114/Data_Entry!$I114&lt;0,0,Data_Entry!AF114/Data_Entry!$I114),0)</f>
        <v>0.67384183434721567</v>
      </c>
      <c r="AB125" s="49">
        <f>IFERROR(IF(Data_Entry!AG114/Data_Entry!$I114&lt;0,0,Data_Entry!AG114/Data_Entry!$I114),0)</f>
        <v>0.48900327562002804</v>
      </c>
      <c r="AC125" s="49">
        <f>IFERROR(IF(Data_Entry!AI114/Data_Entry!$I114&lt;0,0,Data_Entry!AI114/Data_Entry!$I114),0)</f>
        <v>0.1364061768834815</v>
      </c>
      <c r="AD125" s="49">
        <f>IFERROR(IF(Data_Entry!AM114/Data_Entry!$H114&lt;0,0,Data_Entry!AM114/Data_Entry!$H114),0)</f>
        <v>0.74281354709558567</v>
      </c>
      <c r="AE125" s="50">
        <f>Data_Entry!AK114</f>
        <v>42.906499999999994</v>
      </c>
      <c r="AF125" s="50">
        <f>Data_Entry!AL114</f>
        <v>26</v>
      </c>
      <c r="AG125" s="153">
        <f>(Data_Entry!O114-Data_Entry!Q114)/Data_Entry!O114</f>
        <v>0.14242424242424243</v>
      </c>
      <c r="AH125" s="79" t="str">
        <f t="shared" si="2"/>
        <v>CAT4</v>
      </c>
      <c r="AI125" s="51">
        <f>SUBTOTAL(3,Tableau1[[#This Row],[ZS]])</f>
        <v>0</v>
      </c>
      <c r="AJ125" s="51" t="e">
        <f t="shared" ca="1" si="3"/>
        <v>#NAME?</v>
      </c>
      <c r="AK125" s="50" t="str">
        <f>IFERROR(IF((Data_Entry!O114-Data_Entry!Q114)/Data_Entry!O114&lt;=10%,"&lt;=10%","&gt;10%"),"&lt;=10%")</f>
        <v>&gt;10%</v>
      </c>
    </row>
    <row r="126" spans="1:37" s="48" customFormat="1" ht="13" hidden="1" x14ac:dyDescent="0.3">
      <c r="A126" s="31" t="s">
        <v>16</v>
      </c>
      <c r="B126" s="48" t="str">
        <f>Data_Entry!B115</f>
        <v>Butembo</v>
      </c>
      <c r="C126" s="48" t="str">
        <f>Data_Entry!C115</f>
        <v xml:space="preserve"> Butembo</v>
      </c>
      <c r="D126" s="48" t="str">
        <f>Data_Entry!D115</f>
        <v xml:space="preserve"> Malende</v>
      </c>
      <c r="E126" s="49">
        <f>IFERROR(IF(Data_Entry!J115/Data_Entry!$I115&lt;0,0,Data_Entry!J115/Data_Entry!$I115),0)</f>
        <v>0.71319893495625708</v>
      </c>
      <c r="F126" s="49">
        <f>IFERROR(IF(Data_Entry!K115/Data_Entry!$H115&lt;0,0,Data_Entry!K115/Data_Entry!$H115),0)</f>
        <v>0.27465311420665034</v>
      </c>
      <c r="G126" s="49">
        <f>IFERROR(IF(Data_Entry!L115/Data_Entry!$H115&lt;0,0,Data_Entry!L115/Data_Entry!$H115),0)</f>
        <v>0.97763429937843394</v>
      </c>
      <c r="H126" s="49">
        <f>IFERROR(IF(Data_Entry!M115/Data_Entry!$H115&lt;0,0,Data_Entry!M115/Data_Entry!$H115),0)</f>
        <v>0.88935294124058195</v>
      </c>
      <c r="I126" s="49">
        <f>IFERROR(IF(Data_Entry!N115/Data_Entry!$H115&lt;0,0,Data_Entry!N115/Data_Entry!$H115),0)</f>
        <v>0.97763429937843394</v>
      </c>
      <c r="J126" s="49">
        <f>IFERROR(IF(Data_Entry!O115/Data_Entry!$H115&lt;0,0,Data_Entry!O115/Data_Entry!$H115),0)</f>
        <v>0.76837478379241464</v>
      </c>
      <c r="K126" s="49">
        <f>IFERROR(IF(Data_Entry!P115/Data_Entry!$H115&lt;0,0,Data_Entry!P115/Data_Entry!$H115),0)</f>
        <v>0.75529606406828842</v>
      </c>
      <c r="L126" s="49">
        <f>IFERROR(IF(Data_Entry!Q115/Data_Entry!$H115&lt;0,0,Data_Entry!Q115/Data_Entry!$H115),0)</f>
        <v>0.85338646199923496</v>
      </c>
      <c r="M126" s="49">
        <f>IFERROR(IF(Data_Entry!R115/Data_Entry!$H115&lt;0,0,Data_Entry!R115/Data_Entry!$H115),0)</f>
        <v>0.9220497405508975</v>
      </c>
      <c r="N126" s="49">
        <f>IFERROR(IF(Data_Entry!S115/Data_Entry!$H115&lt;0,0,Data_Entry!S115/Data_Entry!$H115),0)</f>
        <v>0.7781838235855093</v>
      </c>
      <c r="O126" s="49">
        <f>IFERROR(IF(Data_Entry!T115/Data_Entry!$H115&lt;0,0,Data_Entry!T115/Data_Entry!$H115),0)</f>
        <v>0.85665614193026651</v>
      </c>
      <c r="P126" s="49">
        <f>IFERROR(IF(Data_Entry!U115/Data_Entry!$H115&lt;0,0,Data_Entry!U115/Data_Entry!$H115),0)</f>
        <v>1.0299491782749388</v>
      </c>
      <c r="Q126" s="49">
        <f>IFERROR(IF(Data_Entry!V115/Data_Entry!$H115&lt;0,0,Data_Entry!V115/Data_Entry!$H115),0)</f>
        <v>0.83049870248201407</v>
      </c>
      <c r="R126" s="49">
        <f>IFERROR(IF(Data_Entry!W115/Data_Entry!$H115&lt;0,0,Data_Entry!W115/Data_Entry!$H115),0)</f>
        <v>0.64739662634424722</v>
      </c>
      <c r="S126" s="49">
        <f>IFERROR(IF(Data_Entry!X115/Data_Entry!$H115&lt;0,0,Data_Entry!X115/Data_Entry!$H115),0)</f>
        <v>1.0462975779300965</v>
      </c>
      <c r="T126" s="49">
        <f>IFERROR(IF(Data_Entry!Y115/Data_Entry!$H115&lt;0,0,Data_Entry!Y115/Data_Entry!$H115),0)</f>
        <v>9.8090397930946545E-3</v>
      </c>
      <c r="U126" s="49">
        <f>IFERROR(IF(Data_Entry!Z115/Data_Entry!$H115&lt;0,0,Data_Entry!Z115/Data_Entry!$H115),0)</f>
        <v>0.96782525958533927</v>
      </c>
      <c r="V126" s="49">
        <f>IFERROR(IF(Data_Entry!AA115/Data_Entry!$H115&lt;0,0,Data_Entry!AA115/Data_Entry!$H115),0)</f>
        <v>0.95801621979224461</v>
      </c>
      <c r="W126" s="49">
        <f>IFERROR(IF(Data_Entry!AB115/Data_Entry!$H115&lt;0,0,Data_Entry!AB115/Data_Entry!$H115),0)</f>
        <v>1.0397582180680334</v>
      </c>
      <c r="X126" s="49">
        <f>IFERROR(IF(Data_Entry!AC115/Data_Entry!$I115&lt;0,0,Data_Entry!AC115/Data_Entry!$I115),0)</f>
        <v>0.3936858120958539</v>
      </c>
      <c r="Y126" s="49">
        <f>IFERROR(IF(Data_Entry!AD115/Data_Entry!$I115&lt;0,0,Data_Entry!AD115/Data_Entry!$I115),0)</f>
        <v>0.31951312286040318</v>
      </c>
      <c r="Z126" s="49">
        <f>IFERROR(IF(Data_Entry!AE115/Data_Entry!$I115&lt;0,0,Data_Entry!AE115/Data_Entry!$I115),0)</f>
        <v>0.29383796120197792</v>
      </c>
      <c r="AA126" s="49">
        <f>IFERROR(IF(Data_Entry!AF115/Data_Entry!$I115&lt;0,0,Data_Entry!AF115/Data_Entry!$I115),0)</f>
        <v>0.26531000380372766</v>
      </c>
      <c r="AB126" s="49">
        <f>IFERROR(IF(Data_Entry!AG115/Data_Entry!$I115&lt;0,0,Data_Entry!AG115/Data_Entry!$I115),0)</f>
        <v>0.15975656143020159</v>
      </c>
      <c r="AC126" s="49">
        <f>IFERROR(IF(Data_Entry!AI115/Data_Entry!$I115&lt;0,0,Data_Entry!AI115/Data_Entry!$I115),0)</f>
        <v>0.1426397869912514</v>
      </c>
      <c r="AD126" s="49">
        <f>IFERROR(IF(Data_Entry!AM115/Data_Entry!$H115&lt;0,0,Data_Entry!AM115/Data_Entry!$H115),0)</f>
        <v>0.96782525958533927</v>
      </c>
      <c r="AE126" s="50">
        <f>Data_Entry!AK115</f>
        <v>70.840333333333319</v>
      </c>
      <c r="AF126" s="50">
        <f>Data_Entry!AL115</f>
        <v>0</v>
      </c>
      <c r="AG126" s="153">
        <f>(Data_Entry!O115-Data_Entry!Q115)/Data_Entry!O115</f>
        <v>-0.11063829787234042</v>
      </c>
      <c r="AH126" s="79" t="str">
        <f t="shared" si="2"/>
        <v>CAT3</v>
      </c>
      <c r="AI126" s="51">
        <f>SUBTOTAL(3,Tableau1[[#This Row],[ZS]])</f>
        <v>0</v>
      </c>
      <c r="AJ126" s="51" t="e">
        <f t="shared" ca="1" si="3"/>
        <v>#NAME?</v>
      </c>
      <c r="AK126" s="50" t="str">
        <f>IFERROR(IF((Data_Entry!O115-Data_Entry!Q115)/Data_Entry!O115&lt;=10%,"&lt;=10%","&gt;10%"),"&lt;=10%")</f>
        <v>&lt;=10%</v>
      </c>
    </row>
    <row r="127" spans="1:37" s="48" customFormat="1" ht="13" hidden="1" x14ac:dyDescent="0.3">
      <c r="A127" s="31" t="s">
        <v>16</v>
      </c>
      <c r="B127" s="48" t="str">
        <f>Data_Entry!B116</f>
        <v>Butembo</v>
      </c>
      <c r="C127" s="48" t="str">
        <f>Data_Entry!C116</f>
        <v xml:space="preserve"> Butembo</v>
      </c>
      <c r="D127" s="48" t="str">
        <f>Data_Entry!D116</f>
        <v xml:space="preserve"> Mama Musayi</v>
      </c>
      <c r="E127" s="49">
        <f>IFERROR(IF(Data_Entry!J116/Data_Entry!$I116&lt;0,0,Data_Entry!J116/Data_Entry!$I116),0)</f>
        <v>0.62559603280564569</v>
      </c>
      <c r="F127" s="49">
        <f>IFERROR(IF(Data_Entry!K116/Data_Entry!$H116&lt;0,0,Data_Entry!K116/Data_Entry!$H116),0)</f>
        <v>8.74409158998736E-2</v>
      </c>
      <c r="G127" s="49">
        <f>IFERROR(IF(Data_Entry!L116/Data_Entry!$H116&lt;0,0,Data_Entry!L116/Data_Entry!$H116),0)</f>
        <v>0.59459822811914054</v>
      </c>
      <c r="H127" s="49">
        <f>IFERROR(IF(Data_Entry!M116/Data_Entry!$H116&lt;0,0,Data_Entry!M116/Data_Entry!$H116),0)</f>
        <v>0.67110902953152995</v>
      </c>
      <c r="I127" s="49">
        <f>IFERROR(IF(Data_Entry!N116/Data_Entry!$H116&lt;0,0,Data_Entry!N116/Data_Entry!$H116),0)</f>
        <v>0.81101449497132772</v>
      </c>
      <c r="J127" s="49">
        <f>IFERROR(IF(Data_Entry!O116/Data_Entry!$H116&lt;0,0,Data_Entry!O116/Data_Entry!$H116),0)</f>
        <v>0.70608539589147934</v>
      </c>
      <c r="K127" s="49">
        <f>IFERROR(IF(Data_Entry!P116/Data_Entry!$H116&lt;0,0,Data_Entry!P116/Data_Entry!$H116),0)</f>
        <v>0.69296925850649826</v>
      </c>
      <c r="L127" s="49">
        <f>IFERROR(IF(Data_Entry!Q116/Data_Entry!$H116&lt;0,0,Data_Entry!Q116/Data_Entry!$H116),0)</f>
        <v>0.72138755617395722</v>
      </c>
      <c r="M127" s="49">
        <f>IFERROR(IF(Data_Entry!R116/Data_Entry!$H116&lt;0,0,Data_Entry!R116/Data_Entry!$H116),0)</f>
        <v>0.7913402888938561</v>
      </c>
      <c r="N127" s="49">
        <f>IFERROR(IF(Data_Entry!S116/Data_Entry!$H116&lt;0,0,Data_Entry!S116/Data_Entry!$H116),0)</f>
        <v>0.7716660828163846</v>
      </c>
      <c r="O127" s="49">
        <f>IFERROR(IF(Data_Entry!T116/Data_Entry!$H116&lt;0,0,Data_Entry!T116/Data_Entry!$H116),0)</f>
        <v>0.8088284720738308</v>
      </c>
      <c r="P127" s="49">
        <f>IFERROR(IF(Data_Entry!U116/Data_Entry!$H116&lt;0,0,Data_Entry!U116/Data_Entry!$H116),0)</f>
        <v>0.73231767066144138</v>
      </c>
      <c r="Q127" s="49">
        <f>IFERROR(IF(Data_Entry!V116/Data_Entry!$H116&lt;0,0,Data_Entry!V116/Data_Entry!$H116),0)</f>
        <v>0.71264346458396988</v>
      </c>
      <c r="R127" s="49">
        <f>IFERROR(IF(Data_Entry!W116/Data_Entry!$H116&lt;0,0,Data_Entry!W116/Data_Entry!$H116),0)</f>
        <v>0.7541778996364098</v>
      </c>
      <c r="S127" s="49">
        <f>IFERROR(IF(Data_Entry!X116/Data_Entry!$H116&lt;0,0,Data_Entry!X116/Data_Entry!$H116),0)</f>
        <v>0.78041017440637195</v>
      </c>
      <c r="T127" s="49">
        <f>IFERROR(IF(Data_Entry!Y116/Data_Entry!$H116&lt;0,0,Data_Entry!Y116/Data_Entry!$H116),0)</f>
        <v>0.23609047292965873</v>
      </c>
      <c r="U127" s="49">
        <f>IFERROR(IF(Data_Entry!Z116/Data_Entry!$H116&lt;0,0,Data_Entry!Z116/Data_Entry!$H116),0)</f>
        <v>0.78041017440637195</v>
      </c>
      <c r="V127" s="49">
        <f>IFERROR(IF(Data_Entry!AA116/Data_Entry!$H116&lt;0,0,Data_Entry!AA116/Data_Entry!$H116),0)</f>
        <v>0.8088284720738308</v>
      </c>
      <c r="W127" s="49">
        <f>IFERROR(IF(Data_Entry!AB116/Data_Entry!$H116&lt;0,0,Data_Entry!AB116/Data_Entry!$H116),0)</f>
        <v>0.42190241921689015</v>
      </c>
      <c r="X127" s="49">
        <f>IFERROR(IF(Data_Entry!AC116/Data_Entry!$I116&lt;0,0,Data_Entry!AC116/Data_Entry!$I116),0)</f>
        <v>0.22506198741178715</v>
      </c>
      <c r="Y127" s="49">
        <f>IFERROR(IF(Data_Entry!AD116/Data_Entry!$I116&lt;0,0,Data_Entry!AD116/Data_Entry!$I116),0)</f>
        <v>0.11443829868395958</v>
      </c>
      <c r="Z127" s="49">
        <f>IFERROR(IF(Data_Entry!AE116/Data_Entry!$I116&lt;0,0,Data_Entry!AE116/Data_Entry!$I116),0)</f>
        <v>2.8609574670989894E-2</v>
      </c>
      <c r="AA127" s="49">
        <f>IFERROR(IF(Data_Entry!AF116/Data_Entry!$I116&lt;0,0,Data_Entry!AF116/Data_Entry!$I116),0)</f>
        <v>1.5258439824527943E-2</v>
      </c>
      <c r="AB127" s="49">
        <f>IFERROR(IF(Data_Entry!AG116/Data_Entry!$I116&lt;0,0,Data_Entry!AG116/Data_Entry!$I116),0)</f>
        <v>1.9073049780659929E-3</v>
      </c>
      <c r="AC127" s="49">
        <f>IFERROR(IF(Data_Entry!AI116/Data_Entry!$I116&lt;0,0,Data_Entry!AI116/Data_Entry!$I116),0)</f>
        <v>0.11119588022124738</v>
      </c>
      <c r="AD127" s="49">
        <f>IFERROR(IF(Data_Entry!AM116/Data_Entry!$H116&lt;0,0,Data_Entry!AM116/Data_Entry!$H116),0)</f>
        <v>0.78041017440637195</v>
      </c>
      <c r="AE127" s="50">
        <f>Data_Entry!AK116</f>
        <v>134.45174999999995</v>
      </c>
      <c r="AF127" s="50">
        <f>Data_Entry!AL116</f>
        <v>0</v>
      </c>
      <c r="AG127" s="153">
        <f>(Data_Entry!O116-Data_Entry!Q116)/Data_Entry!O116</f>
        <v>-2.1671826625386997E-2</v>
      </c>
      <c r="AH127" s="79" t="str">
        <f t="shared" si="2"/>
        <v>CAT3</v>
      </c>
      <c r="AI127" s="51">
        <f>SUBTOTAL(3,Tableau1[[#This Row],[ZS]])</f>
        <v>0</v>
      </c>
      <c r="AJ127" s="51" t="e">
        <f t="shared" ca="1" si="3"/>
        <v>#NAME?</v>
      </c>
      <c r="AK127" s="50" t="str">
        <f>IFERROR(IF((Data_Entry!O116-Data_Entry!Q116)/Data_Entry!O116&lt;=10%,"&lt;=10%","&gt;10%"),"&lt;=10%")</f>
        <v>&lt;=10%</v>
      </c>
    </row>
    <row r="128" spans="1:37" s="48" customFormat="1" ht="13" hidden="1" x14ac:dyDescent="0.3">
      <c r="A128" s="31" t="s">
        <v>16</v>
      </c>
      <c r="B128" s="48" t="str">
        <f>Data_Entry!B117</f>
        <v>Butembo</v>
      </c>
      <c r="C128" s="48" t="str">
        <f>Data_Entry!C117</f>
        <v xml:space="preserve"> Butembo</v>
      </c>
      <c r="D128" s="48" t="str">
        <f>Data_Entry!D117</f>
        <v xml:space="preserve"> Matanda</v>
      </c>
      <c r="E128" s="49">
        <f>IFERROR(IF(Data_Entry!J117/Data_Entry!$I117&lt;0,0,Data_Entry!J117/Data_Entry!$I117),0)</f>
        <v>0.33297238765565784</v>
      </c>
      <c r="F128" s="49">
        <f>IFERROR(IF(Data_Entry!K117/Data_Entry!$H117&lt;0,0,Data_Entry!K117/Data_Entry!$H117),0)</f>
        <v>0.12333172510832248</v>
      </c>
      <c r="G128" s="49">
        <f>IFERROR(IF(Data_Entry!L117/Data_Entry!$H117&lt;0,0,Data_Entry!L117/Data_Entry!$H117),0)</f>
        <v>0.83772492526407727</v>
      </c>
      <c r="H128" s="49">
        <f>IFERROR(IF(Data_Entry!M117/Data_Entry!$H117&lt;0,0,Data_Entry!M117/Data_Entry!$H117),0)</f>
        <v>0.82376284317634263</v>
      </c>
      <c r="I128" s="49">
        <f>IFERROR(IF(Data_Entry!N117/Data_Entry!$H117&lt;0,0,Data_Entry!N117/Data_Entry!$H117),0)</f>
        <v>0.74464437801251304</v>
      </c>
      <c r="J128" s="49">
        <f>IFERROR(IF(Data_Entry!O117/Data_Entry!$H117&lt;0,0,Data_Entry!O117/Data_Entry!$H117),0)</f>
        <v>0.73533632328735665</v>
      </c>
      <c r="K128" s="49">
        <f>IFERROR(IF(Data_Entry!P117/Data_Entry!$H117&lt;0,0,Data_Entry!P117/Data_Entry!$H117),0)</f>
        <v>0.7050851454305983</v>
      </c>
      <c r="L128" s="49">
        <f>IFERROR(IF(Data_Entry!Q117/Data_Entry!$H117&lt;0,0,Data_Entry!Q117/Data_Entry!$H117),0)</f>
        <v>0.68879604966157459</v>
      </c>
      <c r="M128" s="49">
        <f>IFERROR(IF(Data_Entry!R117/Data_Entry!$H117&lt;0,0,Data_Entry!R117/Data_Entry!$H117),0)</f>
        <v>0.76326048746282593</v>
      </c>
      <c r="N128" s="49">
        <f>IFERROR(IF(Data_Entry!S117/Data_Entry!$H117&lt;0,0,Data_Entry!S117/Data_Entry!$H117),0)</f>
        <v>0.71206618647446562</v>
      </c>
      <c r="O128" s="49">
        <f>IFERROR(IF(Data_Entry!T117/Data_Entry!$H117&lt;0,0,Data_Entry!T117/Data_Entry!$H117),0)</f>
        <v>0.67250695389255088</v>
      </c>
      <c r="P128" s="49">
        <f>IFERROR(IF(Data_Entry!U117/Data_Entry!$H117&lt;0,0,Data_Entry!U117/Data_Entry!$H117),0)</f>
        <v>0.76093347378153686</v>
      </c>
      <c r="Q128" s="49">
        <f>IFERROR(IF(Data_Entry!V117/Data_Entry!$H117&lt;0,0,Data_Entry!V117/Data_Entry!$H117),0)</f>
        <v>0.73533632328735665</v>
      </c>
      <c r="R128" s="49">
        <f>IFERROR(IF(Data_Entry!W117/Data_Entry!$H117&lt;0,0,Data_Entry!W117/Data_Entry!$H117),0)</f>
        <v>0.66785292652997263</v>
      </c>
      <c r="S128" s="49">
        <f>IFERROR(IF(Data_Entry!X117/Data_Entry!$H117&lt;0,0,Data_Entry!X117/Data_Entry!$H117),0)</f>
        <v>0.82376284317634263</v>
      </c>
      <c r="T128" s="49">
        <f>IFERROR(IF(Data_Entry!Y117/Data_Entry!$H117&lt;0,0,Data_Entry!Y117/Data_Entry!$H117),0)</f>
        <v>0.10471561565800966</v>
      </c>
      <c r="U128" s="49">
        <f>IFERROR(IF(Data_Entry!Z117/Data_Entry!$H117&lt;0,0,Data_Entry!Z117/Data_Entry!$H117),0)</f>
        <v>0.77954958323184964</v>
      </c>
      <c r="V128" s="49">
        <f>IFERROR(IF(Data_Entry!AA117/Data_Entry!$H117&lt;0,0,Data_Entry!AA117/Data_Entry!$H117),0)</f>
        <v>0.72835528224348933</v>
      </c>
      <c r="W128" s="49">
        <f>IFERROR(IF(Data_Entry!AB117/Data_Entry!$H117&lt;0,0,Data_Entry!AB117/Data_Entry!$H117),0)</f>
        <v>0.82376284317634263</v>
      </c>
      <c r="X128" s="49">
        <f>IFERROR(IF(Data_Entry!AC117/Data_Entry!$I117&lt;0,0,Data_Entry!AC117/Data_Entry!$I117),0)</f>
        <v>9.7455332972387662E-2</v>
      </c>
      <c r="Y128" s="49">
        <f>IFERROR(IF(Data_Entry!AD117/Data_Entry!$I117&lt;0,0,Data_Entry!AD117/Data_Entry!$I117),0)</f>
        <v>7.9182458040064976E-2</v>
      </c>
      <c r="Z128" s="49">
        <f>IFERROR(IF(Data_Entry!AE117/Data_Entry!$I117&lt;0,0,Data_Entry!AE117/Data_Entry!$I117),0)</f>
        <v>7.5121819166215492E-2</v>
      </c>
      <c r="AA128" s="49">
        <f>IFERROR(IF(Data_Entry!AF117/Data_Entry!$I117&lt;0,0,Data_Entry!AF117/Data_Entry!$I117),0)</f>
        <v>6.0909583107742291E-2</v>
      </c>
      <c r="AB128" s="49">
        <f>IFERROR(IF(Data_Entry!AG117/Data_Entry!$I117&lt;0,0,Data_Entry!AG117/Data_Entry!$I117),0)</f>
        <v>3.6545749864645372E-2</v>
      </c>
      <c r="AC128" s="49">
        <f>IFERROR(IF(Data_Entry!AI117/Data_Entry!$I117&lt;0,0,Data_Entry!AI117/Data_Entry!$I117),0)</f>
        <v>0.1183676231727125</v>
      </c>
      <c r="AD128" s="49">
        <f>IFERROR(IF(Data_Entry!AM117/Data_Entry!$H117&lt;0,0,Data_Entry!AM117/Data_Entry!$H117),0)</f>
        <v>0.77954958323184964</v>
      </c>
      <c r="AE128" s="50">
        <f>Data_Entry!AK117</f>
        <v>113.73533333333336</v>
      </c>
      <c r="AF128" s="50">
        <f>Data_Entry!AL117</f>
        <v>0</v>
      </c>
      <c r="AG128" s="153">
        <f>(Data_Entry!O117-Data_Entry!Q117)/Data_Entry!O117</f>
        <v>6.3291139240506333E-2</v>
      </c>
      <c r="AH128" s="79" t="str">
        <f t="shared" si="2"/>
        <v>CAT3</v>
      </c>
      <c r="AI128" s="51">
        <f>SUBTOTAL(3,Tableau1[[#This Row],[ZS]])</f>
        <v>0</v>
      </c>
      <c r="AJ128" s="51" t="e">
        <f t="shared" ca="1" si="3"/>
        <v>#NAME?</v>
      </c>
      <c r="AK128" s="50" t="str">
        <f>IFERROR(IF((Data_Entry!O117-Data_Entry!Q117)/Data_Entry!O117&lt;=10%,"&lt;=10%","&gt;10%"),"&lt;=10%")</f>
        <v>&lt;=10%</v>
      </c>
    </row>
    <row r="129" spans="1:157" s="48" customFormat="1" ht="13" hidden="1" x14ac:dyDescent="0.3">
      <c r="A129" s="31" t="s">
        <v>16</v>
      </c>
      <c r="B129" s="48" t="str">
        <f>Data_Entry!B118</f>
        <v>Butembo</v>
      </c>
      <c r="C129" s="48" t="str">
        <f>Data_Entry!C118</f>
        <v xml:space="preserve"> Butembo</v>
      </c>
      <c r="D129" s="48" t="str">
        <f>Data_Entry!D118</f>
        <v xml:space="preserve"> Mondo</v>
      </c>
      <c r="E129" s="49">
        <f>IFERROR(IF(Data_Entry!J118/Data_Entry!$I118&lt;0,0,Data_Entry!J118/Data_Entry!$I118),0)</f>
        <v>0.86269552851951337</v>
      </c>
      <c r="F129" s="49">
        <f>IFERROR(IF(Data_Entry!K118/Data_Entry!$H118&lt;0,0,Data_Entry!K118/Data_Entry!$H118),0)</f>
        <v>0.27888181070353824</v>
      </c>
      <c r="G129" s="49">
        <f>IFERROR(IF(Data_Entry!L118/Data_Entry!$H118&lt;0,0,Data_Entry!L118/Data_Entry!$H118),0)</f>
        <v>0.93986792048789836</v>
      </c>
      <c r="H129" s="49">
        <f>IFERROR(IF(Data_Entry!M118/Data_Entry!$H118&lt;0,0,Data_Entry!M118/Data_Entry!$H118),0)</f>
        <v>0.88735121587489441</v>
      </c>
      <c r="I129" s="49">
        <f>IFERROR(IF(Data_Entry!N118/Data_Entry!$H118&lt;0,0,Data_Entry!N118/Data_Entry!$H118),0)</f>
        <v>0.91813687030320701</v>
      </c>
      <c r="J129" s="49">
        <f>IFERROR(IF(Data_Entry!O118/Data_Entry!$H118&lt;0,0,Data_Entry!O118/Data_Entry!$H118),0)</f>
        <v>0.88372937417744579</v>
      </c>
      <c r="K129" s="49">
        <f>IFERROR(IF(Data_Entry!P118/Data_Entry!$H118&lt;0,0,Data_Entry!P118/Data_Entry!$H118),0)</f>
        <v>0.73342294373333106</v>
      </c>
      <c r="L129" s="49">
        <f>IFERROR(IF(Data_Entry!Q118/Data_Entry!$H118&lt;0,0,Data_Entry!Q118/Data_Entry!$H118),0)</f>
        <v>0.76420859816164377</v>
      </c>
      <c r="M129" s="49">
        <f>IFERROR(IF(Data_Entry!R118/Data_Entry!$H118&lt;0,0,Data_Entry!R118/Data_Entry!$H118),0)</f>
        <v>0.80585977768230199</v>
      </c>
      <c r="N129" s="49">
        <f>IFERROR(IF(Data_Entry!S118/Data_Entry!$H118&lt;0,0,Data_Entry!S118/Data_Entry!$H118),0)</f>
        <v>0.76601951901036802</v>
      </c>
      <c r="O129" s="49">
        <f>IFERROR(IF(Data_Entry!T118/Data_Entry!$H118&lt;0,0,Data_Entry!T118/Data_Entry!$H118),0)</f>
        <v>0.79318333174123212</v>
      </c>
      <c r="P129" s="49">
        <f>IFERROR(IF(Data_Entry!U118/Data_Entry!$H118&lt;0,0,Data_Entry!U118/Data_Entry!$H118),0)</f>
        <v>0.81129254022847486</v>
      </c>
      <c r="Q129" s="49">
        <f>IFERROR(IF(Data_Entry!V118/Data_Entry!$H118&lt;0,0,Data_Entry!V118/Data_Entry!$H118),0)</f>
        <v>0.76601951901036802</v>
      </c>
      <c r="R129" s="49">
        <f>IFERROR(IF(Data_Entry!W118/Data_Entry!$H118&lt;0,0,Data_Entry!W118/Data_Entry!$H118),0)</f>
        <v>0.79318333174123212</v>
      </c>
      <c r="S129" s="49">
        <f>IFERROR(IF(Data_Entry!X118/Data_Entry!$H118&lt;0,0,Data_Entry!X118/Data_Entry!$H118),0)</f>
        <v>0.95978804982386534</v>
      </c>
      <c r="T129" s="49">
        <f>IFERROR(IF(Data_Entry!Y118/Data_Entry!$H118&lt;0,0,Data_Entry!Y118/Data_Entry!$H118),0)</f>
        <v>0.25896168136757119</v>
      </c>
      <c r="U129" s="49">
        <f>IFERROR(IF(Data_Entry!Z118/Data_Entry!$H118&lt;0,0,Data_Entry!Z118/Data_Entry!$H118),0)</f>
        <v>0.87286384908510017</v>
      </c>
      <c r="V129" s="49">
        <f>IFERROR(IF(Data_Entry!AA118/Data_Entry!$H118&lt;0,0,Data_Entry!AA118/Data_Entry!$H118),0)</f>
        <v>0.92538055369810412</v>
      </c>
      <c r="W129" s="49">
        <f>IFERROR(IF(Data_Entry!AB118/Data_Entry!$H118&lt;0,0,Data_Entry!AB118/Data_Entry!$H118),0)</f>
        <v>1.063010538201149</v>
      </c>
      <c r="X129" s="49">
        <f>IFERROR(IF(Data_Entry!AC118/Data_Entry!$I118&lt;0,0,Data_Entry!AC118/Data_Entry!$I118),0)</f>
        <v>0.19592352662347923</v>
      </c>
      <c r="Y129" s="49">
        <f>IFERROR(IF(Data_Entry!AD118/Data_Entry!$I118&lt;0,0,Data_Entry!AD118/Data_Entry!$I118),0)</f>
        <v>0.14378258808658556</v>
      </c>
      <c r="Z129" s="49">
        <f>IFERROR(IF(Data_Entry!AE118/Data_Entry!$I118&lt;0,0,Data_Entry!AE118/Data_Entry!$I118),0)</f>
        <v>0.29388528993521884</v>
      </c>
      <c r="AA129" s="49">
        <f>IFERROR(IF(Data_Entry!AF118/Data_Entry!$I118&lt;0,0,Data_Entry!AF118/Data_Entry!$I118),0)</f>
        <v>6.7941222942012963E-2</v>
      </c>
      <c r="AB129" s="49">
        <f>IFERROR(IF(Data_Entry!AG118/Data_Entry!$I118&lt;0,0,Data_Entry!AG118/Data_Entry!$I118),0)</f>
        <v>3.0020540369726657E-2</v>
      </c>
      <c r="AC129" s="49">
        <f>IFERROR(IF(Data_Entry!AI118/Data_Entry!$I118&lt;0,0,Data_Entry!AI118/Data_Entry!$I118),0)</f>
        <v>9.2115658081845478E-2</v>
      </c>
      <c r="AD129" s="49">
        <f>IFERROR(IF(Data_Entry!AM118/Data_Entry!$H118&lt;0,0,Data_Entry!AM118/Data_Entry!$H118),0)</f>
        <v>0.87286384908510017</v>
      </c>
      <c r="AE129" s="50">
        <f>Data_Entry!AK118</f>
        <v>64.205249999999978</v>
      </c>
      <c r="AF129" s="50">
        <f>Data_Entry!AL118</f>
        <v>0</v>
      </c>
      <c r="AG129" s="153">
        <f>(Data_Entry!O118-Data_Entry!Q118)/Data_Entry!O118</f>
        <v>0.13524590163934427</v>
      </c>
      <c r="AH129" s="79" t="str">
        <f t="shared" si="2"/>
        <v>CAT4</v>
      </c>
      <c r="AI129" s="51">
        <f>SUBTOTAL(3,Tableau1[[#This Row],[ZS]])</f>
        <v>0</v>
      </c>
      <c r="AJ129" s="51" t="e">
        <f t="shared" ca="1" si="3"/>
        <v>#NAME?</v>
      </c>
      <c r="AK129" s="50" t="str">
        <f>IFERROR(IF((Data_Entry!O118-Data_Entry!Q118)/Data_Entry!O118&lt;=10%,"&lt;=10%","&gt;10%"),"&lt;=10%")</f>
        <v>&gt;10%</v>
      </c>
    </row>
    <row r="130" spans="1:157" s="48" customFormat="1" ht="13" hidden="1" x14ac:dyDescent="0.3">
      <c r="A130" s="31" t="s">
        <v>16</v>
      </c>
      <c r="B130" s="48" t="str">
        <f>Data_Entry!B119</f>
        <v>Butembo</v>
      </c>
      <c r="C130" s="48" t="str">
        <f>Data_Entry!C119</f>
        <v xml:space="preserve"> Butembo</v>
      </c>
      <c r="D130" s="48" t="str">
        <f>Data_Entry!D119</f>
        <v xml:space="preserve"> Munzambaye</v>
      </c>
      <c r="E130" s="49">
        <f>IFERROR(IF(Data_Entry!J119/Data_Entry!$I119&lt;0,0,Data_Entry!J119/Data_Entry!$I119),0)</f>
        <v>0.57758804695837784</v>
      </c>
      <c r="F130" s="49">
        <f>IFERROR(IF(Data_Entry!K119/Data_Entry!$H119&lt;0,0,Data_Entry!K119/Data_Entry!$H119),0)</f>
        <v>0.28475932149486416</v>
      </c>
      <c r="G130" s="49">
        <f>IFERROR(IF(Data_Entry!L119/Data_Entry!$H119&lt;0,0,Data_Entry!L119/Data_Entry!$H119),0)</f>
        <v>0.90124857421570403</v>
      </c>
      <c r="H130" s="49">
        <f>IFERROR(IF(Data_Entry!M119/Data_Entry!$H119&lt;0,0,Data_Entry!M119/Data_Entry!$H119),0)</f>
        <v>0.68107384110111835</v>
      </c>
      <c r="I130" s="49">
        <f>IFERROR(IF(Data_Entry!N119/Data_Entry!$H119&lt;0,0,Data_Entry!N119/Data_Entry!$H119),0)</f>
        <v>0.82198567029445324</v>
      </c>
      <c r="J130" s="49">
        <f>IFERROR(IF(Data_Entry!O119/Data_Entry!$H119&lt;0,0,Data_Entry!O119/Data_Entry!$H119),0)</f>
        <v>0.80583952319938357</v>
      </c>
      <c r="K130" s="49">
        <f>IFERROR(IF(Data_Entry!P119/Data_Entry!$H119&lt;0,0,Data_Entry!P119/Data_Entry!$H119),0)</f>
        <v>0.60181093717986756</v>
      </c>
      <c r="L130" s="49">
        <f>IFERROR(IF(Data_Entry!Q119/Data_Entry!$H119&lt;0,0,Data_Entry!Q119/Data_Entry!$H119),0)</f>
        <v>0.74125493481910509</v>
      </c>
      <c r="M130" s="49">
        <f>IFERROR(IF(Data_Entry!R119/Data_Entry!$H119&lt;0,0,Data_Entry!R119/Data_Entry!$H119),0)</f>
        <v>0.83079265961903659</v>
      </c>
      <c r="N130" s="49">
        <f>IFERROR(IF(Data_Entry!S119/Data_Entry!$H119&lt;0,0,Data_Entry!S119/Data_Entry!$H119),0)</f>
        <v>0.6032787687339648</v>
      </c>
      <c r="O130" s="49">
        <f>IFERROR(IF(Data_Entry!T119/Data_Entry!$H119&lt;0,0,Data_Entry!T119/Data_Entry!$H119),0)</f>
        <v>0.72804445083223002</v>
      </c>
      <c r="P130" s="49">
        <f>IFERROR(IF(Data_Entry!U119/Data_Entry!$H119&lt;0,0,Data_Entry!U119/Data_Entry!$H119),0)</f>
        <v>0.7794185552256333</v>
      </c>
      <c r="Q130" s="49">
        <f>IFERROR(IF(Data_Entry!V119/Data_Entry!$H119&lt;0,0,Data_Entry!V119/Data_Entry!$H119),0)</f>
        <v>0.52841935947500562</v>
      </c>
      <c r="R130" s="49">
        <f>IFERROR(IF(Data_Entry!W119/Data_Entry!$H119&lt;0,0,Data_Entry!W119/Data_Entry!$H119),0)</f>
        <v>0.60034310562577031</v>
      </c>
      <c r="S130" s="49">
        <f>IFERROR(IF(Data_Entry!X119/Data_Entry!$H119&lt;0,0,Data_Entry!X119/Data_Entry!$H119),0)</f>
        <v>0.85427796448459237</v>
      </c>
      <c r="T130" s="49">
        <f>IFERROR(IF(Data_Entry!Y119/Data_Entry!$H119&lt;0,0,Data_Entry!Y119/Data_Entry!$H119),0)</f>
        <v>8.2198567029445321E-2</v>
      </c>
      <c r="U130" s="49">
        <f>IFERROR(IF(Data_Entry!Z119/Data_Entry!$H119&lt;0,0,Data_Entry!Z119/Data_Entry!$H119),0)</f>
        <v>0.73831927171091061</v>
      </c>
      <c r="V130" s="49">
        <f>IFERROR(IF(Data_Entry!AA119/Data_Entry!$H119&lt;0,0,Data_Entry!AA119/Data_Entry!$H119),0)</f>
        <v>0.81758217563216151</v>
      </c>
      <c r="W130" s="49">
        <f>IFERROR(IF(Data_Entry!AB119/Data_Entry!$H119&lt;0,0,Data_Entry!AB119/Data_Entry!$H119),0)</f>
        <v>0.85427796448459237</v>
      </c>
      <c r="X130" s="49">
        <f>IFERROR(IF(Data_Entry!AC119/Data_Entry!$I119&lt;0,0,Data_Entry!AC119/Data_Entry!$I119),0)</f>
        <v>7.2998932764140878E-2</v>
      </c>
      <c r="Y130" s="49">
        <f>IFERROR(IF(Data_Entry!AD119/Data_Entry!$I119&lt;0,0,Data_Entry!AD119/Data_Entry!$I119),0)</f>
        <v>3.2017075773746004E-2</v>
      </c>
      <c r="Z130" s="49">
        <f>IFERROR(IF(Data_Entry!AE119/Data_Entry!$I119&lt;0,0,Data_Entry!AE119/Data_Entry!$I119),0)</f>
        <v>3.9701173959445044E-2</v>
      </c>
      <c r="AA130" s="49">
        <f>IFERROR(IF(Data_Entry!AF119/Data_Entry!$I119&lt;0,0,Data_Entry!AF119/Data_Entry!$I119),0)</f>
        <v>1.9210245464247599E-2</v>
      </c>
      <c r="AB130" s="49">
        <f>IFERROR(IF(Data_Entry!AG119/Data_Entry!$I119&lt;0,0,Data_Entry!AG119/Data_Entry!$I119),0)</f>
        <v>2.3052294557097119E-2</v>
      </c>
      <c r="AC130" s="49">
        <f>IFERROR(IF(Data_Entry!AI119/Data_Entry!$I119&lt;0,0,Data_Entry!AI119/Data_Entry!$I119),0)</f>
        <v>7.4663820704375675E-2</v>
      </c>
      <c r="AD130" s="49">
        <f>IFERROR(IF(Data_Entry!AM119/Data_Entry!$H119&lt;0,0,Data_Entry!AM119/Data_Entry!$H119),0)</f>
        <v>0.73831927171091061</v>
      </c>
      <c r="AE130" s="50">
        <f>Data_Entry!AK119</f>
        <v>132.27708333333328</v>
      </c>
      <c r="AF130" s="50">
        <f>Data_Entry!AL119</f>
        <v>0</v>
      </c>
      <c r="AG130" s="153">
        <f>(Data_Entry!O119-Data_Entry!Q119)/Data_Entry!O119</f>
        <v>8.0145719489981782E-2</v>
      </c>
      <c r="AH130" s="79" t="str">
        <f t="shared" si="2"/>
        <v>CAT3</v>
      </c>
      <c r="AI130" s="51">
        <f>SUBTOTAL(3,Tableau1[[#This Row],[ZS]])</f>
        <v>0</v>
      </c>
      <c r="AJ130" s="51" t="e">
        <f t="shared" ca="1" si="3"/>
        <v>#NAME?</v>
      </c>
      <c r="AK130" s="50" t="str">
        <f>IFERROR(IF((Data_Entry!O119-Data_Entry!Q119)/Data_Entry!O119&lt;=10%,"&lt;=10%","&gt;10%"),"&lt;=10%")</f>
        <v>&lt;=10%</v>
      </c>
    </row>
    <row r="131" spans="1:157" s="48" customFormat="1" ht="13" hidden="1" x14ac:dyDescent="0.3">
      <c r="A131" s="31" t="s">
        <v>16</v>
      </c>
      <c r="B131" s="48" t="str">
        <f>Data_Entry!B120</f>
        <v>Butembo</v>
      </c>
      <c r="C131" s="48" t="str">
        <f>Data_Entry!C120</f>
        <v xml:space="preserve"> Butembo</v>
      </c>
      <c r="D131" s="48" t="str">
        <f>Data_Entry!D120</f>
        <v xml:space="preserve"> Ngengere</v>
      </c>
      <c r="E131" s="49">
        <f>IFERROR(IF(Data_Entry!J120/Data_Entry!$I120&lt;0,0,Data_Entry!J120/Data_Entry!$I120),0)</f>
        <v>1.0023554043444125</v>
      </c>
      <c r="F131" s="49">
        <f>IFERROR(IF(Data_Entry!K120/Data_Entry!$H120&lt;0,0,Data_Entry!K120/Data_Entry!$H120),0)</f>
        <v>0.10198503369630507</v>
      </c>
      <c r="G131" s="49">
        <f>IFERROR(IF(Data_Entry!L120/Data_Entry!$H120&lt;0,0,Data_Entry!L120/Data_Entry!$H120),0)</f>
        <v>1.3827970745293128</v>
      </c>
      <c r="H131" s="49">
        <f>IFERROR(IF(Data_Entry!M120/Data_Entry!$H120&lt;0,0,Data_Entry!M120/Data_Entry!$H120),0)</f>
        <v>1.3258054380519659</v>
      </c>
      <c r="I131" s="49">
        <f>IFERROR(IF(Data_Entry!N120/Data_Entry!$H120&lt;0,0,Data_Entry!N120/Data_Entry!$H120),0)</f>
        <v>1.1938248062096888</v>
      </c>
      <c r="J131" s="49">
        <f>IFERROR(IF(Data_Entry!O120/Data_Entry!$H120&lt;0,0,Data_Entry!O120/Data_Entry!$H120),0)</f>
        <v>1.3408032371249519</v>
      </c>
      <c r="K131" s="49">
        <f>IFERROR(IF(Data_Entry!P120/Data_Entry!$H120&lt;0,0,Data_Entry!P120/Data_Entry!$H120),0)</f>
        <v>1.2958098399059939</v>
      </c>
      <c r="L131" s="49">
        <f>IFERROR(IF(Data_Entry!Q120/Data_Entry!$H120&lt;0,0,Data_Entry!Q120/Data_Entry!$H120),0)</f>
        <v>1.1698283276929111</v>
      </c>
      <c r="M131" s="49">
        <f>IFERROR(IF(Data_Entry!R120/Data_Entry!$H120&lt;0,0,Data_Entry!R120/Data_Entry!$H120),0)</f>
        <v>1.3618001558271324</v>
      </c>
      <c r="N131" s="49">
        <f>IFERROR(IF(Data_Entry!S120/Data_Entry!$H120&lt;0,0,Data_Entry!S120/Data_Entry!$H120),0)</f>
        <v>1.3048085193497854</v>
      </c>
      <c r="O131" s="49">
        <f>IFERROR(IF(Data_Entry!T120/Data_Entry!$H120&lt;0,0,Data_Entry!T120/Data_Entry!$H120),0)</f>
        <v>1.1698283276929111</v>
      </c>
      <c r="P131" s="49">
        <f>IFERROR(IF(Data_Entry!U120/Data_Entry!$H120&lt;0,0,Data_Entry!U120/Data_Entry!$H120),0)</f>
        <v>1.3018089595351883</v>
      </c>
      <c r="Q131" s="49">
        <f>IFERROR(IF(Data_Entry!V120/Data_Entry!$H120&lt;0,0,Data_Entry!V120/Data_Entry!$H120),0)</f>
        <v>1.2598151221308274</v>
      </c>
      <c r="R131" s="49">
        <f>IFERROR(IF(Data_Entry!W120/Data_Entry!$H120&lt;0,0,Data_Entry!W120/Data_Entry!$H120),0)</f>
        <v>1.1128366912155641</v>
      </c>
      <c r="S131" s="49">
        <f>IFERROR(IF(Data_Entry!X120/Data_Entry!$H120&lt;0,0,Data_Entry!X120/Data_Entry!$H120),0)</f>
        <v>1.1878256865804944</v>
      </c>
      <c r="T131" s="49">
        <f>IFERROR(IF(Data_Entry!Y120/Data_Entry!$H120&lt;0,0,Data_Entry!Y120/Data_Entry!$H120),0)</f>
        <v>0.1109837131400967</v>
      </c>
      <c r="U131" s="49">
        <f>IFERROR(IF(Data_Entry!Z120/Data_Entry!$H120&lt;0,0,Data_Entry!Z120/Data_Entry!$H120),0)</f>
        <v>1.1878256865804944</v>
      </c>
      <c r="V131" s="49">
        <f>IFERROR(IF(Data_Entry!AA120/Data_Entry!$H120&lt;0,0,Data_Entry!AA120/Data_Entry!$H120),0)</f>
        <v>1.1938248062096888</v>
      </c>
      <c r="W131" s="49">
        <f>IFERROR(IF(Data_Entry!AB120/Data_Entry!$H120&lt;0,0,Data_Entry!AB120/Data_Entry!$H120),0)</f>
        <v>1.0948393323279808</v>
      </c>
      <c r="X131" s="49">
        <f>IFERROR(IF(Data_Entry!AC120/Data_Entry!$I120&lt;0,0,Data_Entry!AC120/Data_Entry!$I120),0)</f>
        <v>0.16487830410887203</v>
      </c>
      <c r="Y131" s="49">
        <f>IFERROR(IF(Data_Entry!AD120/Data_Entry!$I120&lt;0,0,Data_Entry!AD120/Data_Entry!$I120),0)</f>
        <v>5.2342318764721271E-2</v>
      </c>
      <c r="Z131" s="49">
        <f>IFERROR(IF(Data_Entry!AE120/Data_Entry!$I120&lt;0,0,Data_Entry!AE120/Data_Entry!$I120),0)</f>
        <v>2.6171159382360636E-3</v>
      </c>
      <c r="AA131" s="49">
        <f>IFERROR(IF(Data_Entry!AF120/Data_Entry!$I120&lt;0,0,Data_Entry!AF120/Data_Entry!$I120),0)</f>
        <v>2.6171159382360636E-3</v>
      </c>
      <c r="AB131" s="49">
        <f>IFERROR(IF(Data_Entry!AG120/Data_Entry!$I120&lt;0,0,Data_Entry!AG120/Data_Entry!$I120),0)</f>
        <v>0</v>
      </c>
      <c r="AC131" s="49">
        <f>IFERROR(IF(Data_Entry!AI120/Data_Entry!$I120&lt;0,0,Data_Entry!AI120/Data_Entry!$I120),0)</f>
        <v>0.1525778591991625</v>
      </c>
      <c r="AD131" s="49">
        <f>IFERROR(IF(Data_Entry!AM120/Data_Entry!$H120&lt;0,0,Data_Entry!AM120/Data_Entry!$H120),0)</f>
        <v>1.1878256865804944</v>
      </c>
      <c r="AE131" s="50">
        <f>Data_Entry!AK120</f>
        <v>0</v>
      </c>
      <c r="AF131" s="50">
        <f>Data_Entry!AL120</f>
        <v>51</v>
      </c>
      <c r="AG131" s="153">
        <f>(Data_Entry!O120-Data_Entry!Q120)/Data_Entry!O120</f>
        <v>0.12751677852348994</v>
      </c>
      <c r="AH131" s="79" t="str">
        <f t="shared" si="2"/>
        <v>CAT2</v>
      </c>
      <c r="AI131" s="51">
        <f>SUBTOTAL(3,Tableau1[[#This Row],[ZS]])</f>
        <v>0</v>
      </c>
      <c r="AJ131" s="51" t="e">
        <f t="shared" ca="1" si="3"/>
        <v>#NAME?</v>
      </c>
      <c r="AK131" s="50" t="str">
        <f>IFERROR(IF((Data_Entry!O120-Data_Entry!Q120)/Data_Entry!O120&lt;=10%,"&lt;=10%","&gt;10%"),"&lt;=10%")</f>
        <v>&gt;10%</v>
      </c>
    </row>
    <row r="132" spans="1:157" s="48" customFormat="1" ht="13" hidden="1" x14ac:dyDescent="0.3">
      <c r="A132" s="31" t="s">
        <v>16</v>
      </c>
      <c r="B132" s="48" t="str">
        <f>Data_Entry!B121</f>
        <v>Butembo</v>
      </c>
      <c r="C132" s="48" t="str">
        <f>Data_Entry!C121</f>
        <v xml:space="preserve"> Butembo</v>
      </c>
      <c r="D132" s="48" t="str">
        <f>Data_Entry!D121</f>
        <v xml:space="preserve"> Vulamba</v>
      </c>
      <c r="E132" s="49">
        <f>IFERROR(IF(Data_Entry!J121/Data_Entry!$I121&lt;0,0,Data_Entry!J121/Data_Entry!$I121),0)</f>
        <v>0.79568590766521763</v>
      </c>
      <c r="F132" s="49">
        <f>IFERROR(IF(Data_Entry!K121/Data_Entry!$H121&lt;0,0,Data_Entry!K121/Data_Entry!$H121),0)</f>
        <v>0</v>
      </c>
      <c r="G132" s="49">
        <f>IFERROR(IF(Data_Entry!L121/Data_Entry!$H121&lt;0,0,Data_Entry!L121/Data_Entry!$H121),0)</f>
        <v>0.92898924173066333</v>
      </c>
      <c r="H132" s="49">
        <f>IFERROR(IF(Data_Entry!M121/Data_Entry!$H121&lt;0,0,Data_Entry!M121/Data_Entry!$H121),0)</f>
        <v>0.79843881875832978</v>
      </c>
      <c r="I132" s="49">
        <f>IFERROR(IF(Data_Entry!N121/Data_Entry!$H121&lt;0,0,Data_Entry!N121/Data_Entry!$H121),0)</f>
        <v>0.87979632872659563</v>
      </c>
      <c r="J132" s="49">
        <f>IFERROR(IF(Data_Entry!O121/Data_Entry!$H121&lt;0,0,Data_Entry!O121/Data_Entry!$H121),0)</f>
        <v>0.94980162800161516</v>
      </c>
      <c r="K132" s="49">
        <f>IFERROR(IF(Data_Entry!P121/Data_Entry!$H121&lt;0,0,Data_Entry!P121/Data_Entry!$H121),0)</f>
        <v>0.66978043090153738</v>
      </c>
      <c r="L132" s="49">
        <f>IFERROR(IF(Data_Entry!Q121/Data_Entry!$H121&lt;0,0,Data_Entry!Q121/Data_Entry!$H121),0)</f>
        <v>0.71897334390560508</v>
      </c>
      <c r="M132" s="49">
        <f>IFERROR(IF(Data_Entry!R121/Data_Entry!$H121&lt;0,0,Data_Entry!R121/Data_Entry!$H121),0)</f>
        <v>0.91006889057525275</v>
      </c>
      <c r="N132" s="49">
        <f>IFERROR(IF(Data_Entry!S121/Data_Entry!$H121&lt;0,0,Data_Entry!S121/Data_Entry!$H121),0)</f>
        <v>0.72275741413668715</v>
      </c>
      <c r="O132" s="49">
        <f>IFERROR(IF(Data_Entry!T121/Data_Entry!$H121&lt;0,0,Data_Entry!T121/Data_Entry!$H121),0)</f>
        <v>0.78141050271846024</v>
      </c>
      <c r="P132" s="49">
        <f>IFERROR(IF(Data_Entry!U121/Data_Entry!$H121&lt;0,0,Data_Entry!U121/Data_Entry!$H121),0)</f>
        <v>0.97250604938810792</v>
      </c>
      <c r="Q132" s="49">
        <f>IFERROR(IF(Data_Entry!V121/Data_Entry!$H121&lt;0,0,Data_Entry!V121/Data_Entry!$H121),0)</f>
        <v>0.66032025532383198</v>
      </c>
      <c r="R132" s="49">
        <f>IFERROR(IF(Data_Entry!W121/Data_Entry!$H121&lt;0,0,Data_Entry!W121/Data_Entry!$H121),0)</f>
        <v>0.70194502786573543</v>
      </c>
      <c r="S132" s="49">
        <f>IFERROR(IF(Data_Entry!X121/Data_Entry!$H121&lt;0,0,Data_Entry!X121/Data_Entry!$H121),0)</f>
        <v>0.83438748595361012</v>
      </c>
      <c r="T132" s="49">
        <f>IFERROR(IF(Data_Entry!Y121/Data_Entry!$H121&lt;0,0,Data_Entry!Y121/Data_Entry!$H121),0)</f>
        <v>0.1059539664702997</v>
      </c>
      <c r="U132" s="49">
        <f>IFERROR(IF(Data_Entry!Z121/Data_Entry!$H121&lt;0,0,Data_Entry!Z121/Data_Entry!$H121),0)</f>
        <v>0.83438748595361012</v>
      </c>
      <c r="V132" s="49">
        <f>IFERROR(IF(Data_Entry!AA121/Data_Entry!$H121&lt;0,0,Data_Entry!AA121/Data_Entry!$H121),0)</f>
        <v>0.87979632872659563</v>
      </c>
      <c r="W132" s="49">
        <f>IFERROR(IF(Data_Entry!AB121/Data_Entry!$H121&lt;0,0,Data_Entry!AB121/Data_Entry!$H121),0)</f>
        <v>0.77762643248737806</v>
      </c>
      <c r="X132" s="49">
        <f>IFERROR(IF(Data_Entry!AC121/Data_Entry!$I121&lt;0,0,Data_Entry!AC121/Data_Entry!$I121),0)</f>
        <v>0.20469927915038794</v>
      </c>
      <c r="Y132" s="49">
        <f>IFERROR(IF(Data_Entry!AD121/Data_Entry!$I121&lt;0,0,Data_Entry!AD121/Data_Entry!$I121),0)</f>
        <v>9.7397237660265229E-2</v>
      </c>
      <c r="Z132" s="49">
        <f>IFERROR(IF(Data_Entry!AE121/Data_Entry!$I121&lt;0,0,Data_Entry!AE121/Data_Entry!$I121),0)</f>
        <v>1.4857205744786222E-2</v>
      </c>
      <c r="AA132" s="49">
        <f>IFERROR(IF(Data_Entry!AF121/Data_Entry!$I121&lt;0,0,Data_Entry!AF121/Data_Entry!$I121),0)</f>
        <v>1.6508006383095801E-3</v>
      </c>
      <c r="AB132" s="49">
        <f>IFERROR(IF(Data_Entry!AG121/Data_Entry!$I121&lt;0,0,Data_Entry!AG121/Data_Entry!$I121),0)</f>
        <v>1.6508006383095801E-3</v>
      </c>
      <c r="AC132" s="49">
        <f>IFERROR(IF(Data_Entry!AI121/Data_Entry!$I121&lt;0,0,Data_Entry!AI121/Data_Entry!$I121),0)</f>
        <v>9.624167721344852E-2</v>
      </c>
      <c r="AD132" s="49">
        <f>IFERROR(IF(Data_Entry!AM121/Data_Entry!$H121&lt;0,0,Data_Entry!AM121/Data_Entry!$H121),0)</f>
        <v>0.83438748595361012</v>
      </c>
      <c r="AE132" s="50">
        <f>Data_Entry!AK121</f>
        <v>26.531416666666701</v>
      </c>
      <c r="AF132" s="50">
        <f>Data_Entry!AL121</f>
        <v>61</v>
      </c>
      <c r="AG132" s="153">
        <f>(Data_Entry!O121-Data_Entry!Q121)/Data_Entry!O121</f>
        <v>0.24302788844621515</v>
      </c>
      <c r="AH132" s="79" t="str">
        <f t="shared" si="2"/>
        <v>CAT2</v>
      </c>
      <c r="AI132" s="51">
        <f>SUBTOTAL(3,Tableau1[[#This Row],[ZS]])</f>
        <v>0</v>
      </c>
      <c r="AJ132" s="51" t="e">
        <f t="shared" ca="1" si="3"/>
        <v>#NAME?</v>
      </c>
      <c r="AK132" s="50" t="str">
        <f>IFERROR(IF((Data_Entry!O121-Data_Entry!Q121)/Data_Entry!O121&lt;=10%,"&lt;=10%","&gt;10%"),"&lt;=10%")</f>
        <v>&gt;10%</v>
      </c>
    </row>
    <row r="133" spans="1:157" s="48" customFormat="1" ht="13" hidden="1" x14ac:dyDescent="0.3">
      <c r="A133" s="31" t="s">
        <v>16</v>
      </c>
      <c r="B133" s="48" t="str">
        <f>Data_Entry!B122</f>
        <v>Butembo</v>
      </c>
      <c r="C133" s="48" t="str">
        <f>Data_Entry!C122</f>
        <v xml:space="preserve"> Butembo</v>
      </c>
      <c r="D133" s="48" t="str">
        <f>Data_Entry!D122</f>
        <v xml:space="preserve"> Vulindi</v>
      </c>
      <c r="E133" s="49">
        <f>IFERROR(IF(Data_Entry!J122/Data_Entry!$I122&lt;0,0,Data_Entry!J122/Data_Entry!$I122),0)</f>
        <v>0.98811544991511036</v>
      </c>
      <c r="F133" s="49">
        <f>IFERROR(IF(Data_Entry!K122/Data_Entry!$H122&lt;0,0,Data_Entry!K122/Data_Entry!$H122),0)</f>
        <v>0.26853342803352775</v>
      </c>
      <c r="G133" s="49">
        <f>IFERROR(IF(Data_Entry!L122/Data_Entry!$H122&lt;0,0,Data_Entry!L122/Data_Entry!$H122),0)</f>
        <v>1.1636448548119536</v>
      </c>
      <c r="H133" s="49">
        <f>IFERROR(IF(Data_Entry!M122/Data_Entry!$H122&lt;0,0,Data_Entry!M122/Data_Entry!$H122),0)</f>
        <v>1.0624583456978707</v>
      </c>
      <c r="I133" s="49">
        <f>IFERROR(IF(Data_Entry!N122/Data_Entry!$H122&lt;0,0,Data_Entry!N122/Data_Entry!$H122),0)</f>
        <v>1.1072139170367918</v>
      </c>
      <c r="J133" s="49">
        <f>IFERROR(IF(Data_Entry!O122/Data_Entry!$H122&lt;0,0,Data_Entry!O122/Data_Entry!$H122),0)</f>
        <v>1.0624583456978707</v>
      </c>
      <c r="K133" s="49">
        <f>IFERROR(IF(Data_Entry!P122/Data_Entry!$H122&lt;0,0,Data_Entry!P122/Data_Entry!$H122),0)</f>
        <v>0.9573800477717076</v>
      </c>
      <c r="L133" s="49">
        <f>IFERROR(IF(Data_Entry!Q122/Data_Entry!$H122&lt;0,0,Data_Entry!Q122/Data_Entry!$H122),0)</f>
        <v>0.9962979358925087</v>
      </c>
      <c r="M133" s="49">
        <f>IFERROR(IF(Data_Entry!R122/Data_Entry!$H122&lt;0,0,Data_Entry!R122/Data_Entry!$H122),0)</f>
        <v>1.1500235939696732</v>
      </c>
      <c r="N133" s="49">
        <f>IFERROR(IF(Data_Entry!S122/Data_Entry!$H122&lt;0,0,Data_Entry!S122/Data_Entry!$H122),0)</f>
        <v>1.0527288736676703</v>
      </c>
      <c r="O133" s="49">
        <f>IFERROR(IF(Data_Entry!T122/Data_Entry!$H122&lt;0,0,Data_Entry!T122/Data_Entry!$H122),0)</f>
        <v>1.0935926561945115</v>
      </c>
      <c r="P133" s="49">
        <f>IFERROR(IF(Data_Entry!U122/Data_Entry!$H122&lt;0,0,Data_Entry!U122/Data_Entry!$H122),0)</f>
        <v>1.0060274079227089</v>
      </c>
      <c r="Q133" s="49">
        <f>IFERROR(IF(Data_Entry!V122/Data_Entry!$H122&lt;0,0,Data_Entry!V122/Data_Entry!$H122),0)</f>
        <v>0.91067858202674623</v>
      </c>
      <c r="R133" s="49">
        <f>IFERROR(IF(Data_Entry!W122/Data_Entry!$H122&lt;0,0,Data_Entry!W122/Data_Entry!$H122),0)</f>
        <v>0.95154236455358743</v>
      </c>
      <c r="S133" s="49">
        <f>IFERROR(IF(Data_Entry!X122/Data_Entry!$H122&lt;0,0,Data_Entry!X122/Data_Entry!$H122),0)</f>
        <v>1.0449452960435102</v>
      </c>
      <c r="T133" s="49">
        <f>IFERROR(IF(Data_Entry!Y122/Data_Entry!$H122&lt;0,0,Data_Entry!Y122/Data_Entry!$H122),0)</f>
        <v>0.30745131615432886</v>
      </c>
      <c r="U133" s="49">
        <f>IFERROR(IF(Data_Entry!Z122/Data_Entry!$H122&lt;0,0,Data_Entry!Z122/Data_Entry!$H122),0)</f>
        <v>0.86008532746970479</v>
      </c>
      <c r="V133" s="49">
        <f>IFERROR(IF(Data_Entry!AA122/Data_Entry!$H122&lt;0,0,Data_Entry!AA122/Data_Entry!$H122),0)</f>
        <v>1.2045086373387948</v>
      </c>
      <c r="W133" s="49">
        <f>IFERROR(IF(Data_Entry!AB122/Data_Entry!$H122&lt;0,0,Data_Entry!AB122/Data_Entry!$H122),0)</f>
        <v>0.91067858202674623</v>
      </c>
      <c r="X133" s="49">
        <f>IFERROR(IF(Data_Entry!AC122/Data_Entry!$I122&lt;0,0,Data_Entry!AC122/Data_Entry!$I122),0)</f>
        <v>0.26315789473684209</v>
      </c>
      <c r="Y133" s="49">
        <f>IFERROR(IF(Data_Entry!AD122/Data_Entry!$I122&lt;0,0,Data_Entry!AD122/Data_Entry!$I122),0)</f>
        <v>0.19185059422750425</v>
      </c>
      <c r="Z133" s="49">
        <f>IFERROR(IF(Data_Entry!AE122/Data_Entry!$I122&lt;0,0,Data_Entry!AE122/Data_Entry!$I122),0)</f>
        <v>0.13582342954159593</v>
      </c>
      <c r="AA133" s="49">
        <f>IFERROR(IF(Data_Entry!AF122/Data_Entry!$I122&lt;0,0,Data_Entry!AF122/Data_Entry!$I122),0)</f>
        <v>0.1035653650254669</v>
      </c>
      <c r="AB133" s="49">
        <f>IFERROR(IF(Data_Entry!AG122/Data_Entry!$I122&lt;0,0,Data_Entry!AG122/Data_Entry!$I122),0)</f>
        <v>9.5076400679117143E-2</v>
      </c>
      <c r="AC133" s="49">
        <f>IFERROR(IF(Data_Entry!AI122/Data_Entry!$I122&lt;0,0,Data_Entry!AI122/Data_Entry!$I122),0)</f>
        <v>9.8981324278438032E-2</v>
      </c>
      <c r="AD133" s="49">
        <f>IFERROR(IF(Data_Entry!AM122/Data_Entry!$H122&lt;0,0,Data_Entry!AM122/Data_Entry!$H122),0)</f>
        <v>0.86008532746970479</v>
      </c>
      <c r="AE133" s="50">
        <f>Data_Entry!AK122</f>
        <v>0</v>
      </c>
      <c r="AF133" s="50">
        <f>Data_Entry!AL122</f>
        <v>9</v>
      </c>
      <c r="AG133" s="153">
        <f>(Data_Entry!O122-Data_Entry!Q122)/Data_Entry!O122</f>
        <v>6.2271062271062272E-2</v>
      </c>
      <c r="AH133" s="79" t="str">
        <f t="shared" si="2"/>
        <v>CAT1</v>
      </c>
      <c r="AI133" s="51">
        <f>SUBTOTAL(3,Tableau1[[#This Row],[ZS]])</f>
        <v>0</v>
      </c>
      <c r="AJ133" s="51" t="e">
        <f t="shared" ca="1" si="3"/>
        <v>#NAME?</v>
      </c>
      <c r="AK133" s="50" t="str">
        <f>IFERROR(IF((Data_Entry!O122-Data_Entry!Q122)/Data_Entry!O122&lt;=10%,"&lt;=10%","&gt;10%"),"&lt;=10%")</f>
        <v>&lt;=10%</v>
      </c>
    </row>
    <row r="134" spans="1:157" s="48" customFormat="1" ht="13" hidden="1" x14ac:dyDescent="0.3">
      <c r="A134" s="31" t="s">
        <v>16</v>
      </c>
      <c r="B134" s="48" t="str">
        <f>Data_Entry!B123</f>
        <v>Butembo</v>
      </c>
      <c r="C134" s="48" t="str">
        <f>Data_Entry!C123</f>
        <v xml:space="preserve"> Butembo</v>
      </c>
      <c r="D134" s="48" t="str">
        <f>Data_Entry!D123</f>
        <v xml:space="preserve"> Vusenzera</v>
      </c>
      <c r="E134" s="49">
        <f>IFERROR(IF(Data_Entry!J123/Data_Entry!$I123&lt;0,0,Data_Entry!J123/Data_Entry!$I123),0)</f>
        <v>0</v>
      </c>
      <c r="F134" s="49">
        <f>IFERROR(IF(Data_Entry!K123/Data_Entry!$H123&lt;0,0,Data_Entry!K123/Data_Entry!$H123),0)</f>
        <v>0</v>
      </c>
      <c r="G134" s="49">
        <f>IFERROR(IF(Data_Entry!L123/Data_Entry!$H123&lt;0,0,Data_Entry!L123/Data_Entry!$H123),0)</f>
        <v>0</v>
      </c>
      <c r="H134" s="49">
        <f>IFERROR(IF(Data_Entry!M123/Data_Entry!$H123&lt;0,0,Data_Entry!M123/Data_Entry!$H123),0)</f>
        <v>0</v>
      </c>
      <c r="I134" s="49">
        <f>IFERROR(IF(Data_Entry!N123/Data_Entry!$H123&lt;0,0,Data_Entry!N123/Data_Entry!$H123),0)</f>
        <v>0</v>
      </c>
      <c r="J134" s="49">
        <f>IFERROR(IF(Data_Entry!O123/Data_Entry!$H123&lt;0,0,Data_Entry!O123/Data_Entry!$H123),0)</f>
        <v>0</v>
      </c>
      <c r="K134" s="49">
        <f>IFERROR(IF(Data_Entry!P123/Data_Entry!$H123&lt;0,0,Data_Entry!P123/Data_Entry!$H123),0)</f>
        <v>0</v>
      </c>
      <c r="L134" s="49">
        <f>IFERROR(IF(Data_Entry!Q123/Data_Entry!$H123&lt;0,0,Data_Entry!Q123/Data_Entry!$H123),0)</f>
        <v>0</v>
      </c>
      <c r="M134" s="49">
        <f>IFERROR(IF(Data_Entry!R123/Data_Entry!$H123&lt;0,0,Data_Entry!R123/Data_Entry!$H123),0)</f>
        <v>0</v>
      </c>
      <c r="N134" s="49">
        <f>IFERROR(IF(Data_Entry!S123/Data_Entry!$H123&lt;0,0,Data_Entry!S123/Data_Entry!$H123),0)</f>
        <v>0</v>
      </c>
      <c r="O134" s="49">
        <f>IFERROR(IF(Data_Entry!T123/Data_Entry!$H123&lt;0,0,Data_Entry!T123/Data_Entry!$H123),0)</f>
        <v>0</v>
      </c>
      <c r="P134" s="49">
        <f>IFERROR(IF(Data_Entry!U123/Data_Entry!$H123&lt;0,0,Data_Entry!U123/Data_Entry!$H123),0)</f>
        <v>0</v>
      </c>
      <c r="Q134" s="49">
        <f>IFERROR(IF(Data_Entry!V123/Data_Entry!$H123&lt;0,0,Data_Entry!V123/Data_Entry!$H123),0)</f>
        <v>0</v>
      </c>
      <c r="R134" s="49">
        <f>IFERROR(IF(Data_Entry!W123/Data_Entry!$H123&lt;0,0,Data_Entry!W123/Data_Entry!$H123),0)</f>
        <v>0</v>
      </c>
      <c r="S134" s="49">
        <f>IFERROR(IF(Data_Entry!X123/Data_Entry!$H123&lt;0,0,Data_Entry!X123/Data_Entry!$H123),0)</f>
        <v>0</v>
      </c>
      <c r="T134" s="49">
        <f>IFERROR(IF(Data_Entry!Y123/Data_Entry!$H123&lt;0,0,Data_Entry!Y123/Data_Entry!$H123),0)</f>
        <v>0</v>
      </c>
      <c r="U134" s="49">
        <f>IFERROR(IF(Data_Entry!Z123/Data_Entry!$H123&lt;0,0,Data_Entry!Z123/Data_Entry!$H123),0)</f>
        <v>0</v>
      </c>
      <c r="V134" s="49">
        <f>IFERROR(IF(Data_Entry!AA123/Data_Entry!$H123&lt;0,0,Data_Entry!AA123/Data_Entry!$H123),0)</f>
        <v>0</v>
      </c>
      <c r="W134" s="49">
        <f>IFERROR(IF(Data_Entry!AB123/Data_Entry!$H123&lt;0,0,Data_Entry!AB123/Data_Entry!$H123),0)</f>
        <v>0</v>
      </c>
      <c r="X134" s="49">
        <f>IFERROR(IF(Data_Entry!AC123/Data_Entry!$I123&lt;0,0,Data_Entry!AC123/Data_Entry!$I123),0)</f>
        <v>0</v>
      </c>
      <c r="Y134" s="49">
        <f>IFERROR(IF(Data_Entry!AD123/Data_Entry!$I123&lt;0,0,Data_Entry!AD123/Data_Entry!$I123),0)</f>
        <v>0</v>
      </c>
      <c r="Z134" s="49">
        <f>IFERROR(IF(Data_Entry!AE123/Data_Entry!$I123&lt;0,0,Data_Entry!AE123/Data_Entry!$I123),0)</f>
        <v>0</v>
      </c>
      <c r="AA134" s="49">
        <f>IFERROR(IF(Data_Entry!AF123/Data_Entry!$I123&lt;0,0,Data_Entry!AF123/Data_Entry!$I123),0)</f>
        <v>0</v>
      </c>
      <c r="AB134" s="49">
        <f>IFERROR(IF(Data_Entry!AG123/Data_Entry!$I123&lt;0,0,Data_Entry!AG123/Data_Entry!$I123),0)</f>
        <v>0</v>
      </c>
      <c r="AC134" s="49">
        <f>IFERROR(IF(Data_Entry!AI123/Data_Entry!$I123&lt;0,0,Data_Entry!AI123/Data_Entry!$I123),0)</f>
        <v>0</v>
      </c>
      <c r="AD134" s="49">
        <f>IFERROR(IF(Data_Entry!AM123/Data_Entry!$H123&lt;0,0,Data_Entry!AM123/Data_Entry!$H123),0)</f>
        <v>0</v>
      </c>
      <c r="AE134" s="50">
        <f>Data_Entry!AK123</f>
        <v>0</v>
      </c>
      <c r="AF134" s="50">
        <f>Data_Entry!AL123</f>
        <v>0</v>
      </c>
      <c r="AG134" s="153" t="e">
        <f>(Data_Entry!O123-Data_Entry!Q123)/Data_Entry!O123</f>
        <v>#VALUE!</v>
      </c>
      <c r="AH134" s="79" t="str">
        <f t="shared" si="2"/>
        <v>ND</v>
      </c>
      <c r="AI134" s="51">
        <f>SUBTOTAL(3,Tableau1[[#This Row],[ZS]])</f>
        <v>0</v>
      </c>
      <c r="AJ134" s="51" t="e">
        <f t="shared" ca="1" si="3"/>
        <v>#NAME?</v>
      </c>
      <c r="AK134" s="50" t="str">
        <f>IFERROR(IF((Data_Entry!O123-Data_Entry!Q123)/Data_Entry!O123&lt;=10%,"&lt;=10%","&gt;10%"),"&lt;=10%")</f>
        <v>&lt;=10%</v>
      </c>
    </row>
    <row r="135" spans="1:157" s="48" customFormat="1" ht="13" hidden="1" x14ac:dyDescent="0.3">
      <c r="A135" s="31" t="s">
        <v>16</v>
      </c>
      <c r="B135" s="48" t="str">
        <f>Data_Entry!B124</f>
        <v>Butembo</v>
      </c>
      <c r="C135" s="48" t="str">
        <f>Data_Entry!C124</f>
        <v xml:space="preserve"> Butembo</v>
      </c>
      <c r="D135" s="48" t="str">
        <f>Data_Entry!D124</f>
        <v xml:space="preserve"> Vutetse</v>
      </c>
      <c r="E135" s="49">
        <f>IFERROR(IF(Data_Entry!J124/Data_Entry!$I124&lt;0,0,Data_Entry!J124/Data_Entry!$I124),0)</f>
        <v>0.51445966514459662</v>
      </c>
      <c r="F135" s="49">
        <f>IFERROR(IF(Data_Entry!K124/Data_Entry!$H124&lt;0,0,Data_Entry!K124/Data_Entry!$H124),0)</f>
        <v>6.2801742748361269E-2</v>
      </c>
      <c r="G135" s="49">
        <f>IFERROR(IF(Data_Entry!L124/Data_Entry!$H124&lt;0,0,Data_Entry!L124/Data_Entry!$H124),0)</f>
        <v>0.9269072031563691</v>
      </c>
      <c r="H135" s="49">
        <f>IFERROR(IF(Data_Entry!M124/Data_Entry!$H124&lt;0,0,Data_Entry!M124/Data_Entry!$H124),0)</f>
        <v>0.87922439847705769</v>
      </c>
      <c r="I135" s="49">
        <f>IFERROR(IF(Data_Entry!N124/Data_Entry!$H124&lt;0,0,Data_Entry!N124/Data_Entry!$H124),0)</f>
        <v>0.9199292317398845</v>
      </c>
      <c r="J135" s="49">
        <f>IFERROR(IF(Data_Entry!O124/Data_Entry!$H124&lt;0,0,Data_Entry!O124/Data_Entry!$H124),0)</f>
        <v>0.72222004160615461</v>
      </c>
      <c r="K135" s="49">
        <f>IFERROR(IF(Data_Entry!P124/Data_Entry!$H124&lt;0,0,Data_Entry!P124/Data_Entry!$H124),0)</f>
        <v>0.67918921787116626</v>
      </c>
      <c r="L135" s="49">
        <f>IFERROR(IF(Data_Entry!Q124/Data_Entry!$H124&lt;0,0,Data_Entry!Q124/Data_Entry!$H124),0)</f>
        <v>0.71175308448142771</v>
      </c>
      <c r="M135" s="49">
        <f>IFERROR(IF(Data_Entry!R124/Data_Entry!$H124&lt;0,0,Data_Entry!R124/Data_Entry!$H124),0)</f>
        <v>0.72222004160615461</v>
      </c>
      <c r="N135" s="49">
        <f>IFERROR(IF(Data_Entry!S124/Data_Entry!$H124&lt;0,0,Data_Entry!S124/Data_Entry!$H124),0)</f>
        <v>0.6780262226350855</v>
      </c>
      <c r="O135" s="49">
        <f>IFERROR(IF(Data_Entry!T124/Data_Entry!$H124&lt;0,0,Data_Entry!T124/Data_Entry!$H124),0)</f>
        <v>0.69663414641237775</v>
      </c>
      <c r="P135" s="49">
        <f>IFERROR(IF(Data_Entry!U124/Data_Entry!$H124&lt;0,0,Data_Entry!U124/Data_Entry!$H124),0)</f>
        <v>0.73733897967520456</v>
      </c>
      <c r="Q135" s="49">
        <f>IFERROR(IF(Data_Entry!V124/Data_Entry!$H124&lt;0,0,Data_Entry!V124/Data_Entry!$H124),0)</f>
        <v>1.5770215401255163</v>
      </c>
      <c r="R135" s="49">
        <f>IFERROR(IF(Data_Entry!W124/Data_Entry!$H124&lt;0,0,Data_Entry!W124/Data_Entry!$H124),0)</f>
        <v>0.68965617499589316</v>
      </c>
      <c r="S135" s="49">
        <f>IFERROR(IF(Data_Entry!X124/Data_Entry!$H124&lt;0,0,Data_Entry!X124/Data_Entry!$H124),0)</f>
        <v>0.95249309835014584</v>
      </c>
      <c r="T135" s="49">
        <f>IFERROR(IF(Data_Entry!Y124/Data_Entry!$H124&lt;0,0,Data_Entry!Y124/Data_Entry!$H124),0)</f>
        <v>0.10118058553902648</v>
      </c>
      <c r="U135" s="49">
        <f>IFERROR(IF(Data_Entry!Z124/Data_Entry!$H124&lt;0,0,Data_Entry!Z124/Data_Entry!$H124),0)</f>
        <v>0.72222004160615461</v>
      </c>
      <c r="V135" s="49">
        <f>IFERROR(IF(Data_Entry!AA124/Data_Entry!$H124&lt;0,0,Data_Entry!AA124/Data_Entry!$H124),0)</f>
        <v>0.90364729843475378</v>
      </c>
      <c r="W135" s="49">
        <f>IFERROR(IF(Data_Entry!AB124/Data_Entry!$H124&lt;0,0,Data_Entry!AB124/Data_Entry!$H124),0)</f>
        <v>0.88736536512962305</v>
      </c>
      <c r="X135" s="49">
        <f>IFERROR(IF(Data_Entry!AC124/Data_Entry!$I124&lt;0,0,Data_Entry!AC124/Data_Entry!$I124),0)</f>
        <v>5.5809233891425669E-2</v>
      </c>
      <c r="Y135" s="49">
        <f>IFERROR(IF(Data_Entry!AD124/Data_Entry!$I124&lt;0,0,Data_Entry!AD124/Data_Entry!$I124),0)</f>
        <v>3.0441400304413998E-2</v>
      </c>
      <c r="Z135" s="49">
        <f>IFERROR(IF(Data_Entry!AE124/Data_Entry!$I124&lt;0,0,Data_Entry!AE124/Data_Entry!$I124),0)</f>
        <v>4.3632673769660069E-2</v>
      </c>
      <c r="AA135" s="49">
        <f>IFERROR(IF(Data_Entry!AF124/Data_Entry!$I124&lt;0,0,Data_Entry!AF124/Data_Entry!$I124),0)</f>
        <v>2.2323693556570268E-2</v>
      </c>
      <c r="AB135" s="49">
        <f>IFERROR(IF(Data_Entry!AG124/Data_Entry!$I124&lt;0,0,Data_Entry!AG124/Data_Entry!$I124),0)</f>
        <v>1.1161846778285134E-2</v>
      </c>
      <c r="AC135" s="49">
        <f>IFERROR(IF(Data_Entry!AI124/Data_Entry!$I124&lt;0,0,Data_Entry!AI124/Data_Entry!$I124),0)</f>
        <v>5.91577879249112E-2</v>
      </c>
      <c r="AD135" s="49">
        <f>IFERROR(IF(Data_Entry!AM124/Data_Entry!$H124&lt;0,0,Data_Entry!AM124/Data_Entry!$H124),0)</f>
        <v>0.72222004160615461</v>
      </c>
      <c r="AE135" s="50">
        <f>Data_Entry!AK124</f>
        <v>238.84875</v>
      </c>
      <c r="AF135" s="50">
        <f>Data_Entry!AL124</f>
        <v>0</v>
      </c>
      <c r="AG135" s="153">
        <f>(Data_Entry!O124-Data_Entry!Q124)/Data_Entry!O124</f>
        <v>1.4492753623188406E-2</v>
      </c>
      <c r="AH135" s="79" t="str">
        <f t="shared" si="2"/>
        <v>CAT3</v>
      </c>
      <c r="AI135" s="51">
        <f>SUBTOTAL(3,Tableau1[[#This Row],[ZS]])</f>
        <v>0</v>
      </c>
      <c r="AJ135" s="51" t="e">
        <f t="shared" ca="1" si="3"/>
        <v>#NAME?</v>
      </c>
      <c r="AK135" s="50" t="str">
        <f>IFERROR(IF((Data_Entry!O124-Data_Entry!Q124)/Data_Entry!O124&lt;=10%,"&lt;=10%","&gt;10%"),"&lt;=10%")</f>
        <v>&lt;=10%</v>
      </c>
    </row>
    <row r="136" spans="1:157" s="48" customFormat="1" ht="13" hidden="1" x14ac:dyDescent="0.3">
      <c r="A136" s="31" t="s">
        <v>16</v>
      </c>
      <c r="B136" s="48" t="str">
        <f>Data_Entry!B125</f>
        <v>Butembo</v>
      </c>
      <c r="C136" s="48" t="str">
        <f>Data_Entry!C125</f>
        <v xml:space="preserve"> Butembo</v>
      </c>
      <c r="D136" s="48" t="str">
        <f>Data_Entry!D125</f>
        <v xml:space="preserve"> Vutike</v>
      </c>
      <c r="E136" s="49">
        <f>IFERROR(IF(Data_Entry!J125/Data_Entry!$I125&lt;0,0,Data_Entry!J125/Data_Entry!$I125),0)</f>
        <v>0.8270886925399844</v>
      </c>
      <c r="F136" s="49">
        <f>IFERROR(IF(Data_Entry!K125/Data_Entry!$H125&lt;0,0,Data_Entry!K125/Data_Entry!$H125),0)</f>
        <v>8.4604293860195884E-2</v>
      </c>
      <c r="G136" s="49">
        <f>IFERROR(IF(Data_Entry!L125/Data_Entry!$H125&lt;0,0,Data_Entry!L125/Data_Entry!$H125),0)</f>
        <v>0.67683435088156707</v>
      </c>
      <c r="H136" s="49">
        <f>IFERROR(IF(Data_Entry!M125/Data_Entry!$H125&lt;0,0,Data_Entry!M125/Data_Entry!$H125),0)</f>
        <v>0.53839096092851924</v>
      </c>
      <c r="I136" s="49">
        <f>IFERROR(IF(Data_Entry!N125/Data_Entry!$H125&lt;0,0,Data_Entry!N125/Data_Entry!$H125),0)</f>
        <v>0.64991480283514114</v>
      </c>
      <c r="J136" s="49">
        <f>IFERROR(IF(Data_Entry!O125/Data_Entry!$H125&lt;0,0,Data_Entry!O125/Data_Entry!$H125),0)</f>
        <v>0.9979461025782197</v>
      </c>
      <c r="K136" s="49">
        <f>IFERROR(IF(Data_Entry!P125/Data_Entry!$H125&lt;0,0,Data_Entry!P125/Data_Entry!$H125),0)</f>
        <v>0.89411356011343379</v>
      </c>
      <c r="L136" s="49">
        <f>IFERROR(IF(Data_Entry!Q125/Data_Entry!$H125&lt;0,0,Data_Entry!Q125/Data_Entry!$H125),0)</f>
        <v>0.84796576346241792</v>
      </c>
      <c r="M136" s="49">
        <f>IFERROR(IF(Data_Entry!R125/Data_Entry!$H125&lt;0,0,Data_Entry!R125/Data_Entry!$H125),0)</f>
        <v>1.0056374020200556</v>
      </c>
      <c r="N136" s="49">
        <f>IFERROR(IF(Data_Entry!S125/Data_Entry!$H125&lt;0,0,Data_Entry!S125/Data_Entry!$H125),0)</f>
        <v>0.89795920983435185</v>
      </c>
      <c r="O136" s="49">
        <f>IFERROR(IF(Data_Entry!T125/Data_Entry!$H125&lt;0,0,Data_Entry!T125/Data_Entry!$H125),0)</f>
        <v>0.86911683692746688</v>
      </c>
      <c r="P136" s="49">
        <f>IFERROR(IF(Data_Entry!U125/Data_Entry!$H125&lt;0,0,Data_Entry!U125/Data_Entry!$H125),0)</f>
        <v>1.0094830517409736</v>
      </c>
      <c r="Q136" s="49">
        <f>IFERROR(IF(Data_Entry!V125/Data_Entry!$H125&lt;0,0,Data_Entry!V125/Data_Entry!$H125),0)</f>
        <v>0.87680813636930288</v>
      </c>
      <c r="R136" s="49">
        <f>IFERROR(IF(Data_Entry!W125/Data_Entry!$H125&lt;0,0,Data_Entry!W125/Data_Entry!$H125),0)</f>
        <v>0.81143209111369696</v>
      </c>
      <c r="S136" s="49">
        <f>IFERROR(IF(Data_Entry!X125/Data_Entry!$H125&lt;0,0,Data_Entry!X125/Data_Entry!$H125),0)</f>
        <v>0.84219728888104084</v>
      </c>
      <c r="T136" s="49">
        <f>IFERROR(IF(Data_Entry!Y125/Data_Entry!$H125&lt;0,0,Data_Entry!Y125/Data_Entry!$H125),0)</f>
        <v>0.1615172882785558</v>
      </c>
      <c r="U136" s="49">
        <f>IFERROR(IF(Data_Entry!Z125/Data_Entry!$H125&lt;0,0,Data_Entry!Z125/Data_Entry!$H125),0)</f>
        <v>0.80950926625323794</v>
      </c>
      <c r="V136" s="49">
        <f>IFERROR(IF(Data_Entry!AA125/Data_Entry!$H125&lt;0,0,Data_Entry!AA125/Data_Entry!$H125),0)</f>
        <v>0.85950271262517186</v>
      </c>
      <c r="W136" s="49">
        <f>IFERROR(IF(Data_Entry!AB125/Data_Entry!$H125&lt;0,0,Data_Entry!AB125/Data_Entry!$H125),0)</f>
        <v>0.82489186513690993</v>
      </c>
      <c r="X136" s="49">
        <f>IFERROR(IF(Data_Entry!AC125/Data_Entry!$I125&lt;0,0,Data_Entry!AC125/Data_Entry!$I125),0)</f>
        <v>0.48316743093613695</v>
      </c>
      <c r="Y136" s="49">
        <f>IFERROR(IF(Data_Entry!AD125/Data_Entry!$I125&lt;0,0,Data_Entry!AD125/Data_Entry!$I125),0)</f>
        <v>0.16608880438429707</v>
      </c>
      <c r="Z136" s="49">
        <f>IFERROR(IF(Data_Entry!AE125/Data_Entry!$I125&lt;0,0,Data_Entry!AE125/Data_Entry!$I125),0)</f>
        <v>0.11743652835253328</v>
      </c>
      <c r="AA136" s="49">
        <f>IFERROR(IF(Data_Entry!AF125/Data_Entry!$I125&lt;0,0,Data_Entry!AF125/Data_Entry!$I125),0)</f>
        <v>6.8784252320769498E-2</v>
      </c>
      <c r="AB136" s="49">
        <f>IFERROR(IF(Data_Entry!AG125/Data_Entry!$I125&lt;0,0,Data_Entry!AG125/Data_Entry!$I125),0)</f>
        <v>4.8652276031763787E-2</v>
      </c>
      <c r="AC136" s="49">
        <f>IFERROR(IF(Data_Entry!AI125/Data_Entry!$I125&lt;0,0,Data_Entry!AI125/Data_Entry!$I125),0)</f>
        <v>9.7807851470752716E-2</v>
      </c>
      <c r="AD136" s="49">
        <f>IFERROR(IF(Data_Entry!AM125/Data_Entry!$H125&lt;0,0,Data_Entry!AM125/Data_Entry!$H125),0)</f>
        <v>0.80950926625323794</v>
      </c>
      <c r="AE136" s="50">
        <f>Data_Entry!AK125</f>
        <v>1.0681666666666843</v>
      </c>
      <c r="AF136" s="50">
        <f>Data_Entry!AL125</f>
        <v>81</v>
      </c>
      <c r="AG136" s="153">
        <f>(Data_Entry!O125-Data_Entry!Q125)/Data_Entry!O125</f>
        <v>0.15028901734104047</v>
      </c>
      <c r="AH136" s="79" t="str">
        <f t="shared" si="2"/>
        <v>CAT2</v>
      </c>
      <c r="AI136" s="51">
        <f>SUBTOTAL(3,Tableau1[[#This Row],[ZS]])</f>
        <v>0</v>
      </c>
      <c r="AJ136" s="51" t="e">
        <f t="shared" ca="1" si="3"/>
        <v>#NAME?</v>
      </c>
      <c r="AK136" s="50" t="str">
        <f>IFERROR(IF((Data_Entry!O125-Data_Entry!Q125)/Data_Entry!O125&lt;=10%,"&lt;=10%","&gt;10%"),"&lt;=10%")</f>
        <v>&gt;10%</v>
      </c>
    </row>
    <row r="137" spans="1:157" s="48" customFormat="1" ht="13" hidden="1" x14ac:dyDescent="0.3">
      <c r="A137" s="31" t="s">
        <v>16</v>
      </c>
      <c r="B137" s="48" t="str">
        <f>Data_Entry!B126</f>
        <v>Butembo</v>
      </c>
      <c r="C137" s="48" t="str">
        <f>Data_Entry!C126</f>
        <v xml:space="preserve"> Butembo</v>
      </c>
      <c r="D137" s="48" t="str">
        <f>Data_Entry!D126</f>
        <v xml:space="preserve"> Vutsundo</v>
      </c>
      <c r="E137" s="49">
        <f>IFERROR(IF(Data_Entry!J126/Data_Entry!$I126&lt;0,0,Data_Entry!J126/Data_Entry!$I126),0)</f>
        <v>0.36298932384341637</v>
      </c>
      <c r="F137" s="49">
        <f>IFERROR(IF(Data_Entry!K126/Data_Entry!$H126&lt;0,0,Data_Entry!K126/Data_Entry!$H126),0)</f>
        <v>5.0474665796531017E-2</v>
      </c>
      <c r="G137" s="49">
        <f>IFERROR(IF(Data_Entry!L126/Data_Entry!$H126&lt;0,0,Data_Entry!L126/Data_Entry!$H126),0)</f>
        <v>0.60722552488553982</v>
      </c>
      <c r="H137" s="49">
        <f>IFERROR(IF(Data_Entry!M126/Data_Entry!$H126&lt;0,0,Data_Entry!M126/Data_Entry!$H126),0)</f>
        <v>0.55828039441617638</v>
      </c>
      <c r="I137" s="49">
        <f>IFERROR(IF(Data_Entry!N126/Data_Entry!$H126&lt;0,0,Data_Entry!N126/Data_Entry!$H126),0)</f>
        <v>0.57357574768785247</v>
      </c>
      <c r="J137" s="49">
        <f>IFERROR(IF(Data_Entry!O126/Data_Entry!$H126&lt;0,0,Data_Entry!O126/Data_Entry!$H126),0)</f>
        <v>0.57051667703351727</v>
      </c>
      <c r="K137" s="49">
        <f>IFERROR(IF(Data_Entry!P126/Data_Entry!$H126&lt;0,0,Data_Entry!P126/Data_Entry!$H126),0)</f>
        <v>0.52463061721848903</v>
      </c>
      <c r="L137" s="49">
        <f>IFERROR(IF(Data_Entry!Q126/Data_Entry!$H126&lt;0,0,Data_Entry!Q126/Data_Entry!$H126),0)</f>
        <v>0.53227829385432712</v>
      </c>
      <c r="M137" s="49">
        <f>IFERROR(IF(Data_Entry!R126/Data_Entry!$H126&lt;0,0,Data_Entry!R126/Data_Entry!$H126),0)</f>
        <v>0.59345970694103134</v>
      </c>
      <c r="N137" s="49">
        <f>IFERROR(IF(Data_Entry!S126/Data_Entry!$H126&lt;0,0,Data_Entry!S126/Data_Entry!$H126),0)</f>
        <v>0.552162253107506</v>
      </c>
      <c r="O137" s="49">
        <f>IFERROR(IF(Data_Entry!T126/Data_Entry!$H126&lt;0,0,Data_Entry!T126/Data_Entry!$H126),0)</f>
        <v>0.56898714170634968</v>
      </c>
      <c r="P137" s="49">
        <f>IFERROR(IF(Data_Entry!U126/Data_Entry!$H126&lt;0,0,Data_Entry!U126/Data_Entry!$H126),0)</f>
        <v>0.53533736450866232</v>
      </c>
      <c r="Q137" s="49">
        <f>IFERROR(IF(Data_Entry!V126/Data_Entry!$H126&lt;0,0,Data_Entry!V126/Data_Entry!$H126),0)</f>
        <v>0.48945130469363413</v>
      </c>
      <c r="R137" s="49">
        <f>IFERROR(IF(Data_Entry!W126/Data_Entry!$H126&lt;0,0,Data_Entry!W126/Data_Entry!$H126),0)</f>
        <v>0.49098084002080172</v>
      </c>
      <c r="S137" s="49">
        <f>IFERROR(IF(Data_Entry!X126/Data_Entry!$H126&lt;0,0,Data_Entry!X126/Data_Entry!$H126),0)</f>
        <v>0.5491031824531708</v>
      </c>
      <c r="T137" s="49">
        <f>IFERROR(IF(Data_Entry!Y126/Data_Entry!$H126&lt;0,0,Data_Entry!Y126/Data_Entry!$H126),0)</f>
        <v>4.5886059815028198E-2</v>
      </c>
      <c r="U137" s="49">
        <f>IFERROR(IF(Data_Entry!Z126/Data_Entry!$H126&lt;0,0,Data_Entry!Z126/Data_Entry!$H126),0)</f>
        <v>0.5491031824531708</v>
      </c>
      <c r="V137" s="49">
        <f>IFERROR(IF(Data_Entry!AA126/Data_Entry!$H126&lt;0,0,Data_Entry!AA126/Data_Entry!$H126),0)</f>
        <v>0.57357574768785247</v>
      </c>
      <c r="W137" s="49">
        <f>IFERROR(IF(Data_Entry!AB126/Data_Entry!$H126&lt;0,0,Data_Entry!AB126/Data_Entry!$H126),0)</f>
        <v>0.53380782918149472</v>
      </c>
      <c r="X137" s="49">
        <f>IFERROR(IF(Data_Entry!AC126/Data_Entry!$I126&lt;0,0,Data_Entry!AC126/Data_Entry!$I126),0)</f>
        <v>1.8683274021352312E-2</v>
      </c>
      <c r="Y137" s="49">
        <f>IFERROR(IF(Data_Entry!AD126/Data_Entry!$I126&lt;0,0,Data_Entry!AD126/Data_Entry!$I126),0)</f>
        <v>9.341637010676156E-3</v>
      </c>
      <c r="Z137" s="49">
        <f>IFERROR(IF(Data_Entry!AE126/Data_Entry!$I126&lt;0,0,Data_Entry!AE126/Data_Entry!$I126),0)</f>
        <v>6.6725978647686826E-3</v>
      </c>
      <c r="AA137" s="49">
        <f>IFERROR(IF(Data_Entry!AF126/Data_Entry!$I126&lt;0,0,Data_Entry!AF126/Data_Entry!$I126),0)</f>
        <v>4.0035587188612101E-3</v>
      </c>
      <c r="AB137" s="49">
        <f>IFERROR(IF(Data_Entry!AG126/Data_Entry!$I126&lt;0,0,Data_Entry!AG126/Data_Entry!$I126),0)</f>
        <v>6.6725978647686826E-3</v>
      </c>
      <c r="AC137" s="49">
        <f>IFERROR(IF(Data_Entry!AI126/Data_Entry!$I126&lt;0,0,Data_Entry!AI126/Data_Entry!$I126),0)</f>
        <v>7.7802491103202837E-2</v>
      </c>
      <c r="AD137" s="49">
        <f>IFERROR(IF(Data_Entry!AM126/Data_Entry!$H126&lt;0,0,Data_Entry!AM126/Data_Entry!$H126),0)</f>
        <v>0.5491031824531708</v>
      </c>
      <c r="AE137" s="50">
        <f>Data_Entry!AK126</f>
        <v>280.79333333333329</v>
      </c>
      <c r="AF137" s="50">
        <f>Data_Entry!AL126</f>
        <v>14</v>
      </c>
      <c r="AG137" s="153">
        <f>(Data_Entry!O126-Data_Entry!Q126)/Data_Entry!O126</f>
        <v>6.7024128686327081E-2</v>
      </c>
      <c r="AH137" s="79" t="str">
        <f t="shared" si="2"/>
        <v>CAT3</v>
      </c>
      <c r="AI137" s="51">
        <f>SUBTOTAL(3,Tableau1[[#This Row],[ZS]])</f>
        <v>0</v>
      </c>
      <c r="AJ137" s="51" t="e">
        <f t="shared" ca="1" si="3"/>
        <v>#NAME?</v>
      </c>
      <c r="AK137" s="50" t="str">
        <f>IFERROR(IF((Data_Entry!O126-Data_Entry!Q126)/Data_Entry!O126&lt;=10%,"&lt;=10%","&gt;10%"),"&lt;=10%")</f>
        <v>&lt;=10%</v>
      </c>
    </row>
    <row r="138" spans="1:157" s="48" customFormat="1" ht="13" hidden="1" x14ac:dyDescent="0.3">
      <c r="A138" s="31" t="s">
        <v>16</v>
      </c>
      <c r="B138" s="48" t="str">
        <f>Data_Entry!B127</f>
        <v>Butembo</v>
      </c>
      <c r="C138" s="48" t="str">
        <f>Data_Entry!C127</f>
        <v xml:space="preserve"> Butembo</v>
      </c>
      <c r="D138" s="48" t="str">
        <f>Data_Entry!D127</f>
        <v xml:space="preserve"> Vuvatsi</v>
      </c>
      <c r="E138" s="49">
        <f>IFERROR(IF(Data_Entry!J127/Data_Entry!$I127&lt;0,0,Data_Entry!J127/Data_Entry!$I127),0)</f>
        <v>0.98528159591290587</v>
      </c>
      <c r="F138" s="49">
        <f>IFERROR(IF(Data_Entry!K127/Data_Entry!$H127&lt;0,0,Data_Entry!K127/Data_Entry!$H127),0)</f>
        <v>0.20703147192057242</v>
      </c>
      <c r="G138" s="49">
        <f>IFERROR(IF(Data_Entry!L127/Data_Entry!$H127&lt;0,0,Data_Entry!L127/Data_Entry!$H127),0)</f>
        <v>1.0435222675592488</v>
      </c>
      <c r="H138" s="49">
        <f>IFERROR(IF(Data_Entry!M127/Data_Entry!$H127&lt;0,0,Data_Entry!M127/Data_Entry!$H127),0)</f>
        <v>0.91595742122435075</v>
      </c>
      <c r="I138" s="49">
        <f>IFERROR(IF(Data_Entry!N127/Data_Entry!$H127&lt;0,0,Data_Entry!N127/Data_Entry!$H127),0)</f>
        <v>0.97032932294086471</v>
      </c>
      <c r="J138" s="49">
        <f>IFERROR(IF(Data_Entry!O127/Data_Entry!$H127&lt;0,0,Data_Entry!O127/Data_Entry!$H127),0)</f>
        <v>1.035157359602862</v>
      </c>
      <c r="K138" s="49">
        <f>IFERROR(IF(Data_Entry!P127/Data_Entry!$H127&lt;0,0,Data_Entry!P127/Data_Entry!$H127),0)</f>
        <v>0.86785920047512688</v>
      </c>
      <c r="L138" s="49">
        <f>IFERROR(IF(Data_Entry!Q127/Data_Entry!$H127&lt;0,0,Data_Entry!Q127/Data_Entry!$H127),0)</f>
        <v>0.87831533542061024</v>
      </c>
      <c r="M138" s="49">
        <f>IFERROR(IF(Data_Entry!R127/Data_Entry!$H127&lt;0,0,Data_Entry!R127/Data_Entry!$H127),0)</f>
        <v>1.0079714087446052</v>
      </c>
      <c r="N138" s="49">
        <f>IFERROR(IF(Data_Entry!S127/Data_Entry!$H127&lt;0,0,Data_Entry!S127/Data_Entry!$H127),0)</f>
        <v>0.87413288144241685</v>
      </c>
      <c r="O138" s="49">
        <f>IFERROR(IF(Data_Entry!T127/Data_Entry!$H127&lt;0,0,Data_Entry!T127/Data_Entry!$H127),0)</f>
        <v>0.86995042746422357</v>
      </c>
      <c r="P138" s="49">
        <f>IFERROR(IF(Data_Entry!U127/Data_Entry!$H127&lt;0,0,Data_Entry!U127/Data_Entry!$H127),0)</f>
        <v>1.1125327581994398</v>
      </c>
      <c r="Q138" s="49">
        <f>IFERROR(IF(Data_Entry!V127/Data_Entry!$H127&lt;0,0,Data_Entry!V127/Data_Entry!$H127),0)</f>
        <v>0.87831533542061024</v>
      </c>
      <c r="R138" s="49">
        <f>IFERROR(IF(Data_Entry!W127/Data_Entry!$H127&lt;0,0,Data_Entry!W127/Data_Entry!$H127),0)</f>
        <v>0.77166275897667902</v>
      </c>
      <c r="S138" s="49">
        <f>IFERROR(IF(Data_Entry!X127/Data_Entry!$H127&lt;0,0,Data_Entry!X127/Data_Entry!$H127),0)</f>
        <v>1.0142450897118953</v>
      </c>
      <c r="T138" s="49">
        <f>IFERROR(IF(Data_Entry!Y127/Data_Entry!$H127&lt;0,0,Data_Entry!Y127/Data_Entry!$H127),0)</f>
        <v>0.21748760686605589</v>
      </c>
      <c r="U138" s="49">
        <f>IFERROR(IF(Data_Entry!Z127/Data_Entry!$H127&lt;0,0,Data_Entry!Z127/Data_Entry!$H127),0)</f>
        <v>0.86785920047512688</v>
      </c>
      <c r="V138" s="49">
        <f>IFERROR(IF(Data_Entry!AA127/Data_Entry!$H127&lt;0,0,Data_Entry!AA127/Data_Entry!$H127),0)</f>
        <v>1.0456134945483455</v>
      </c>
      <c r="W138" s="49">
        <f>IFERROR(IF(Data_Entry!AB127/Data_Entry!$H127&lt;0,0,Data_Entry!AB127/Data_Entry!$H127),0)</f>
        <v>1.0142450897118953</v>
      </c>
      <c r="X138" s="49">
        <f>IFERROR(IF(Data_Entry!AC127/Data_Entry!$I127&lt;0,0,Data_Entry!AC127/Data_Entry!$I127),0)</f>
        <v>0.15873981267485707</v>
      </c>
      <c r="Y138" s="49">
        <f>IFERROR(IF(Data_Entry!AD127/Data_Entry!$I127&lt;0,0,Data_Entry!AD127/Data_Entry!$I127),0)</f>
        <v>0.11859871061914608</v>
      </c>
      <c r="Z138" s="49">
        <f>IFERROR(IF(Data_Entry!AE127/Data_Entry!$I127&lt;0,0,Data_Entry!AE127/Data_Entry!$I127),0)</f>
        <v>0.12589709281109354</v>
      </c>
      <c r="AA138" s="49">
        <f>IFERROR(IF(Data_Entry!AF127/Data_Entry!$I127&lt;0,0,Data_Entry!AF127/Data_Entry!$I127),0)</f>
        <v>8.393139520739569E-2</v>
      </c>
      <c r="AB138" s="49">
        <f>IFERROR(IF(Data_Entry!AG127/Data_Entry!$I127&lt;0,0,Data_Entry!AG127/Data_Entry!$I127),0)</f>
        <v>4.9264079795645295E-2</v>
      </c>
      <c r="AC138" s="49">
        <f>IFERROR(IF(Data_Entry!AI127/Data_Entry!$I127&lt;0,0,Data_Entry!AI127/Data_Entry!$I127),0)</f>
        <v>0.10637392044763409</v>
      </c>
      <c r="AD138" s="49">
        <f>IFERROR(IF(Data_Entry!AM127/Data_Entry!$H127&lt;0,0,Data_Entry!AM127/Data_Entry!$H127),0)</f>
        <v>0.86785920047512688</v>
      </c>
      <c r="AE138" s="50">
        <f>Data_Entry!AK127</f>
        <v>0</v>
      </c>
      <c r="AF138" s="50">
        <f>Data_Entry!AL127</f>
        <v>10</v>
      </c>
      <c r="AG138" s="153">
        <f>(Data_Entry!O127-Data_Entry!Q127)/Data_Entry!O127</f>
        <v>0.15151515151515152</v>
      </c>
      <c r="AH138" s="79" t="str">
        <f t="shared" si="2"/>
        <v>CAT2</v>
      </c>
      <c r="AI138" s="51">
        <f>SUBTOTAL(3,Tableau1[[#This Row],[ZS]])</f>
        <v>0</v>
      </c>
      <c r="AJ138" s="51" t="e">
        <f t="shared" ca="1" si="3"/>
        <v>#NAME?</v>
      </c>
      <c r="AK138" s="50" t="str">
        <f>IFERROR(IF((Data_Entry!O127-Data_Entry!Q127)/Data_Entry!O127&lt;=10%,"&lt;=10%","&gt;10%"),"&lt;=10%")</f>
        <v>&gt;10%</v>
      </c>
    </row>
    <row r="139" spans="1:157" s="48" customFormat="1" ht="13" hidden="1" x14ac:dyDescent="0.3">
      <c r="A139" s="31" t="s">
        <v>16</v>
      </c>
      <c r="B139" s="48" t="str">
        <f>Data_Entry!B128</f>
        <v>Goma</v>
      </c>
      <c r="C139" s="48" t="str">
        <f>Data_Entry!C128</f>
        <v xml:space="preserve"> Goma</v>
      </c>
      <c r="D139" s="48" t="str">
        <f>Data_Entry!D128</f>
        <v xml:space="preserve"> Buhimba</v>
      </c>
      <c r="E139" s="49">
        <f>IFERROR(IF(Data_Entry!J128/Data_Entry!$I128&lt;0,0,Data_Entry!J128/Data_Entry!$I128),0)</f>
        <v>8.6666001297469926</v>
      </c>
      <c r="F139" s="49">
        <f>IFERROR(IF(Data_Entry!K128/Data_Entry!$H128&lt;0,0,Data_Entry!K128/Data_Entry!$H128),0)</f>
        <v>2.6561385813423142</v>
      </c>
      <c r="G139" s="49">
        <f>IFERROR(IF(Data_Entry!L128/Data_Entry!$H128&lt;0,0,Data_Entry!L128/Data_Entry!$H128),0)</f>
        <v>7.3815944295443376</v>
      </c>
      <c r="H139" s="49">
        <f>IFERROR(IF(Data_Entry!M128/Data_Entry!$H128&lt;0,0,Data_Entry!M128/Data_Entry!$H128),0)</f>
        <v>6.321198019163492</v>
      </c>
      <c r="I139" s="49">
        <f>IFERROR(IF(Data_Entry!N128/Data_Entry!$H128&lt;0,0,Data_Entry!N128/Data_Entry!$H128),0)</f>
        <v>6.2800175760419057</v>
      </c>
      <c r="J139" s="49">
        <f>IFERROR(IF(Data_Entry!O128/Data_Entry!$H128&lt;0,0,Data_Entry!O128/Data_Entry!$H128),0)</f>
        <v>7.3815944295443376</v>
      </c>
      <c r="K139" s="49">
        <f>IFERROR(IF(Data_Entry!P128/Data_Entry!$H128&lt;0,0,Data_Entry!P128/Data_Entry!$H128),0)</f>
        <v>6.3435040925210178</v>
      </c>
      <c r="L139" s="49">
        <f>IFERROR(IF(Data_Entry!Q128/Data_Entry!$H128&lt;0,0,Data_Entry!Q128/Data_Entry!$H128),0)</f>
        <v>6.3314931299438886</v>
      </c>
      <c r="M139" s="49">
        <f>IFERROR(IF(Data_Entry!R128/Data_Entry!$H128&lt;0,0,Data_Entry!R128/Data_Entry!$H128),0)</f>
        <v>7.3815944295443376</v>
      </c>
      <c r="N139" s="49">
        <f>IFERROR(IF(Data_Entry!S128/Data_Entry!$H128&lt;0,0,Data_Entry!S128/Data_Entry!$H128),0)</f>
        <v>6.3332089817406212</v>
      </c>
      <c r="O139" s="49">
        <f>IFERROR(IF(Data_Entry!T128/Data_Entry!$H128&lt;0,0,Data_Entry!T128/Data_Entry!$H128),0)</f>
        <v>6.3314931299438886</v>
      </c>
      <c r="P139" s="49">
        <f>IFERROR(IF(Data_Entry!U128/Data_Entry!$H128&lt;0,0,Data_Entry!U128/Data_Entry!$H128),0)</f>
        <v>7.2769274699436393</v>
      </c>
      <c r="Q139" s="49">
        <f>IFERROR(IF(Data_Entry!V128/Data_Entry!$H128&lt;0,0,Data_Entry!V128/Data_Entry!$H128),0)</f>
        <v>6.2439846883105172</v>
      </c>
      <c r="R139" s="49">
        <f>IFERROR(IF(Data_Entry!W128/Data_Entry!$H128&lt;0,0,Data_Entry!W128/Data_Entry!$H128),0)</f>
        <v>6.2439846883105172</v>
      </c>
      <c r="S139" s="49">
        <f>IFERROR(IF(Data_Entry!X128/Data_Entry!$H128&lt;0,0,Data_Entry!X128/Data_Entry!$H128),0)</f>
        <v>5.9419947720855513</v>
      </c>
      <c r="T139" s="49">
        <f>IFERROR(IF(Data_Entry!Y128/Data_Entry!$H128&lt;0,0,Data_Entry!Y128/Data_Entry!$H128),0)</f>
        <v>3.8297812103075226</v>
      </c>
      <c r="U139" s="49">
        <f>IFERROR(IF(Data_Entry!Z128/Data_Entry!$H128&lt;0,0,Data_Entry!Z128/Data_Entry!$H128),0)</f>
        <v>5.8836558109966379</v>
      </c>
      <c r="V139" s="49">
        <f>IFERROR(IF(Data_Entry!AA128/Data_Entry!$H128&lt;0,0,Data_Entry!AA128/Data_Entry!$H128),0)</f>
        <v>6.1890774308150691</v>
      </c>
      <c r="W139" s="49">
        <f>IFERROR(IF(Data_Entry!AB128/Data_Entry!$H128&lt;0,0,Data_Entry!AB128/Data_Entry!$H128),0)</f>
        <v>4.2759026774580402</v>
      </c>
      <c r="X139" s="49">
        <f>IFERROR(IF(Data_Entry!AC128/Data_Entry!$I128&lt;0,0,Data_Entry!AC128/Data_Entry!$I128),0)</f>
        <v>1.9402165776735365</v>
      </c>
      <c r="Y139" s="49">
        <f>IFERROR(IF(Data_Entry!AD128/Data_Entry!$I128&lt;0,0,Data_Entry!AD128/Data_Entry!$I128),0)</f>
        <v>1.377314237237387</v>
      </c>
      <c r="Z139" s="49">
        <f>IFERROR(IF(Data_Entry!AE128/Data_Entry!$I128&lt;0,0,Data_Entry!AE128/Data_Entry!$I128),0)</f>
        <v>1.0928689056340137</v>
      </c>
      <c r="AA139" s="49">
        <f>IFERROR(IF(Data_Entry!AF128/Data_Entry!$I128&lt;0,0,Data_Entry!AF128/Data_Entry!$I128),0)</f>
        <v>0.87878636658515885</v>
      </c>
      <c r="AB139" s="49">
        <f>IFERROR(IF(Data_Entry!AG128/Data_Entry!$I128&lt;0,0,Data_Entry!AG128/Data_Entry!$I128),0)</f>
        <v>0.7694994760217575</v>
      </c>
      <c r="AC139" s="49">
        <f>IFERROR(IF(Data_Entry!AI128/Data_Entry!$I128&lt;0,0,Data_Entry!AI128/Data_Entry!$I128),0)</f>
        <v>8.7279804381456147E-2</v>
      </c>
      <c r="AD139" s="49">
        <f>IFERROR(IF(Data_Entry!AM128/Data_Entry!$H128&lt;0,0,Data_Entry!AM128/Data_Entry!$H128),0)</f>
        <v>5.8836558109966379</v>
      </c>
      <c r="AE139" s="50">
        <f>Data_Entry!AK128</f>
        <v>0</v>
      </c>
      <c r="AF139" s="50">
        <f>Data_Entry!AL128</f>
        <v>839</v>
      </c>
      <c r="AG139" s="153">
        <f>(Data_Entry!O128-Data_Entry!Q128)/Data_Entry!O128</f>
        <v>0.14225941422594143</v>
      </c>
      <c r="AH139" s="79" t="str">
        <f t="shared" si="2"/>
        <v>CAT2</v>
      </c>
      <c r="AI139" s="51">
        <f>SUBTOTAL(3,Tableau1[[#This Row],[ZS]])</f>
        <v>0</v>
      </c>
      <c r="AJ139" s="51" t="e">
        <f t="shared" ca="1" si="3"/>
        <v>#NAME?</v>
      </c>
      <c r="AK139" s="50" t="str">
        <f>IFERROR(IF((Data_Entry!O128-Data_Entry!Q128)/Data_Entry!O128&lt;=10%,"&lt;=10%","&gt;10%"),"&lt;=10%")</f>
        <v>&gt;10%</v>
      </c>
      <c r="FA139" s="48" t="s">
        <v>784</v>
      </c>
    </row>
    <row r="140" spans="1:157" s="48" customFormat="1" ht="13" hidden="1" x14ac:dyDescent="0.3">
      <c r="A140" s="31" t="s">
        <v>16</v>
      </c>
      <c r="B140" s="48" t="str">
        <f>Data_Entry!B129</f>
        <v>Goma</v>
      </c>
      <c r="C140" s="48" t="str">
        <f>Data_Entry!C129</f>
        <v xml:space="preserve"> Goma</v>
      </c>
      <c r="D140" s="48" t="str">
        <f>Data_Entry!D129</f>
        <v xml:space="preserve"> CASOP</v>
      </c>
      <c r="E140" s="49">
        <f>IFERROR(IF(Data_Entry!J129/Data_Entry!$I129&lt;0,0,Data_Entry!J129/Data_Entry!$I129),0)</f>
        <v>0.86226012793176965</v>
      </c>
      <c r="F140" s="49">
        <f>IFERROR(IF(Data_Entry!K129/Data_Entry!$H129&lt;0,0,Data_Entry!K129/Data_Entry!$H129),0)</f>
        <v>0.29032080693544149</v>
      </c>
      <c r="G140" s="49">
        <f>IFERROR(IF(Data_Entry!L129/Data_Entry!$H129&lt;0,0,Data_Entry!L129/Data_Entry!$H129),0)</f>
        <v>1.1114301598841649</v>
      </c>
      <c r="H140" s="49">
        <f>IFERROR(IF(Data_Entry!M129/Data_Entry!$H129&lt;0,0,Data_Entry!M129/Data_Entry!$H129),0)</f>
        <v>0.28738827353205315</v>
      </c>
      <c r="I140" s="49">
        <f>IFERROR(IF(Data_Entry!N129/Data_Entry!$H129&lt;0,0,Data_Entry!N129/Data_Entry!$H129),0)</f>
        <v>1.0850373592536702</v>
      </c>
      <c r="J140" s="49">
        <f>IFERROR(IF(Data_Entry!O129/Data_Entry!$H129&lt;0,0,Data_Entry!O129/Data_Entry!$H129),0)</f>
        <v>0.95307335610119681</v>
      </c>
      <c r="K140" s="49">
        <f>IFERROR(IF(Data_Entry!P129/Data_Entry!$H129&lt;0,0,Data_Entry!P129/Data_Entry!$H129),0)</f>
        <v>0.28738827353205315</v>
      </c>
      <c r="L140" s="49">
        <f>IFERROR(IF(Data_Entry!Q129/Data_Entry!$H129&lt;0,0,Data_Entry!Q129/Data_Entry!$H129),0)</f>
        <v>1.0850373592536702</v>
      </c>
      <c r="M140" s="49">
        <f>IFERROR(IF(Data_Entry!R129/Data_Entry!$H129&lt;0,0,Data_Entry!R129/Data_Entry!$H129),0)</f>
        <v>1.1114301598841649</v>
      </c>
      <c r="N140" s="49">
        <f>IFERROR(IF(Data_Entry!S129/Data_Entry!$H129&lt;0,0,Data_Entry!S129/Data_Entry!$H129),0)</f>
        <v>0.28738827353205315</v>
      </c>
      <c r="O140" s="49">
        <f>IFERROR(IF(Data_Entry!T129/Data_Entry!$H129&lt;0,0,Data_Entry!T129/Data_Entry!$H129),0)</f>
        <v>1.0850373592536702</v>
      </c>
      <c r="P140" s="49">
        <f>IFERROR(IF(Data_Entry!U129/Data_Entry!$H129&lt;0,0,Data_Entry!U129/Data_Entry!$H129),0)</f>
        <v>1.1114301598841649</v>
      </c>
      <c r="Q140" s="49">
        <f>IFERROR(IF(Data_Entry!V129/Data_Entry!$H129&lt;0,0,Data_Entry!V129/Data_Entry!$H129),0)</f>
        <v>0.28738827353205315</v>
      </c>
      <c r="R140" s="49">
        <f>IFERROR(IF(Data_Entry!W129/Data_Entry!$H129&lt;0,0,Data_Entry!W129/Data_Entry!$H129),0)</f>
        <v>1.073307225640117</v>
      </c>
      <c r="S140" s="49">
        <f>IFERROR(IF(Data_Entry!X129/Data_Entry!$H129&lt;0,0,Data_Entry!X129/Data_Entry!$H129),0)</f>
        <v>0.97946615673169146</v>
      </c>
      <c r="T140" s="49">
        <f>IFERROR(IF(Data_Entry!Y129/Data_Entry!$H129&lt;0,0,Data_Entry!Y129/Data_Entry!$H129),0)</f>
        <v>0.37536427563370212</v>
      </c>
      <c r="U140" s="49">
        <f>IFERROR(IF(Data_Entry!Z129/Data_Entry!$H129&lt;0,0,Data_Entry!Z129/Data_Entry!$H129),0)</f>
        <v>0.97946615673169146</v>
      </c>
      <c r="V140" s="49">
        <f>IFERROR(IF(Data_Entry!AA129/Data_Entry!$H129&lt;0,0,Data_Entry!AA129/Data_Entry!$H129),0)</f>
        <v>1.1055650930773882</v>
      </c>
      <c r="W140" s="49">
        <f>IFERROR(IF(Data_Entry!AB129/Data_Entry!$H129&lt;0,0,Data_Entry!AB129/Data_Entry!$H129),0)</f>
        <v>0.95893842290797338</v>
      </c>
      <c r="X140" s="49">
        <f>IFERROR(IF(Data_Entry!AC129/Data_Entry!$I129&lt;0,0,Data_Entry!AC129/Data_Entry!$I129),0)</f>
        <v>0.20724946695095947</v>
      </c>
      <c r="Y140" s="49">
        <f>IFERROR(IF(Data_Entry!AD129/Data_Entry!$I129&lt;0,0,Data_Entry!AD129/Data_Entry!$I129),0)</f>
        <v>0.13816631130063964</v>
      </c>
      <c r="Z140" s="49">
        <f>IFERROR(IF(Data_Entry!AE129/Data_Entry!$I129&lt;0,0,Data_Entry!AE129/Data_Entry!$I129),0)</f>
        <v>0.14328358208955222</v>
      </c>
      <c r="AA140" s="49">
        <f>IFERROR(IF(Data_Entry!AF129/Data_Entry!$I129&lt;0,0,Data_Entry!AF129/Data_Entry!$I129),0)</f>
        <v>0.12281449893390191</v>
      </c>
      <c r="AB140" s="49">
        <f>IFERROR(IF(Data_Entry!AG129/Data_Entry!$I129&lt;0,0,Data_Entry!AG129/Data_Entry!$I129),0)</f>
        <v>0.1484008528784648</v>
      </c>
      <c r="AC140" s="49">
        <f>IFERROR(IF(Data_Entry!AI129/Data_Entry!$I129&lt;0,0,Data_Entry!AI129/Data_Entry!$I129),0)</f>
        <v>0.14916844349680169</v>
      </c>
      <c r="AD140" s="49">
        <f>IFERROR(IF(Data_Entry!AM129/Data_Entry!$H129&lt;0,0,Data_Entry!AM129/Data_Entry!$H129),0)</f>
        <v>0.97946615673169146</v>
      </c>
      <c r="AE140" s="50">
        <f>Data_Entry!AK129</f>
        <v>16.00208333333336</v>
      </c>
      <c r="AF140" s="50">
        <f>Data_Entry!AL129</f>
        <v>0</v>
      </c>
      <c r="AG140" s="153">
        <f>(Data_Entry!O129-Data_Entry!Q129)/Data_Entry!O129</f>
        <v>-0.13846153846153847</v>
      </c>
      <c r="AH140" s="79" t="str">
        <f t="shared" si="2"/>
        <v>CAT1</v>
      </c>
      <c r="AI140" s="51">
        <f>SUBTOTAL(3,Tableau1[[#This Row],[ZS]])</f>
        <v>0</v>
      </c>
      <c r="AJ140" s="51" t="e">
        <f t="shared" ca="1" si="3"/>
        <v>#NAME?</v>
      </c>
      <c r="AK140" s="50" t="str">
        <f>IFERROR(IF((Data_Entry!O129-Data_Entry!Q129)/Data_Entry!O129&lt;=10%,"&lt;=10%","&gt;10%"),"&lt;=10%")</f>
        <v>&lt;=10%</v>
      </c>
    </row>
    <row r="141" spans="1:157" s="48" customFormat="1" ht="13" hidden="1" x14ac:dyDescent="0.3">
      <c r="A141" s="31" t="s">
        <v>16</v>
      </c>
      <c r="B141" s="48" t="str">
        <f>Data_Entry!B130</f>
        <v>Goma</v>
      </c>
      <c r="C141" s="48" t="str">
        <f>Data_Entry!C130</f>
        <v xml:space="preserve"> Goma</v>
      </c>
      <c r="D141" s="48" t="str">
        <f>Data_Entry!D130</f>
        <v xml:space="preserve"> CCLK</v>
      </c>
      <c r="E141" s="49">
        <f>IFERROR(IF(Data_Entry!J130/Data_Entry!$I130&lt;0,0,Data_Entry!J130/Data_Entry!$I130),0)</f>
        <v>1.6356045019968533</v>
      </c>
      <c r="F141" s="49">
        <f>IFERROR(IF(Data_Entry!K130/Data_Entry!$H130&lt;0,0,Data_Entry!K130/Data_Entry!$H130),0)</f>
        <v>0.34468565119407218</v>
      </c>
      <c r="G141" s="49">
        <f>IFERROR(IF(Data_Entry!L130/Data_Entry!$H130&lt;0,0,Data_Entry!L130/Data_Entry!$H130),0)</f>
        <v>1.8995855103029453</v>
      </c>
      <c r="H141" s="49">
        <f>IFERROR(IF(Data_Entry!M130/Data_Entry!$H130&lt;0,0,Data_Entry!M130/Data_Entry!$H130),0)</f>
        <v>1.8496511704921339</v>
      </c>
      <c r="I141" s="49">
        <f>IFERROR(IF(Data_Entry!N130/Data_Entry!$H130&lt;0,0,Data_Entry!N130/Data_Entry!$H130),0)</f>
        <v>1.7698949332943104</v>
      </c>
      <c r="J141" s="49">
        <f>IFERROR(IF(Data_Entry!O130/Data_Entry!$H130&lt;0,0,Data_Entry!O130/Data_Entry!$H130),0)</f>
        <v>1.8995855103029453</v>
      </c>
      <c r="K141" s="49">
        <f>IFERROR(IF(Data_Entry!P130/Data_Entry!$H130&lt;0,0,Data_Entry!P130/Data_Entry!$H130),0)</f>
        <v>1.8475705730000169</v>
      </c>
      <c r="L141" s="49">
        <f>IFERROR(IF(Data_Entry!Q130/Data_Entry!$H130&lt;0,0,Data_Entry!Q130/Data_Entry!$H130),0)</f>
        <v>1.7698949332943104</v>
      </c>
      <c r="M141" s="49">
        <f>IFERROR(IF(Data_Entry!R130/Data_Entry!$H130&lt;0,0,Data_Entry!R130/Data_Entry!$H130),0)</f>
        <v>1.8981984453082004</v>
      </c>
      <c r="N141" s="49">
        <f>IFERROR(IF(Data_Entry!S130/Data_Entry!$H130&lt;0,0,Data_Entry!S130/Data_Entry!$H130),0)</f>
        <v>1.8496511704921339</v>
      </c>
      <c r="O141" s="49">
        <f>IFERROR(IF(Data_Entry!T130/Data_Entry!$H130&lt;0,0,Data_Entry!T130/Data_Entry!$H130),0)</f>
        <v>1.7698949332943104</v>
      </c>
      <c r="P141" s="49">
        <f>IFERROR(IF(Data_Entry!U130/Data_Entry!$H130&lt;0,0,Data_Entry!U130/Data_Entry!$H130),0)</f>
        <v>1.8995855103029453</v>
      </c>
      <c r="Q141" s="49">
        <f>IFERROR(IF(Data_Entry!V130/Data_Entry!$H130&lt;0,0,Data_Entry!V130/Data_Entry!$H130),0)</f>
        <v>1.8496511704921339</v>
      </c>
      <c r="R141" s="49">
        <f>IFERROR(IF(Data_Entry!W130/Data_Entry!$H130&lt;0,0,Data_Entry!W130/Data_Entry!$H130),0)</f>
        <v>1.7698949332943104</v>
      </c>
      <c r="S141" s="49">
        <f>IFERROR(IF(Data_Entry!X130/Data_Entry!$H130&lt;0,0,Data_Entry!X130/Data_Entry!$H130),0)</f>
        <v>1.2650032752072187</v>
      </c>
      <c r="T141" s="49">
        <f>IFERROR(IF(Data_Entry!Y130/Data_Entry!$H130&lt;0,0,Data_Entry!Y130/Data_Entry!$H130),0)</f>
        <v>7.2127379726727378E-2</v>
      </c>
      <c r="U141" s="49">
        <f>IFERROR(IF(Data_Entry!Z130/Data_Entry!$H130&lt;0,0,Data_Entry!Z130/Data_Entry!$H130),0)</f>
        <v>1.2594550152282398</v>
      </c>
      <c r="V141" s="49">
        <f>IFERROR(IF(Data_Entry!AA130/Data_Entry!$H130&lt;0,0,Data_Entry!AA130/Data_Entry!$H130),0)</f>
        <v>1.7698949332943104</v>
      </c>
      <c r="W141" s="49">
        <f>IFERROR(IF(Data_Entry!AB130/Data_Entry!$H130&lt;0,0,Data_Entry!AB130/Data_Entry!$H130),0)</f>
        <v>1.2150689353964075</v>
      </c>
      <c r="X141" s="49">
        <f>IFERROR(IF(Data_Entry!AC130/Data_Entry!$I130&lt;0,0,Data_Entry!AC130/Data_Entry!$I130),0)</f>
        <v>0.32312719351325181</v>
      </c>
      <c r="Y141" s="49">
        <f>IFERROR(IF(Data_Entry!AD130/Data_Entry!$I130&lt;0,0,Data_Entry!AD130/Data_Entry!$I130),0)</f>
        <v>0.28621566017185041</v>
      </c>
      <c r="Z141" s="49">
        <f>IFERROR(IF(Data_Entry!AE130/Data_Entry!$I130&lt;0,0,Data_Entry!AE130/Data_Entry!$I130),0)</f>
        <v>0.22873048529589735</v>
      </c>
      <c r="AA141" s="49">
        <f>IFERROR(IF(Data_Entry!AF130/Data_Entry!$I130&lt;0,0,Data_Entry!AF130/Data_Entry!$I130),0)</f>
        <v>0.19000363064262374</v>
      </c>
      <c r="AB141" s="49">
        <f>IFERROR(IF(Data_Entry!AG130/Data_Entry!$I130&lt;0,0,Data_Entry!AG130/Data_Entry!$I130),0)</f>
        <v>0.17185041752390171</v>
      </c>
      <c r="AC141" s="49">
        <f>IFERROR(IF(Data_Entry!AI130/Data_Entry!$I130&lt;0,0,Data_Entry!AI130/Data_Entry!$I130),0)</f>
        <v>3.2796805034491103E-2</v>
      </c>
      <c r="AD141" s="49">
        <f>IFERROR(IF(Data_Entry!AM130/Data_Entry!$H130&lt;0,0,Data_Entry!AM130/Data_Entry!$H130),0)</f>
        <v>1.2594550152282398</v>
      </c>
      <c r="AE141" s="50">
        <f>Data_Entry!AK130</f>
        <v>0</v>
      </c>
      <c r="AF141" s="50">
        <f>Data_Entry!AL130</f>
        <v>915</v>
      </c>
      <c r="AG141" s="153">
        <f>(Data_Entry!O130-Data_Entry!Q130)/Data_Entry!O130</f>
        <v>6.8273092369477914E-2</v>
      </c>
      <c r="AH141" s="79" t="str">
        <f t="shared" si="2"/>
        <v>CAT1</v>
      </c>
      <c r="AI141" s="51">
        <f>SUBTOTAL(3,Tableau1[[#This Row],[ZS]])</f>
        <v>0</v>
      </c>
      <c r="AJ141" s="51" t="e">
        <f t="shared" ca="1" si="3"/>
        <v>#NAME?</v>
      </c>
      <c r="AK141" s="50" t="str">
        <f>IFERROR(IF((Data_Entry!O130-Data_Entry!Q130)/Data_Entry!O130&lt;=10%,"&lt;=10%","&gt;10%"),"&lt;=10%")</f>
        <v>&lt;=10%</v>
      </c>
    </row>
    <row r="142" spans="1:157" s="48" customFormat="1" ht="13" hidden="1" x14ac:dyDescent="0.3">
      <c r="A142" s="31" t="s">
        <v>16</v>
      </c>
      <c r="B142" s="48" t="str">
        <f>Data_Entry!B131</f>
        <v>Goma</v>
      </c>
      <c r="C142" s="48" t="str">
        <f>Data_Entry!C131</f>
        <v xml:space="preserve"> Goma</v>
      </c>
      <c r="D142" s="48" t="str">
        <f>Data_Entry!D131</f>
        <v xml:space="preserve"> Carmel</v>
      </c>
      <c r="E142" s="49">
        <f>IFERROR(IF(Data_Entry!J131/Data_Entry!$I131&lt;0,0,Data_Entry!J131/Data_Entry!$I131),0)</f>
        <v>0.91955247735748524</v>
      </c>
      <c r="F142" s="49">
        <f>IFERROR(IF(Data_Entry!K131/Data_Entry!$H131&lt;0,0,Data_Entry!K131/Data_Entry!$H131),0)</f>
        <v>0.98798149213904407</v>
      </c>
      <c r="G142" s="49">
        <f>IFERROR(IF(Data_Entry!L131/Data_Entry!$H131&lt;0,0,Data_Entry!L131/Data_Entry!$H131),0)</f>
        <v>1.0881230030851523</v>
      </c>
      <c r="H142" s="49">
        <f>IFERROR(IF(Data_Entry!M131/Data_Entry!$H131&lt;0,0,Data_Entry!M131/Data_Entry!$H131),0)</f>
        <v>1.0453796752423012</v>
      </c>
      <c r="I142" s="49">
        <f>IFERROR(IF(Data_Entry!N131/Data_Entry!$H131&lt;0,0,Data_Entry!N131/Data_Entry!$H131),0)</f>
        <v>1.0233973923516921</v>
      </c>
      <c r="J142" s="49">
        <f>IFERROR(IF(Data_Entry!O131/Data_Entry!$H131&lt;0,0,Data_Entry!O131/Data_Entry!$H131),0)</f>
        <v>1.0869017651467852</v>
      </c>
      <c r="K142" s="49">
        <f>IFERROR(IF(Data_Entry!P131/Data_Entry!$H131&lt;0,0,Data_Entry!P131/Data_Entry!$H131),0)</f>
        <v>1.0453796752423012</v>
      </c>
      <c r="L142" s="49">
        <f>IFERROR(IF(Data_Entry!Q131/Data_Entry!$H131&lt;0,0,Data_Entry!Q131/Data_Entry!$H131),0)</f>
        <v>1.0233973923516921</v>
      </c>
      <c r="M142" s="49">
        <f>IFERROR(IF(Data_Entry!R131/Data_Entry!$H131&lt;0,0,Data_Entry!R131/Data_Entry!$H131),0)</f>
        <v>1.0820168133933166</v>
      </c>
      <c r="N142" s="49">
        <f>IFERROR(IF(Data_Entry!S131/Data_Entry!$H131&lt;0,0,Data_Entry!S131/Data_Entry!$H131),0)</f>
        <v>1.0453796752423012</v>
      </c>
      <c r="O142" s="49">
        <f>IFERROR(IF(Data_Entry!T131/Data_Entry!$H131&lt;0,0,Data_Entry!T131/Data_Entry!$H131),0)</f>
        <v>1.0233973923516921</v>
      </c>
      <c r="P142" s="49">
        <f>IFERROR(IF(Data_Entry!U131/Data_Entry!$H131&lt;0,0,Data_Entry!U131/Data_Entry!$H131),0)</f>
        <v>1.0881230030851523</v>
      </c>
      <c r="Q142" s="49">
        <f>IFERROR(IF(Data_Entry!V131/Data_Entry!$H131&lt;0,0,Data_Entry!V131/Data_Entry!$H131),0)</f>
        <v>1.0417159614271998</v>
      </c>
      <c r="R142" s="49">
        <f>IFERROR(IF(Data_Entry!W131/Data_Entry!$H131&lt;0,0,Data_Entry!W131/Data_Entry!$H131),0)</f>
        <v>1.0233973923516921</v>
      </c>
      <c r="S142" s="49">
        <f>IFERROR(IF(Data_Entry!X131/Data_Entry!$H131&lt;0,0,Data_Entry!X131/Data_Entry!$H131),0)</f>
        <v>1.0087425370912861</v>
      </c>
      <c r="T142" s="49">
        <f>IFERROR(IF(Data_Entry!Y131/Data_Entry!$H131&lt;0,0,Data_Entry!Y131/Data_Entry!$H131),0)</f>
        <v>0.55444202401869724</v>
      </c>
      <c r="U142" s="49">
        <f>IFERROR(IF(Data_Entry!Z131/Data_Entry!$H131&lt;0,0,Data_Entry!Z131/Data_Entry!$H131),0)</f>
        <v>1.016069964721489</v>
      </c>
      <c r="V142" s="49">
        <f>IFERROR(IF(Data_Entry!AA131/Data_Entry!$H131&lt;0,0,Data_Entry!AA131/Data_Entry!$H131),0)</f>
        <v>1.0295035820435281</v>
      </c>
      <c r="W142" s="49">
        <f>IFERROR(IF(Data_Entry!AB131/Data_Entry!$H131&lt;0,0,Data_Entry!AB131/Data_Entry!$H131),0)</f>
        <v>1.0148487267831219</v>
      </c>
      <c r="X142" s="49">
        <f>IFERROR(IF(Data_Entry!AC131/Data_Entry!$I131&lt;0,0,Data_Entry!AC131/Data_Entry!$I131),0)</f>
        <v>0.2397442727757059</v>
      </c>
      <c r="Y142" s="49">
        <f>IFERROR(IF(Data_Entry!AD131/Data_Entry!$I131&lt;0,0,Data_Entry!AD131/Data_Entry!$I131),0)</f>
        <v>0.17474693660095897</v>
      </c>
      <c r="Z142" s="49">
        <f>IFERROR(IF(Data_Entry!AE131/Data_Entry!$I131&lt;0,0,Data_Entry!AE131/Data_Entry!$I131),0)</f>
        <v>0.16089504528502929</v>
      </c>
      <c r="AA142" s="49">
        <f>IFERROR(IF(Data_Entry!AF131/Data_Entry!$I131&lt;0,0,Data_Entry!AF131/Data_Entry!$I131),0)</f>
        <v>0.13851891315929674</v>
      </c>
      <c r="AB142" s="49">
        <f>IFERROR(IF(Data_Entry!AG131/Data_Entry!$I131&lt;0,0,Data_Entry!AG131/Data_Entry!$I131),0)</f>
        <v>0.11507725093233882</v>
      </c>
      <c r="AC142" s="49">
        <f>IFERROR(IF(Data_Entry!AI131/Data_Entry!$I131&lt;0,0,Data_Entry!AI131/Data_Entry!$I131),0)</f>
        <v>5.3276505061267972E-2</v>
      </c>
      <c r="AD142" s="49">
        <f>IFERROR(IF(Data_Entry!AM131/Data_Entry!$H131&lt;0,0,Data_Entry!AM131/Data_Entry!$H131),0)</f>
        <v>1.0087425370912861</v>
      </c>
      <c r="AE142" s="50">
        <f>Data_Entry!AK131</f>
        <v>0</v>
      </c>
      <c r="AF142" s="50">
        <f>Data_Entry!AL131</f>
        <v>64</v>
      </c>
      <c r="AG142" s="153">
        <f>(Data_Entry!O131-Data_Entry!Q131)/Data_Entry!O131</f>
        <v>5.8426966292134834E-2</v>
      </c>
      <c r="AH142" s="79" t="str">
        <f t="shared" si="2"/>
        <v>CAT1</v>
      </c>
      <c r="AI142" s="51">
        <f>SUBTOTAL(3,Tableau1[[#This Row],[ZS]])</f>
        <v>0</v>
      </c>
      <c r="AJ142" s="51" t="e">
        <f t="shared" ca="1" si="3"/>
        <v>#NAME?</v>
      </c>
      <c r="AK142" s="50" t="str">
        <f>IFERROR(IF((Data_Entry!O131-Data_Entry!Q131)/Data_Entry!O131&lt;=10%,"&lt;=10%","&gt;10%"),"&lt;=10%")</f>
        <v>&lt;=10%</v>
      </c>
    </row>
    <row r="143" spans="1:157" s="48" customFormat="1" ht="13" hidden="1" x14ac:dyDescent="0.3">
      <c r="A143" s="31" t="s">
        <v>16</v>
      </c>
      <c r="B143" s="48" t="str">
        <f>Data_Entry!B132</f>
        <v>Goma</v>
      </c>
      <c r="C143" s="48" t="str">
        <f>Data_Entry!C132</f>
        <v xml:space="preserve"> Goma</v>
      </c>
      <c r="D143" s="48" t="str">
        <f>Data_Entry!D132</f>
        <v xml:space="preserve"> Heal Africa</v>
      </c>
      <c r="E143" s="49">
        <f>IFERROR(IF(Data_Entry!J132/Data_Entry!$I132&lt;0,0,Data_Entry!J132/Data_Entry!$I132),0)</f>
        <v>2.3261457012077424</v>
      </c>
      <c r="F143" s="49">
        <f>IFERROR(IF(Data_Entry!K132/Data_Entry!$H132&lt;0,0,Data_Entry!K132/Data_Entry!$H132),0)</f>
        <v>2.3892230869109916</v>
      </c>
      <c r="G143" s="49">
        <f>IFERROR(IF(Data_Entry!L132/Data_Entry!$H132&lt;0,0,Data_Entry!L132/Data_Entry!$H132),0)</f>
        <v>1.6515978640472015</v>
      </c>
      <c r="H143" s="49">
        <f>IFERROR(IF(Data_Entry!M132/Data_Entry!$H132&lt;0,0,Data_Entry!M132/Data_Entry!$H132),0)</f>
        <v>1.5017973689154807</v>
      </c>
      <c r="I143" s="49">
        <f>IFERROR(IF(Data_Entry!N132/Data_Entry!$H132&lt;0,0,Data_Entry!N132/Data_Entry!$H132),0)</f>
        <v>1.4904201161206663</v>
      </c>
      <c r="J143" s="49">
        <f>IFERROR(IF(Data_Entry!O132/Data_Entry!$H132&lt;0,0,Data_Entry!O132/Data_Entry!$H132),0)</f>
        <v>1.6515978640472015</v>
      </c>
      <c r="K143" s="49">
        <f>IFERROR(IF(Data_Entry!P132/Data_Entry!$H132&lt;0,0,Data_Entry!P132/Data_Entry!$H132),0)</f>
        <v>1.5017973689154807</v>
      </c>
      <c r="L143" s="49">
        <f>IFERROR(IF(Data_Entry!Q132/Data_Entry!$H132&lt;0,0,Data_Entry!Q132/Data_Entry!$H132),0)</f>
        <v>1.4961087425180735</v>
      </c>
      <c r="M143" s="49">
        <f>IFERROR(IF(Data_Entry!R132/Data_Entry!$H132&lt;0,0,Data_Entry!R132/Data_Entry!$H132),0)</f>
        <v>1.6515978640472015</v>
      </c>
      <c r="N143" s="49">
        <f>IFERROR(IF(Data_Entry!S132/Data_Entry!$H132&lt;0,0,Data_Entry!S132/Data_Entry!$H132),0)</f>
        <v>1.5017973689154807</v>
      </c>
      <c r="O143" s="49">
        <f>IFERROR(IF(Data_Entry!T132/Data_Entry!$H132&lt;0,0,Data_Entry!T132/Data_Entry!$H132),0)</f>
        <v>1.4961087425180735</v>
      </c>
      <c r="P143" s="49">
        <f>IFERROR(IF(Data_Entry!U132/Data_Entry!$H132&lt;0,0,Data_Entry!U132/Data_Entry!$H132),0)</f>
        <v>1.6515978640472015</v>
      </c>
      <c r="Q143" s="49">
        <f>IFERROR(IF(Data_Entry!V132/Data_Entry!$H132&lt;0,0,Data_Entry!V132/Data_Entry!$H132),0)</f>
        <v>1.5017973689154807</v>
      </c>
      <c r="R143" s="49">
        <f>IFERROR(IF(Data_Entry!W132/Data_Entry!$H132&lt;0,0,Data_Entry!W132/Data_Entry!$H132),0)</f>
        <v>1.4961087425180735</v>
      </c>
      <c r="S143" s="49">
        <f>IFERROR(IF(Data_Entry!X132/Data_Entry!$H132&lt;0,0,Data_Entry!X132/Data_Entry!$H132),0)</f>
        <v>2.14271594302335</v>
      </c>
      <c r="T143" s="49">
        <f>IFERROR(IF(Data_Entry!Y132/Data_Entry!$H132&lt;0,0,Data_Entry!Y132/Data_Entry!$H132),0)</f>
        <v>0.87415225640156125</v>
      </c>
      <c r="U143" s="49">
        <f>IFERROR(IF(Data_Entry!Z132/Data_Entry!$H132&lt;0,0,Data_Entry!Z132/Data_Entry!$H132),0)</f>
        <v>1.4695618193301736</v>
      </c>
      <c r="V143" s="49">
        <f>IFERROR(IF(Data_Entry!AA132/Data_Entry!$H132&lt;0,0,Data_Entry!AA132/Data_Entry!$H132),0)</f>
        <v>1.4961087425180735</v>
      </c>
      <c r="W143" s="49">
        <f>IFERROR(IF(Data_Entry!AB132/Data_Entry!$H132&lt;0,0,Data_Entry!AB132/Data_Entry!$H132),0)</f>
        <v>1.5093822041120233</v>
      </c>
      <c r="X143" s="49">
        <f>IFERROR(IF(Data_Entry!AC132/Data_Entry!$I132&lt;0,0,Data_Entry!AC132/Data_Entry!$I132),0)</f>
        <v>0.72133678927921463</v>
      </c>
      <c r="Y143" s="49">
        <f>IFERROR(IF(Data_Entry!AD132/Data_Entry!$I132&lt;0,0,Data_Entry!AD132/Data_Entry!$I132),0)</f>
        <v>0.5774003198588209</v>
      </c>
      <c r="Z143" s="49">
        <f>IFERROR(IF(Data_Entry!AE132/Data_Entry!$I132&lt;0,0,Data_Entry!AE132/Data_Entry!$I132),0)</f>
        <v>0.5774003198588209</v>
      </c>
      <c r="AA143" s="49">
        <f>IFERROR(IF(Data_Entry!AF132/Data_Entry!$I132&lt;0,0,Data_Entry!AF132/Data_Entry!$I132),0)</f>
        <v>0.43511829261567303</v>
      </c>
      <c r="AB143" s="49">
        <f>IFERROR(IF(Data_Entry!AG132/Data_Entry!$I132&lt;0,0,Data_Entry!AG132/Data_Entry!$I132),0)</f>
        <v>0.37390393205757455</v>
      </c>
      <c r="AC143" s="49">
        <f>IFERROR(IF(Data_Entry!AI132/Data_Entry!$I132&lt;0,0,Data_Entry!AI132/Data_Entry!$I132),0)</f>
        <v>8.2722108862295252E-2</v>
      </c>
      <c r="AD143" s="49">
        <f>IFERROR(IF(Data_Entry!AM132/Data_Entry!$H132&lt;0,0,Data_Entry!AM132/Data_Entry!$H132),0)</f>
        <v>1.4695618193301736</v>
      </c>
      <c r="AE143" s="50">
        <f>Data_Entry!AK132</f>
        <v>0</v>
      </c>
      <c r="AF143" s="50">
        <f>Data_Entry!AL132</f>
        <v>0</v>
      </c>
      <c r="AG143" s="153">
        <f>(Data_Entry!O132-Data_Entry!Q132)/Data_Entry!O132</f>
        <v>9.4144661308840416E-2</v>
      </c>
      <c r="AH143" s="79" t="str">
        <f t="shared" si="2"/>
        <v>CAT1</v>
      </c>
      <c r="AI143" s="51">
        <f>SUBTOTAL(3,Tableau1[[#This Row],[ZS]])</f>
        <v>0</v>
      </c>
      <c r="AJ143" s="51" t="e">
        <f t="shared" ca="1" si="3"/>
        <v>#NAME?</v>
      </c>
      <c r="AK143" s="50" t="str">
        <f>IFERROR(IF((Data_Entry!O132-Data_Entry!Q132)/Data_Entry!O132&lt;=10%,"&lt;=10%","&gt;10%"),"&lt;=10%")</f>
        <v>&lt;=10%</v>
      </c>
    </row>
    <row r="144" spans="1:157" s="48" customFormat="1" ht="13" hidden="1" x14ac:dyDescent="0.3">
      <c r="A144" s="31" t="s">
        <v>16</v>
      </c>
      <c r="B144" s="48" t="str">
        <f>Data_Entry!B133</f>
        <v>Goma</v>
      </c>
      <c r="C144" s="48" t="str">
        <f>Data_Entry!C133</f>
        <v xml:space="preserve"> Goma</v>
      </c>
      <c r="D144" s="48" t="str">
        <f>Data_Entry!D133</f>
        <v xml:space="preserve"> Himbi</v>
      </c>
      <c r="E144" s="49">
        <f>IFERROR(IF(Data_Entry!J133/Data_Entry!$I133&lt;0,0,Data_Entry!J133/Data_Entry!$I133),0)</f>
        <v>0.74993965077917546</v>
      </c>
      <c r="F144" s="49">
        <f>IFERROR(IF(Data_Entry!K133/Data_Entry!$H133&lt;0,0,Data_Entry!K133/Data_Entry!$H133),0)</f>
        <v>0.61882448402280799</v>
      </c>
      <c r="G144" s="49">
        <f>IFERROR(IF(Data_Entry!L133/Data_Entry!$H133&lt;0,0,Data_Entry!L133/Data_Entry!$H133),0)</f>
        <v>0.86229641216292907</v>
      </c>
      <c r="H144" s="49">
        <f>IFERROR(IF(Data_Entry!M133/Data_Entry!$H133&lt;0,0,Data_Entry!M133/Data_Entry!$H133),0)</f>
        <v>0.67139228668942497</v>
      </c>
      <c r="I144" s="49">
        <f>IFERROR(IF(Data_Entry!N133/Data_Entry!$H133&lt;0,0,Data_Entry!N133/Data_Entry!$H133),0)</f>
        <v>0.81710654671267935</v>
      </c>
      <c r="J144" s="49">
        <f>IFERROR(IF(Data_Entry!O133/Data_Entry!$H133&lt;0,0,Data_Entry!O133/Data_Entry!$H133),0)</f>
        <v>0.86229641216292907</v>
      </c>
      <c r="K144" s="49">
        <f>IFERROR(IF(Data_Entry!P133/Data_Entry!$H133&lt;0,0,Data_Entry!P133/Data_Entry!$H133),0)</f>
        <v>0.67784798175374639</v>
      </c>
      <c r="L144" s="49">
        <f>IFERROR(IF(Data_Entry!Q133/Data_Entry!$H133&lt;0,0,Data_Entry!Q133/Data_Entry!$H133),0)</f>
        <v>0.82263999962495482</v>
      </c>
      <c r="M144" s="49">
        <f>IFERROR(IF(Data_Entry!R133/Data_Entry!$H133&lt;0,0,Data_Entry!R133/Data_Entry!$H133),0)</f>
        <v>0.86229641216292907</v>
      </c>
      <c r="N144" s="49">
        <f>IFERROR(IF(Data_Entry!S133/Data_Entry!$H133&lt;0,0,Data_Entry!S133/Data_Entry!$H133),0)</f>
        <v>0.67139228668942497</v>
      </c>
      <c r="O144" s="49">
        <f>IFERROR(IF(Data_Entry!T133/Data_Entry!$H133&lt;0,0,Data_Entry!T133/Data_Entry!$H133),0)</f>
        <v>0.81710654671267935</v>
      </c>
      <c r="P144" s="49">
        <f>IFERROR(IF(Data_Entry!U133/Data_Entry!$H133&lt;0,0,Data_Entry!U133/Data_Entry!$H133),0)</f>
        <v>0.86229641216292907</v>
      </c>
      <c r="Q144" s="49">
        <f>IFERROR(IF(Data_Entry!V133/Data_Entry!$H133&lt;0,0,Data_Entry!V133/Data_Entry!$H133),0)</f>
        <v>0.67139228668942497</v>
      </c>
      <c r="R144" s="49">
        <f>IFERROR(IF(Data_Entry!W133/Data_Entry!$H133&lt;0,0,Data_Entry!W133/Data_Entry!$H133),0)</f>
        <v>0.81710654671267935</v>
      </c>
      <c r="S144" s="49">
        <f>IFERROR(IF(Data_Entry!X133/Data_Entry!$H133&lt;0,0,Data_Entry!X133/Data_Entry!$H133),0)</f>
        <v>0.88443022381203107</v>
      </c>
      <c r="T144" s="49">
        <f>IFERROR(IF(Data_Entry!Y133/Data_Entry!$H133&lt;0,0,Data_Entry!Y133/Data_Entry!$H133),0)</f>
        <v>0.2471608967483048</v>
      </c>
      <c r="U144" s="49">
        <f>IFERROR(IF(Data_Entry!Z133/Data_Entry!$H133&lt;0,0,Data_Entry!Z133/Data_Entry!$H133),0)</f>
        <v>0.88443022381203107</v>
      </c>
      <c r="V144" s="49">
        <f>IFERROR(IF(Data_Entry!AA133/Data_Entry!$H133&lt;0,0,Data_Entry!AA133/Data_Entry!$H133),0)</f>
        <v>0.83001793684132208</v>
      </c>
      <c r="W144" s="49">
        <f>IFERROR(IF(Data_Entry!AB133/Data_Entry!$H133&lt;0,0,Data_Entry!AB133/Data_Entry!$H133),0)</f>
        <v>0.85491847494656181</v>
      </c>
      <c r="X144" s="49">
        <f>IFERROR(IF(Data_Entry!AC133/Data_Entry!$I133&lt;0,0,Data_Entry!AC133/Data_Entry!$I133),0)</f>
        <v>0.2188665075235362</v>
      </c>
      <c r="Y144" s="49">
        <f>IFERROR(IF(Data_Entry!AD133/Data_Entry!$I133&lt;0,0,Data_Entry!AD133/Data_Entry!$I133),0)</f>
        <v>0.15449400531073143</v>
      </c>
      <c r="Z144" s="49">
        <f>IFERROR(IF(Data_Entry!AE133/Data_Entry!$I133&lt;0,0,Data_Entry!AE133/Data_Entry!$I133),0)</f>
        <v>0.14886141136711101</v>
      </c>
      <c r="AA144" s="49">
        <f>IFERROR(IF(Data_Entry!AF133/Data_Entry!$I133&lt;0,0,Data_Entry!AF133/Data_Entry!$I133),0)</f>
        <v>8.6902877987286437E-2</v>
      </c>
      <c r="AB144" s="49">
        <f>IFERROR(IF(Data_Entry!AG133/Data_Entry!$I133&lt;0,0,Data_Entry!AG133/Data_Entry!$I133),0)</f>
        <v>5.4716626880884051E-2</v>
      </c>
      <c r="AC144" s="49">
        <f>IFERROR(IF(Data_Entry!AI133/Data_Entry!$I133&lt;0,0,Data_Entry!AI133/Data_Entry!$I133),0)</f>
        <v>4.691146098758147E-2</v>
      </c>
      <c r="AD144" s="49">
        <f>IFERROR(IF(Data_Entry!AM133/Data_Entry!$H133&lt;0,0,Data_Entry!AM133/Data_Entry!$H133),0)</f>
        <v>0.88443022381203107</v>
      </c>
      <c r="AE144" s="50">
        <f>Data_Entry!AK133</f>
        <v>149.31391666666673</v>
      </c>
      <c r="AF144" s="50">
        <f>Data_Entry!AL133</f>
        <v>0</v>
      </c>
      <c r="AG144" s="153">
        <f>(Data_Entry!O133-Data_Entry!Q133)/Data_Entry!O133</f>
        <v>4.5989304812834225E-2</v>
      </c>
      <c r="AH144" s="79" t="str">
        <f t="shared" ref="AH144:AH207" si="4">IFERROR(IF(AND(AG144&lt;=10%,J144&gt;=90%),"CAT1",IF(AND(AG144&lt;=10%,J144&lt;90%),"CAT3",IF(AND(AG144&gt;10%,J144&gt;=90%),"CAT2",IF(AND(AG144&gt;10%,J144&lt;90%),"CAT4",)))),"ND")</f>
        <v>CAT3</v>
      </c>
      <c r="AI144" s="51">
        <f>SUBTOTAL(3,Tableau1[[#This Row],[ZS]])</f>
        <v>0</v>
      </c>
      <c r="AJ144" s="51" t="e">
        <f t="shared" ref="AJ144:AJ207" ca="1" si="5">_xlfn.IFS(L144&lt;50%,"&lt;50%",(AND(L144&lt;80%,L144&gt;50%)),"&gt;50%&lt;80%",(AND(L144&gt;=80%,L144&lt;95%)),"&gt;=80%&lt;95%",(AND(L144&gt;=95%,L144&lt;100%)),"95-100%",L144&gt;100%,"&gt;100%")</f>
        <v>#NAME?</v>
      </c>
      <c r="AK144" s="50" t="str">
        <f>IFERROR(IF((Data_Entry!O133-Data_Entry!Q133)/Data_Entry!O133&lt;=10%,"&lt;=10%","&gt;10%"),"&lt;=10%")</f>
        <v>&lt;=10%</v>
      </c>
    </row>
    <row r="145" spans="1:37" s="48" customFormat="1" ht="13" hidden="1" x14ac:dyDescent="0.3">
      <c r="A145" s="31" t="s">
        <v>16</v>
      </c>
      <c r="B145" s="48" t="str">
        <f>Data_Entry!B134</f>
        <v>Goma</v>
      </c>
      <c r="C145" s="48" t="str">
        <f>Data_Entry!C134</f>
        <v xml:space="preserve"> Goma</v>
      </c>
      <c r="D145" s="48" t="str">
        <f>Data_Entry!D134</f>
        <v xml:space="preserve"> Katindo</v>
      </c>
      <c r="E145" s="49">
        <f>IFERROR(IF(Data_Entry!J134/Data_Entry!$I134&lt;0,0,Data_Entry!J134/Data_Entry!$I134),0)</f>
        <v>0.7921073177656327</v>
      </c>
      <c r="F145" s="49">
        <f>IFERROR(IF(Data_Entry!K134/Data_Entry!$H134&lt;0,0,Data_Entry!K134/Data_Entry!$H134),0)</f>
        <v>0.31726269005001162</v>
      </c>
      <c r="G145" s="49">
        <f>IFERROR(IF(Data_Entry!L134/Data_Entry!$H134&lt;0,0,Data_Entry!L134/Data_Entry!$H134),0)</f>
        <v>0.84440685197926169</v>
      </c>
      <c r="H145" s="49">
        <f>IFERROR(IF(Data_Entry!M134/Data_Entry!$H134&lt;0,0,Data_Entry!M134/Data_Entry!$H134),0)</f>
        <v>0.83586516417022294</v>
      </c>
      <c r="I145" s="49">
        <f>IFERROR(IF(Data_Entry!N134/Data_Entry!$H134&lt;0,0,Data_Entry!N134/Data_Entry!$H134),0)</f>
        <v>0.82488299413003019</v>
      </c>
      <c r="J145" s="49">
        <f>IFERROR(IF(Data_Entry!O134/Data_Entry!$H134&lt;0,0,Data_Entry!O134/Data_Entry!$H134),0)</f>
        <v>0.85172829867272348</v>
      </c>
      <c r="K145" s="49">
        <f>IFERROR(IF(Data_Entry!P134/Data_Entry!$H134&lt;0,0,Data_Entry!P134/Data_Entry!$H134),0)</f>
        <v>0.84074612863253073</v>
      </c>
      <c r="L145" s="49">
        <f>IFERROR(IF(Data_Entry!Q134/Data_Entry!$H134&lt;0,0,Data_Entry!Q134/Data_Entry!$H134),0)</f>
        <v>0.82488299413003019</v>
      </c>
      <c r="M145" s="49">
        <f>IFERROR(IF(Data_Entry!R134/Data_Entry!$H134&lt;0,0,Data_Entry!R134/Data_Entry!$H134),0)</f>
        <v>0.85172829867272348</v>
      </c>
      <c r="N145" s="49">
        <f>IFERROR(IF(Data_Entry!S134/Data_Entry!$H134&lt;0,0,Data_Entry!S134/Data_Entry!$H134),0)</f>
        <v>0.84074612863253073</v>
      </c>
      <c r="O145" s="49">
        <f>IFERROR(IF(Data_Entry!T134/Data_Entry!$H134&lt;0,0,Data_Entry!T134/Data_Entry!$H134),0)</f>
        <v>0.82000202966772229</v>
      </c>
      <c r="P145" s="49">
        <f>IFERROR(IF(Data_Entry!U134/Data_Entry!$H134&lt;0,0,Data_Entry!U134/Data_Entry!$H134),0)</f>
        <v>0.85172829867272348</v>
      </c>
      <c r="Q145" s="49">
        <f>IFERROR(IF(Data_Entry!V134/Data_Entry!$H134&lt;0,0,Data_Entry!V134/Data_Entry!$H134),0)</f>
        <v>0.84074612863253073</v>
      </c>
      <c r="R145" s="49">
        <f>IFERROR(IF(Data_Entry!W134/Data_Entry!$H134&lt;0,0,Data_Entry!W134/Data_Entry!$H134),0)</f>
        <v>0.82000202966772229</v>
      </c>
      <c r="S145" s="49">
        <f>IFERROR(IF(Data_Entry!X134/Data_Entry!$H134&lt;0,0,Data_Entry!X134/Data_Entry!$H134),0)</f>
        <v>0.85050805755714654</v>
      </c>
      <c r="T145" s="49">
        <f>IFERROR(IF(Data_Entry!Y134/Data_Entry!$H134&lt;0,0,Data_Entry!Y134/Data_Entry!$H134),0)</f>
        <v>0.59669790551713719</v>
      </c>
      <c r="U145" s="49">
        <f>IFERROR(IF(Data_Entry!Z134/Data_Entry!$H134&lt;0,0,Data_Entry!Z134/Data_Entry!$H134),0)</f>
        <v>0.79925793070291384</v>
      </c>
      <c r="V145" s="49">
        <f>IFERROR(IF(Data_Entry!AA134/Data_Entry!$H134&lt;0,0,Data_Entry!AA134/Data_Entry!$H134),0)</f>
        <v>0.82610323524560714</v>
      </c>
      <c r="W145" s="49">
        <f>IFERROR(IF(Data_Entry!AB134/Data_Entry!$H134&lt;0,0,Data_Entry!AB134/Data_Entry!$H134),0)</f>
        <v>0.85050805755714654</v>
      </c>
      <c r="X145" s="49">
        <f>IFERROR(IF(Data_Entry!AC134/Data_Entry!$I134&lt;0,0,Data_Entry!AC134/Data_Entry!$I134),0)</f>
        <v>0.31088082901554404</v>
      </c>
      <c r="Y145" s="49">
        <f>IFERROR(IF(Data_Entry!AD134/Data_Entry!$I134&lt;0,0,Data_Entry!AD134/Data_Entry!$I134),0)</f>
        <v>0.23528994250833982</v>
      </c>
      <c r="Z145" s="49">
        <f>IFERROR(IF(Data_Entry!AE134/Data_Entry!$I134&lt;0,0,Data_Entry!AE134/Data_Entry!$I134),0)</f>
        <v>0.20973809354815812</v>
      </c>
      <c r="AA145" s="49">
        <f>IFERROR(IF(Data_Entry!AF134/Data_Entry!$I134&lt;0,0,Data_Entry!AF134/Data_Entry!$I134),0)</f>
        <v>0.12882390517424941</v>
      </c>
      <c r="AB145" s="49">
        <f>IFERROR(IF(Data_Entry!AG134/Data_Entry!$I134&lt;0,0,Data_Entry!AG134/Data_Entry!$I134),0)</f>
        <v>8.5172829867272329E-2</v>
      </c>
      <c r="AC145" s="49">
        <f>IFERROR(IF(Data_Entry!AI134/Data_Entry!$I134&lt;0,0,Data_Entry!AI134/Data_Entry!$I134),0)</f>
        <v>6.2069699765774707E-2</v>
      </c>
      <c r="AD145" s="49">
        <f>IFERROR(IF(Data_Entry!AM134/Data_Entry!$H134&lt;0,0,Data_Entry!AM134/Data_Entry!$H134),0)</f>
        <v>0.79925793070291384</v>
      </c>
      <c r="AE145" s="50">
        <f>Data_Entry!AK134</f>
        <v>121.51016666666658</v>
      </c>
      <c r="AF145" s="50">
        <f>Data_Entry!AL134</f>
        <v>1</v>
      </c>
      <c r="AG145" s="153">
        <f>(Data_Entry!O134-Data_Entry!Q134)/Data_Entry!O134</f>
        <v>3.151862464183381E-2</v>
      </c>
      <c r="AH145" s="79" t="str">
        <f t="shared" si="4"/>
        <v>CAT3</v>
      </c>
      <c r="AI145" s="51">
        <f>SUBTOTAL(3,Tableau1[[#This Row],[ZS]])</f>
        <v>0</v>
      </c>
      <c r="AJ145" s="51" t="e">
        <f t="shared" ca="1" si="5"/>
        <v>#NAME?</v>
      </c>
      <c r="AK145" s="50" t="str">
        <f>IFERROR(IF((Data_Entry!O134-Data_Entry!Q134)/Data_Entry!O134&lt;=10%,"&lt;=10%","&gt;10%"),"&lt;=10%")</f>
        <v>&lt;=10%</v>
      </c>
    </row>
    <row r="146" spans="1:37" s="48" customFormat="1" ht="13" hidden="1" x14ac:dyDescent="0.3">
      <c r="A146" s="31" t="s">
        <v>16</v>
      </c>
      <c r="B146" s="48" t="str">
        <f>Data_Entry!B135</f>
        <v>Goma</v>
      </c>
      <c r="C146" s="48" t="str">
        <f>Data_Entry!C135</f>
        <v xml:space="preserve"> Goma</v>
      </c>
      <c r="D146" s="48" t="str">
        <f>Data_Entry!D135</f>
        <v xml:space="preserve"> Keshero</v>
      </c>
      <c r="E146" s="49">
        <f>IFERROR(IF(Data_Entry!J135/Data_Entry!$I135&lt;0,0,Data_Entry!J135/Data_Entry!$I135),0)</f>
        <v>1.6228005478874721</v>
      </c>
      <c r="F146" s="49">
        <f>IFERROR(IF(Data_Entry!K135/Data_Entry!$H135&lt;0,0,Data_Entry!K135/Data_Entry!$H135),0)</f>
        <v>1.3563747166294475</v>
      </c>
      <c r="G146" s="49">
        <f>IFERROR(IF(Data_Entry!L135/Data_Entry!$H135&lt;0,0,Data_Entry!L135/Data_Entry!$H135),0)</f>
        <v>1.4266569535488152</v>
      </c>
      <c r="H146" s="49">
        <f>IFERROR(IF(Data_Entry!M135/Data_Entry!$H135&lt;0,0,Data_Entry!M135/Data_Entry!$H135),0)</f>
        <v>1.4454954912797797</v>
      </c>
      <c r="I146" s="49">
        <f>IFERROR(IF(Data_Entry!N135/Data_Entry!$H135&lt;0,0,Data_Entry!N135/Data_Entry!$H135),0)</f>
        <v>1.3998482652393656</v>
      </c>
      <c r="J146" s="49">
        <f>IFERROR(IF(Data_Entry!O135/Data_Entry!$H135&lt;0,0,Data_Entry!O135/Data_Entry!$H135),0)</f>
        <v>1.4266569535488152</v>
      </c>
      <c r="K146" s="49">
        <f>IFERROR(IF(Data_Entry!P135/Data_Entry!$H135&lt;0,0,Data_Entry!P135/Data_Entry!$H135),0)</f>
        <v>1.4454954912797797</v>
      </c>
      <c r="L146" s="49">
        <f>IFERROR(IF(Data_Entry!Q135/Data_Entry!$H135&lt;0,0,Data_Entry!Q135/Data_Entry!$H135),0)</f>
        <v>1.3998482652393656</v>
      </c>
      <c r="M146" s="49">
        <f>IFERROR(IF(Data_Entry!R135/Data_Entry!$H135&lt;0,0,Data_Entry!R135/Data_Entry!$H135),0)</f>
        <v>1.4266569535488152</v>
      </c>
      <c r="N146" s="49">
        <f>IFERROR(IF(Data_Entry!S135/Data_Entry!$H135&lt;0,0,Data_Entry!S135/Data_Entry!$H135),0)</f>
        <v>1.4454954912797797</v>
      </c>
      <c r="O146" s="49">
        <f>IFERROR(IF(Data_Entry!T135/Data_Entry!$H135&lt;0,0,Data_Entry!T135/Data_Entry!$H135),0)</f>
        <v>1.3897044372303848</v>
      </c>
      <c r="P146" s="49">
        <f>IFERROR(IF(Data_Entry!U135/Data_Entry!$H135&lt;0,0,Data_Entry!U135/Data_Entry!$H135),0)</f>
        <v>1.4266569535488152</v>
      </c>
      <c r="Q146" s="49">
        <f>IFERROR(IF(Data_Entry!V135/Data_Entry!$H135&lt;0,0,Data_Entry!V135/Data_Entry!$H135),0)</f>
        <v>1.4353516632707988</v>
      </c>
      <c r="R146" s="49">
        <f>IFERROR(IF(Data_Entry!W135/Data_Entry!$H135&lt;0,0,Data_Entry!W135/Data_Entry!$H135),0)</f>
        <v>1.3998482652393656</v>
      </c>
      <c r="S146" s="49">
        <f>IFERROR(IF(Data_Entry!X135/Data_Entry!$H135&lt;0,0,Data_Entry!X135/Data_Entry!$H135),0)</f>
        <v>1.2505890816786465</v>
      </c>
      <c r="T146" s="49">
        <f>IFERROR(IF(Data_Entry!Y135/Data_Entry!$H135&lt;0,0,Data_Entry!Y135/Data_Entry!$H135),0)</f>
        <v>0.56298245449844053</v>
      </c>
      <c r="U146" s="49">
        <f>IFERROR(IF(Data_Entry!Z135/Data_Entry!$H135&lt;0,0,Data_Entry!Z135/Data_Entry!$H135),0)</f>
        <v>1.2484154042481506</v>
      </c>
      <c r="V146" s="49">
        <f>IFERROR(IF(Data_Entry!AA135/Data_Entry!$H135&lt;0,0,Data_Entry!AA135/Data_Entry!$H135),0)</f>
        <v>1.3998482652393656</v>
      </c>
      <c r="W146" s="49">
        <f>IFERROR(IF(Data_Entry!AB135/Data_Entry!$H135&lt;0,0,Data_Entry!AB135/Data_Entry!$H135),0)</f>
        <v>0.88468671421183509</v>
      </c>
      <c r="X146" s="49">
        <f>IFERROR(IF(Data_Entry!AC135/Data_Entry!$I135&lt;0,0,Data_Entry!AC135/Data_Entry!$I135),0)</f>
        <v>0.38183542303234641</v>
      </c>
      <c r="Y146" s="49">
        <f>IFERROR(IF(Data_Entry!AD135/Data_Entry!$I135&lt;0,0,Data_Entry!AD135/Data_Entry!$I135),0)</f>
        <v>0.29649141291750075</v>
      </c>
      <c r="Z146" s="49">
        <f>IFERROR(IF(Data_Entry!AE135/Data_Entry!$I135&lt;0,0,Data_Entry!AE135/Data_Entry!$I135),0)</f>
        <v>0.29712359077020334</v>
      </c>
      <c r="AA146" s="49">
        <f>IFERROR(IF(Data_Entry!AF135/Data_Entry!$I135&lt;0,0,Data_Entry!AF135/Data_Entry!$I135),0)</f>
        <v>0.23896322832156777</v>
      </c>
      <c r="AB146" s="49">
        <f>IFERROR(IF(Data_Entry!AG135/Data_Entry!$I135&lt;0,0,Data_Entry!AG135/Data_Entry!$I135),0)</f>
        <v>0.178274154462122</v>
      </c>
      <c r="AC146" s="49">
        <f>IFERROR(IF(Data_Entry!AI135/Data_Entry!$I135&lt;0,0,Data_Entry!AI135/Data_Entry!$I135),0)</f>
        <v>3.6855968812559259E-2</v>
      </c>
      <c r="AD146" s="49">
        <f>IFERROR(IF(Data_Entry!AM135/Data_Entry!$H135&lt;0,0,Data_Entry!AM135/Data_Entry!$H135),0)</f>
        <v>1.2484154042481506</v>
      </c>
      <c r="AE146" s="50">
        <f>Data_Entry!AK135</f>
        <v>0</v>
      </c>
      <c r="AF146" s="50">
        <f>Data_Entry!AL135</f>
        <v>243</v>
      </c>
      <c r="AG146" s="153">
        <f>(Data_Entry!O135-Data_Entry!Q135)/Data_Entry!O135</f>
        <v>1.8791264601320468E-2</v>
      </c>
      <c r="AH146" s="79" t="str">
        <f t="shared" si="4"/>
        <v>CAT1</v>
      </c>
      <c r="AI146" s="51">
        <f>SUBTOTAL(3,Tableau1[[#This Row],[ZS]])</f>
        <v>0</v>
      </c>
      <c r="AJ146" s="51" t="e">
        <f t="shared" ca="1" si="5"/>
        <v>#NAME?</v>
      </c>
      <c r="AK146" s="50" t="str">
        <f>IFERROR(IF((Data_Entry!O135-Data_Entry!Q135)/Data_Entry!O135&lt;=10%,"&lt;=10%","&gt;10%"),"&lt;=10%")</f>
        <v>&lt;=10%</v>
      </c>
    </row>
    <row r="147" spans="1:37" s="48" customFormat="1" ht="13" hidden="1" x14ac:dyDescent="0.3">
      <c r="A147" s="31" t="s">
        <v>16</v>
      </c>
      <c r="B147" s="48" t="str">
        <f>Data_Entry!B136</f>
        <v>Goma</v>
      </c>
      <c r="C147" s="48" t="str">
        <f>Data_Entry!C136</f>
        <v xml:space="preserve"> Goma</v>
      </c>
      <c r="D147" s="48" t="str">
        <f>Data_Entry!D136</f>
        <v xml:space="preserve"> Mapendo</v>
      </c>
      <c r="E147" s="49">
        <f>IFERROR(IF(Data_Entry!J136/Data_Entry!$I136&lt;0,0,Data_Entry!J136/Data_Entry!$I136),0)</f>
        <v>0.84675641052565265</v>
      </c>
      <c r="F147" s="49">
        <f>IFERROR(IF(Data_Entry!K136/Data_Entry!$H136&lt;0,0,Data_Entry!K136/Data_Entry!$H136),0)</f>
        <v>0.57117642305037464</v>
      </c>
      <c r="G147" s="49">
        <f>IFERROR(IF(Data_Entry!L136/Data_Entry!$H136&lt;0,0,Data_Entry!L136/Data_Entry!$H136),0)</f>
        <v>0.8556814934446193</v>
      </c>
      <c r="H147" s="49">
        <f>IFERROR(IF(Data_Entry!M136/Data_Entry!$H136&lt;0,0,Data_Entry!M136/Data_Entry!$H136),0)</f>
        <v>0.87806641015076548</v>
      </c>
      <c r="I147" s="49">
        <f>IFERROR(IF(Data_Entry!N136/Data_Entry!$H136&lt;0,0,Data_Entry!N136/Data_Entry!$H136),0)</f>
        <v>0.9033397032060918</v>
      </c>
      <c r="J147" s="49">
        <f>IFERROR(IF(Data_Entry!O136/Data_Entry!$H136&lt;0,0,Data_Entry!O136/Data_Entry!$H136),0)</f>
        <v>0.8657908106667499</v>
      </c>
      <c r="K147" s="49">
        <f>IFERROR(IF(Data_Entry!P136/Data_Entry!$H136&lt;0,0,Data_Entry!P136/Data_Entry!$H136),0)</f>
        <v>0.89323038598396132</v>
      </c>
      <c r="L147" s="49">
        <f>IFERROR(IF(Data_Entry!Q136/Data_Entry!$H136&lt;0,0,Data_Entry!Q136/Data_Entry!$H136),0)</f>
        <v>0.87228965745240516</v>
      </c>
      <c r="M147" s="49">
        <f>IFERROR(IF(Data_Entry!R136/Data_Entry!$H136&lt;0,0,Data_Entry!R136/Data_Entry!$H136),0)</f>
        <v>0.8657908106667499</v>
      </c>
      <c r="N147" s="49">
        <f>IFERROR(IF(Data_Entry!S136/Data_Entry!$H136&lt;0,0,Data_Entry!S136/Data_Entry!$H136),0)</f>
        <v>0.89323038598396132</v>
      </c>
      <c r="O147" s="49">
        <f>IFERROR(IF(Data_Entry!T136/Data_Entry!$H136&lt;0,0,Data_Entry!T136/Data_Entry!$H136),0)</f>
        <v>0.87228965745240516</v>
      </c>
      <c r="P147" s="49">
        <f>IFERROR(IF(Data_Entry!U136/Data_Entry!$H136&lt;0,0,Data_Entry!U136/Data_Entry!$H136),0)</f>
        <v>0.8657908106667499</v>
      </c>
      <c r="Q147" s="49">
        <f>IFERROR(IF(Data_Entry!V136/Data_Entry!$H136&lt;0,0,Data_Entry!V136/Data_Entry!$H136),0)</f>
        <v>0.89323038598396132</v>
      </c>
      <c r="R147" s="49">
        <f>IFERROR(IF(Data_Entry!W136/Data_Entry!$H136&lt;0,0,Data_Entry!W136/Data_Entry!$H136),0)</f>
        <v>0.87228965745240516</v>
      </c>
      <c r="S147" s="49">
        <f>IFERROR(IF(Data_Entry!X136/Data_Entry!$H136&lt;0,0,Data_Entry!X136/Data_Entry!$H136),0)</f>
        <v>0.77336276749298505</v>
      </c>
      <c r="T147" s="49">
        <f>IFERROR(IF(Data_Entry!Y136/Data_Entry!$H136&lt;0,0,Data_Entry!Y136/Data_Entry!$H136),0)</f>
        <v>0.16824792233974373</v>
      </c>
      <c r="U147" s="49">
        <f>IFERROR(IF(Data_Entry!Z136/Data_Entry!$H136&lt;0,0,Data_Entry!Z136/Data_Entry!$H136),0)</f>
        <v>0.77336276749298505</v>
      </c>
      <c r="V147" s="49">
        <f>IFERROR(IF(Data_Entry!AA136/Data_Entry!$H136&lt;0,0,Data_Entry!AA136/Data_Entry!$H136),0)</f>
        <v>0.9033397032060918</v>
      </c>
      <c r="W147" s="49">
        <f>IFERROR(IF(Data_Entry!AB136/Data_Entry!$H136&lt;0,0,Data_Entry!AB136/Data_Entry!$H136),0)</f>
        <v>0.77119648523109996</v>
      </c>
      <c r="X147" s="49">
        <f>IFERROR(IF(Data_Entry!AC136/Data_Entry!$I136&lt;0,0,Data_Entry!AC136/Data_Entry!$I136),0)</f>
        <v>0.24886070101014343</v>
      </c>
      <c r="Y147" s="49">
        <f>IFERROR(IF(Data_Entry!AD136/Data_Entry!$I136&lt;0,0,Data_Entry!AD136/Data_Entry!$I136),0)</f>
        <v>0.21168910263141316</v>
      </c>
      <c r="Z147" s="49">
        <f>IFERROR(IF(Data_Entry!AE136/Data_Entry!$I136&lt;0,0,Data_Entry!AE136/Data_Entry!$I136),0)</f>
        <v>0.19278828989646554</v>
      </c>
      <c r="AA147" s="49">
        <f>IFERROR(IF(Data_Entry!AF136/Data_Entry!$I136&lt;0,0,Data_Entry!AF136/Data_Entry!$I136),0)</f>
        <v>0.13356574332696305</v>
      </c>
      <c r="AB147" s="49">
        <f>IFERROR(IF(Data_Entry!AG136/Data_Entry!$I136&lt;0,0,Data_Entry!AG136/Data_Entry!$I136),0)</f>
        <v>0.11718503895667513</v>
      </c>
      <c r="AC147" s="49">
        <f>IFERROR(IF(Data_Entry!AI136/Data_Entry!$I136&lt;0,0,Data_Entry!AI136/Data_Entry!$I136),0)</f>
        <v>3.1501354558246007E-2</v>
      </c>
      <c r="AD147" s="49">
        <f>IFERROR(IF(Data_Entry!AM136/Data_Entry!$H136&lt;0,0,Data_Entry!AM136/Data_Entry!$H136),0)</f>
        <v>0.77336276749298505</v>
      </c>
      <c r="AE147" s="50">
        <f>Data_Entry!AK136</f>
        <v>185.86108333333323</v>
      </c>
      <c r="AF147" s="50">
        <f>Data_Entry!AL136</f>
        <v>128</v>
      </c>
      <c r="AG147" s="153">
        <f>(Data_Entry!O136-Data_Entry!Q136)/Data_Entry!O136</f>
        <v>-7.5062552126772307E-3</v>
      </c>
      <c r="AH147" s="79" t="str">
        <f t="shared" si="4"/>
        <v>CAT3</v>
      </c>
      <c r="AI147" s="51">
        <f>SUBTOTAL(3,Tableau1[[#This Row],[ZS]])</f>
        <v>0</v>
      </c>
      <c r="AJ147" s="51" t="e">
        <f t="shared" ca="1" si="5"/>
        <v>#NAME?</v>
      </c>
      <c r="AK147" s="50" t="str">
        <f>IFERROR(IF((Data_Entry!O136-Data_Entry!Q136)/Data_Entry!O136&lt;=10%,"&lt;=10%","&gt;10%"),"&lt;=10%")</f>
        <v>&lt;=10%</v>
      </c>
    </row>
    <row r="148" spans="1:37" s="48" customFormat="1" ht="13" hidden="1" x14ac:dyDescent="0.3">
      <c r="A148" s="31" t="s">
        <v>16</v>
      </c>
      <c r="B148" s="48" t="str">
        <f>Data_Entry!B137</f>
        <v>Goma</v>
      </c>
      <c r="C148" s="48" t="str">
        <f>Data_Entry!C137</f>
        <v xml:space="preserve"> Goma</v>
      </c>
      <c r="D148" s="48" t="str">
        <f>Data_Entry!D137</f>
        <v xml:space="preserve"> Umoja</v>
      </c>
      <c r="E148" s="49">
        <f>IFERROR(IF(Data_Entry!J137/Data_Entry!$I137&lt;0,0,Data_Entry!J137/Data_Entry!$I137),0)</f>
        <v>1.0607598607888633</v>
      </c>
      <c r="F148" s="49">
        <f>IFERROR(IF(Data_Entry!K137/Data_Entry!$H137&lt;0,0,Data_Entry!K137/Data_Entry!$H137),0)</f>
        <v>0.55844009068003375</v>
      </c>
      <c r="G148" s="49">
        <f>IFERROR(IF(Data_Entry!L137/Data_Entry!$H137&lt;0,0,Data_Entry!L137/Data_Entry!$H137),0)</f>
        <v>1.0645264228588143</v>
      </c>
      <c r="H148" s="49">
        <f>IFERROR(IF(Data_Entry!M137/Data_Entry!$H137&lt;0,0,Data_Entry!M137/Data_Entry!$H137),0)</f>
        <v>1.0828086877322678</v>
      </c>
      <c r="I148" s="49">
        <f>IFERROR(IF(Data_Entry!N137/Data_Entry!$H137&lt;0,0,Data_Entry!N137/Data_Entry!$H137),0)</f>
        <v>1.1110630970821505</v>
      </c>
      <c r="J148" s="49">
        <f>IFERROR(IF(Data_Entry!O137/Data_Entry!$H137&lt;0,0,Data_Entry!O137/Data_Entry!$H137),0)</f>
        <v>1.0645264228588143</v>
      </c>
      <c r="K148" s="49">
        <f>IFERROR(IF(Data_Entry!P137/Data_Entry!$H137&lt;0,0,Data_Entry!P137/Data_Entry!$H137),0)</f>
        <v>1.0828086877322678</v>
      </c>
      <c r="L148" s="49">
        <f>IFERROR(IF(Data_Entry!Q137/Data_Entry!$H137&lt;0,0,Data_Entry!Q137/Data_Entry!$H137),0)</f>
        <v>1.1110630970821505</v>
      </c>
      <c r="M148" s="49">
        <f>IFERROR(IF(Data_Entry!R137/Data_Entry!$H137&lt;0,0,Data_Entry!R137/Data_Entry!$H137),0)</f>
        <v>1.0645264228588143</v>
      </c>
      <c r="N148" s="49">
        <f>IFERROR(IF(Data_Entry!S137/Data_Entry!$H137&lt;0,0,Data_Entry!S137/Data_Entry!$H137),0)</f>
        <v>1.0819776756925654</v>
      </c>
      <c r="O148" s="49">
        <f>IFERROR(IF(Data_Entry!T137/Data_Entry!$H137&lt;0,0,Data_Entry!T137/Data_Entry!$H137),0)</f>
        <v>1.1110630970821505</v>
      </c>
      <c r="P148" s="49">
        <f>IFERROR(IF(Data_Entry!U137/Data_Entry!$H137&lt;0,0,Data_Entry!U137/Data_Entry!$H137),0)</f>
        <v>1.0545542783823851</v>
      </c>
      <c r="Q148" s="49">
        <f>IFERROR(IF(Data_Entry!V137/Data_Entry!$H137&lt;0,0,Data_Entry!V137/Data_Entry!$H137),0)</f>
        <v>1.0528922543029802</v>
      </c>
      <c r="R148" s="49">
        <f>IFERROR(IF(Data_Entry!W137/Data_Entry!$H137&lt;0,0,Data_Entry!W137/Data_Entry!$H137),0)</f>
        <v>1.0869637479307799</v>
      </c>
      <c r="S148" s="49">
        <f>IFERROR(IF(Data_Entry!X137/Data_Entry!$H137&lt;0,0,Data_Entry!X137/Data_Entry!$H137),0)</f>
        <v>1.0794846395734581</v>
      </c>
      <c r="T148" s="49">
        <f>IFERROR(IF(Data_Entry!Y137/Data_Entry!$H137&lt;0,0,Data_Entry!Y137/Data_Entry!$H137),0)</f>
        <v>0.40719589945419127</v>
      </c>
      <c r="U148" s="49">
        <f>IFERROR(IF(Data_Entry!Z137/Data_Entry!$H137&lt;0,0,Data_Entry!Z137/Data_Entry!$H137),0)</f>
        <v>0.97560813461065421</v>
      </c>
      <c r="V148" s="49">
        <f>IFERROR(IF(Data_Entry!AA137/Data_Entry!$H137&lt;0,0,Data_Entry!AA137/Data_Entry!$H137),0)</f>
        <v>1.0204827847545854</v>
      </c>
      <c r="W148" s="49">
        <f>IFERROR(IF(Data_Entry!AB137/Data_Entry!$H137&lt;0,0,Data_Entry!AB137/Data_Entry!$H137),0)</f>
        <v>0.9299024724270204</v>
      </c>
      <c r="X148" s="49">
        <f>IFERROR(IF(Data_Entry!AC137/Data_Entry!$I137&lt;0,0,Data_Entry!AC137/Data_Entry!$I137),0)</f>
        <v>0.30814965197215782</v>
      </c>
      <c r="Y148" s="49">
        <f>IFERROR(IF(Data_Entry!AD137/Data_Entry!$I137&lt;0,0,Data_Entry!AD137/Data_Entry!$I137),0)</f>
        <v>0.23129350348027844</v>
      </c>
      <c r="Z148" s="49">
        <f>IFERROR(IF(Data_Entry!AE137/Data_Entry!$I137&lt;0,0,Data_Entry!AE137/Data_Entry!$I137),0)</f>
        <v>0.18779002320185617</v>
      </c>
      <c r="AA148" s="49">
        <f>IFERROR(IF(Data_Entry!AF137/Data_Entry!$I137&lt;0,0,Data_Entry!AF137/Data_Entry!$I137),0)</f>
        <v>0.1515371229698376</v>
      </c>
      <c r="AB148" s="49">
        <f>IFERROR(IF(Data_Entry!AG137/Data_Entry!$I137&lt;0,0,Data_Entry!AG137/Data_Entry!$I137),0)</f>
        <v>0.13196055684454758</v>
      </c>
      <c r="AC148" s="49">
        <f>IFERROR(IF(Data_Entry!AI137/Data_Entry!$I137&lt;0,0,Data_Entry!AI137/Data_Entry!$I137),0)</f>
        <v>3.6252900232018569E-2</v>
      </c>
      <c r="AD148" s="49">
        <f>IFERROR(IF(Data_Entry!AM137/Data_Entry!$H137&lt;0,0,Data_Entry!AM137/Data_Entry!$H137),0)</f>
        <v>0.97560813461065421</v>
      </c>
      <c r="AE148" s="50">
        <f>Data_Entry!AK137</f>
        <v>0</v>
      </c>
      <c r="AF148" s="50">
        <f>Data_Entry!AL137</f>
        <v>0</v>
      </c>
      <c r="AG148" s="153">
        <f>(Data_Entry!O137-Data_Entry!Q137)/Data_Entry!O137</f>
        <v>-4.3715846994535519E-2</v>
      </c>
      <c r="AH148" s="79" t="str">
        <f t="shared" si="4"/>
        <v>CAT1</v>
      </c>
      <c r="AI148" s="51">
        <f>SUBTOTAL(3,Tableau1[[#This Row],[ZS]])</f>
        <v>0</v>
      </c>
      <c r="AJ148" s="51" t="e">
        <f t="shared" ca="1" si="5"/>
        <v>#NAME?</v>
      </c>
      <c r="AK148" s="50" t="str">
        <f>IFERROR(IF((Data_Entry!O137-Data_Entry!Q137)/Data_Entry!O137&lt;=10%,"&lt;=10%","&gt;10%"),"&lt;=10%")</f>
        <v>&lt;=10%</v>
      </c>
    </row>
    <row r="149" spans="1:37" s="48" customFormat="1" ht="13" x14ac:dyDescent="0.3">
      <c r="A149" s="31" t="s">
        <v>16</v>
      </c>
      <c r="B149" s="48" t="str">
        <f>Data_Entry!B138</f>
        <v>Goma</v>
      </c>
      <c r="C149" s="48" t="str">
        <f>Data_Entry!C138</f>
        <v xml:space="preserve"> Itebero</v>
      </c>
      <c r="D149" s="48" t="str">
        <f>Data_Entry!D138</f>
        <v xml:space="preserve"> Biriko</v>
      </c>
      <c r="E149" s="49">
        <f>IFERROR(IF(Data_Entry!J138/Data_Entry!$I138&lt;0,0,Data_Entry!J138/Data_Entry!$I138),0)</f>
        <v>0.92083505580818514</v>
      </c>
      <c r="F149" s="49">
        <f>IFERROR(IF(Data_Entry!K138/Data_Entry!$H138&lt;0,0,Data_Entry!K138/Data_Entry!$H138),0)</f>
        <v>0.75334831343554065</v>
      </c>
      <c r="G149" s="49">
        <f>IFERROR(IF(Data_Entry!L138/Data_Entry!$H138&lt;0,0,Data_Entry!L138/Data_Entry!$H138),0)</f>
        <v>0.80309773036052923</v>
      </c>
      <c r="H149" s="49">
        <f>IFERROR(IF(Data_Entry!M138/Data_Entry!$H138&lt;0,0,Data_Entry!M138/Data_Entry!$H138),0)</f>
        <v>0.7426877240944717</v>
      </c>
      <c r="I149" s="49">
        <f>IFERROR(IF(Data_Entry!N138/Data_Entry!$H138&lt;0,0,Data_Entry!N138/Data_Entry!$H138),0)</f>
        <v>0.72847360497304636</v>
      </c>
      <c r="J149" s="49">
        <f>IFERROR(IF(Data_Entry!O138/Data_Entry!$H138&lt;0,0,Data_Entry!O138/Data_Entry!$H138),0)</f>
        <v>1.0020953980604834</v>
      </c>
      <c r="K149" s="49">
        <f>IFERROR(IF(Data_Entry!P138/Data_Entry!$H138&lt;0,0,Data_Entry!P138/Data_Entry!$H138),0)</f>
        <v>0.92747127267300056</v>
      </c>
      <c r="L149" s="49">
        <f>IFERROR(IF(Data_Entry!Q138/Data_Entry!$H138&lt;0,0,Data_Entry!Q138/Data_Entry!$H138),0)</f>
        <v>0.8954895046497936</v>
      </c>
      <c r="M149" s="49">
        <f>IFERROR(IF(Data_Entry!R138/Data_Entry!$H138&lt;0,0,Data_Entry!R138/Data_Entry!$H138),0)</f>
        <v>1.0020953980604834</v>
      </c>
      <c r="N149" s="49">
        <f>IFERROR(IF(Data_Entry!S138/Data_Entry!$H138&lt;0,0,Data_Entry!S138/Data_Entry!$H138),0)</f>
        <v>0.92036421311228789</v>
      </c>
      <c r="O149" s="49">
        <f>IFERROR(IF(Data_Entry!T138/Data_Entry!$H138&lt;0,0,Data_Entry!T138/Data_Entry!$H138),0)</f>
        <v>0.87772185574801198</v>
      </c>
      <c r="P149" s="49">
        <f>IFERROR(IF(Data_Entry!U138/Data_Entry!$H138&lt;0,0,Data_Entry!U138/Data_Entry!$H138),0)</f>
        <v>0.91325715355157522</v>
      </c>
      <c r="Q149" s="49">
        <f>IFERROR(IF(Data_Entry!V138/Data_Entry!$H138&lt;0,0,Data_Entry!V138/Data_Entry!$H138),0)</f>
        <v>0.84218655794444874</v>
      </c>
      <c r="R149" s="49">
        <f>IFERROR(IF(Data_Entry!W138/Data_Entry!$H138&lt;0,0,Data_Entry!W138/Data_Entry!$H138),0)</f>
        <v>0.83152596860337979</v>
      </c>
      <c r="S149" s="49">
        <f>IFERROR(IF(Data_Entry!X138/Data_Entry!$H138&lt;0,0,Data_Entry!X138/Data_Entry!$H138),0)</f>
        <v>0.84929361750516141</v>
      </c>
      <c r="T149" s="49">
        <f>IFERROR(IF(Data_Entry!Y138/Data_Entry!$H138&lt;0,0,Data_Entry!Y138/Data_Entry!$H138),0)</f>
        <v>0.73202713475340275</v>
      </c>
      <c r="U149" s="49">
        <f>IFERROR(IF(Data_Entry!Z138/Data_Entry!$H138&lt;0,0,Data_Entry!Z138/Data_Entry!$H138),0)</f>
        <v>0.79599067079981656</v>
      </c>
      <c r="V149" s="49">
        <f>IFERROR(IF(Data_Entry!AA138/Data_Entry!$H138&lt;0,0,Data_Entry!AA138/Data_Entry!$H138),0)</f>
        <v>0.59343947331950608</v>
      </c>
      <c r="W149" s="49">
        <f>IFERROR(IF(Data_Entry!AB138/Data_Entry!$H138&lt;0,0,Data_Entry!AB138/Data_Entry!$H138),0)</f>
        <v>0.53302946705344856</v>
      </c>
      <c r="X149" s="49">
        <f>IFERROR(IF(Data_Entry!AC138/Data_Entry!$I138&lt;0,0,Data_Entry!AC138/Data_Entry!$I138),0)</f>
        <v>0.41236047953699873</v>
      </c>
      <c r="Y149" s="49">
        <f>IFERROR(IF(Data_Entry!AD138/Data_Entry!$I138&lt;0,0,Data_Entry!AD138/Data_Entry!$I138),0)</f>
        <v>0.28834229020256302</v>
      </c>
      <c r="Z149" s="49">
        <f>IFERROR(IF(Data_Entry!AE138/Data_Entry!$I138&lt;0,0,Data_Entry!AE138/Data_Entry!$I138),0)</f>
        <v>0.16432410086812732</v>
      </c>
      <c r="AA149" s="49">
        <f>IFERROR(IF(Data_Entry!AF138/Data_Entry!$I138&lt;0,0,Data_Entry!AF138/Data_Entry!$I138),0)</f>
        <v>1.8602728400165355E-2</v>
      </c>
      <c r="AB149" s="49">
        <f>IFERROR(IF(Data_Entry!AG138/Data_Entry!$I138&lt;0,0,Data_Entry!AG138/Data_Entry!$I138),0)</f>
        <v>0</v>
      </c>
      <c r="AC149" s="49">
        <f>IFERROR(IF(Data_Entry!AI138/Data_Entry!$I138&lt;0,0,Data_Entry!AI138/Data_Entry!$I138),0)</f>
        <v>0.15502273666804464</v>
      </c>
      <c r="AD149" s="49">
        <f>IFERROR(IF(Data_Entry!AM138/Data_Entry!$H138&lt;0,0,Data_Entry!AM138/Data_Entry!$H138),0)</f>
        <v>0.79599067079981656</v>
      </c>
      <c r="AE149" s="50">
        <f>Data_Entry!AK138</f>
        <v>0</v>
      </c>
      <c r="AF149" s="50">
        <f>Data_Entry!AL138</f>
        <v>43</v>
      </c>
      <c r="AG149" s="153">
        <f>(Data_Entry!O138-Data_Entry!Q138)/Data_Entry!O138</f>
        <v>0.10638297872340426</v>
      </c>
      <c r="AH149" s="79" t="str">
        <f t="shared" si="4"/>
        <v>CAT2</v>
      </c>
      <c r="AI149" s="51">
        <f>SUBTOTAL(3,Tableau1[[#This Row],[ZS]])</f>
        <v>1</v>
      </c>
      <c r="AJ149" s="51" t="e">
        <f t="shared" ca="1" si="5"/>
        <v>#NAME?</v>
      </c>
      <c r="AK149" s="50" t="str">
        <f>IFERROR(IF((Data_Entry!O138-Data_Entry!Q138)/Data_Entry!O138&lt;=10%,"&lt;=10%","&gt;10%"),"&lt;=10%")</f>
        <v>&gt;10%</v>
      </c>
    </row>
    <row r="150" spans="1:37" s="48" customFormat="1" ht="13" x14ac:dyDescent="0.3">
      <c r="A150" s="31" t="s">
        <v>16</v>
      </c>
      <c r="B150" s="48" t="str">
        <f>Data_Entry!B139</f>
        <v>Goma</v>
      </c>
      <c r="C150" s="48" t="str">
        <f>Data_Entry!C139</f>
        <v xml:space="preserve"> Itebero</v>
      </c>
      <c r="D150" s="48" t="str">
        <f>Data_Entry!D139</f>
        <v xml:space="preserve"> Bongo Bongo</v>
      </c>
      <c r="E150" s="49">
        <f>IFERROR(IF(Data_Entry!J139/Data_Entry!$I139&lt;0,0,Data_Entry!J139/Data_Entry!$I139),0)</f>
        <v>0.80183457219674203</v>
      </c>
      <c r="F150" s="49">
        <f>IFERROR(IF(Data_Entry!K139/Data_Entry!$H139&lt;0,0,Data_Entry!K139/Data_Entry!$H139),0)</f>
        <v>0.96251144794983712</v>
      </c>
      <c r="G150" s="49">
        <f>IFERROR(IF(Data_Entry!L139/Data_Entry!$H139&lt;0,0,Data_Entry!L139/Data_Entry!$H139),0)</f>
        <v>0.92444602345464577</v>
      </c>
      <c r="H150" s="49">
        <f>IFERROR(IF(Data_Entry!M139/Data_Entry!$H139&lt;0,0,Data_Entry!M139/Data_Entry!$H139),0)</f>
        <v>0.95707353016480978</v>
      </c>
      <c r="I150" s="49">
        <f>IFERROR(IF(Data_Entry!N139/Data_Entry!$H139&lt;0,0,Data_Entry!N139/Data_Entry!$H139),0)</f>
        <v>0.90813227009956377</v>
      </c>
      <c r="J150" s="49">
        <f>IFERROR(IF(Data_Entry!O139/Data_Entry!$H139&lt;0,0,Data_Entry!O139/Data_Entry!$H139),0)</f>
        <v>1.0223285435851377</v>
      </c>
      <c r="K150" s="49">
        <f>IFERROR(IF(Data_Entry!P139/Data_Entry!$H139&lt;0,0,Data_Entry!P139/Data_Entry!$H139),0)</f>
        <v>0.95163561237978245</v>
      </c>
      <c r="L150" s="49">
        <f>IFERROR(IF(Data_Entry!Q139/Data_Entry!$H139&lt;0,0,Data_Entry!Q139/Data_Entry!$H139),0)</f>
        <v>0.9135701878845911</v>
      </c>
      <c r="M150" s="49">
        <f>IFERROR(IF(Data_Entry!R139/Data_Entry!$H139&lt;0,0,Data_Entry!R139/Data_Entry!$H139),0)</f>
        <v>1.0168906258001105</v>
      </c>
      <c r="N150" s="49">
        <f>IFERROR(IF(Data_Entry!S139/Data_Entry!$H139&lt;0,0,Data_Entry!S139/Data_Entry!$H139),0)</f>
        <v>0.95163561237978245</v>
      </c>
      <c r="O150" s="49">
        <f>IFERROR(IF(Data_Entry!T139/Data_Entry!$H139&lt;0,0,Data_Entry!T139/Data_Entry!$H139),0)</f>
        <v>0.9135701878845911</v>
      </c>
      <c r="P150" s="49">
        <f>IFERROR(IF(Data_Entry!U139/Data_Entry!$H139&lt;0,0,Data_Entry!U139/Data_Entry!$H139),0)</f>
        <v>1.0168906258001105</v>
      </c>
      <c r="Q150" s="49">
        <f>IFERROR(IF(Data_Entry!V139/Data_Entry!$H139&lt;0,0,Data_Entry!V139/Data_Entry!$H139),0)</f>
        <v>0.95163561237978245</v>
      </c>
      <c r="R150" s="49">
        <f>IFERROR(IF(Data_Entry!W139/Data_Entry!$H139&lt;0,0,Data_Entry!W139/Data_Entry!$H139),0)</f>
        <v>0.9135701878845911</v>
      </c>
      <c r="S150" s="49">
        <f>IFERROR(IF(Data_Entry!X139/Data_Entry!$H139&lt;0,0,Data_Entry!X139/Data_Entry!$H139),0)</f>
        <v>0.8809426811744272</v>
      </c>
      <c r="T150" s="49">
        <f>IFERROR(IF(Data_Entry!Y139/Data_Entry!$H139&lt;0,0,Data_Entry!Y139/Data_Entry!$H139),0)</f>
        <v>0.76130848990382594</v>
      </c>
      <c r="U150" s="49">
        <f>IFERROR(IF(Data_Entry!Z139/Data_Entry!$H139&lt;0,0,Data_Entry!Z139/Data_Entry!$H139),0)</f>
        <v>0.8809426811744272</v>
      </c>
      <c r="V150" s="49">
        <f>IFERROR(IF(Data_Entry!AA139/Data_Entry!$H139&lt;0,0,Data_Entry!AA139/Data_Entry!$H139),0)</f>
        <v>0.9135701878845911</v>
      </c>
      <c r="W150" s="49">
        <f>IFERROR(IF(Data_Entry!AB139/Data_Entry!$H139&lt;0,0,Data_Entry!AB139/Data_Entry!$H139),0)</f>
        <v>0.86462892781934519</v>
      </c>
      <c r="X150" s="49">
        <f>IFERROR(IF(Data_Entry!AC139/Data_Entry!$I139&lt;0,0,Data_Entry!AC139/Data_Entry!$I139),0)</f>
        <v>0.89198165427803255</v>
      </c>
      <c r="Y150" s="49">
        <f>IFERROR(IF(Data_Entry!AD139/Data_Entry!$I139&lt;0,0,Data_Entry!AD139/Data_Entry!$I139),0)</f>
        <v>0.80657915546417835</v>
      </c>
      <c r="Z150" s="49">
        <f>IFERROR(IF(Data_Entry!AE139/Data_Entry!$I139&lt;0,0,Data_Entry!AE139/Data_Entry!$I139),0)</f>
        <v>0.71643207338288784</v>
      </c>
      <c r="AA150" s="49">
        <f>IFERROR(IF(Data_Entry!AF139/Data_Entry!$I139&lt;0,0,Data_Entry!AF139/Data_Entry!$I139),0)</f>
        <v>0.62628499130159732</v>
      </c>
      <c r="AB150" s="49">
        <f>IFERROR(IF(Data_Entry!AG139/Data_Entry!$I139&lt;0,0,Data_Entry!AG139/Data_Entry!$I139),0)</f>
        <v>0</v>
      </c>
      <c r="AC150" s="49">
        <f>IFERROR(IF(Data_Entry!AI139/Data_Entry!$I139&lt;0,0,Data_Entry!AI139/Data_Entry!$I139),0)</f>
        <v>0.19784912225209553</v>
      </c>
      <c r="AD150" s="49">
        <f>IFERROR(IF(Data_Entry!AM139/Data_Entry!$H139&lt;0,0,Data_Entry!AM139/Data_Entry!$H139),0)</f>
        <v>0.8809426811744272</v>
      </c>
      <c r="AE150" s="50">
        <f>Data_Entry!AK139</f>
        <v>0</v>
      </c>
      <c r="AF150" s="50">
        <f>Data_Entry!AL139</f>
        <v>26</v>
      </c>
      <c r="AG150" s="153">
        <f>(Data_Entry!O139-Data_Entry!Q139)/Data_Entry!O139</f>
        <v>0.10638297872340426</v>
      </c>
      <c r="AH150" s="79" t="str">
        <f t="shared" si="4"/>
        <v>CAT2</v>
      </c>
      <c r="AI150" s="51">
        <f>SUBTOTAL(3,Tableau1[[#This Row],[ZS]])</f>
        <v>1</v>
      </c>
      <c r="AJ150" s="51" t="e">
        <f t="shared" ca="1" si="5"/>
        <v>#NAME?</v>
      </c>
      <c r="AK150" s="50" t="str">
        <f>IFERROR(IF((Data_Entry!O139-Data_Entry!Q139)/Data_Entry!O139&lt;=10%,"&lt;=10%","&gt;10%"),"&lt;=10%")</f>
        <v>&gt;10%</v>
      </c>
    </row>
    <row r="151" spans="1:37" s="48" customFormat="1" ht="13" x14ac:dyDescent="0.3">
      <c r="A151" s="31" t="s">
        <v>16</v>
      </c>
      <c r="B151" s="48" t="str">
        <f>Data_Entry!B140</f>
        <v>Goma</v>
      </c>
      <c r="C151" s="48" t="str">
        <f>Data_Entry!C140</f>
        <v xml:space="preserve"> Itebero</v>
      </c>
      <c r="D151" s="48" t="str">
        <f>Data_Entry!D140</f>
        <v xml:space="preserve"> Busurungi</v>
      </c>
      <c r="E151" s="49">
        <f>IFERROR(IF(Data_Entry!J140/Data_Entry!$I140&lt;0,0,Data_Entry!J140/Data_Entry!$I140),0)</f>
        <v>1.0669540617001212</v>
      </c>
      <c r="F151" s="49">
        <f>IFERROR(IF(Data_Entry!K140/Data_Entry!$H140&lt;0,0,Data_Entry!K140/Data_Entry!$H140),0)</f>
        <v>1.0978037363155713</v>
      </c>
      <c r="G151" s="49">
        <f>IFERROR(IF(Data_Entry!L140/Data_Entry!$H140&lt;0,0,Data_Entry!L140/Data_Entry!$H140),0)</f>
        <v>1.4915308147409871</v>
      </c>
      <c r="H151" s="49">
        <f>IFERROR(IF(Data_Entry!M140/Data_Entry!$H140&lt;0,0,Data_Entry!M140/Data_Entry!$H140),0)</f>
        <v>1.4730024816386147</v>
      </c>
      <c r="I151" s="49">
        <f>IFERROR(IF(Data_Entry!N140/Data_Entry!$H140&lt;0,0,Data_Entry!N140/Data_Entry!$H140),0)</f>
        <v>1.5702762304260705</v>
      </c>
      <c r="J151" s="49">
        <f>IFERROR(IF(Data_Entry!O140/Data_Entry!$H140&lt;0,0,Data_Entry!O140/Data_Entry!$H140),0)</f>
        <v>1.4637383150874286</v>
      </c>
      <c r="K151" s="49">
        <f>IFERROR(IF(Data_Entry!P140/Data_Entry!$H140&lt;0,0,Data_Entry!P140/Data_Entry!$H140),0)</f>
        <v>1.9732674754026727</v>
      </c>
      <c r="L151" s="49">
        <f>IFERROR(IF(Data_Entry!Q140/Data_Entry!$H140&lt;0,0,Data_Entry!Q140/Data_Entry!$H140),0)</f>
        <v>1.5702762304260705</v>
      </c>
      <c r="M151" s="49">
        <f>IFERROR(IF(Data_Entry!R140/Data_Entry!$H140&lt;0,0,Data_Entry!R140/Data_Entry!$H140),0)</f>
        <v>1.4915308147409871</v>
      </c>
      <c r="N151" s="49">
        <f>IFERROR(IF(Data_Entry!S140/Data_Entry!$H140&lt;0,0,Data_Entry!S140/Data_Entry!$H140),0)</f>
        <v>1.5841724802528498</v>
      </c>
      <c r="O151" s="49">
        <f>IFERROR(IF(Data_Entry!T140/Data_Entry!$H140&lt;0,0,Data_Entry!T140/Data_Entry!$H140),0)</f>
        <v>1.6675499792135262</v>
      </c>
      <c r="P151" s="49">
        <f>IFERROR(IF(Data_Entry!U140/Data_Entry!$H140&lt;0,0,Data_Entry!U140/Data_Entry!$H140),0)</f>
        <v>1.5980687300796292</v>
      </c>
      <c r="Q151" s="49">
        <f>IFERROR(IF(Data_Entry!V140/Data_Entry!$H140&lt;0,0,Data_Entry!V140/Data_Entry!$H140),0)</f>
        <v>1.5841724802528498</v>
      </c>
      <c r="R151" s="49">
        <f>IFERROR(IF(Data_Entry!W140/Data_Entry!$H140&lt;0,0,Data_Entry!W140/Data_Entry!$H140),0)</f>
        <v>1.6768141457647123</v>
      </c>
      <c r="S151" s="49">
        <f>IFERROR(IF(Data_Entry!X140/Data_Entry!$H140&lt;0,0,Data_Entry!X140/Data_Entry!$H140),0)</f>
        <v>1.4730024816386147</v>
      </c>
      <c r="T151" s="49">
        <f>IFERROR(IF(Data_Entry!Y140/Data_Entry!$H140&lt;0,0,Data_Entry!Y140/Data_Entry!$H140),0)</f>
        <v>0.79208624012642492</v>
      </c>
      <c r="U151" s="49">
        <f>IFERROR(IF(Data_Entry!Z140/Data_Entry!$H140&lt;0,0,Data_Entry!Z140/Data_Entry!$H140),0)</f>
        <v>1.5193233143945459</v>
      </c>
      <c r="V151" s="49">
        <f>IFERROR(IF(Data_Entry!AA140/Data_Entry!$H140&lt;0,0,Data_Entry!AA140/Data_Entry!$H140),0)</f>
        <v>1.593436646804036</v>
      </c>
      <c r="W151" s="49">
        <f>IFERROR(IF(Data_Entry!AB140/Data_Entry!$H140&lt;0,0,Data_Entry!AB140/Data_Entry!$H140),0)</f>
        <v>0.41688749480338155</v>
      </c>
      <c r="X151" s="49">
        <f>IFERROR(IF(Data_Entry!AC140/Data_Entry!$I140&lt;0,0,Data_Entry!AC140/Data_Entry!$I140),0)</f>
        <v>1.907584534554762</v>
      </c>
      <c r="Y151" s="49">
        <f>IFERROR(IF(Data_Entry!AD140/Data_Entry!$I140&lt;0,0,Data_Entry!AD140/Data_Entry!$I140),0)</f>
        <v>1.6812609457092818</v>
      </c>
      <c r="Z151" s="49">
        <f>IFERROR(IF(Data_Entry!AE140/Data_Entry!$I140&lt;0,0,Data_Entry!AE140/Data_Entry!$I140),0)</f>
        <v>1.3579415330728815</v>
      </c>
      <c r="AA151" s="49">
        <f>IFERROR(IF(Data_Entry!AF140/Data_Entry!$I140&lt;0,0,Data_Entry!AF140/Data_Entry!$I140),0)</f>
        <v>6.4663882527280073E-2</v>
      </c>
      <c r="AB151" s="49">
        <f>IFERROR(IF(Data_Entry!AG140/Data_Entry!$I140&lt;0,0,Data_Entry!AG140/Data_Entry!$I140),0)</f>
        <v>0</v>
      </c>
      <c r="AC151" s="49">
        <f>IFERROR(IF(Data_Entry!AI140/Data_Entry!$I140&lt;0,0,Data_Entry!AI140/Data_Entry!$I140),0)</f>
        <v>0.16853024383672369</v>
      </c>
      <c r="AD151" s="49">
        <f>IFERROR(IF(Data_Entry!AM140/Data_Entry!$H140&lt;0,0,Data_Entry!AM140/Data_Entry!$H140),0)</f>
        <v>1.4730024816386147</v>
      </c>
      <c r="AE151" s="50">
        <f>Data_Entry!AK140</f>
        <v>0</v>
      </c>
      <c r="AF151" s="50">
        <f>Data_Entry!AL140</f>
        <v>0</v>
      </c>
      <c r="AG151" s="153">
        <f>(Data_Entry!O140-Data_Entry!Q140)/Data_Entry!O140</f>
        <v>-7.2784810126582278E-2</v>
      </c>
      <c r="AH151" s="79" t="str">
        <f t="shared" si="4"/>
        <v>CAT1</v>
      </c>
      <c r="AI151" s="51">
        <f>SUBTOTAL(3,Tableau1[[#This Row],[ZS]])</f>
        <v>1</v>
      </c>
      <c r="AJ151" s="51" t="e">
        <f t="shared" ca="1" si="5"/>
        <v>#NAME?</v>
      </c>
      <c r="AK151" s="50" t="str">
        <f>IFERROR(IF((Data_Entry!O140-Data_Entry!Q140)/Data_Entry!O140&lt;=10%,"&lt;=10%","&gt;10%"),"&lt;=10%")</f>
        <v>&lt;=10%</v>
      </c>
    </row>
    <row r="152" spans="1:37" s="48" customFormat="1" ht="13" x14ac:dyDescent="0.3">
      <c r="A152" s="31" t="s">
        <v>16</v>
      </c>
      <c r="B152" s="48" t="str">
        <f>Data_Entry!B141</f>
        <v>Goma</v>
      </c>
      <c r="C152" s="48" t="str">
        <f>Data_Entry!C141</f>
        <v xml:space="preserve"> Itebero</v>
      </c>
      <c r="D152" s="48" t="str">
        <f>Data_Entry!D141</f>
        <v xml:space="preserve"> Chambucha</v>
      </c>
      <c r="E152" s="49">
        <f>IFERROR(IF(Data_Entry!J141/Data_Entry!$I141&lt;0,0,Data_Entry!J141/Data_Entry!$I141),0)</f>
        <v>1.1374407582938386</v>
      </c>
      <c r="F152" s="49">
        <f>IFERROR(IF(Data_Entry!K141/Data_Entry!$H141&lt;0,0,Data_Entry!K141/Data_Entry!$H141),0)</f>
        <v>0.3890601447602493</v>
      </c>
      <c r="G152" s="49">
        <f>IFERROR(IF(Data_Entry!L141/Data_Entry!$H141&lt;0,0,Data_Entry!L141/Data_Entry!$H141),0)</f>
        <v>1.2282893575415201</v>
      </c>
      <c r="H152" s="49">
        <f>IFERROR(IF(Data_Entry!M141/Data_Entry!$H141&lt;0,0,Data_Entry!M141/Data_Entry!$H141),0)</f>
        <v>1.2099566805632884</v>
      </c>
      <c r="I152" s="49">
        <f>IFERROR(IF(Data_Entry!N141/Data_Entry!$H141&lt;0,0,Data_Entry!N141/Data_Entry!$H141),0)</f>
        <v>1.1794022189329023</v>
      </c>
      <c r="J152" s="49">
        <f>IFERROR(IF(Data_Entry!O141/Data_Entry!$H141&lt;0,0,Data_Entry!O141/Data_Entry!$H141),0)</f>
        <v>1.3036570295631391</v>
      </c>
      <c r="K152" s="49">
        <f>IFERROR(IF(Data_Entry!P141/Data_Entry!$H141&lt;0,0,Data_Entry!P141/Data_Entry!$H141),0)</f>
        <v>1.262917747389291</v>
      </c>
      <c r="L152" s="49">
        <f>IFERROR(IF(Data_Entry!Q141/Data_Entry!$H141&lt;0,0,Data_Entry!Q141/Data_Entry!$H141),0)</f>
        <v>1.2649547114979833</v>
      </c>
      <c r="M152" s="49">
        <f>IFERROR(IF(Data_Entry!R141/Data_Entry!$H141&lt;0,0,Data_Entry!R141/Data_Entry!$H141),0)</f>
        <v>1.1936609676937493</v>
      </c>
      <c r="N152" s="49">
        <f>IFERROR(IF(Data_Entry!S141/Data_Entry!$H141&lt;0,0,Data_Entry!S141/Data_Entry!$H141),0)</f>
        <v>1.605127717649615</v>
      </c>
      <c r="O152" s="49">
        <f>IFERROR(IF(Data_Entry!T141/Data_Entry!$H141&lt;0,0,Data_Entry!T141/Data_Entry!$H141),0)</f>
        <v>1.1529216855199012</v>
      </c>
      <c r="P152" s="49">
        <f>IFERROR(IF(Data_Entry!U141/Data_Entry!$H141&lt;0,0,Data_Entry!U141/Data_Entry!$H141),0)</f>
        <v>1.0388516954331264</v>
      </c>
      <c r="Q152" s="49">
        <f>IFERROR(IF(Data_Entry!V141/Data_Entry!$H141&lt;0,0,Data_Entry!V141/Data_Entry!$H141),0)</f>
        <v>0.92885563356373657</v>
      </c>
      <c r="R152" s="49">
        <f>IFERROR(IF(Data_Entry!W141/Data_Entry!$H141&lt;0,0,Data_Entry!W141/Data_Entry!$H141),0)</f>
        <v>1.0347777672157417</v>
      </c>
      <c r="S152" s="49">
        <f>IFERROR(IF(Data_Entry!X141/Data_Entry!$H141&lt;0,0,Data_Entry!X141/Data_Entry!$H141),0)</f>
        <v>1.187550075367672</v>
      </c>
      <c r="T152" s="49">
        <f>IFERROR(IF(Data_Entry!Y141/Data_Entry!$H141&lt;0,0,Data_Entry!Y141/Data_Entry!$H141),0)</f>
        <v>0.71293743804234166</v>
      </c>
      <c r="U152" s="49">
        <f>IFERROR(IF(Data_Entry!Z141/Data_Entry!$H141&lt;0,0,Data_Entry!Z141/Data_Entry!$H141),0)</f>
        <v>1.1060715110199757</v>
      </c>
      <c r="V152" s="49">
        <f>IFERROR(IF(Data_Entry!AA141/Data_Entry!$H141&lt;0,0,Data_Entry!AA141/Data_Entry!$H141),0)</f>
        <v>1.0347777672157417</v>
      </c>
      <c r="W152" s="49">
        <f>IFERROR(IF(Data_Entry!AB141/Data_Entry!$H141&lt;0,0,Data_Entry!AB141/Data_Entry!$H141),0)</f>
        <v>0.92274474123765937</v>
      </c>
      <c r="X152" s="49">
        <f>IFERROR(IF(Data_Entry!AC141/Data_Entry!$I141&lt;0,0,Data_Entry!AC141/Data_Entry!$I141),0)</f>
        <v>0.52784360189573454</v>
      </c>
      <c r="Y152" s="49">
        <f>IFERROR(IF(Data_Entry!AD141/Data_Entry!$I141&lt;0,0,Data_Entry!AD141/Data_Entry!$I141),0)</f>
        <v>0.52251184834123221</v>
      </c>
      <c r="Z152" s="49">
        <f>IFERROR(IF(Data_Entry!AE141/Data_Entry!$I141&lt;0,0,Data_Entry!AE141/Data_Entry!$I141),0)</f>
        <v>0.43364928909952599</v>
      </c>
      <c r="AA152" s="49">
        <f>IFERROR(IF(Data_Entry!AF141/Data_Entry!$I141&lt;0,0,Data_Entry!AF141/Data_Entry!$I141),0)</f>
        <v>0.35722748815165872</v>
      </c>
      <c r="AB152" s="49">
        <f>IFERROR(IF(Data_Entry!AG141/Data_Entry!$I141&lt;0,0,Data_Entry!AG141/Data_Entry!$I141),0)</f>
        <v>0.33590047393364925</v>
      </c>
      <c r="AC152" s="49">
        <f>IFERROR(IF(Data_Entry!AI141/Data_Entry!$I141&lt;0,0,Data_Entry!AI141/Data_Entry!$I141),0)</f>
        <v>5.918246445497629E-2</v>
      </c>
      <c r="AD152" s="49">
        <f>IFERROR(IF(Data_Entry!AM141/Data_Entry!$H141&lt;0,0,Data_Entry!AM141/Data_Entry!$H141),0)</f>
        <v>1.1060715110199757</v>
      </c>
      <c r="AE152" s="50">
        <f>Data_Entry!AK141</f>
        <v>0</v>
      </c>
      <c r="AF152" s="50">
        <f>Data_Entry!AL141</f>
        <v>57</v>
      </c>
      <c r="AG152" s="153">
        <f>(Data_Entry!O141-Data_Entry!Q141)/Data_Entry!O141</f>
        <v>2.9687499999999999E-2</v>
      </c>
      <c r="AH152" s="79" t="str">
        <f t="shared" si="4"/>
        <v>CAT1</v>
      </c>
      <c r="AI152" s="51">
        <f>SUBTOTAL(3,Tableau1[[#This Row],[ZS]])</f>
        <v>1</v>
      </c>
      <c r="AJ152" s="51" t="e">
        <f t="shared" ca="1" si="5"/>
        <v>#NAME?</v>
      </c>
      <c r="AK152" s="50" t="str">
        <f>IFERROR(IF((Data_Entry!O141-Data_Entry!Q141)/Data_Entry!O141&lt;=10%,"&lt;=10%","&gt;10%"),"&lt;=10%")</f>
        <v>&lt;=10%</v>
      </c>
    </row>
    <row r="153" spans="1:37" s="48" customFormat="1" ht="13" x14ac:dyDescent="0.3">
      <c r="A153" s="31" t="s">
        <v>16</v>
      </c>
      <c r="B153" s="48" t="str">
        <f>Data_Entry!B142</f>
        <v>Goma</v>
      </c>
      <c r="C153" s="48" t="str">
        <f>Data_Entry!C142</f>
        <v xml:space="preserve"> Itebero</v>
      </c>
      <c r="D153" s="48" t="str">
        <f>Data_Entry!D142</f>
        <v xml:space="preserve"> Hombo</v>
      </c>
      <c r="E153" s="49">
        <f>IFERROR(IF(Data_Entry!J142/Data_Entry!$I142&lt;0,0,Data_Entry!J142/Data_Entry!$I142),0)</f>
        <v>0.89619295341688343</v>
      </c>
      <c r="F153" s="49">
        <f>IFERROR(IF(Data_Entry!K142/Data_Entry!$H142&lt;0,0,Data_Entry!K142/Data_Entry!$H142),0)</f>
        <v>0.65044131765860103</v>
      </c>
      <c r="G153" s="49">
        <f>IFERROR(IF(Data_Entry!L142/Data_Entry!$H142&lt;0,0,Data_Entry!L142/Data_Entry!$H142),0)</f>
        <v>0.72632613805210455</v>
      </c>
      <c r="H153" s="49">
        <f>IFERROR(IF(Data_Entry!M142/Data_Entry!$H142&lt;0,0,Data_Entry!M142/Data_Entry!$H142),0)</f>
        <v>0.66670235060006611</v>
      </c>
      <c r="I153" s="49">
        <f>IFERROR(IF(Data_Entry!N142/Data_Entry!$H142&lt;0,0,Data_Entry!N142/Data_Entry!$H142),0)</f>
        <v>0.70735493295372864</v>
      </c>
      <c r="J153" s="49">
        <f>IFERROR(IF(Data_Entry!O142/Data_Entry!$H142&lt;0,0,Data_Entry!O142/Data_Entry!$H142),0)</f>
        <v>0.92145853334968486</v>
      </c>
      <c r="K153" s="49">
        <f>IFERROR(IF(Data_Entry!P142/Data_Entry!$H142&lt;0,0,Data_Entry!P142/Data_Entry!$H142),0)</f>
        <v>0.84286354079927051</v>
      </c>
      <c r="L153" s="49">
        <f>IFERROR(IF(Data_Entry!Q142/Data_Entry!$H142&lt;0,0,Data_Entry!Q142/Data_Entry!$H142),0)</f>
        <v>0.89706698393748729</v>
      </c>
      <c r="M153" s="49">
        <f>IFERROR(IF(Data_Entry!R142/Data_Entry!$H142&lt;0,0,Data_Entry!R142/Data_Entry!$H142),0)</f>
        <v>0.91874836119277403</v>
      </c>
      <c r="N153" s="49">
        <f>IFERROR(IF(Data_Entry!S142/Data_Entry!$H142&lt;0,0,Data_Entry!S142/Data_Entry!$H142),0)</f>
        <v>0.80763130275942963</v>
      </c>
      <c r="O153" s="49">
        <f>IFERROR(IF(Data_Entry!T142/Data_Entry!$H142&lt;0,0,Data_Entry!T142/Data_Entry!$H142),0)</f>
        <v>0.89706698393748729</v>
      </c>
      <c r="P153" s="49">
        <f>IFERROR(IF(Data_Entry!U142/Data_Entry!$H142&lt;0,0,Data_Entry!U142/Data_Entry!$H142),0)</f>
        <v>0.91874836119277403</v>
      </c>
      <c r="Q153" s="49">
        <f>IFERROR(IF(Data_Entry!V142/Data_Entry!$H142&lt;0,0,Data_Entry!V142/Data_Entry!$H142),0)</f>
        <v>0.84286354079927051</v>
      </c>
      <c r="R153" s="49">
        <f>IFERROR(IF(Data_Entry!W142/Data_Entry!$H142&lt;0,0,Data_Entry!W142/Data_Entry!$H142),0)</f>
        <v>0.89706698393748729</v>
      </c>
      <c r="S153" s="49">
        <f>IFERROR(IF(Data_Entry!X142/Data_Entry!$H142&lt;0,0,Data_Entry!X142/Data_Entry!$H142),0)</f>
        <v>0.90519750040821978</v>
      </c>
      <c r="T153" s="49">
        <f>IFERROR(IF(Data_Entry!Y142/Data_Entry!$H142&lt;0,0,Data_Entry!Y142/Data_Entry!$H142),0)</f>
        <v>0.6206294239325818</v>
      </c>
      <c r="U153" s="49">
        <f>IFERROR(IF(Data_Entry!Z142/Data_Entry!$H142&lt;0,0,Data_Entry!Z142/Data_Entry!$H142),0)</f>
        <v>0.75613803177812366</v>
      </c>
      <c r="V153" s="49">
        <f>IFERROR(IF(Data_Entry!AA142/Data_Entry!$H142&lt;0,0,Data_Entry!AA142/Data_Entry!$H142),0)</f>
        <v>0.70735493295372864</v>
      </c>
      <c r="W153" s="49">
        <f>IFERROR(IF(Data_Entry!AB142/Data_Entry!$H142&lt;0,0,Data_Entry!AB142/Data_Entry!$H142),0)</f>
        <v>0.66399217844315528</v>
      </c>
      <c r="X153" s="49">
        <f>IFERROR(IF(Data_Entry!AC142/Data_Entry!$I142&lt;0,0,Data_Entry!AC142/Data_Entry!$I142),0)</f>
        <v>0.31685977772523055</v>
      </c>
      <c r="Y153" s="49">
        <f>IFERROR(IF(Data_Entry!AD142/Data_Entry!$I142&lt;0,0,Data_Entry!AD142/Data_Entry!$I142),0)</f>
        <v>0.18444076613856705</v>
      </c>
      <c r="Z153" s="49">
        <f>IFERROR(IF(Data_Entry!AE142/Data_Entry!$I142&lt;0,0,Data_Entry!AE142/Data_Entry!$I142),0)</f>
        <v>3.0740127689761174E-2</v>
      </c>
      <c r="AA153" s="49">
        <f>IFERROR(IF(Data_Entry!AF142/Data_Entry!$I142&lt;0,0,Data_Entry!AF142/Data_Entry!$I142),0)</f>
        <v>9.4585008276188223E-3</v>
      </c>
      <c r="AB153" s="49">
        <f>IFERROR(IF(Data_Entry!AG142/Data_Entry!$I142&lt;0,0,Data_Entry!AG142/Data_Entry!$I142),0)</f>
        <v>0</v>
      </c>
      <c r="AC153" s="49">
        <f>IFERROR(IF(Data_Entry!AI142/Data_Entry!$I142&lt;0,0,Data_Entry!AI142/Data_Entry!$I142),0)</f>
        <v>9.8604871127926236E-2</v>
      </c>
      <c r="AD153" s="49">
        <f>IFERROR(IF(Data_Entry!AM142/Data_Entry!$H142&lt;0,0,Data_Entry!AM142/Data_Entry!$H142),0)</f>
        <v>0.75613803177812366</v>
      </c>
      <c r="AE153" s="50">
        <f>Data_Entry!AK142</f>
        <v>28.980249999999955</v>
      </c>
      <c r="AF153" s="50">
        <f>Data_Entry!AL142</f>
        <v>6</v>
      </c>
      <c r="AG153" s="153">
        <f>(Data_Entry!O142-Data_Entry!Q142)/Data_Entry!O142</f>
        <v>2.6470588235294117E-2</v>
      </c>
      <c r="AH153" s="79" t="str">
        <f t="shared" si="4"/>
        <v>CAT1</v>
      </c>
      <c r="AI153" s="51">
        <f>SUBTOTAL(3,Tableau1[[#This Row],[ZS]])</f>
        <v>1</v>
      </c>
      <c r="AJ153" s="51" t="e">
        <f t="shared" ca="1" si="5"/>
        <v>#NAME?</v>
      </c>
      <c r="AK153" s="50" t="str">
        <f>IFERROR(IF((Data_Entry!O142-Data_Entry!Q142)/Data_Entry!O142&lt;=10%,"&lt;=10%","&gt;10%"),"&lt;=10%")</f>
        <v>&lt;=10%</v>
      </c>
    </row>
    <row r="154" spans="1:37" s="48" customFormat="1" ht="13" x14ac:dyDescent="0.3">
      <c r="A154" s="31" t="s">
        <v>16</v>
      </c>
      <c r="B154" s="48" t="str">
        <f>Data_Entry!B143</f>
        <v>Goma</v>
      </c>
      <c r="C154" s="48" t="str">
        <f>Data_Entry!C143</f>
        <v xml:space="preserve"> Itebero</v>
      </c>
      <c r="D154" s="48" t="str">
        <f>Data_Entry!D143</f>
        <v xml:space="preserve"> Ibanga</v>
      </c>
      <c r="E154" s="49">
        <f>IFERROR(IF(Data_Entry!J143/Data_Entry!$I143&lt;0,0,Data_Entry!J143/Data_Entry!$I143),0)</f>
        <v>0.43030869971936392</v>
      </c>
      <c r="F154" s="49">
        <f>IFERROR(IF(Data_Entry!K143/Data_Entry!$H143&lt;0,0,Data_Entry!K143/Data_Entry!$H143),0)</f>
        <v>0.45030435749877368</v>
      </c>
      <c r="G154" s="49">
        <f>IFERROR(IF(Data_Entry!L143/Data_Entry!$H143&lt;0,0,Data_Entry!L143/Data_Entry!$H143),0)</f>
        <v>0.80947569026565269</v>
      </c>
      <c r="H154" s="49">
        <f>IFERROR(IF(Data_Entry!M143/Data_Entry!$H143&lt;0,0,Data_Entry!M143/Data_Entry!$H143),0)</f>
        <v>0.81483645642635238</v>
      </c>
      <c r="I154" s="49">
        <f>IFERROR(IF(Data_Entry!N143/Data_Entry!$H143&lt;0,0,Data_Entry!N143/Data_Entry!$H143),0)</f>
        <v>0.96493790892594367</v>
      </c>
      <c r="J154" s="49">
        <f>IFERROR(IF(Data_Entry!O143/Data_Entry!$H143&lt;0,0,Data_Entry!O143/Data_Entry!$H143),0)</f>
        <v>0.91133024731894674</v>
      </c>
      <c r="K154" s="49">
        <f>IFERROR(IF(Data_Entry!P143/Data_Entry!$H143&lt;0,0,Data_Entry!P143/Data_Entry!$H143),0)</f>
        <v>0.91669101347964643</v>
      </c>
      <c r="L154" s="49">
        <f>IFERROR(IF(Data_Entry!Q143/Data_Entry!$H143&lt;0,0,Data_Entry!Q143/Data_Entry!$H143),0)</f>
        <v>1.0560709336578384</v>
      </c>
      <c r="M154" s="49">
        <f>IFERROR(IF(Data_Entry!R143/Data_Entry!$H143&lt;0,0,Data_Entry!R143/Data_Entry!$H143),0)</f>
        <v>0.91133024731894674</v>
      </c>
      <c r="N154" s="49">
        <f>IFERROR(IF(Data_Entry!S143/Data_Entry!$H143&lt;0,0,Data_Entry!S143/Data_Entry!$H143),0)</f>
        <v>0.9381340781224452</v>
      </c>
      <c r="O154" s="49">
        <f>IFERROR(IF(Data_Entry!T143/Data_Entry!$H143&lt;0,0,Data_Entry!T143/Data_Entry!$H143),0)</f>
        <v>1.0667924659792376</v>
      </c>
      <c r="P154" s="49">
        <f>IFERROR(IF(Data_Entry!U143/Data_Entry!$H143&lt;0,0,Data_Entry!U143/Data_Entry!$H143),0)</f>
        <v>0.90596948115824705</v>
      </c>
      <c r="Q154" s="49">
        <f>IFERROR(IF(Data_Entry!V143/Data_Entry!$H143&lt;0,0,Data_Entry!V143/Data_Entry!$H143),0)</f>
        <v>0.9381340781224452</v>
      </c>
      <c r="R154" s="49">
        <f>IFERROR(IF(Data_Entry!W143/Data_Entry!$H143&lt;0,0,Data_Entry!W143/Data_Entry!$H143),0)</f>
        <v>1.0667924659792376</v>
      </c>
      <c r="S154" s="49">
        <f>IFERROR(IF(Data_Entry!X143/Data_Entry!$H143&lt;0,0,Data_Entry!X143/Data_Entry!$H143),0)</f>
        <v>1.0828747644613368</v>
      </c>
      <c r="T154" s="49">
        <f>IFERROR(IF(Data_Entry!Y143/Data_Entry!$H143&lt;0,0,Data_Entry!Y143/Data_Entry!$H143),0)</f>
        <v>0.64329193928396244</v>
      </c>
      <c r="U154" s="49">
        <f>IFERROR(IF(Data_Entry!Z143/Data_Entry!$H143&lt;0,0,Data_Entry!Z143/Data_Entry!$H143),0)</f>
        <v>1.0024632720508415</v>
      </c>
      <c r="V154" s="49">
        <f>IFERROR(IF(Data_Entry!AA143/Data_Entry!$H143&lt;0,0,Data_Entry!AA143/Data_Entry!$H143),0)</f>
        <v>0.96493790892594367</v>
      </c>
      <c r="W154" s="49">
        <f>IFERROR(IF(Data_Entry!AB143/Data_Entry!$H143&lt;0,0,Data_Entry!AB143/Data_Entry!$H143),0)</f>
        <v>0.6057665761590646</v>
      </c>
      <c r="X154" s="49">
        <f>IFERROR(IF(Data_Entry!AC143/Data_Entry!$I143&lt;0,0,Data_Entry!AC143/Data_Entry!$I143),0)</f>
        <v>0.65014031805425632</v>
      </c>
      <c r="Y154" s="49">
        <f>IFERROR(IF(Data_Entry!AD143/Data_Entry!$I143&lt;0,0,Data_Entry!AD143/Data_Entry!$I143),0)</f>
        <v>0.56127221702525731</v>
      </c>
      <c r="Z154" s="49">
        <f>IFERROR(IF(Data_Entry!AE143/Data_Entry!$I143&lt;0,0,Data_Entry!AE143/Data_Entry!$I143),0)</f>
        <v>0.36482694106641722</v>
      </c>
      <c r="AA154" s="49">
        <f>IFERROR(IF(Data_Entry!AF143/Data_Entry!$I143&lt;0,0,Data_Entry!AF143/Data_Entry!$I143),0)</f>
        <v>9.3545369504209556E-3</v>
      </c>
      <c r="AB154" s="49">
        <f>IFERROR(IF(Data_Entry!AG143/Data_Entry!$I143&lt;0,0,Data_Entry!AG143/Data_Entry!$I143),0)</f>
        <v>9.3545369504209556E-3</v>
      </c>
      <c r="AC154" s="49">
        <f>IFERROR(IF(Data_Entry!AI143/Data_Entry!$I143&lt;0,0,Data_Entry!AI143/Data_Entry!$I143),0)</f>
        <v>0.15575304022450889</v>
      </c>
      <c r="AD154" s="49">
        <f>IFERROR(IF(Data_Entry!AM143/Data_Entry!$H143&lt;0,0,Data_Entry!AM143/Data_Entry!$H143),0)</f>
        <v>1.0024632720508415</v>
      </c>
      <c r="AE154" s="50">
        <f>Data_Entry!AK143</f>
        <v>16.540500000000009</v>
      </c>
      <c r="AF154" s="50">
        <f>Data_Entry!AL143</f>
        <v>0</v>
      </c>
      <c r="AG154" s="153">
        <f>(Data_Entry!O143-Data_Entry!Q143)/Data_Entry!O143</f>
        <v>-0.1588235294117647</v>
      </c>
      <c r="AH154" s="79" t="str">
        <f t="shared" si="4"/>
        <v>CAT1</v>
      </c>
      <c r="AI154" s="51">
        <f>SUBTOTAL(3,Tableau1[[#This Row],[ZS]])</f>
        <v>1</v>
      </c>
      <c r="AJ154" s="51" t="e">
        <f t="shared" ca="1" si="5"/>
        <v>#NAME?</v>
      </c>
      <c r="AK154" s="50" t="str">
        <f>IFERROR(IF((Data_Entry!O143-Data_Entry!Q143)/Data_Entry!O143&lt;=10%,"&lt;=10%","&gt;10%"),"&lt;=10%")</f>
        <v>&lt;=10%</v>
      </c>
    </row>
    <row r="155" spans="1:37" s="48" customFormat="1" ht="13" x14ac:dyDescent="0.3">
      <c r="A155" s="31" t="s">
        <v>16</v>
      </c>
      <c r="B155" s="48" t="str">
        <f>Data_Entry!B144</f>
        <v>Goma</v>
      </c>
      <c r="C155" s="48" t="str">
        <f>Data_Entry!C144</f>
        <v xml:space="preserve"> Itebero</v>
      </c>
      <c r="D155" s="48" t="str">
        <f>Data_Entry!D144</f>
        <v xml:space="preserve"> Idipo</v>
      </c>
      <c r="E155" s="49">
        <f>IFERROR(IF(Data_Entry!J144/Data_Entry!$I144&lt;0,0,Data_Entry!J144/Data_Entry!$I144),0)</f>
        <v>0.54955649826455855</v>
      </c>
      <c r="F155" s="49">
        <f>IFERROR(IF(Data_Entry!K144/Data_Entry!$H144&lt;0,0,Data_Entry!K144/Data_Entry!$H144),0)</f>
        <v>0.29835671750149456</v>
      </c>
      <c r="G155" s="49">
        <f>IFERROR(IF(Data_Entry!L144/Data_Entry!$H144&lt;0,0,Data_Entry!L144/Data_Entry!$H144),0)</f>
        <v>0.93485104817134956</v>
      </c>
      <c r="H155" s="49">
        <f>IFERROR(IF(Data_Entry!M144/Data_Entry!$H144&lt;0,0,Data_Entry!M144/Data_Entry!$H144),0)</f>
        <v>0.51715164366925725</v>
      </c>
      <c r="I155" s="49">
        <f>IFERROR(IF(Data_Entry!N144/Data_Entry!$H144&lt;0,0,Data_Entry!N144/Data_Entry!$H144),0)</f>
        <v>0.84202895828199575</v>
      </c>
      <c r="J155" s="49">
        <f>IFERROR(IF(Data_Entry!O144/Data_Entry!$H144&lt;0,0,Data_Entry!O144/Data_Entry!$H144),0)</f>
        <v>0.76246716694826389</v>
      </c>
      <c r="K155" s="49">
        <f>IFERROR(IF(Data_Entry!P144/Data_Entry!$H144&lt;0,0,Data_Entry!P144/Data_Entry!$H144),0)</f>
        <v>0.48400089728020229</v>
      </c>
      <c r="L155" s="49">
        <f>IFERROR(IF(Data_Entry!Q144/Data_Entry!$H144&lt;0,0,Data_Entry!Q144/Data_Entry!$H144),0)</f>
        <v>0.87517970467105066</v>
      </c>
      <c r="M155" s="49">
        <f>IFERROR(IF(Data_Entry!R144/Data_Entry!$H144&lt;0,0,Data_Entry!R144/Data_Entry!$H144),0)</f>
        <v>0.74257671911483092</v>
      </c>
      <c r="N155" s="49">
        <f>IFERROR(IF(Data_Entry!S144/Data_Entry!$H144&lt;0,0,Data_Entry!S144/Data_Entry!$H144),0)</f>
        <v>0.51052149439144623</v>
      </c>
      <c r="O155" s="49">
        <f>IFERROR(IF(Data_Entry!T144/Data_Entry!$H144&lt;0,0,Data_Entry!T144/Data_Entry!$H144),0)</f>
        <v>0.8287686597263737</v>
      </c>
      <c r="P155" s="49">
        <f>IFERROR(IF(Data_Entry!U144/Data_Entry!$H144&lt;0,0,Data_Entry!U144/Data_Entry!$H144),0)</f>
        <v>0.70279582344796498</v>
      </c>
      <c r="Q155" s="49">
        <f>IFERROR(IF(Data_Entry!V144/Data_Entry!$H144&lt;0,0,Data_Entry!V144/Data_Entry!$H144),0)</f>
        <v>0.4574803001689583</v>
      </c>
      <c r="R155" s="49">
        <f>IFERROR(IF(Data_Entry!W144/Data_Entry!$H144&lt;0,0,Data_Entry!W144/Data_Entry!$H144),0)</f>
        <v>0.75583701767045286</v>
      </c>
      <c r="S155" s="49">
        <f>IFERROR(IF(Data_Entry!X144/Data_Entry!$H144&lt;0,0,Data_Entry!X144/Data_Entry!$H144),0)</f>
        <v>0.71605612200358693</v>
      </c>
      <c r="T155" s="49">
        <f>IFERROR(IF(Data_Entry!Y144/Data_Entry!$H144&lt;0,0,Data_Entry!Y144/Data_Entry!$H144),0)</f>
        <v>0.1259728362784088</v>
      </c>
      <c r="U155" s="49">
        <f>IFERROR(IF(Data_Entry!Z144/Data_Entry!$H144&lt;0,0,Data_Entry!Z144/Data_Entry!$H144),0)</f>
        <v>0.78235761478169685</v>
      </c>
      <c r="V155" s="49">
        <f>IFERROR(IF(Data_Entry!AA144/Data_Entry!$H144&lt;0,0,Data_Entry!AA144/Data_Entry!$H144),0)</f>
        <v>0.80224806261512982</v>
      </c>
      <c r="W155" s="49">
        <f>IFERROR(IF(Data_Entry!AB144/Data_Entry!$H144&lt;0,0,Data_Entry!AB144/Data_Entry!$H144),0)</f>
        <v>0.15912358266746376</v>
      </c>
      <c r="X155" s="49">
        <f>IFERROR(IF(Data_Entry!AC144/Data_Entry!$I144&lt;0,0,Data_Entry!AC144/Data_Entry!$I144),0)</f>
        <v>0.62475896644812967</v>
      </c>
      <c r="Y155" s="49">
        <f>IFERROR(IF(Data_Entry!AD144/Data_Entry!$I144&lt;0,0,Data_Entry!AD144/Data_Entry!$I144),0)</f>
        <v>0.4974932510605477</v>
      </c>
      <c r="Z155" s="49">
        <f>IFERROR(IF(Data_Entry!AE144/Data_Entry!$I144&lt;0,0,Data_Entry!AE144/Data_Entry!$I144),0)</f>
        <v>0</v>
      </c>
      <c r="AA155" s="49">
        <f>IFERROR(IF(Data_Entry!AF144/Data_Entry!$I144&lt;0,0,Data_Entry!AF144/Data_Entry!$I144),0)</f>
        <v>0</v>
      </c>
      <c r="AB155" s="49">
        <f>IFERROR(IF(Data_Entry!AG144/Data_Entry!$I144&lt;0,0,Data_Entry!AG144/Data_Entry!$I144),0)</f>
        <v>0</v>
      </c>
      <c r="AC155" s="49">
        <f>IFERROR(IF(Data_Entry!AI144/Data_Entry!$I144&lt;0,0,Data_Entry!AI144/Data_Entry!$I144),0)</f>
        <v>0.24122637871191674</v>
      </c>
      <c r="AD155" s="49">
        <f>IFERROR(IF(Data_Entry!AM144/Data_Entry!$H144&lt;0,0,Data_Entry!AM144/Data_Entry!$H144),0)</f>
        <v>0.71605612200358693</v>
      </c>
      <c r="AE155" s="50">
        <f>Data_Entry!AK144</f>
        <v>35.826166666666666</v>
      </c>
      <c r="AF155" s="50">
        <f>Data_Entry!AL144</f>
        <v>7</v>
      </c>
      <c r="AG155" s="153">
        <f>(Data_Entry!O144-Data_Entry!Q144)/Data_Entry!O144</f>
        <v>-0.14782608695652175</v>
      </c>
      <c r="AH155" s="79" t="str">
        <f t="shared" si="4"/>
        <v>CAT3</v>
      </c>
      <c r="AI155" s="51">
        <f>SUBTOTAL(3,Tableau1[[#This Row],[ZS]])</f>
        <v>1</v>
      </c>
      <c r="AJ155" s="51" t="e">
        <f t="shared" ca="1" si="5"/>
        <v>#NAME?</v>
      </c>
      <c r="AK155" s="50" t="str">
        <f>IFERROR(IF((Data_Entry!O144-Data_Entry!Q144)/Data_Entry!O144&lt;=10%,"&lt;=10%","&gt;10%"),"&lt;=10%")</f>
        <v>&lt;=10%</v>
      </c>
    </row>
    <row r="156" spans="1:37" s="48" customFormat="1" ht="13" x14ac:dyDescent="0.3">
      <c r="A156" s="31" t="s">
        <v>16</v>
      </c>
      <c r="B156" s="48" t="str">
        <f>Data_Entry!B145</f>
        <v>Goma</v>
      </c>
      <c r="C156" s="48" t="str">
        <f>Data_Entry!C145</f>
        <v xml:space="preserve"> Itebero</v>
      </c>
      <c r="D156" s="48" t="str">
        <f>Data_Entry!D145</f>
        <v xml:space="preserve"> Isangi</v>
      </c>
      <c r="E156" s="49">
        <f>IFERROR(IF(Data_Entry!J145/Data_Entry!$I145&lt;0,0,Data_Entry!J145/Data_Entry!$I145),0)</f>
        <v>0.91801385681293313</v>
      </c>
      <c r="F156" s="49">
        <f>IFERROR(IF(Data_Entry!K145/Data_Entry!$H145&lt;0,0,Data_Entry!K145/Data_Entry!$H145),0)</f>
        <v>5.2939113402198298E-2</v>
      </c>
      <c r="G156" s="49">
        <f>IFERROR(IF(Data_Entry!L145/Data_Entry!$H145&lt;0,0,Data_Entry!L145/Data_Entry!$H145),0)</f>
        <v>1.1183387706214392</v>
      </c>
      <c r="H156" s="49">
        <f>IFERROR(IF(Data_Entry!M145/Data_Entry!$H145&lt;0,0,Data_Entry!M145/Data_Entry!$H145),0)</f>
        <v>1.1183387706214392</v>
      </c>
      <c r="I156" s="49">
        <f>IFERROR(IF(Data_Entry!N145/Data_Entry!$H145&lt;0,0,Data_Entry!N145/Data_Entry!$H145),0)</f>
        <v>1.1315735489719887</v>
      </c>
      <c r="J156" s="49">
        <f>IFERROR(IF(Data_Entry!O145/Data_Entry!$H145&lt;0,0,Data_Entry!O145/Data_Entry!$H145),0)</f>
        <v>1.1183387706214392</v>
      </c>
      <c r="K156" s="49">
        <f>IFERROR(IF(Data_Entry!P145/Data_Entry!$H145&lt;0,0,Data_Entry!P145/Data_Entry!$H145),0)</f>
        <v>1.1117213814461644</v>
      </c>
      <c r="L156" s="49">
        <f>IFERROR(IF(Data_Entry!Q145/Data_Entry!$H145&lt;0,0,Data_Entry!Q145/Data_Entry!$H145),0)</f>
        <v>1.1249561597967139</v>
      </c>
      <c r="M156" s="49">
        <f>IFERROR(IF(Data_Entry!R145/Data_Entry!$H145&lt;0,0,Data_Entry!R145/Data_Entry!$H145),0)</f>
        <v>1.1183387706214392</v>
      </c>
      <c r="N156" s="49">
        <f>IFERROR(IF(Data_Entry!S145/Data_Entry!$H145&lt;0,0,Data_Entry!S145/Data_Entry!$H145),0)</f>
        <v>1.1183387706214392</v>
      </c>
      <c r="O156" s="49">
        <f>IFERROR(IF(Data_Entry!T145/Data_Entry!$H145&lt;0,0,Data_Entry!T145/Data_Entry!$H145),0)</f>
        <v>1.1249561597967139</v>
      </c>
      <c r="P156" s="49">
        <f>IFERROR(IF(Data_Entry!U145/Data_Entry!$H145&lt;0,0,Data_Entry!U145/Data_Entry!$H145),0)</f>
        <v>1.1183387706214392</v>
      </c>
      <c r="Q156" s="49">
        <f>IFERROR(IF(Data_Entry!V145/Data_Entry!$H145&lt;0,0,Data_Entry!V145/Data_Entry!$H145),0)</f>
        <v>1.1183387706214392</v>
      </c>
      <c r="R156" s="49">
        <f>IFERROR(IF(Data_Entry!W145/Data_Entry!$H145&lt;0,0,Data_Entry!W145/Data_Entry!$H145),0)</f>
        <v>1.1249561597967139</v>
      </c>
      <c r="S156" s="49">
        <f>IFERROR(IF(Data_Entry!X145/Data_Entry!$H145&lt;0,0,Data_Entry!X145/Data_Entry!$H145),0)</f>
        <v>0.95952143041484417</v>
      </c>
      <c r="T156" s="49">
        <f>IFERROR(IF(Data_Entry!Y145/Data_Entry!$H145&lt;0,0,Data_Entry!Y145/Data_Entry!$H145),0)</f>
        <v>0.72129542010495185</v>
      </c>
      <c r="U156" s="49">
        <f>IFERROR(IF(Data_Entry!Z145/Data_Entry!$H145&lt;0,0,Data_Entry!Z145/Data_Entry!$H145),0)</f>
        <v>1.0720170463945156</v>
      </c>
      <c r="V156" s="49">
        <f>IFERROR(IF(Data_Entry!AA145/Data_Entry!$H145&lt;0,0,Data_Entry!AA145/Data_Entry!$H145),0)</f>
        <v>1.1249561597967139</v>
      </c>
      <c r="W156" s="49">
        <f>IFERROR(IF(Data_Entry!AB145/Data_Entry!$H145&lt;0,0,Data_Entry!AB145/Data_Entry!$H145),0)</f>
        <v>1.0389301005181417</v>
      </c>
      <c r="X156" s="49">
        <f>IFERROR(IF(Data_Entry!AC145/Data_Entry!$I145&lt;0,0,Data_Entry!AC145/Data_Entry!$I145),0)</f>
        <v>0.94110854503464214</v>
      </c>
      <c r="Y156" s="49">
        <f>IFERROR(IF(Data_Entry!AD145/Data_Entry!$I145&lt;0,0,Data_Entry!AD145/Data_Entry!$I145),0)</f>
        <v>0.89491916859122411</v>
      </c>
      <c r="Z156" s="49">
        <f>IFERROR(IF(Data_Entry!AE145/Data_Entry!$I145&lt;0,0,Data_Entry!AE145/Data_Entry!$I145),0)</f>
        <v>0.23094688221709009</v>
      </c>
      <c r="AA156" s="49">
        <f>IFERROR(IF(Data_Entry!AF145/Data_Entry!$I145&lt;0,0,Data_Entry!AF145/Data_Entry!$I145),0)</f>
        <v>0</v>
      </c>
      <c r="AB156" s="49">
        <f>IFERROR(IF(Data_Entry!AG145/Data_Entry!$I145&lt;0,0,Data_Entry!AG145/Data_Entry!$I145),0)</f>
        <v>0</v>
      </c>
      <c r="AC156" s="49">
        <f>IFERROR(IF(Data_Entry!AI145/Data_Entry!$I145&lt;0,0,Data_Entry!AI145/Data_Entry!$I145),0)</f>
        <v>0.19226327944572749</v>
      </c>
      <c r="AD156" s="49">
        <f>IFERROR(IF(Data_Entry!AM145/Data_Entry!$H145&lt;0,0,Data_Entry!AM145/Data_Entry!$H145),0)</f>
        <v>0.95952143041484417</v>
      </c>
      <c r="AE156" s="50">
        <f>Data_Entry!AK145</f>
        <v>0</v>
      </c>
      <c r="AF156" s="50">
        <f>Data_Entry!AL145</f>
        <v>24</v>
      </c>
      <c r="AG156" s="153">
        <f>(Data_Entry!O145-Data_Entry!Q145)/Data_Entry!O145</f>
        <v>-5.9171597633136093E-3</v>
      </c>
      <c r="AH156" s="79" t="str">
        <f t="shared" si="4"/>
        <v>CAT1</v>
      </c>
      <c r="AI156" s="51">
        <f>SUBTOTAL(3,Tableau1[[#This Row],[ZS]])</f>
        <v>1</v>
      </c>
      <c r="AJ156" s="51" t="e">
        <f t="shared" ca="1" si="5"/>
        <v>#NAME?</v>
      </c>
      <c r="AK156" s="50" t="str">
        <f>IFERROR(IF((Data_Entry!O145-Data_Entry!Q145)/Data_Entry!O145&lt;=10%,"&lt;=10%","&gt;10%"),"&lt;=10%")</f>
        <v>&lt;=10%</v>
      </c>
    </row>
    <row r="157" spans="1:37" s="48" customFormat="1" ht="13" x14ac:dyDescent="0.3">
      <c r="A157" s="31" t="s">
        <v>16</v>
      </c>
      <c r="B157" s="48" t="str">
        <f>Data_Entry!B146</f>
        <v>Goma</v>
      </c>
      <c r="C157" s="48" t="str">
        <f>Data_Entry!C146</f>
        <v xml:space="preserve"> Itebero</v>
      </c>
      <c r="D157" s="48" t="str">
        <f>Data_Entry!D146</f>
        <v xml:space="preserve"> Itebero</v>
      </c>
      <c r="E157" s="49">
        <f>IFERROR(IF(Data_Entry!J146/Data_Entry!$I146&lt;0,0,Data_Entry!J146/Data_Entry!$I146),0)</f>
        <v>0.91731266149870805</v>
      </c>
      <c r="F157" s="49">
        <f>IFERROR(IF(Data_Entry!K146/Data_Entry!$H146&lt;0,0,Data_Entry!K146/Data_Entry!$H146),0)</f>
        <v>0.80555000259138321</v>
      </c>
      <c r="G157" s="49">
        <f>IFERROR(IF(Data_Entry!L146/Data_Entry!$H146&lt;0,0,Data_Entry!L146/Data_Entry!$H146),0)</f>
        <v>1.320865077778518</v>
      </c>
      <c r="H157" s="49">
        <f>IFERROR(IF(Data_Entry!M146/Data_Entry!$H146&lt;0,0,Data_Entry!M146/Data_Entry!$H146),0)</f>
        <v>1.4452514752374817</v>
      </c>
      <c r="I157" s="49">
        <f>IFERROR(IF(Data_Entry!N146/Data_Entry!$H146&lt;0,0,Data_Entry!N146/Data_Entry!$H146),0)</f>
        <v>1.4600593796968822</v>
      </c>
      <c r="J157" s="49">
        <f>IFERROR(IF(Data_Entry!O146/Data_Entry!$H146&lt;0,0,Data_Entry!O146/Data_Entry!$H146),0)</f>
        <v>1.3090187542109977</v>
      </c>
      <c r="K157" s="49">
        <f>IFERROR(IF(Data_Entry!P146/Data_Entry!$H146&lt;0,0,Data_Entry!P146/Data_Entry!$H146),0)</f>
        <v>1.3712119529404796</v>
      </c>
      <c r="L157" s="49">
        <f>IFERROR(IF(Data_Entry!Q146/Data_Entry!$H146&lt;0,0,Data_Entry!Q146/Data_Entry!$H146),0)</f>
        <v>1.4689441223725224</v>
      </c>
      <c r="M157" s="49">
        <f>IFERROR(IF(Data_Entry!R146/Data_Entry!$H146&lt;0,0,Data_Entry!R146/Data_Entry!$H146),0)</f>
        <v>1.3119803351028778</v>
      </c>
      <c r="N157" s="49">
        <f>IFERROR(IF(Data_Entry!S146/Data_Entry!$H146&lt;0,0,Data_Entry!S146/Data_Entry!$H146),0)</f>
        <v>1.3949046000755203</v>
      </c>
      <c r="O157" s="49">
        <f>IFERROR(IF(Data_Entry!T146/Data_Entry!$H146&lt;0,0,Data_Entry!T146/Data_Entry!$H146),0)</f>
        <v>1.4659825414806422</v>
      </c>
      <c r="P157" s="49">
        <f>IFERROR(IF(Data_Entry!U146/Data_Entry!$H146&lt;0,0,Data_Entry!U146/Data_Entry!$H146),0)</f>
        <v>1.3415961440216786</v>
      </c>
      <c r="Q157" s="49">
        <f>IFERROR(IF(Data_Entry!V146/Data_Entry!$H146&lt;0,0,Data_Entry!V146/Data_Entry!$H146),0)</f>
        <v>1.3919430191836402</v>
      </c>
      <c r="R157" s="49">
        <f>IFERROR(IF(Data_Entry!W146/Data_Entry!$H146&lt;0,0,Data_Entry!W146/Data_Entry!$H146),0)</f>
        <v>1.4511746370212417</v>
      </c>
      <c r="S157" s="49">
        <f>IFERROR(IF(Data_Entry!X146/Data_Entry!$H146&lt;0,0,Data_Entry!X146/Data_Entry!$H146),0)</f>
        <v>1.1520549669413531</v>
      </c>
      <c r="T157" s="49">
        <f>IFERROR(IF(Data_Entry!Y146/Data_Entry!$H146&lt;0,0,Data_Entry!Y146/Data_Entry!$H146),0)</f>
        <v>0.60120092105165734</v>
      </c>
      <c r="U157" s="49">
        <f>IFERROR(IF(Data_Entry!Z146/Data_Entry!$H146&lt;0,0,Data_Entry!Z146/Data_Entry!$H146),0)</f>
        <v>1.214248165670835</v>
      </c>
      <c r="V157" s="49">
        <f>IFERROR(IF(Data_Entry!AA146/Data_Entry!$H146&lt;0,0,Data_Entry!AA146/Data_Entry!$H146),0)</f>
        <v>1.2645950408327964</v>
      </c>
      <c r="W157" s="49">
        <f>IFERROR(IF(Data_Entry!AB146/Data_Entry!$H146&lt;0,0,Data_Entry!AB146/Data_Entry!$H146),0)</f>
        <v>0.53900772232217553</v>
      </c>
      <c r="X157" s="49">
        <f>IFERROR(IF(Data_Entry!AC146/Data_Entry!$I146&lt;0,0,Data_Entry!AC146/Data_Entry!$I146),0)</f>
        <v>1.2170542635658914</v>
      </c>
      <c r="Y157" s="49">
        <f>IFERROR(IF(Data_Entry!AD146/Data_Entry!$I146&lt;0,0,Data_Entry!AD146/Data_Entry!$I146),0)</f>
        <v>1.0413436692506459</v>
      </c>
      <c r="Z157" s="49">
        <f>IFERROR(IF(Data_Entry!AE146/Data_Entry!$I146&lt;0,0,Data_Entry!AE146/Data_Entry!$I146),0)</f>
        <v>0.76744186046511631</v>
      </c>
      <c r="AA157" s="49">
        <f>IFERROR(IF(Data_Entry!AF146/Data_Entry!$I146&lt;0,0,Data_Entry!AF146/Data_Entry!$I146),0)</f>
        <v>6.4599483204134361E-2</v>
      </c>
      <c r="AB157" s="49">
        <f>IFERROR(IF(Data_Entry!AG146/Data_Entry!$I146&lt;0,0,Data_Entry!AG146/Data_Entry!$I146),0)</f>
        <v>5.1679586563307491E-2</v>
      </c>
      <c r="AC157" s="49">
        <f>IFERROR(IF(Data_Entry!AI146/Data_Entry!$I146&lt;0,0,Data_Entry!AI146/Data_Entry!$I146),0)</f>
        <v>6.4599483204134361E-2</v>
      </c>
      <c r="AD157" s="49">
        <f>IFERROR(IF(Data_Entry!AM146/Data_Entry!$H146&lt;0,0,Data_Entry!AM146/Data_Entry!$H146),0)</f>
        <v>1.1520549669413531</v>
      </c>
      <c r="AE157" s="50">
        <f>Data_Entry!AK146</f>
        <v>0</v>
      </c>
      <c r="AF157" s="50">
        <f>Data_Entry!AL146</f>
        <v>53</v>
      </c>
      <c r="AG157" s="153">
        <f>(Data_Entry!O146-Data_Entry!Q146)/Data_Entry!O146</f>
        <v>-0.12217194570135746</v>
      </c>
      <c r="AH157" s="79" t="str">
        <f t="shared" si="4"/>
        <v>CAT1</v>
      </c>
      <c r="AI157" s="51">
        <f>SUBTOTAL(3,Tableau1[[#This Row],[ZS]])</f>
        <v>1</v>
      </c>
      <c r="AJ157" s="51" t="e">
        <f t="shared" ca="1" si="5"/>
        <v>#NAME?</v>
      </c>
      <c r="AK157" s="50" t="str">
        <f>IFERROR(IF((Data_Entry!O146-Data_Entry!Q146)/Data_Entry!O146&lt;=10%,"&lt;=10%","&gt;10%"),"&lt;=10%")</f>
        <v>&lt;=10%</v>
      </c>
    </row>
    <row r="158" spans="1:37" s="48" customFormat="1" ht="13" x14ac:dyDescent="0.3">
      <c r="A158" s="31" t="s">
        <v>16</v>
      </c>
      <c r="B158" s="48" t="str">
        <f>Data_Entry!B147</f>
        <v>Goma</v>
      </c>
      <c r="C158" s="48" t="str">
        <f>Data_Entry!C147</f>
        <v xml:space="preserve"> Itebero</v>
      </c>
      <c r="D158" s="48" t="str">
        <f>Data_Entry!D147</f>
        <v xml:space="preserve"> Kabamba</v>
      </c>
      <c r="E158" s="49">
        <f>IFERROR(IF(Data_Entry!J147/Data_Entry!$I147&lt;0,0,Data_Entry!J147/Data_Entry!$I147),0)</f>
        <v>0.58116834359513436</v>
      </c>
      <c r="F158" s="49">
        <f>IFERROR(IF(Data_Entry!K147/Data_Entry!$H147&lt;0,0,Data_Entry!K147/Data_Entry!$H147),0)</f>
        <v>0.17039652907433805</v>
      </c>
      <c r="G158" s="49">
        <f>IFERROR(IF(Data_Entry!L147/Data_Entry!$H147&lt;0,0,Data_Entry!L147/Data_Entry!$H147),0)</f>
        <v>0.90361795721239879</v>
      </c>
      <c r="H158" s="49">
        <f>IFERROR(IF(Data_Entry!M147/Data_Entry!$H147&lt;0,0,Data_Entry!M147/Data_Entry!$H147),0)</f>
        <v>0.8571461765557612</v>
      </c>
      <c r="I158" s="49">
        <f>IFERROR(IF(Data_Entry!N147/Data_Entry!$H147&lt;0,0,Data_Entry!N147/Data_Entry!$H147),0)</f>
        <v>0.84165558300354859</v>
      </c>
      <c r="J158" s="49">
        <f>IFERROR(IF(Data_Entry!O147/Data_Entry!$H147&lt;0,0,Data_Entry!O147/Data_Entry!$H147),0)</f>
        <v>0.90361795721239879</v>
      </c>
      <c r="K158" s="49">
        <f>IFERROR(IF(Data_Entry!P147/Data_Entry!$H147&lt;0,0,Data_Entry!P147/Data_Entry!$H147),0)</f>
        <v>1.0430332991823117</v>
      </c>
      <c r="L158" s="49">
        <f>IFERROR(IF(Data_Entry!Q147/Data_Entry!$H147&lt;0,0,Data_Entry!Q147/Data_Entry!$H147),0)</f>
        <v>0.84165558300354859</v>
      </c>
      <c r="M158" s="49">
        <f>IFERROR(IF(Data_Entry!R147/Data_Entry!$H147&lt;0,0,Data_Entry!R147/Data_Entry!$H147),0)</f>
        <v>0.90361795721239879</v>
      </c>
      <c r="N158" s="49">
        <f>IFERROR(IF(Data_Entry!S147/Data_Entry!$H147&lt;0,0,Data_Entry!S147/Data_Entry!$H147),0)</f>
        <v>0.8571461765557612</v>
      </c>
      <c r="O158" s="49">
        <f>IFERROR(IF(Data_Entry!T147/Data_Entry!$H147&lt;0,0,Data_Entry!T147/Data_Entry!$H147),0)</f>
        <v>0.85198264537169033</v>
      </c>
      <c r="P158" s="49">
        <f>IFERROR(IF(Data_Entry!U147/Data_Entry!$H147&lt;0,0,Data_Entry!U147/Data_Entry!$H147),0)</f>
        <v>0.795183802346911</v>
      </c>
      <c r="Q158" s="49">
        <f>IFERROR(IF(Data_Entry!V147/Data_Entry!$H147&lt;0,0,Data_Entry!V147/Data_Entry!$H147),0)</f>
        <v>0.75387555287434416</v>
      </c>
      <c r="R158" s="49">
        <f>IFERROR(IF(Data_Entry!W147/Data_Entry!$H147&lt;0,0,Data_Entry!W147/Data_Entry!$H147),0)</f>
        <v>0.80034733353098175</v>
      </c>
      <c r="S158" s="49">
        <f>IFERROR(IF(Data_Entry!X147/Data_Entry!$H147&lt;0,0,Data_Entry!X147/Data_Entry!$H147),0)</f>
        <v>0.84165558300354859</v>
      </c>
      <c r="T158" s="49">
        <f>IFERROR(IF(Data_Entry!Y147/Data_Entry!$H147&lt;0,0,Data_Entry!Y147/Data_Entry!$H147),0)</f>
        <v>0.59896961735221865</v>
      </c>
      <c r="U158" s="49">
        <f>IFERROR(IF(Data_Entry!Z147/Data_Entry!$H147&lt;0,0,Data_Entry!Z147/Data_Entry!$H147),0)</f>
        <v>0.84165558300354859</v>
      </c>
      <c r="V158" s="49">
        <f>IFERROR(IF(Data_Entry!AA147/Data_Entry!$H147&lt;0,0,Data_Entry!AA147/Data_Entry!$H147),0)</f>
        <v>0.88296383247611543</v>
      </c>
      <c r="W158" s="49">
        <f>IFERROR(IF(Data_Entry!AB147/Data_Entry!$H147&lt;0,0,Data_Entry!AB147/Data_Entry!$H147),0)</f>
        <v>0.74871202169027329</v>
      </c>
      <c r="X158" s="49">
        <f>IFERROR(IF(Data_Entry!AC147/Data_Entry!$I147&lt;0,0,Data_Entry!AC147/Data_Entry!$I147),0)</f>
        <v>0.69379786754767969</v>
      </c>
      <c r="Y158" s="49">
        <f>IFERROR(IF(Data_Entry!AD147/Data_Entry!$I147&lt;0,0,Data_Entry!AD147/Data_Entry!$I147),0)</f>
        <v>0.63072533413425436</v>
      </c>
      <c r="Z158" s="49">
        <f>IFERROR(IF(Data_Entry!AE147/Data_Entry!$I147&lt;0,0,Data_Entry!AE147/Data_Entry!$I147),0)</f>
        <v>0</v>
      </c>
      <c r="AA158" s="49">
        <f>IFERROR(IF(Data_Entry!AF147/Data_Entry!$I147&lt;0,0,Data_Entry!AF147/Data_Entry!$I147),0)</f>
        <v>0</v>
      </c>
      <c r="AB158" s="49">
        <f>IFERROR(IF(Data_Entry!AG147/Data_Entry!$I147&lt;0,0,Data_Entry!AG147/Data_Entry!$I147),0)</f>
        <v>0</v>
      </c>
      <c r="AC158" s="49">
        <f>IFERROR(IF(Data_Entry!AI147/Data_Entry!$I147&lt;0,0,Data_Entry!AI147/Data_Entry!$I147),0)</f>
        <v>0.15002252590479048</v>
      </c>
      <c r="AD158" s="49">
        <f>IFERROR(IF(Data_Entry!AM147/Data_Entry!$H147&lt;0,0,Data_Entry!AM147/Data_Entry!$H147),0)</f>
        <v>0.84165558300354859</v>
      </c>
      <c r="AE158" s="50">
        <f>Data_Entry!AK147</f>
        <v>18.665916666666675</v>
      </c>
      <c r="AF158" s="50">
        <f>Data_Entry!AL147</f>
        <v>12</v>
      </c>
      <c r="AG158" s="153">
        <f>(Data_Entry!O147-Data_Entry!Q147)/Data_Entry!O147</f>
        <v>6.8571428571428575E-2</v>
      </c>
      <c r="AH158" s="79" t="str">
        <f t="shared" si="4"/>
        <v>CAT1</v>
      </c>
      <c r="AI158" s="51">
        <f>SUBTOTAL(3,Tableau1[[#This Row],[ZS]])</f>
        <v>1</v>
      </c>
      <c r="AJ158" s="51" t="e">
        <f t="shared" ca="1" si="5"/>
        <v>#NAME?</v>
      </c>
      <c r="AK158" s="50" t="str">
        <f>IFERROR(IF((Data_Entry!O147-Data_Entry!Q147)/Data_Entry!O147&lt;=10%,"&lt;=10%","&gt;10%"),"&lt;=10%")</f>
        <v>&lt;=10%</v>
      </c>
    </row>
    <row r="159" spans="1:37" s="48" customFormat="1" ht="13" x14ac:dyDescent="0.3">
      <c r="A159" s="31" t="s">
        <v>16</v>
      </c>
      <c r="B159" s="48" t="str">
        <f>Data_Entry!B148</f>
        <v>Goma</v>
      </c>
      <c r="C159" s="48" t="str">
        <f>Data_Entry!C148</f>
        <v xml:space="preserve"> Itebero</v>
      </c>
      <c r="D159" s="48" t="str">
        <f>Data_Entry!D148</f>
        <v xml:space="preserve"> Karete</v>
      </c>
      <c r="E159" s="49">
        <f>IFERROR(IF(Data_Entry!J148/Data_Entry!$I148&lt;0,0,Data_Entry!J148/Data_Entry!$I148),0)</f>
        <v>0.86367485182049109</v>
      </c>
      <c r="F159" s="49">
        <f>IFERROR(IF(Data_Entry!K148/Data_Entry!$H148&lt;0,0,Data_Entry!K148/Data_Entry!$H148),0)</f>
        <v>0.81935877204322904</v>
      </c>
      <c r="G159" s="49">
        <f>IFERROR(IF(Data_Entry!L148/Data_Entry!$H148&lt;0,0,Data_Entry!L148/Data_Entry!$H148),0)</f>
        <v>0.98988521698623611</v>
      </c>
      <c r="H159" s="49">
        <f>IFERROR(IF(Data_Entry!M148/Data_Entry!$H148&lt;0,0,Data_Entry!M148/Data_Entry!$H148),0)</f>
        <v>0.9774076722343088</v>
      </c>
      <c r="I159" s="49">
        <f>IFERROR(IF(Data_Entry!N148/Data_Entry!$H148&lt;0,0,Data_Entry!N148/Data_Entry!$H148),0)</f>
        <v>0.9774076722343088</v>
      </c>
      <c r="J159" s="49">
        <f>IFERROR(IF(Data_Entry!O148/Data_Entry!$H148&lt;0,0,Data_Entry!O148/Data_Entry!$H148),0)</f>
        <v>0.98988521698623611</v>
      </c>
      <c r="K159" s="49">
        <f>IFERROR(IF(Data_Entry!P148/Data_Entry!$H148&lt;0,0,Data_Entry!P148/Data_Entry!$H148),0)</f>
        <v>0.98156685381828457</v>
      </c>
      <c r="L159" s="49">
        <f>IFERROR(IF(Data_Entry!Q148/Data_Entry!$H148&lt;0,0,Data_Entry!Q148/Data_Entry!$H148),0)</f>
        <v>1.6096032729986276</v>
      </c>
      <c r="M159" s="49">
        <f>IFERROR(IF(Data_Entry!R148/Data_Entry!$H148&lt;0,0,Data_Entry!R148/Data_Entry!$H148),0)</f>
        <v>0.98988521698623611</v>
      </c>
      <c r="N159" s="49">
        <f>IFERROR(IF(Data_Entry!S148/Data_Entry!$H148&lt;0,0,Data_Entry!S148/Data_Entry!$H148),0)</f>
        <v>0.9774076722343088</v>
      </c>
      <c r="O159" s="49">
        <f>IFERROR(IF(Data_Entry!T148/Data_Entry!$H148&lt;0,0,Data_Entry!T148/Data_Entry!$H148),0)</f>
        <v>0.97324849065033303</v>
      </c>
      <c r="P159" s="49">
        <f>IFERROR(IF(Data_Entry!U148/Data_Entry!$H148&lt;0,0,Data_Entry!U148/Data_Entry!$H148),0)</f>
        <v>0.89006485897081733</v>
      </c>
      <c r="Q159" s="49">
        <f>IFERROR(IF(Data_Entry!V148/Data_Entry!$H148&lt;0,0,Data_Entry!V148/Data_Entry!$H148),0)</f>
        <v>0.88174649580286579</v>
      </c>
      <c r="R159" s="49">
        <f>IFERROR(IF(Data_Entry!W148/Data_Entry!$H148&lt;0,0,Data_Entry!W148/Data_Entry!$H148),0)</f>
        <v>0.87342813263491426</v>
      </c>
      <c r="S159" s="49">
        <f>IFERROR(IF(Data_Entry!X148/Data_Entry!$H148&lt;0,0,Data_Entry!X148/Data_Entry!$H148),0)</f>
        <v>0.95245258273045408</v>
      </c>
      <c r="T159" s="49">
        <f>IFERROR(IF(Data_Entry!Y148/Data_Entry!$H148&lt;0,0,Data_Entry!Y148/Data_Entry!$H148),0)</f>
        <v>0.8942240405547931</v>
      </c>
      <c r="U159" s="49">
        <f>IFERROR(IF(Data_Entry!Z148/Data_Entry!$H148&lt;0,0,Data_Entry!Z148/Data_Entry!$H148),0)</f>
        <v>0.95245258273045408</v>
      </c>
      <c r="V159" s="49">
        <f>IFERROR(IF(Data_Entry!AA148/Data_Entry!$H148&lt;0,0,Data_Entry!AA148/Data_Entry!$H148),0)</f>
        <v>0.69458332452395555</v>
      </c>
      <c r="W159" s="49">
        <f>IFERROR(IF(Data_Entry!AB148/Data_Entry!$H148&lt;0,0,Data_Entry!AB148/Data_Entry!$H148),0)</f>
        <v>0.5781262401726337</v>
      </c>
      <c r="X159" s="49">
        <f>IFERROR(IF(Data_Entry!AC148/Data_Entry!$I148&lt;0,0,Data_Entry!AC148/Data_Entry!$I148),0)</f>
        <v>1.0197169468973026</v>
      </c>
      <c r="Y159" s="49">
        <f>IFERROR(IF(Data_Entry!AD148/Data_Entry!$I148&lt;0,0,Data_Entry!AD148/Data_Entry!$I148),0)</f>
        <v>0.88181928148058553</v>
      </c>
      <c r="Z159" s="49">
        <f>IFERROR(IF(Data_Entry!AE148/Data_Entry!$I148&lt;0,0,Data_Entry!AE148/Data_Entry!$I148),0)</f>
        <v>0.78746824724809483</v>
      </c>
      <c r="AA159" s="49">
        <f>IFERROR(IF(Data_Entry!AF148/Data_Entry!$I148&lt;0,0,Data_Entry!AF148/Data_Entry!$I148),0)</f>
        <v>0.52618846014273624</v>
      </c>
      <c r="AB159" s="49">
        <f>IFERROR(IF(Data_Entry!AG148/Data_Entry!$I148&lt;0,0,Data_Entry!AG148/Data_Entry!$I148),0)</f>
        <v>0.23950647151324544</v>
      </c>
      <c r="AC159" s="49">
        <f>IFERROR(IF(Data_Entry!AI148/Data_Entry!$I148&lt;0,0,Data_Entry!AI148/Data_Entry!$I148),0)</f>
        <v>0.18144429660094352</v>
      </c>
      <c r="AD159" s="49">
        <f>IFERROR(IF(Data_Entry!AM148/Data_Entry!$H148&lt;0,0,Data_Entry!AM148/Data_Entry!$H148),0)</f>
        <v>0.95245258273045408</v>
      </c>
      <c r="AE159" s="50">
        <f>Data_Entry!AK148</f>
        <v>2.4319166666666945</v>
      </c>
      <c r="AF159" s="50">
        <f>Data_Entry!AL148</f>
        <v>9</v>
      </c>
      <c r="AG159" s="153">
        <f>(Data_Entry!O148-Data_Entry!Q148)/Data_Entry!O148</f>
        <v>-0.62605042016806722</v>
      </c>
      <c r="AH159" s="79" t="str">
        <f t="shared" si="4"/>
        <v>CAT1</v>
      </c>
      <c r="AI159" s="51">
        <f>SUBTOTAL(3,Tableau1[[#This Row],[ZS]])</f>
        <v>1</v>
      </c>
      <c r="AJ159" s="51" t="e">
        <f t="shared" ca="1" si="5"/>
        <v>#NAME?</v>
      </c>
      <c r="AK159" s="50" t="str">
        <f>IFERROR(IF((Data_Entry!O148-Data_Entry!Q148)/Data_Entry!O148&lt;=10%,"&lt;=10%","&gt;10%"),"&lt;=10%")</f>
        <v>&lt;=10%</v>
      </c>
    </row>
    <row r="160" spans="1:37" s="48" customFormat="1" ht="13" x14ac:dyDescent="0.3">
      <c r="A160" s="31" t="s">
        <v>16</v>
      </c>
      <c r="B160" s="48" t="str">
        <f>Data_Entry!B149</f>
        <v>Goma</v>
      </c>
      <c r="C160" s="48" t="str">
        <f>Data_Entry!C149</f>
        <v xml:space="preserve"> Itebero</v>
      </c>
      <c r="D160" s="48" t="str">
        <f>Data_Entry!D149</f>
        <v xml:space="preserve"> Katambira</v>
      </c>
      <c r="E160" s="49">
        <f>IFERROR(IF(Data_Entry!J149/Data_Entry!$I149&lt;0,0,Data_Entry!J149/Data_Entry!$I149),0)</f>
        <v>0.87726697595951086</v>
      </c>
      <c r="F160" s="49">
        <f>IFERROR(IF(Data_Entry!K149/Data_Entry!$H149&lt;0,0,Data_Entry!K149/Data_Entry!$H149),0)</f>
        <v>4.3505635792569962E-2</v>
      </c>
      <c r="G160" s="49">
        <f>IFERROR(IF(Data_Entry!L149/Data_Entry!$H149&lt;0,0,Data_Entry!L149/Data_Entry!$H149),0)</f>
        <v>0.89911647304644582</v>
      </c>
      <c r="H160" s="49">
        <f>IFERROR(IF(Data_Entry!M149/Data_Entry!$H149&lt;0,0,Data_Entry!M149/Data_Entry!$H149),0)</f>
        <v>0.74442976800619709</v>
      </c>
      <c r="I160" s="49">
        <f>IFERROR(IF(Data_Entry!N149/Data_Entry!$H149&lt;0,0,Data_Entry!N149/Data_Entry!$H149),0)</f>
        <v>0.78793540379876703</v>
      </c>
      <c r="J160" s="49">
        <f>IFERROR(IF(Data_Entry!O149/Data_Entry!$H149&lt;0,0,Data_Entry!O149/Data_Entry!$H149),0)</f>
        <v>0.95229002790403139</v>
      </c>
      <c r="K160" s="49">
        <f>IFERROR(IF(Data_Entry!P149/Data_Entry!$H149&lt;0,0,Data_Entry!P149/Data_Entry!$H149),0)</f>
        <v>0.69609017268111939</v>
      </c>
      <c r="L160" s="49">
        <f>IFERROR(IF(Data_Entry!Q149/Data_Entry!$H149&lt;0,0,Data_Entry!Q149/Data_Entry!$H149),0)</f>
        <v>0.78793540379876703</v>
      </c>
      <c r="M160" s="49">
        <f>IFERROR(IF(Data_Entry!R149/Data_Entry!$H149&lt;0,0,Data_Entry!R149/Data_Entry!$H149),0)</f>
        <v>0.89911647304644582</v>
      </c>
      <c r="N160" s="49">
        <f>IFERROR(IF(Data_Entry!S149/Data_Entry!$H149&lt;0,0,Data_Entry!S149/Data_Entry!$H149),0)</f>
        <v>0.73476184894118157</v>
      </c>
      <c r="O160" s="49">
        <f>IFERROR(IF(Data_Entry!T149/Data_Entry!$H149&lt;0,0,Data_Entry!T149/Data_Entry!$H149),0)</f>
        <v>0.78793540379876703</v>
      </c>
      <c r="P160" s="49">
        <f>IFERROR(IF(Data_Entry!U149/Data_Entry!$H149&lt;0,0,Data_Entry!U149/Data_Entry!$H149),0)</f>
        <v>0.90395043257895358</v>
      </c>
      <c r="Q160" s="49">
        <f>IFERROR(IF(Data_Entry!V149/Data_Entry!$H149&lt;0,0,Data_Entry!V149/Data_Entry!$H149),0)</f>
        <v>0.74926372753870485</v>
      </c>
      <c r="R160" s="49">
        <f>IFERROR(IF(Data_Entry!W149/Data_Entry!$H149&lt;0,0,Data_Entry!W149/Data_Entry!$H149),0)</f>
        <v>0.80243728239629042</v>
      </c>
      <c r="S160" s="49">
        <f>IFERROR(IF(Data_Entry!X149/Data_Entry!$H149&lt;0,0,Data_Entry!X149/Data_Entry!$H149),0)</f>
        <v>0.8169391609938137</v>
      </c>
      <c r="T160" s="49">
        <f>IFERROR(IF(Data_Entry!Y149/Data_Entry!$H149&lt;0,0,Data_Entry!Y149/Data_Entry!$H149),0)</f>
        <v>0.54623742717337842</v>
      </c>
      <c r="U160" s="49">
        <f>IFERROR(IF(Data_Entry!Z149/Data_Entry!$H149&lt;0,0,Data_Entry!Z149/Data_Entry!$H149),0)</f>
        <v>0.83144103959133697</v>
      </c>
      <c r="V160" s="49">
        <f>IFERROR(IF(Data_Entry!AA149/Data_Entry!$H149&lt;0,0,Data_Entry!AA149/Data_Entry!$H149),0)</f>
        <v>0.72025997034365818</v>
      </c>
      <c r="W160" s="49">
        <f>IFERROR(IF(Data_Entry!AB149/Data_Entry!$H149&lt;0,0,Data_Entry!AB149/Data_Entry!$H149),0)</f>
        <v>0.57040722483591721</v>
      </c>
      <c r="X160" s="49">
        <f>IFERROR(IF(Data_Entry!AC149/Data_Entry!$I149&lt;0,0,Data_Entry!AC149/Data_Entry!$I149),0)</f>
        <v>0.94896668072543244</v>
      </c>
      <c r="Y160" s="49">
        <f>IFERROR(IF(Data_Entry!AD149/Data_Entry!$I149&lt;0,0,Data_Entry!AD149/Data_Entry!$I149),0)</f>
        <v>0.88570223534373693</v>
      </c>
      <c r="Z160" s="49">
        <f>IFERROR(IF(Data_Entry!AE149/Data_Entry!$I149&lt;0,0,Data_Entry!AE149/Data_Entry!$I149),0)</f>
        <v>0.21509911429776468</v>
      </c>
      <c r="AA160" s="49">
        <f>IFERROR(IF(Data_Entry!AF149/Data_Entry!$I149&lt;0,0,Data_Entry!AF149/Data_Entry!$I149),0)</f>
        <v>2.9523407844791232E-2</v>
      </c>
      <c r="AB160" s="49">
        <f>IFERROR(IF(Data_Entry!AG149/Data_Entry!$I149&lt;0,0,Data_Entry!AG149/Data_Entry!$I149),0)</f>
        <v>0</v>
      </c>
      <c r="AC160" s="49">
        <f>IFERROR(IF(Data_Entry!AI149/Data_Entry!$I149&lt;0,0,Data_Entry!AI149/Data_Entry!$I149),0)</f>
        <v>0.14044706874736398</v>
      </c>
      <c r="AD160" s="49">
        <f>IFERROR(IF(Data_Entry!AM149/Data_Entry!$H149&lt;0,0,Data_Entry!AM149/Data_Entry!$H149),0)</f>
        <v>0.8169391609938137</v>
      </c>
      <c r="AE160" s="50">
        <f>Data_Entry!AK149</f>
        <v>9.8697500000000105</v>
      </c>
      <c r="AF160" s="50">
        <f>Data_Entry!AL149</f>
        <v>28</v>
      </c>
      <c r="AG160" s="153">
        <f>(Data_Entry!O149-Data_Entry!Q149)/Data_Entry!O149</f>
        <v>0.17258883248730963</v>
      </c>
      <c r="AH160" s="79" t="str">
        <f t="shared" si="4"/>
        <v>CAT2</v>
      </c>
      <c r="AI160" s="51">
        <f>SUBTOTAL(3,Tableau1[[#This Row],[ZS]])</f>
        <v>1</v>
      </c>
      <c r="AJ160" s="51" t="e">
        <f t="shared" ca="1" si="5"/>
        <v>#NAME?</v>
      </c>
      <c r="AK160" s="50" t="str">
        <f>IFERROR(IF((Data_Entry!O149-Data_Entry!Q149)/Data_Entry!O149&lt;=10%,"&lt;=10%","&gt;10%"),"&lt;=10%")</f>
        <v>&gt;10%</v>
      </c>
    </row>
    <row r="161" spans="1:37" s="48" customFormat="1" ht="13" x14ac:dyDescent="0.3">
      <c r="A161" s="31" t="s">
        <v>16</v>
      </c>
      <c r="B161" s="48" t="str">
        <f>Data_Entry!B150</f>
        <v>Goma</v>
      </c>
      <c r="C161" s="48" t="str">
        <f>Data_Entry!C150</f>
        <v xml:space="preserve"> Itebero</v>
      </c>
      <c r="D161" s="48" t="str">
        <f>Data_Entry!D150</f>
        <v xml:space="preserve"> Katatwa</v>
      </c>
      <c r="E161" s="49">
        <f>IFERROR(IF(Data_Entry!J150/Data_Entry!$I150&lt;0,0,Data_Entry!J150/Data_Entry!$I150),0)</f>
        <v>0.91338103212056643</v>
      </c>
      <c r="F161" s="49">
        <f>IFERROR(IF(Data_Entry!K150/Data_Entry!$H150&lt;0,0,Data_Entry!K150/Data_Entry!$H150),0)</f>
        <v>0.39780491943359902</v>
      </c>
      <c r="G161" s="49">
        <f>IFERROR(IF(Data_Entry!L150/Data_Entry!$H150&lt;0,0,Data_Entry!L150/Data_Entry!$H150),0)</f>
        <v>1.0363865006296396</v>
      </c>
      <c r="H161" s="49">
        <f>IFERROR(IF(Data_Entry!M150/Data_Entry!$H150&lt;0,0,Data_Entry!M150/Data_Entry!$H150),0)</f>
        <v>0.87935824295848197</v>
      </c>
      <c r="I161" s="49">
        <f>IFERROR(IF(Data_Entry!N150/Data_Entry!$H150&lt;0,0,Data_Entry!N150/Data_Entry!$H150),0)</f>
        <v>0.9735751975611765</v>
      </c>
      <c r="J161" s="49">
        <f>IFERROR(IF(Data_Entry!O150/Data_Entry!$H150&lt;0,0,Data_Entry!O150/Data_Entry!$H150),0)</f>
        <v>1.0363865006296396</v>
      </c>
      <c r="K161" s="49">
        <f>IFERROR(IF(Data_Entry!P150/Data_Entry!$H150&lt;0,0,Data_Entry!P150/Data_Entry!$H150),0)</f>
        <v>0.88982679346989257</v>
      </c>
      <c r="L161" s="49">
        <f>IFERROR(IF(Data_Entry!Q150/Data_Entry!$H150&lt;0,0,Data_Entry!Q150/Data_Entry!$H150),0)</f>
        <v>0.9735751975611765</v>
      </c>
      <c r="M161" s="49">
        <f>IFERROR(IF(Data_Entry!R150/Data_Entry!$H150&lt;0,0,Data_Entry!R150/Data_Entry!$H150),0)</f>
        <v>1.0363865006296396</v>
      </c>
      <c r="N161" s="49">
        <f>IFERROR(IF(Data_Entry!S150/Data_Entry!$H150&lt;0,0,Data_Entry!S150/Data_Entry!$H150),0)</f>
        <v>0.88982679346989257</v>
      </c>
      <c r="O161" s="49">
        <f>IFERROR(IF(Data_Entry!T150/Data_Entry!$H150&lt;0,0,Data_Entry!T150/Data_Entry!$H150),0)</f>
        <v>0.9735751975611765</v>
      </c>
      <c r="P161" s="49">
        <f>IFERROR(IF(Data_Entry!U150/Data_Entry!$H150&lt;0,0,Data_Entry!U150/Data_Entry!$H150),0)</f>
        <v>1.0311522253739343</v>
      </c>
      <c r="Q161" s="49">
        <f>IFERROR(IF(Data_Entry!V150/Data_Entry!$H150&lt;0,0,Data_Entry!V150/Data_Entry!$H150),0)</f>
        <v>0.89506106872559776</v>
      </c>
      <c r="R161" s="49">
        <f>IFERROR(IF(Data_Entry!W150/Data_Entry!$H150&lt;0,0,Data_Entry!W150/Data_Entry!$H150),0)</f>
        <v>0.9735751975611765</v>
      </c>
      <c r="S161" s="49">
        <f>IFERROR(IF(Data_Entry!X150/Data_Entry!$H150&lt;0,0,Data_Entry!X150/Data_Entry!$H150),0)</f>
        <v>0.96310664704976601</v>
      </c>
      <c r="T161" s="49">
        <f>IFERROR(IF(Data_Entry!Y150/Data_Entry!$H150&lt;0,0,Data_Entry!Y150/Data_Entry!$H150),0)</f>
        <v>0.9735751975611765</v>
      </c>
      <c r="U161" s="49">
        <f>IFERROR(IF(Data_Entry!Z150/Data_Entry!$H150&lt;0,0,Data_Entry!Z150/Data_Entry!$H150),0)</f>
        <v>0.96310664704976601</v>
      </c>
      <c r="V161" s="49">
        <f>IFERROR(IF(Data_Entry!AA150/Data_Entry!$H150&lt;0,0,Data_Entry!AA150/Data_Entry!$H150),0)</f>
        <v>0.9788094728168818</v>
      </c>
      <c r="W161" s="49">
        <f>IFERROR(IF(Data_Entry!AB150/Data_Entry!$H150&lt;0,0,Data_Entry!AB150/Data_Entry!$H150),0)</f>
        <v>1.0520893263967552</v>
      </c>
      <c r="X161" s="49">
        <f>IFERROR(IF(Data_Entry!AC150/Data_Entry!$I150&lt;0,0,Data_Entry!AC150/Data_Entry!$I150),0)</f>
        <v>0.82204292890850972</v>
      </c>
      <c r="Y161" s="49">
        <f>IFERROR(IF(Data_Entry!AD150/Data_Entry!$I150&lt;0,0,Data_Entry!AD150/Data_Entry!$I150),0)</f>
        <v>0.72157101537524748</v>
      </c>
      <c r="Z161" s="49">
        <f>IFERROR(IF(Data_Entry!AE150/Data_Entry!$I150&lt;0,0,Data_Entry!AE150/Data_Entry!$I150),0)</f>
        <v>0.23291216319074443</v>
      </c>
      <c r="AA161" s="49">
        <f>IFERROR(IF(Data_Entry!AF150/Data_Entry!$I150&lt;0,0,Data_Entry!AF150/Data_Entry!$I150),0)</f>
        <v>1.8267620642411327E-2</v>
      </c>
      <c r="AB161" s="49">
        <f>IFERROR(IF(Data_Entry!AG150/Data_Entry!$I150&lt;0,0,Data_Entry!AG150/Data_Entry!$I150),0)</f>
        <v>0</v>
      </c>
      <c r="AC161" s="49">
        <f>IFERROR(IF(Data_Entry!AI150/Data_Entry!$I150&lt;0,0,Data_Entry!AI150/Data_Entry!$I150),0)</f>
        <v>0.1141726290150708</v>
      </c>
      <c r="AD161" s="49">
        <f>IFERROR(IF(Data_Entry!AM150/Data_Entry!$H150&lt;0,0,Data_Entry!AM150/Data_Entry!$H150),0)</f>
        <v>0.96310664704976601</v>
      </c>
      <c r="AE161" s="50">
        <f>Data_Entry!AK150</f>
        <v>0</v>
      </c>
      <c r="AF161" s="50">
        <f>Data_Entry!AL150</f>
        <v>14</v>
      </c>
      <c r="AG161" s="153">
        <f>(Data_Entry!O150-Data_Entry!Q150)/Data_Entry!O150</f>
        <v>6.0606060606060608E-2</v>
      </c>
      <c r="AH161" s="79" t="str">
        <f t="shared" si="4"/>
        <v>CAT1</v>
      </c>
      <c r="AI161" s="51">
        <f>SUBTOTAL(3,Tableau1[[#This Row],[ZS]])</f>
        <v>1</v>
      </c>
      <c r="AJ161" s="51" t="e">
        <f t="shared" ca="1" si="5"/>
        <v>#NAME?</v>
      </c>
      <c r="AK161" s="50" t="str">
        <f>IFERROR(IF((Data_Entry!O150-Data_Entry!Q150)/Data_Entry!O150&lt;=10%,"&lt;=10%","&gt;10%"),"&lt;=10%")</f>
        <v>&lt;=10%</v>
      </c>
    </row>
    <row r="162" spans="1:37" s="48" customFormat="1" ht="13" x14ac:dyDescent="0.3">
      <c r="A162" s="31" t="s">
        <v>16</v>
      </c>
      <c r="B162" s="48" t="str">
        <f>Data_Entry!B151</f>
        <v>Goma</v>
      </c>
      <c r="C162" s="48" t="str">
        <f>Data_Entry!C151</f>
        <v xml:space="preserve"> Itebero</v>
      </c>
      <c r="D162" s="48" t="str">
        <f>Data_Entry!D151</f>
        <v xml:space="preserve"> Kifuruka</v>
      </c>
      <c r="E162" s="49">
        <f>IFERROR(IF(Data_Entry!J151/Data_Entry!$I151&lt;0,0,Data_Entry!J151/Data_Entry!$I151),0)</f>
        <v>0.77540356443034431</v>
      </c>
      <c r="F162" s="49">
        <f>IFERROR(IF(Data_Entry!K151/Data_Entry!$H151&lt;0,0,Data_Entry!K151/Data_Entry!$H151),0)</f>
        <v>0.10266740066728464</v>
      </c>
      <c r="G162" s="49">
        <f>IFERROR(IF(Data_Entry!L151/Data_Entry!$H151&lt;0,0,Data_Entry!L151/Data_Entry!$H151),0)</f>
        <v>0.82775591787998237</v>
      </c>
      <c r="H162" s="49">
        <f>IFERROR(IF(Data_Entry!M151/Data_Entry!$H151&lt;0,0,Data_Entry!M151/Data_Entry!$H151),0)</f>
        <v>0.82775591787998237</v>
      </c>
      <c r="I162" s="49">
        <f>IFERROR(IF(Data_Entry!N151/Data_Entry!$H151&lt;0,0,Data_Entry!N151/Data_Entry!$H151),0)</f>
        <v>0.72508851721269774</v>
      </c>
      <c r="J162" s="49">
        <f>IFERROR(IF(Data_Entry!O151/Data_Entry!$H151&lt;0,0,Data_Entry!O151/Data_Entry!$H151),0)</f>
        <v>1.0266740066728464</v>
      </c>
      <c r="K162" s="49">
        <f>IFERROR(IF(Data_Entry!P151/Data_Entry!$H151&lt;0,0,Data_Entry!P151/Data_Entry!$H151),0)</f>
        <v>1.0234656504019937</v>
      </c>
      <c r="L162" s="49">
        <f>IFERROR(IF(Data_Entry!Q151/Data_Entry!$H151&lt;0,0,Data_Entry!Q151/Data_Entry!$H151),0)</f>
        <v>0.92721496227641431</v>
      </c>
      <c r="M162" s="49">
        <f>IFERROR(IF(Data_Entry!R151/Data_Entry!$H151&lt;0,0,Data_Entry!R151/Data_Entry!$H151),0)</f>
        <v>0.92079824973470903</v>
      </c>
      <c r="N162" s="49">
        <f>IFERROR(IF(Data_Entry!S151/Data_Entry!$H151&lt;0,0,Data_Entry!S151/Data_Entry!$H151),0)</f>
        <v>0.91117318092215116</v>
      </c>
      <c r="O162" s="49">
        <f>IFERROR(IF(Data_Entry!T151/Data_Entry!$H151&lt;0,0,Data_Entry!T151/Data_Entry!$H151),0)</f>
        <v>1.0330907192145515</v>
      </c>
      <c r="P162" s="49">
        <f>IFERROR(IF(Data_Entry!U151/Data_Entry!$H151&lt;0,0,Data_Entry!U151/Data_Entry!$H151),0)</f>
        <v>0.82775591787998237</v>
      </c>
      <c r="Q162" s="49">
        <f>IFERROR(IF(Data_Entry!V151/Data_Entry!$H151&lt;0,0,Data_Entry!V151/Data_Entry!$H151),0)</f>
        <v>0.82775591787998237</v>
      </c>
      <c r="R162" s="49">
        <f>IFERROR(IF(Data_Entry!W151/Data_Entry!$H151&lt;0,0,Data_Entry!W151/Data_Entry!$H151),0)</f>
        <v>0.83738098669254024</v>
      </c>
      <c r="S162" s="49">
        <f>IFERROR(IF(Data_Entry!X151/Data_Entry!$H151&lt;0,0,Data_Entry!X151/Data_Entry!$H151),0)</f>
        <v>0.90475646838044588</v>
      </c>
      <c r="T162" s="49">
        <f>IFERROR(IF(Data_Entry!Y151/Data_Entry!$H151&lt;0,0,Data_Entry!Y151/Data_Entry!$H151),0)</f>
        <v>0.85021441177595092</v>
      </c>
      <c r="U162" s="49">
        <f>IFERROR(IF(Data_Entry!Z151/Data_Entry!$H151&lt;0,0,Data_Entry!Z151/Data_Entry!$H151),0)</f>
        <v>0.90475646838044588</v>
      </c>
      <c r="V162" s="49">
        <f>IFERROR(IF(Data_Entry!AA151/Data_Entry!$H151&lt;0,0,Data_Entry!AA151/Data_Entry!$H151),0)</f>
        <v>0.42671138402340175</v>
      </c>
      <c r="W162" s="49">
        <f>IFERROR(IF(Data_Entry!AB151/Data_Entry!$H151&lt;0,0,Data_Entry!AB151/Data_Entry!$H151),0)</f>
        <v>0.41708631521084383</v>
      </c>
      <c r="X162" s="49">
        <f>IFERROR(IF(Data_Entry!AC151/Data_Entry!$I151&lt;0,0,Data_Entry!AC151/Data_Entry!$I151),0)</f>
        <v>0.58785107772697576</v>
      </c>
      <c r="Y162" s="49">
        <f>IFERROR(IF(Data_Entry!AD151/Data_Entry!$I151&lt;0,0,Data_Entry!AD151/Data_Entry!$I151),0)</f>
        <v>0.64103760380703556</v>
      </c>
      <c r="Z162" s="49">
        <f>IFERROR(IF(Data_Entry!AE151/Data_Entry!$I151&lt;0,0,Data_Entry!AE151/Data_Entry!$I151),0)</f>
        <v>0.57385462349538119</v>
      </c>
      <c r="AA162" s="49">
        <f>IFERROR(IF(Data_Entry!AF151/Data_Entry!$I151&lt;0,0,Data_Entry!AF151/Data_Entry!$I151),0)</f>
        <v>0.70822058411868993</v>
      </c>
      <c r="AB162" s="49">
        <f>IFERROR(IF(Data_Entry!AG151/Data_Entry!$I151&lt;0,0,Data_Entry!AG151/Data_Entry!$I151),0)</f>
        <v>0.62144256788280294</v>
      </c>
      <c r="AC162" s="49">
        <f>IFERROR(IF(Data_Entry!AI151/Data_Entry!$I151&lt;0,0,Data_Entry!AI151/Data_Entry!$I151),0)</f>
        <v>9.3216385182420439E-2</v>
      </c>
      <c r="AD162" s="49">
        <f>IFERROR(IF(Data_Entry!AM151/Data_Entry!$H151&lt;0,0,Data_Entry!AM151/Data_Entry!$H151),0)</f>
        <v>0.90475646838044588</v>
      </c>
      <c r="AE162" s="50">
        <f>Data_Entry!AK151</f>
        <v>0</v>
      </c>
      <c r="AF162" s="50">
        <f>Data_Entry!AL151</f>
        <v>38</v>
      </c>
      <c r="AG162" s="153">
        <f>(Data_Entry!O151-Data_Entry!Q151)/Data_Entry!O151</f>
        <v>9.6875000000000003E-2</v>
      </c>
      <c r="AH162" s="79" t="str">
        <f t="shared" si="4"/>
        <v>CAT1</v>
      </c>
      <c r="AI162" s="51">
        <f>SUBTOTAL(3,Tableau1[[#This Row],[ZS]])</f>
        <v>1</v>
      </c>
      <c r="AJ162" s="51" t="e">
        <f t="shared" ca="1" si="5"/>
        <v>#NAME?</v>
      </c>
      <c r="AK162" s="50" t="str">
        <f>IFERROR(IF((Data_Entry!O151-Data_Entry!Q151)/Data_Entry!O151&lt;=10%,"&lt;=10%","&gt;10%"),"&lt;=10%")</f>
        <v>&lt;=10%</v>
      </c>
    </row>
    <row r="163" spans="1:37" s="48" customFormat="1" ht="13" x14ac:dyDescent="0.3">
      <c r="A163" s="31" t="s">
        <v>16</v>
      </c>
      <c r="B163" s="48" t="str">
        <f>Data_Entry!B152</f>
        <v>Goma</v>
      </c>
      <c r="C163" s="48" t="str">
        <f>Data_Entry!C152</f>
        <v xml:space="preserve"> Itebero</v>
      </c>
      <c r="D163" s="48" t="str">
        <f>Data_Entry!D152</f>
        <v xml:space="preserve"> Kilambo</v>
      </c>
      <c r="E163" s="49">
        <f>IFERROR(IF(Data_Entry!J152/Data_Entry!$I152&lt;0,0,Data_Entry!J152/Data_Entry!$I152),0)</f>
        <v>0.69037656903765676</v>
      </c>
      <c r="F163" s="49">
        <f>IFERROR(IF(Data_Entry!K152/Data_Entry!$H152&lt;0,0,Data_Entry!K152/Data_Entry!$H152),0)</f>
        <v>0.29222764383594485</v>
      </c>
      <c r="G163" s="49">
        <f>IFERROR(IF(Data_Entry!L152/Data_Entry!$H152&lt;0,0,Data_Entry!L152/Data_Entry!$H152),0)</f>
        <v>0.84970807207682419</v>
      </c>
      <c r="H163" s="49">
        <f>IFERROR(IF(Data_Entry!M152/Data_Entry!$H152&lt;0,0,Data_Entry!M152/Data_Entry!$H152),0)</f>
        <v>0.6339091966287419</v>
      </c>
      <c r="I163" s="49">
        <f>IFERROR(IF(Data_Entry!N152/Data_Entry!$H152&lt;0,0,Data_Entry!N152/Data_Entry!$H152),0)</f>
        <v>0.8047499730251404</v>
      </c>
      <c r="J163" s="49">
        <f>IFERROR(IF(Data_Entry!O152/Data_Entry!$H152&lt;0,0,Data_Entry!O152/Data_Entry!$H152),0)</f>
        <v>1.1239524762920956</v>
      </c>
      <c r="K163" s="49">
        <f>IFERROR(IF(Data_Entry!P152/Data_Entry!$H152&lt;0,0,Data_Entry!P152/Data_Entry!$H152),0)</f>
        <v>0.858699691887161</v>
      </c>
      <c r="L163" s="49">
        <f>IFERROR(IF(Data_Entry!Q152/Data_Entry!$H152&lt;0,0,Data_Entry!Q152/Data_Entry!$H152),0)</f>
        <v>1.0610111376197382</v>
      </c>
      <c r="M163" s="49">
        <f>IFERROR(IF(Data_Entry!R152/Data_Entry!$H152&lt;0,0,Data_Entry!R152/Data_Entry!$H152),0)</f>
        <v>1.1239524762920956</v>
      </c>
      <c r="N163" s="49">
        <f>IFERROR(IF(Data_Entry!S152/Data_Entry!$H152&lt;0,0,Data_Entry!S152/Data_Entry!$H152),0)</f>
        <v>0.858699691887161</v>
      </c>
      <c r="O163" s="49">
        <f>IFERROR(IF(Data_Entry!T152/Data_Entry!$H152&lt;0,0,Data_Entry!T152/Data_Entry!$H152),0)</f>
        <v>1.0655069475249066</v>
      </c>
      <c r="P163" s="49">
        <f>IFERROR(IF(Data_Entry!U152/Data_Entry!$H152&lt;0,0,Data_Entry!U152/Data_Entry!$H152),0)</f>
        <v>1.1149608564817588</v>
      </c>
      <c r="Q163" s="49">
        <f>IFERROR(IF(Data_Entry!V152/Data_Entry!$H152&lt;0,0,Data_Entry!V152/Data_Entry!$H152),0)</f>
        <v>0.82273321264581389</v>
      </c>
      <c r="R163" s="49">
        <f>IFERROR(IF(Data_Entry!W152/Data_Entry!$H152&lt;0,0,Data_Entry!W152/Data_Entry!$H152),0)</f>
        <v>1.0610111376197382</v>
      </c>
      <c r="S163" s="49">
        <f>IFERROR(IF(Data_Entry!X152/Data_Entry!$H152&lt;0,0,Data_Entry!X152/Data_Entry!$H152),0)</f>
        <v>0.9396242701801919</v>
      </c>
      <c r="T163" s="49">
        <f>IFERROR(IF(Data_Entry!Y152/Data_Entry!$H152&lt;0,0,Data_Entry!Y152/Data_Entry!$H152),0)</f>
        <v>0.72382539473210949</v>
      </c>
      <c r="U163" s="49">
        <f>IFERROR(IF(Data_Entry!Z152/Data_Entry!$H152&lt;0,0,Data_Entry!Z152/Data_Entry!$H152),0)</f>
        <v>0.9396242701801919</v>
      </c>
      <c r="V163" s="49">
        <f>IFERROR(IF(Data_Entry!AA152/Data_Entry!$H152&lt;0,0,Data_Entry!AA152/Data_Entry!$H152),0)</f>
        <v>0.5619762381460478</v>
      </c>
      <c r="W163" s="49">
        <f>IFERROR(IF(Data_Entry!AB152/Data_Entry!$H152&lt;0,0,Data_Entry!AB152/Data_Entry!$H152),0)</f>
        <v>0.39563127165481765</v>
      </c>
      <c r="X163" s="49">
        <f>IFERROR(IF(Data_Entry!AC152/Data_Entry!$I152&lt;0,0,Data_Entry!AC152/Data_Entry!$I152),0)</f>
        <v>0.8355125523012551</v>
      </c>
      <c r="Y163" s="49">
        <f>IFERROR(IF(Data_Entry!AD152/Data_Entry!$I152&lt;0,0,Data_Entry!AD152/Data_Entry!$I152),0)</f>
        <v>0.66291841004184093</v>
      </c>
      <c r="Z163" s="49">
        <f>IFERROR(IF(Data_Entry!AE152/Data_Entry!$I152&lt;0,0,Data_Entry!AE152/Data_Entry!$I152),0)</f>
        <v>0.43933054393305432</v>
      </c>
      <c r="AA163" s="49">
        <f>IFERROR(IF(Data_Entry!AF152/Data_Entry!$I152&lt;0,0,Data_Entry!AF152/Data_Entry!$I152),0)</f>
        <v>0.2000523012552301</v>
      </c>
      <c r="AB163" s="49">
        <f>IFERROR(IF(Data_Entry!AG152/Data_Entry!$I152&lt;0,0,Data_Entry!AG152/Data_Entry!$I152),0)</f>
        <v>0</v>
      </c>
      <c r="AC163" s="49">
        <f>IFERROR(IF(Data_Entry!AI152/Data_Entry!$I152&lt;0,0,Data_Entry!AI152/Data_Entry!$I152),0)</f>
        <v>0.16357217573221755</v>
      </c>
      <c r="AD163" s="49">
        <f>IFERROR(IF(Data_Entry!AM152/Data_Entry!$H152&lt;0,0,Data_Entry!AM152/Data_Entry!$H152),0)</f>
        <v>0.9396242701801919</v>
      </c>
      <c r="AE163" s="50">
        <f>Data_Entry!AK152</f>
        <v>0</v>
      </c>
      <c r="AF163" s="50">
        <f>Data_Entry!AL152</f>
        <v>41</v>
      </c>
      <c r="AG163" s="153">
        <f>(Data_Entry!O152-Data_Entry!Q152)/Data_Entry!O152</f>
        <v>5.6000000000000001E-2</v>
      </c>
      <c r="AH163" s="79" t="str">
        <f t="shared" si="4"/>
        <v>CAT1</v>
      </c>
      <c r="AI163" s="51">
        <f>SUBTOTAL(3,Tableau1[[#This Row],[ZS]])</f>
        <v>1</v>
      </c>
      <c r="AJ163" s="51" t="e">
        <f t="shared" ca="1" si="5"/>
        <v>#NAME?</v>
      </c>
      <c r="AK163" s="50" t="str">
        <f>IFERROR(IF((Data_Entry!O152-Data_Entry!Q152)/Data_Entry!O152&lt;=10%,"&lt;=10%","&gt;10%"),"&lt;=10%")</f>
        <v>&lt;=10%</v>
      </c>
    </row>
    <row r="164" spans="1:37" s="48" customFormat="1" ht="13" x14ac:dyDescent="0.3">
      <c r="A164" s="31" t="s">
        <v>16</v>
      </c>
      <c r="B164" s="48" t="str">
        <f>Data_Entry!B153</f>
        <v>Goma</v>
      </c>
      <c r="C164" s="48" t="str">
        <f>Data_Entry!C153</f>
        <v xml:space="preserve"> Itebero</v>
      </c>
      <c r="D164" s="48" t="str">
        <f>Data_Entry!D153</f>
        <v xml:space="preserve"> Kiuli</v>
      </c>
      <c r="E164" s="49">
        <f>IFERROR(IF(Data_Entry!J153/Data_Entry!$I153&lt;0,0,Data_Entry!J153/Data_Entry!$I153),0)</f>
        <v>0.95534305078451387</v>
      </c>
      <c r="F164" s="49">
        <f>IFERROR(IF(Data_Entry!K153/Data_Entry!$H153&lt;0,0,Data_Entry!K153/Data_Entry!$H153),0)</f>
        <v>1.0215268154779402</v>
      </c>
      <c r="G164" s="49">
        <f>IFERROR(IF(Data_Entry!L153/Data_Entry!$H153&lt;0,0,Data_Entry!L153/Data_Entry!$H153),0)</f>
        <v>1.0087577302844661</v>
      </c>
      <c r="H164" s="49">
        <f>IFERROR(IF(Data_Entry!M153/Data_Entry!$H153&lt;0,0,Data_Entry!M153/Data_Entry!$H153),0)</f>
        <v>0.97683501730078037</v>
      </c>
      <c r="I164" s="49">
        <f>IFERROR(IF(Data_Entry!N153/Data_Entry!$H153&lt;0,0,Data_Entry!N153/Data_Entry!$H153),0)</f>
        <v>1.031103629373046</v>
      </c>
      <c r="J164" s="49">
        <f>IFERROR(IF(Data_Entry!O153/Data_Entry!$H153&lt;0,0,Data_Entry!O153/Data_Entry!$H153),0)</f>
        <v>1.0087577302844661</v>
      </c>
      <c r="K164" s="49">
        <f>IFERROR(IF(Data_Entry!P153/Data_Entry!$H153&lt;0,0,Data_Entry!P153/Data_Entry!$H153),0)</f>
        <v>0.95129684691383187</v>
      </c>
      <c r="L164" s="49">
        <f>IFERROR(IF(Data_Entry!Q153/Data_Entry!$H153&lt;0,0,Data_Entry!Q153/Data_Entry!$H153),0)</f>
        <v>0.99598864509099183</v>
      </c>
      <c r="M164" s="49">
        <f>IFERROR(IF(Data_Entry!R153/Data_Entry!$H153&lt;0,0,Data_Entry!R153/Data_Entry!$H153),0)</f>
        <v>1.0342959006714145</v>
      </c>
      <c r="N164" s="49">
        <f>IFERROR(IF(Data_Entry!S153/Data_Entry!$H153&lt;0,0,Data_Entry!S153/Data_Entry!$H153),0)</f>
        <v>0.95768138951056903</v>
      </c>
      <c r="O164" s="49">
        <f>IFERROR(IF(Data_Entry!T153/Data_Entry!$H153&lt;0,0,Data_Entry!T153/Data_Entry!$H153),0)</f>
        <v>0.99598864509099183</v>
      </c>
      <c r="P164" s="49">
        <f>IFERROR(IF(Data_Entry!U153/Data_Entry!$H153&lt;0,0,Data_Entry!U153/Data_Entry!$H153),0)</f>
        <v>1.037488171969783</v>
      </c>
      <c r="Q164" s="49">
        <f>IFERROR(IF(Data_Entry!V153/Data_Entry!$H153&lt;0,0,Data_Entry!V153/Data_Entry!$H153),0)</f>
        <v>0.96406593210730618</v>
      </c>
      <c r="R164" s="49">
        <f>IFERROR(IF(Data_Entry!W153/Data_Entry!$H153&lt;0,0,Data_Entry!W153/Data_Entry!$H153),0)</f>
        <v>0.99918091638936035</v>
      </c>
      <c r="S164" s="49">
        <f>IFERROR(IF(Data_Entry!X153/Data_Entry!$H153&lt;0,0,Data_Entry!X153/Data_Entry!$H153),0)</f>
        <v>1.037488171969783</v>
      </c>
      <c r="T164" s="49">
        <f>IFERROR(IF(Data_Entry!Y153/Data_Entry!$H153&lt;0,0,Data_Entry!Y153/Data_Entry!$H153),0)</f>
        <v>0.75976056901171807</v>
      </c>
      <c r="U164" s="49">
        <f>IFERROR(IF(Data_Entry!Z153/Data_Entry!$H153&lt;0,0,Data_Entry!Z153/Data_Entry!$H153),0)</f>
        <v>0.98321955989751753</v>
      </c>
      <c r="V164" s="49">
        <f>IFERROR(IF(Data_Entry!AA153/Data_Entry!$H153&lt;0,0,Data_Entry!AA153/Data_Entry!$H153),0)</f>
        <v>0.8651055218578807</v>
      </c>
      <c r="W164" s="49">
        <f>IFERROR(IF(Data_Entry!AB153/Data_Entry!$H153&lt;0,0,Data_Entry!AB153/Data_Entry!$H153),0)</f>
        <v>0.73103012732640105</v>
      </c>
      <c r="X164" s="49">
        <f>IFERROR(IF(Data_Entry!AC153/Data_Entry!$I153&lt;0,0,Data_Entry!AC153/Data_Entry!$I153),0)</f>
        <v>0.89128214650450277</v>
      </c>
      <c r="Y164" s="49">
        <f>IFERROR(IF(Data_Entry!AD153/Data_Entry!$I153&lt;0,0,Data_Entry!AD153/Data_Entry!$I153),0)</f>
        <v>0.82443598551666508</v>
      </c>
      <c r="Z164" s="49">
        <f>IFERROR(IF(Data_Entry!AE153/Data_Entry!$I153&lt;0,0,Data_Entry!AE153/Data_Entry!$I153),0)</f>
        <v>0</v>
      </c>
      <c r="AA164" s="49">
        <f>IFERROR(IF(Data_Entry!AF153/Data_Entry!$I153&lt;0,0,Data_Entry!AF153/Data_Entry!$I153),0)</f>
        <v>0</v>
      </c>
      <c r="AB164" s="49">
        <f>IFERROR(IF(Data_Entry!AG153/Data_Entry!$I153&lt;0,0,Data_Entry!AG153/Data_Entry!$I153),0)</f>
        <v>0</v>
      </c>
      <c r="AC164" s="49">
        <f>IFERROR(IF(Data_Entry!AI153/Data_Entry!$I153&lt;0,0,Data_Entry!AI153/Data_Entry!$I153),0)</f>
        <v>0.13926283539132855</v>
      </c>
      <c r="AD164" s="49">
        <f>IFERROR(IF(Data_Entry!AM153/Data_Entry!$H153&lt;0,0,Data_Entry!AM153/Data_Entry!$H153),0)</f>
        <v>0.98321955989751753</v>
      </c>
      <c r="AE164" s="50">
        <f>Data_Entry!AK153</f>
        <v>0</v>
      </c>
      <c r="AF164" s="50">
        <f>Data_Entry!AL153</f>
        <v>0</v>
      </c>
      <c r="AG164" s="153">
        <f>(Data_Entry!O153-Data_Entry!Q153)/Data_Entry!O153</f>
        <v>1.2658227848101266E-2</v>
      </c>
      <c r="AH164" s="79" t="str">
        <f t="shared" si="4"/>
        <v>CAT1</v>
      </c>
      <c r="AI164" s="51">
        <f>SUBTOTAL(3,Tableau1[[#This Row],[ZS]])</f>
        <v>1</v>
      </c>
      <c r="AJ164" s="51" t="e">
        <f t="shared" ca="1" si="5"/>
        <v>#NAME?</v>
      </c>
      <c r="AK164" s="50" t="str">
        <f>IFERROR(IF((Data_Entry!O153-Data_Entry!Q153)/Data_Entry!O153&lt;=10%,"&lt;=10%","&gt;10%"),"&lt;=10%")</f>
        <v>&lt;=10%</v>
      </c>
    </row>
    <row r="165" spans="1:37" s="48" customFormat="1" ht="13" x14ac:dyDescent="0.3">
      <c r="A165" s="31" t="s">
        <v>16</v>
      </c>
      <c r="B165" s="48" t="str">
        <f>Data_Entry!B154</f>
        <v>Goma</v>
      </c>
      <c r="C165" s="48" t="str">
        <f>Data_Entry!C154</f>
        <v xml:space="preserve"> Itebero</v>
      </c>
      <c r="D165" s="48" t="str">
        <f>Data_Entry!D154</f>
        <v xml:space="preserve"> Lowa</v>
      </c>
      <c r="E165" s="49">
        <f>IFERROR(IF(Data_Entry!J154/Data_Entry!$I154&lt;0,0,Data_Entry!J154/Data_Entry!$I154),0)</f>
        <v>0.81860596635091187</v>
      </c>
      <c r="F165" s="49">
        <f>IFERROR(IF(Data_Entry!K154/Data_Entry!$H154&lt;0,0,Data_Entry!K154/Data_Entry!$H154),0)</f>
        <v>0.58335564803723106</v>
      </c>
      <c r="G165" s="49">
        <f>IFERROR(IF(Data_Entry!L154/Data_Entry!$H154&lt;0,0,Data_Entry!L154/Data_Entry!$H154),0)</f>
        <v>1.0062884928642237</v>
      </c>
      <c r="H165" s="49">
        <f>IFERROR(IF(Data_Entry!M154/Data_Entry!$H154&lt;0,0,Data_Entry!M154/Data_Entry!$H154),0)</f>
        <v>0.9576755221944544</v>
      </c>
      <c r="I165" s="49">
        <f>IFERROR(IF(Data_Entry!N154/Data_Entry!$H154&lt;0,0,Data_Entry!N154/Data_Entry!$H154),0)</f>
        <v>0.90906255152468507</v>
      </c>
      <c r="J165" s="49">
        <f>IFERROR(IF(Data_Entry!O154/Data_Entry!$H154&lt;0,0,Data_Entry!O154/Data_Entry!$H154),0)</f>
        <v>1.0062884928642237</v>
      </c>
      <c r="K165" s="49">
        <f>IFERROR(IF(Data_Entry!P154/Data_Entry!$H154&lt;0,0,Data_Entry!P154/Data_Entry!$H154),0)</f>
        <v>0.97225941339538513</v>
      </c>
      <c r="L165" s="49">
        <f>IFERROR(IF(Data_Entry!Q154/Data_Entry!$H154&lt;0,0,Data_Entry!Q154/Data_Entry!$H154),0)</f>
        <v>0.90906255152468507</v>
      </c>
      <c r="M165" s="49">
        <f>IFERROR(IF(Data_Entry!R154/Data_Entry!$H154&lt;0,0,Data_Entry!R154/Data_Entry!$H154),0)</f>
        <v>1.0062884928642237</v>
      </c>
      <c r="N165" s="49">
        <f>IFERROR(IF(Data_Entry!S154/Data_Entry!$H154&lt;0,0,Data_Entry!S154/Data_Entry!$H154),0)</f>
        <v>0.9576755221944544</v>
      </c>
      <c r="O165" s="49">
        <f>IFERROR(IF(Data_Entry!T154/Data_Entry!$H154&lt;0,0,Data_Entry!T154/Data_Entry!$H154),0)</f>
        <v>0.95281422512747749</v>
      </c>
      <c r="P165" s="49">
        <f>IFERROR(IF(Data_Entry!U154/Data_Entry!$H154&lt;0,0,Data_Entry!U154/Data_Entry!$H154),0)</f>
        <v>1.0111497899312005</v>
      </c>
      <c r="Q165" s="49">
        <f>IFERROR(IF(Data_Entry!V154/Data_Entry!$H154&lt;0,0,Data_Entry!V154/Data_Entry!$H154),0)</f>
        <v>0.97712071046236204</v>
      </c>
      <c r="R165" s="49">
        <f>IFERROR(IF(Data_Entry!W154/Data_Entry!$H154&lt;0,0,Data_Entry!W154/Data_Entry!$H154),0)</f>
        <v>0.92364644272561591</v>
      </c>
      <c r="S165" s="49">
        <f>IFERROR(IF(Data_Entry!X154/Data_Entry!$H154&lt;0,0,Data_Entry!X154/Data_Entry!$H154),0)</f>
        <v>0.918785145658639</v>
      </c>
      <c r="T165" s="49">
        <f>IFERROR(IF(Data_Entry!Y154/Data_Entry!$H154&lt;0,0,Data_Entry!Y154/Data_Entry!$H154),0)</f>
        <v>0.62224602457304645</v>
      </c>
      <c r="U165" s="49">
        <f>IFERROR(IF(Data_Entry!Z154/Data_Entry!$H154&lt;0,0,Data_Entry!Z154/Data_Entry!$H154),0)</f>
        <v>0.918785145658639</v>
      </c>
      <c r="V165" s="49">
        <f>IFERROR(IF(Data_Entry!AA154/Data_Entry!$H154&lt;0,0,Data_Entry!AA154/Data_Entry!$H154),0)</f>
        <v>0.90906255152468507</v>
      </c>
      <c r="W165" s="49">
        <f>IFERROR(IF(Data_Entry!AB154/Data_Entry!$H154&lt;0,0,Data_Entry!AB154/Data_Entry!$H154),0)</f>
        <v>0.85072698672096203</v>
      </c>
      <c r="X165" s="49">
        <f>IFERROR(IF(Data_Entry!AC154/Data_Entry!$I154&lt;0,0,Data_Entry!AC154/Data_Entry!$I154),0)</f>
        <v>0.67863707054997879</v>
      </c>
      <c r="Y165" s="49">
        <f>IFERROR(IF(Data_Entry!AD154/Data_Entry!$I154&lt;0,0,Data_Entry!AD154/Data_Entry!$I154),0)</f>
        <v>0.59380743673123138</v>
      </c>
      <c r="Z165" s="49">
        <f>IFERROR(IF(Data_Entry!AE154/Data_Entry!$I154&lt;0,0,Data_Entry!AE154/Data_Entry!$I154),0)</f>
        <v>0.48777039445779724</v>
      </c>
      <c r="AA165" s="49">
        <f>IFERROR(IF(Data_Entry!AF154/Data_Entry!$I154&lt;0,0,Data_Entry!AF154/Data_Entry!$I154),0)</f>
        <v>0.32235260851123992</v>
      </c>
      <c r="AB165" s="49">
        <f>IFERROR(IF(Data_Entry!AG154/Data_Entry!$I154&lt;0,0,Data_Entry!AG154/Data_Entry!$I154),0)</f>
        <v>0</v>
      </c>
      <c r="AC165" s="49">
        <f>IFERROR(IF(Data_Entry!AI154/Data_Entry!$I154&lt;0,0,Data_Entry!AI154/Data_Entry!$I154),0)</f>
        <v>0.14124134030821431</v>
      </c>
      <c r="AD165" s="49">
        <f>IFERROR(IF(Data_Entry!AM154/Data_Entry!$H154&lt;0,0,Data_Entry!AM154/Data_Entry!$H154),0)</f>
        <v>0.918785145658639</v>
      </c>
      <c r="AE165" s="50">
        <f>Data_Entry!AK154</f>
        <v>0</v>
      </c>
      <c r="AF165" s="50">
        <f>Data_Entry!AL154</f>
        <v>18</v>
      </c>
      <c r="AG165" s="153">
        <f>(Data_Entry!O154-Data_Entry!Q154)/Data_Entry!O154</f>
        <v>9.6618357487922704E-2</v>
      </c>
      <c r="AH165" s="79" t="str">
        <f t="shared" si="4"/>
        <v>CAT1</v>
      </c>
      <c r="AI165" s="51">
        <f>SUBTOTAL(3,Tableau1[[#This Row],[ZS]])</f>
        <v>1</v>
      </c>
      <c r="AJ165" s="51" t="e">
        <f t="shared" ca="1" si="5"/>
        <v>#NAME?</v>
      </c>
      <c r="AK165" s="50" t="str">
        <f>IFERROR(IF((Data_Entry!O154-Data_Entry!Q154)/Data_Entry!O154&lt;=10%,"&lt;=10%","&gt;10%"),"&lt;=10%")</f>
        <v>&lt;=10%</v>
      </c>
    </row>
    <row r="166" spans="1:37" s="48" customFormat="1" ht="13" x14ac:dyDescent="0.3">
      <c r="A166" s="31" t="s">
        <v>16</v>
      </c>
      <c r="B166" s="48" t="str">
        <f>Data_Entry!B155</f>
        <v>Goma</v>
      </c>
      <c r="C166" s="48" t="str">
        <f>Data_Entry!C155</f>
        <v xml:space="preserve"> Itebero</v>
      </c>
      <c r="D166" s="48" t="str">
        <f>Data_Entry!D155</f>
        <v xml:space="preserve"> Lukaraba</v>
      </c>
      <c r="E166" s="49">
        <f>IFERROR(IF(Data_Entry!J155/Data_Entry!$I155&lt;0,0,Data_Entry!J155/Data_Entry!$I155),0)</f>
        <v>1.4261341605273363</v>
      </c>
      <c r="F166" s="49">
        <f>IFERROR(IF(Data_Entry!K155/Data_Entry!$H155&lt;0,0,Data_Entry!K155/Data_Entry!$H155),0)</f>
        <v>0.56528873833286486</v>
      </c>
      <c r="G166" s="49">
        <f>IFERROR(IF(Data_Entry!L155/Data_Entry!$H155&lt;0,0,Data_Entry!L155/Data_Entry!$H155),0)</f>
        <v>0.99192174839540437</v>
      </c>
      <c r="H166" s="49">
        <f>IFERROR(IF(Data_Entry!M155/Data_Entry!$H155&lt;0,0,Data_Entry!M155/Data_Entry!$H155),0)</f>
        <v>0.89859577744422381</v>
      </c>
      <c r="I166" s="49">
        <f>IFERROR(IF(Data_Entry!N155/Data_Entry!$H155&lt;0,0,Data_Entry!N155/Data_Entry!$H155),0)</f>
        <v>0.94125907845047774</v>
      </c>
      <c r="J166" s="49">
        <f>IFERROR(IF(Data_Entry!O155/Data_Entry!$H155&lt;0,0,Data_Entry!O155/Data_Entry!$H155),0)</f>
        <v>0.98658883576962264</v>
      </c>
      <c r="K166" s="49">
        <f>IFERROR(IF(Data_Entry!P155/Data_Entry!$H155&lt;0,0,Data_Entry!P155/Data_Entry!$H155),0)</f>
        <v>0.89592932113133295</v>
      </c>
      <c r="L166" s="49">
        <f>IFERROR(IF(Data_Entry!Q155/Data_Entry!$H155&lt;0,0,Data_Entry!Q155/Data_Entry!$H155),0)</f>
        <v>0.9145945153215691</v>
      </c>
      <c r="M166" s="49">
        <f>IFERROR(IF(Data_Entry!R155/Data_Entry!$H155&lt;0,0,Data_Entry!R155/Data_Entry!$H155),0)</f>
        <v>0.98658883576962264</v>
      </c>
      <c r="N166" s="49">
        <f>IFERROR(IF(Data_Entry!S155/Data_Entry!$H155&lt;0,0,Data_Entry!S155/Data_Entry!$H155),0)</f>
        <v>0.90126223375711467</v>
      </c>
      <c r="O166" s="49">
        <f>IFERROR(IF(Data_Entry!T155/Data_Entry!$H155&lt;0,0,Data_Entry!T155/Data_Entry!$H155),0)</f>
        <v>0.94659199107625958</v>
      </c>
      <c r="P166" s="49">
        <f>IFERROR(IF(Data_Entry!U155/Data_Entry!$H155&lt;0,0,Data_Entry!U155/Data_Entry!$H155),0)</f>
        <v>0.98658883576962264</v>
      </c>
      <c r="Q166" s="49">
        <f>IFERROR(IF(Data_Entry!V155/Data_Entry!$H155&lt;0,0,Data_Entry!V155/Data_Entry!$H155),0)</f>
        <v>0.89592932113133295</v>
      </c>
      <c r="R166" s="49">
        <f>IFERROR(IF(Data_Entry!W155/Data_Entry!$H155&lt;0,0,Data_Entry!W155/Data_Entry!$H155),0)</f>
        <v>0.94659199107625958</v>
      </c>
      <c r="S166" s="49">
        <f>IFERROR(IF(Data_Entry!X155/Data_Entry!$H155&lt;0,0,Data_Entry!X155/Data_Entry!$H155),0)</f>
        <v>0.91992742794735083</v>
      </c>
      <c r="T166" s="49">
        <f>IFERROR(IF(Data_Entry!Y155/Data_Entry!$H155&lt;0,0,Data_Entry!Y155/Data_Entry!$H155),0)</f>
        <v>0.59461975777466447</v>
      </c>
      <c r="U166" s="49">
        <f>IFERROR(IF(Data_Entry!Z155/Data_Entry!$H155&lt;0,0,Data_Entry!Z155/Data_Entry!$H155),0)</f>
        <v>0.91992742794735083</v>
      </c>
      <c r="V166" s="49">
        <f>IFERROR(IF(Data_Entry!AA155/Data_Entry!$H155&lt;0,0,Data_Entry!AA155/Data_Entry!$H155),0)</f>
        <v>0.94125907845047774</v>
      </c>
      <c r="W166" s="49">
        <f>IFERROR(IF(Data_Entry!AB155/Data_Entry!$H155&lt;0,0,Data_Entry!AB155/Data_Entry!$H155),0)</f>
        <v>0.89059640850555122</v>
      </c>
      <c r="X166" s="49">
        <f>IFERROR(IF(Data_Entry!AC155/Data_Entry!$I155&lt;0,0,Data_Entry!AC155/Data_Entry!$I155),0)</f>
        <v>0.91663435440093077</v>
      </c>
      <c r="Y166" s="49">
        <f>IFERROR(IF(Data_Entry!AD155/Data_Entry!$I155&lt;0,0,Data_Entry!AD155/Data_Entry!$I155),0)</f>
        <v>0.68398604110120209</v>
      </c>
      <c r="Z166" s="49">
        <f>IFERROR(IF(Data_Entry!AE155/Data_Entry!$I155&lt;0,0,Data_Entry!AE155/Data_Entry!$I155),0)</f>
        <v>0.5979061651803026</v>
      </c>
      <c r="AA166" s="49">
        <f>IFERROR(IF(Data_Entry!AF155/Data_Entry!$I155&lt;0,0,Data_Entry!AF155/Data_Entry!$I155),0)</f>
        <v>0</v>
      </c>
      <c r="AB166" s="49">
        <f>IFERROR(IF(Data_Entry!AG155/Data_Entry!$I155&lt;0,0,Data_Entry!AG155/Data_Entry!$I155),0)</f>
        <v>0</v>
      </c>
      <c r="AC166" s="49">
        <f>IFERROR(IF(Data_Entry!AI155/Data_Entry!$I155&lt;0,0,Data_Entry!AI155/Data_Entry!$I155),0)</f>
        <v>5.8162078324932157E-2</v>
      </c>
      <c r="AD166" s="49">
        <f>IFERROR(IF(Data_Entry!AM155/Data_Entry!$H155&lt;0,0,Data_Entry!AM155/Data_Entry!$H155),0)</f>
        <v>0.91992742794735083</v>
      </c>
      <c r="AE166" s="50">
        <f>Data_Entry!AK155</f>
        <v>5.0295833333333348</v>
      </c>
      <c r="AF166" s="50">
        <f>Data_Entry!AL155</f>
        <v>25</v>
      </c>
      <c r="AG166" s="153">
        <f>(Data_Entry!O155-Data_Entry!Q155)/Data_Entry!O155</f>
        <v>7.2972972972972977E-2</v>
      </c>
      <c r="AH166" s="79" t="str">
        <f t="shared" si="4"/>
        <v>CAT1</v>
      </c>
      <c r="AI166" s="51">
        <f>SUBTOTAL(3,Tableau1[[#This Row],[ZS]])</f>
        <v>1</v>
      </c>
      <c r="AJ166" s="51" t="e">
        <f t="shared" ca="1" si="5"/>
        <v>#NAME?</v>
      </c>
      <c r="AK166" s="50" t="str">
        <f>IFERROR(IF((Data_Entry!O155-Data_Entry!Q155)/Data_Entry!O155&lt;=10%,"&lt;=10%","&gt;10%"),"&lt;=10%")</f>
        <v>&lt;=10%</v>
      </c>
    </row>
    <row r="167" spans="1:37" s="48" customFormat="1" ht="13" x14ac:dyDescent="0.3">
      <c r="A167" s="31" t="s">
        <v>16</v>
      </c>
      <c r="B167" s="48" t="str">
        <f>Data_Entry!B156</f>
        <v>Goma</v>
      </c>
      <c r="C167" s="48" t="str">
        <f>Data_Entry!C156</f>
        <v xml:space="preserve"> Itebero</v>
      </c>
      <c r="D167" s="48" t="str">
        <f>Data_Entry!D156</f>
        <v xml:space="preserve"> Malembe</v>
      </c>
      <c r="E167" s="49">
        <f>IFERROR(IF(Data_Entry!J156/Data_Entry!$I156&lt;0,0,Data_Entry!J156/Data_Entry!$I156),0)</f>
        <v>0.95706156233833417</v>
      </c>
      <c r="F167" s="49">
        <f>IFERROR(IF(Data_Entry!K156/Data_Entry!$H156&lt;0,0,Data_Entry!K156/Data_Entry!$H156),0)</f>
        <v>0</v>
      </c>
      <c r="G167" s="49">
        <f>IFERROR(IF(Data_Entry!L156/Data_Entry!$H156&lt;0,0,Data_Entry!L156/Data_Entry!$H156),0)</f>
        <v>0.89532282761922699</v>
      </c>
      <c r="H167" s="49">
        <f>IFERROR(IF(Data_Entry!M156/Data_Entry!$H156&lt;0,0,Data_Entry!M156/Data_Entry!$H156),0)</f>
        <v>0.88346424712095906</v>
      </c>
      <c r="I167" s="49">
        <f>IFERROR(IF(Data_Entry!N156/Data_Entry!$H156&lt;0,0,Data_Entry!N156/Data_Entry!$H156),0)</f>
        <v>0.88642889224552601</v>
      </c>
      <c r="J167" s="49">
        <f>IFERROR(IF(Data_Entry!O156/Data_Entry!$H156&lt;0,0,Data_Entry!O156/Data_Entry!$H156),0)</f>
        <v>0.99612076185450416</v>
      </c>
      <c r="K167" s="49">
        <f>IFERROR(IF(Data_Entry!P156/Data_Entry!$H156&lt;0,0,Data_Entry!P156/Data_Entry!$H156),0)</f>
        <v>0.97833289110710231</v>
      </c>
      <c r="L167" s="49">
        <f>IFERROR(IF(Data_Entry!Q156/Data_Entry!$H156&lt;0,0,Data_Entry!Q156/Data_Entry!$H156),0)</f>
        <v>0.98426218135623622</v>
      </c>
      <c r="M167" s="49">
        <f>IFERROR(IF(Data_Entry!R156/Data_Entry!$H156&lt;0,0,Data_Entry!R156/Data_Entry!$H156),0)</f>
        <v>0.99019147160537024</v>
      </c>
      <c r="N167" s="49">
        <f>IFERROR(IF(Data_Entry!S156/Data_Entry!$H156&lt;0,0,Data_Entry!S156/Data_Entry!$H156),0)</f>
        <v>0.97833289110710231</v>
      </c>
      <c r="O167" s="49">
        <f>IFERROR(IF(Data_Entry!T156/Data_Entry!$H156&lt;0,0,Data_Entry!T156/Data_Entry!$H156),0)</f>
        <v>0.98426218135623622</v>
      </c>
      <c r="P167" s="49">
        <f>IFERROR(IF(Data_Entry!U156/Data_Entry!$H156&lt;0,0,Data_Entry!U156/Data_Entry!$H156),0)</f>
        <v>0.99612076185450416</v>
      </c>
      <c r="Q167" s="49">
        <f>IFERROR(IF(Data_Entry!V156/Data_Entry!$H156&lt;0,0,Data_Entry!V156/Data_Entry!$H156),0)</f>
        <v>0.97536824598253535</v>
      </c>
      <c r="R167" s="49">
        <f>IFERROR(IF(Data_Entry!W156/Data_Entry!$H156&lt;0,0,Data_Entry!W156/Data_Entry!$H156),0)</f>
        <v>0.98129753623166927</v>
      </c>
      <c r="S167" s="49">
        <f>IFERROR(IF(Data_Entry!X156/Data_Entry!$H156&lt;0,0,Data_Entry!X156/Data_Entry!$H156),0)</f>
        <v>0.88346424712095906</v>
      </c>
      <c r="T167" s="49">
        <f>IFERROR(IF(Data_Entry!Y156/Data_Entry!$H156&lt;0,0,Data_Entry!Y156/Data_Entry!$H156),0)</f>
        <v>0.79452489338394972</v>
      </c>
      <c r="U167" s="49">
        <f>IFERROR(IF(Data_Entry!Z156/Data_Entry!$H156&lt;0,0,Data_Entry!Z156/Data_Entry!$H156),0)</f>
        <v>0.88346424712095906</v>
      </c>
      <c r="V167" s="49">
        <f>IFERROR(IF(Data_Entry!AA156/Data_Entry!$H156&lt;0,0,Data_Entry!AA156/Data_Entry!$H156),0)</f>
        <v>0.88642889224552601</v>
      </c>
      <c r="W167" s="49">
        <f>IFERROR(IF(Data_Entry!AB156/Data_Entry!$H156&lt;0,0,Data_Entry!AB156/Data_Entry!$H156),0)</f>
        <v>0.88642889224552601</v>
      </c>
      <c r="X167" s="49">
        <f>IFERROR(IF(Data_Entry!AC156/Data_Entry!$I156&lt;0,0,Data_Entry!AC156/Data_Entry!$I156),0)</f>
        <v>0.49663735126745989</v>
      </c>
      <c r="Y167" s="49">
        <f>IFERROR(IF(Data_Entry!AD156/Data_Entry!$I156&lt;0,0,Data_Entry!AD156/Data_Entry!$I156),0)</f>
        <v>0.48887739265390584</v>
      </c>
      <c r="Z167" s="49">
        <f>IFERROR(IF(Data_Entry!AE156/Data_Entry!$I156&lt;0,0,Data_Entry!AE156/Data_Entry!$I156),0)</f>
        <v>1.0346611484738748E-2</v>
      </c>
      <c r="AA167" s="49">
        <f>IFERROR(IF(Data_Entry!AF156/Data_Entry!$I156&lt;0,0,Data_Entry!AF156/Data_Entry!$I156),0)</f>
        <v>2.5866528711846869E-3</v>
      </c>
      <c r="AB167" s="49">
        <f>IFERROR(IF(Data_Entry!AG156/Data_Entry!$I156&lt;0,0,Data_Entry!AG156/Data_Entry!$I156),0)</f>
        <v>0</v>
      </c>
      <c r="AC167" s="49">
        <f>IFERROR(IF(Data_Entry!AI156/Data_Entry!$I156&lt;0,0,Data_Entry!AI156/Data_Entry!$I156),0)</f>
        <v>0.10786342472840145</v>
      </c>
      <c r="AD167" s="49">
        <f>IFERROR(IF(Data_Entry!AM156/Data_Entry!$H156&lt;0,0,Data_Entry!AM156/Data_Entry!$H156),0)</f>
        <v>0.88346424712095906</v>
      </c>
      <c r="AE167" s="50">
        <f>Data_Entry!AK156</f>
        <v>1.3084999999999809</v>
      </c>
      <c r="AF167" s="50">
        <f>Data_Entry!AL156</f>
        <v>38</v>
      </c>
      <c r="AG167" s="153">
        <f>(Data_Entry!O156-Data_Entry!Q156)/Data_Entry!O156</f>
        <v>1.1904761904761904E-2</v>
      </c>
      <c r="AH167" s="79" t="str">
        <f t="shared" si="4"/>
        <v>CAT1</v>
      </c>
      <c r="AI167" s="51">
        <f>SUBTOTAL(3,Tableau1[[#This Row],[ZS]])</f>
        <v>1</v>
      </c>
      <c r="AJ167" s="51" t="e">
        <f t="shared" ca="1" si="5"/>
        <v>#NAME?</v>
      </c>
      <c r="AK167" s="50" t="str">
        <f>IFERROR(IF((Data_Entry!O156-Data_Entry!Q156)/Data_Entry!O156&lt;=10%,"&lt;=10%","&gt;10%"),"&lt;=10%")</f>
        <v>&lt;=10%</v>
      </c>
    </row>
    <row r="168" spans="1:37" s="48" customFormat="1" ht="13" x14ac:dyDescent="0.3">
      <c r="A168" s="31" t="s">
        <v>16</v>
      </c>
      <c r="B168" s="48" t="str">
        <f>Data_Entry!B157</f>
        <v>Goma</v>
      </c>
      <c r="C168" s="48" t="str">
        <f>Data_Entry!C157</f>
        <v xml:space="preserve"> Itebero</v>
      </c>
      <c r="D168" s="48" t="str">
        <f>Data_Entry!D157</f>
        <v xml:space="preserve"> Mandje</v>
      </c>
      <c r="E168" s="49">
        <f>IFERROR(IF(Data_Entry!J157/Data_Entry!$I157&lt;0,0,Data_Entry!J157/Data_Entry!$I157),0)</f>
        <v>0.86639306885544898</v>
      </c>
      <c r="F168" s="49">
        <f>IFERROR(IF(Data_Entry!K157/Data_Entry!$H157&lt;0,0,Data_Entry!K157/Data_Entry!$H157),0)</f>
        <v>0.3501633878046454</v>
      </c>
      <c r="G168" s="49">
        <f>IFERROR(IF(Data_Entry!L157/Data_Entry!$H157&lt;0,0,Data_Entry!L157/Data_Entry!$H157),0)</f>
        <v>0.54353719898034503</v>
      </c>
      <c r="H168" s="49">
        <f>IFERROR(IF(Data_Entry!M157/Data_Entry!$H157&lt;0,0,Data_Entry!M157/Data_Entry!$H157),0)</f>
        <v>0.47559504910780193</v>
      </c>
      <c r="I168" s="49">
        <f>IFERROR(IF(Data_Entry!N157/Data_Entry!$H157&lt;0,0,Data_Entry!N157/Data_Entry!$H157),0)</f>
        <v>0.50172664521262622</v>
      </c>
      <c r="J168" s="49">
        <f>IFERROR(IF(Data_Entry!O157/Data_Entry!$H157&lt;0,0,Data_Entry!O157/Data_Entry!$H157),0)</f>
        <v>0.90937954444788505</v>
      </c>
      <c r="K168" s="49">
        <f>IFERROR(IF(Data_Entry!P157/Data_Entry!$H157&lt;0,0,Data_Entry!P157/Data_Entry!$H157),0)</f>
        <v>0.836211075354377</v>
      </c>
      <c r="L168" s="49">
        <f>IFERROR(IF(Data_Entry!Q157/Data_Entry!$H157&lt;0,0,Data_Entry!Q157/Data_Entry!$H157),0)</f>
        <v>0.87802162912209591</v>
      </c>
      <c r="M168" s="49">
        <f>IFERROR(IF(Data_Entry!R157/Data_Entry!$H157&lt;0,0,Data_Entry!R157/Data_Entry!$H157),0)</f>
        <v>0.90937954444788505</v>
      </c>
      <c r="N168" s="49">
        <f>IFERROR(IF(Data_Entry!S157/Data_Entry!$H157&lt;0,0,Data_Entry!S157/Data_Entry!$H157),0)</f>
        <v>0.836211075354377</v>
      </c>
      <c r="O168" s="49">
        <f>IFERROR(IF(Data_Entry!T157/Data_Entry!$H157&lt;0,0,Data_Entry!T157/Data_Entry!$H157),0)</f>
        <v>0.87802162912209591</v>
      </c>
      <c r="P168" s="49">
        <f>IFERROR(IF(Data_Entry!U157/Data_Entry!$H157&lt;0,0,Data_Entry!U157/Data_Entry!$H157),0)</f>
        <v>0.8100794792495527</v>
      </c>
      <c r="Q168" s="49">
        <f>IFERROR(IF(Data_Entry!V157/Data_Entry!$H157&lt;0,0,Data_Entry!V157/Data_Entry!$H157),0)</f>
        <v>0.73691101015604477</v>
      </c>
      <c r="R168" s="49">
        <f>IFERROR(IF(Data_Entry!W157/Data_Entry!$H157&lt;0,0,Data_Entry!W157/Data_Entry!$H157),0)</f>
        <v>0.78394788314472841</v>
      </c>
      <c r="S168" s="49">
        <f>IFERROR(IF(Data_Entry!X157/Data_Entry!$H157&lt;0,0,Data_Entry!X157/Data_Entry!$H157),0)</f>
        <v>0.89892690600595526</v>
      </c>
      <c r="T168" s="49">
        <f>IFERROR(IF(Data_Entry!Y157/Data_Entry!$H157&lt;0,0,Data_Entry!Y157/Data_Entry!$H157),0)</f>
        <v>0.64806358339964221</v>
      </c>
      <c r="U168" s="49">
        <f>IFERROR(IF(Data_Entry!Z157/Data_Entry!$H157&lt;0,0,Data_Entry!Z157/Data_Entry!$H157),0)</f>
        <v>0.89892690600595526</v>
      </c>
      <c r="V168" s="49">
        <f>IFERROR(IF(Data_Entry!AA157/Data_Entry!$H157&lt;0,0,Data_Entry!AA157/Data_Entry!$H157),0)</f>
        <v>0.50172664521262622</v>
      </c>
      <c r="W168" s="49">
        <f>IFERROR(IF(Data_Entry!AB157/Data_Entry!$H157&lt;0,0,Data_Entry!AB157/Data_Entry!$H157),0)</f>
        <v>0.44946345300297763</v>
      </c>
      <c r="X168" s="49">
        <f>IFERROR(IF(Data_Entry!AC157/Data_Entry!$I157&lt;0,0,Data_Entry!AC157/Data_Entry!$I157),0)</f>
        <v>0.32375740994072044</v>
      </c>
      <c r="Y168" s="49">
        <f>IFERROR(IF(Data_Entry!AD157/Data_Entry!$I157&lt;0,0,Data_Entry!AD157/Data_Entry!$I157),0)</f>
        <v>0.13223894208846326</v>
      </c>
      <c r="Z168" s="49">
        <f>IFERROR(IF(Data_Entry!AE157/Data_Entry!$I157&lt;0,0,Data_Entry!AE157/Data_Entry!$I157),0)</f>
        <v>7.7519379844961225E-2</v>
      </c>
      <c r="AA168" s="49">
        <f>IFERROR(IF(Data_Entry!AF157/Data_Entry!$I157&lt;0,0,Data_Entry!AF157/Data_Entry!$I157),0)</f>
        <v>6.3839489284085713E-2</v>
      </c>
      <c r="AB168" s="49">
        <f>IFERROR(IF(Data_Entry!AG157/Data_Entry!$I157&lt;0,0,Data_Entry!AG157/Data_Entry!$I157),0)</f>
        <v>3.6479708162334694E-2</v>
      </c>
      <c r="AC168" s="49">
        <f>IFERROR(IF(Data_Entry!AI157/Data_Entry!$I157&lt;0,0,Data_Entry!AI157/Data_Entry!$I157),0)</f>
        <v>0.19015047879616961</v>
      </c>
      <c r="AD168" s="49">
        <f>IFERROR(IF(Data_Entry!AM157/Data_Entry!$H157&lt;0,0,Data_Entry!AM157/Data_Entry!$H157),0)</f>
        <v>0.89892690600595526</v>
      </c>
      <c r="AE168" s="50">
        <f>Data_Entry!AK157</f>
        <v>17.339250000000021</v>
      </c>
      <c r="AF168" s="50">
        <f>Data_Entry!AL157</f>
        <v>2</v>
      </c>
      <c r="AG168" s="153">
        <f>(Data_Entry!O157-Data_Entry!Q157)/Data_Entry!O157</f>
        <v>3.4482758620689655E-2</v>
      </c>
      <c r="AH168" s="79" t="str">
        <f t="shared" si="4"/>
        <v>CAT1</v>
      </c>
      <c r="AI168" s="51">
        <f>SUBTOTAL(3,Tableau1[[#This Row],[ZS]])</f>
        <v>1</v>
      </c>
      <c r="AJ168" s="51" t="e">
        <f t="shared" ca="1" si="5"/>
        <v>#NAME?</v>
      </c>
      <c r="AK168" s="50" t="str">
        <f>IFERROR(IF((Data_Entry!O157-Data_Entry!Q157)/Data_Entry!O157&lt;=10%,"&lt;=10%","&gt;10%"),"&lt;=10%")</f>
        <v>&lt;=10%</v>
      </c>
    </row>
    <row r="169" spans="1:37" s="48" customFormat="1" ht="13" x14ac:dyDescent="0.3">
      <c r="A169" s="31" t="s">
        <v>16</v>
      </c>
      <c r="B169" s="48" t="str">
        <f>Data_Entry!B158</f>
        <v>Goma</v>
      </c>
      <c r="C169" s="48" t="str">
        <f>Data_Entry!C158</f>
        <v xml:space="preserve"> Itebero</v>
      </c>
      <c r="D169" s="48" t="str">
        <f>Data_Entry!D158</f>
        <v xml:space="preserve"> Mianga</v>
      </c>
      <c r="E169" s="49">
        <f>IFERROR(IF(Data_Entry!J158/Data_Entry!$I158&lt;0,0,Data_Entry!J158/Data_Entry!$I158),0)</f>
        <v>1.0141903171953257</v>
      </c>
      <c r="F169" s="49">
        <f>IFERROR(IF(Data_Entry!K158/Data_Entry!$H158&lt;0,0,Data_Entry!K158/Data_Entry!$H158),0)</f>
        <v>0.52140386795566629</v>
      </c>
      <c r="G169" s="49">
        <f>IFERROR(IF(Data_Entry!L158/Data_Entry!$H158&lt;0,0,Data_Entry!L158/Data_Entry!$H158),0)</f>
        <v>0.97583843177023777</v>
      </c>
      <c r="H169" s="49">
        <f>IFERROR(IF(Data_Entry!M158/Data_Entry!$H158&lt;0,0,Data_Entry!M158/Data_Entry!$H158),0)</f>
        <v>0.98062195349460168</v>
      </c>
      <c r="I169" s="49">
        <f>IFERROR(IF(Data_Entry!N158/Data_Entry!$H158&lt;0,0,Data_Entry!N158/Data_Entry!$H158),0)</f>
        <v>0.9854054752189656</v>
      </c>
      <c r="J169" s="49">
        <f>IFERROR(IF(Data_Entry!O158/Data_Entry!$H158&lt;0,0,Data_Entry!O158/Data_Entry!$H158),0)</f>
        <v>0.97583843177023777</v>
      </c>
      <c r="K169" s="49">
        <f>IFERROR(IF(Data_Entry!P158/Data_Entry!$H158&lt;0,0,Data_Entry!P158/Data_Entry!$H158),0)</f>
        <v>0.98062195349460168</v>
      </c>
      <c r="L169" s="49">
        <f>IFERROR(IF(Data_Entry!Q158/Data_Entry!$H158&lt;0,0,Data_Entry!Q158/Data_Entry!$H158),0)</f>
        <v>0.9854054752189656</v>
      </c>
      <c r="M169" s="49">
        <f>IFERROR(IF(Data_Entry!R158/Data_Entry!$H158&lt;0,0,Data_Entry!R158/Data_Entry!$H158),0)</f>
        <v>0.97583843177023777</v>
      </c>
      <c r="N169" s="49">
        <f>IFERROR(IF(Data_Entry!S158/Data_Entry!$H158&lt;0,0,Data_Entry!S158/Data_Entry!$H158),0)</f>
        <v>0.98062195349460168</v>
      </c>
      <c r="O169" s="49">
        <f>IFERROR(IF(Data_Entry!T158/Data_Entry!$H158&lt;0,0,Data_Entry!T158/Data_Entry!$H158),0)</f>
        <v>0.9854054752189656</v>
      </c>
      <c r="P169" s="49">
        <f>IFERROR(IF(Data_Entry!U158/Data_Entry!$H158&lt;0,0,Data_Entry!U158/Data_Entry!$H158),0)</f>
        <v>0.99497251866769343</v>
      </c>
      <c r="Q169" s="49">
        <f>IFERROR(IF(Data_Entry!V158/Data_Entry!$H158&lt;0,0,Data_Entry!V158/Data_Entry!$H158),0)</f>
        <v>0.96627138832150994</v>
      </c>
      <c r="R169" s="49">
        <f>IFERROR(IF(Data_Entry!W158/Data_Entry!$H158&lt;0,0,Data_Entry!W158/Data_Entry!$H158),0)</f>
        <v>0.9854054752189656</v>
      </c>
      <c r="S169" s="49">
        <f>IFERROR(IF(Data_Entry!X158/Data_Entry!$H158&lt;0,0,Data_Entry!X158/Data_Entry!$H158),0)</f>
        <v>1.0858594314306078</v>
      </c>
      <c r="T169" s="49">
        <f>IFERROR(IF(Data_Entry!Y158/Data_Entry!$H158&lt;0,0,Data_Entry!Y158/Data_Entry!$H158),0)</f>
        <v>0.85146686693677609</v>
      </c>
      <c r="U169" s="49">
        <f>IFERROR(IF(Data_Entry!Z158/Data_Entry!$H158&lt;0,0,Data_Entry!Z158/Data_Entry!$H158),0)</f>
        <v>1.133694648674247</v>
      </c>
      <c r="V169" s="49">
        <f>IFERROR(IF(Data_Entry!AA158/Data_Entry!$H158&lt;0,0,Data_Entry!AA158/Data_Entry!$H158),0)</f>
        <v>1.0571583010844243</v>
      </c>
      <c r="W169" s="49">
        <f>IFERROR(IF(Data_Entry!AB158/Data_Entry!$H158&lt;0,0,Data_Entry!AB158/Data_Entry!$H158),0)</f>
        <v>0.71752825865458658</v>
      </c>
      <c r="X169" s="49">
        <f>IFERROR(IF(Data_Entry!AC158/Data_Entry!$I158&lt;0,0,Data_Entry!AC158/Data_Entry!$I158),0)</f>
        <v>0.45909849749582643</v>
      </c>
      <c r="Y169" s="49">
        <f>IFERROR(IF(Data_Entry!AD158/Data_Entry!$I158&lt;0,0,Data_Entry!AD158/Data_Entry!$I158),0)</f>
        <v>0.39649415692821377</v>
      </c>
      <c r="Z169" s="49">
        <f>IFERROR(IF(Data_Entry!AE158/Data_Entry!$I158&lt;0,0,Data_Entry!AE158/Data_Entry!$I158),0)</f>
        <v>0.32554257095158601</v>
      </c>
      <c r="AA169" s="49">
        <f>IFERROR(IF(Data_Entry!AF158/Data_Entry!$I158&lt;0,0,Data_Entry!AF158/Data_Entry!$I158),0)</f>
        <v>0.15442404006677798</v>
      </c>
      <c r="AB169" s="49">
        <f>IFERROR(IF(Data_Entry!AG158/Data_Entry!$I158&lt;0,0,Data_Entry!AG158/Data_Entry!$I158),0)</f>
        <v>7.0951585976627721E-2</v>
      </c>
      <c r="AC169" s="49">
        <f>IFERROR(IF(Data_Entry!AI158/Data_Entry!$I158&lt;0,0,Data_Entry!AI158/Data_Entry!$I158),0)</f>
        <v>0.10434056761268783</v>
      </c>
      <c r="AD169" s="49">
        <f>IFERROR(IF(Data_Entry!AM158/Data_Entry!$H158&lt;0,0,Data_Entry!AM158/Data_Entry!$H158),0)</f>
        <v>1.0858594314306078</v>
      </c>
      <c r="AE169" s="50">
        <f>Data_Entry!AK158</f>
        <v>5.0510000000000161</v>
      </c>
      <c r="AF169" s="50">
        <f>Data_Entry!AL158</f>
        <v>0</v>
      </c>
      <c r="AG169" s="153">
        <f>(Data_Entry!O158-Data_Entry!Q158)/Data_Entry!O158</f>
        <v>-9.8039215686274508E-3</v>
      </c>
      <c r="AH169" s="79" t="str">
        <f t="shared" si="4"/>
        <v>CAT1</v>
      </c>
      <c r="AI169" s="51">
        <f>SUBTOTAL(3,Tableau1[[#This Row],[ZS]])</f>
        <v>1</v>
      </c>
      <c r="AJ169" s="51" t="e">
        <f t="shared" ca="1" si="5"/>
        <v>#NAME?</v>
      </c>
      <c r="AK169" s="50" t="str">
        <f>IFERROR(IF((Data_Entry!O158-Data_Entry!Q158)/Data_Entry!O158&lt;=10%,"&lt;=10%","&gt;10%"),"&lt;=10%")</f>
        <v>&lt;=10%</v>
      </c>
    </row>
    <row r="170" spans="1:37" s="48" customFormat="1" ht="13" x14ac:dyDescent="0.3">
      <c r="A170" s="31" t="s">
        <v>16</v>
      </c>
      <c r="B170" s="48" t="str">
        <f>Data_Entry!B159</f>
        <v>Goma</v>
      </c>
      <c r="C170" s="48" t="str">
        <f>Data_Entry!C159</f>
        <v xml:space="preserve"> Itebero</v>
      </c>
      <c r="D170" s="48" t="str">
        <f>Data_Entry!D159</f>
        <v xml:space="preserve"> Mifuti 55ème CEBCE</v>
      </c>
      <c r="E170" s="49">
        <f>IFERROR(IF(Data_Entry!J159/Data_Entry!$I159&lt;0,0,Data_Entry!J159/Data_Entry!$I159),0)</f>
        <v>0.8339350180505416</v>
      </c>
      <c r="F170" s="49">
        <f>IFERROR(IF(Data_Entry!K159/Data_Entry!$H159&lt;0,0,Data_Entry!K159/Data_Entry!$H159),0)</f>
        <v>0.44686727421306877</v>
      </c>
      <c r="G170" s="49">
        <f>IFERROR(IF(Data_Entry!L159/Data_Entry!$H159&lt;0,0,Data_Entry!L159/Data_Entry!$H159),0)</f>
        <v>1.0364838165775345</v>
      </c>
      <c r="H170" s="49">
        <f>IFERROR(IF(Data_Entry!M159/Data_Entry!$H159&lt;0,0,Data_Entry!M159/Data_Entry!$H159),0)</f>
        <v>0.91235401818501549</v>
      </c>
      <c r="I170" s="49">
        <f>IFERROR(IF(Data_Entry!N159/Data_Entry!$H159&lt;0,0,Data_Entry!N159/Data_Entry!$H159),0)</f>
        <v>0.8068436895513742</v>
      </c>
      <c r="J170" s="49">
        <f>IFERROR(IF(Data_Entry!O159/Data_Entry!$H159&lt;0,0,Data_Entry!O159/Data_Entry!$H159),0)</f>
        <v>0.85028911898875592</v>
      </c>
      <c r="K170" s="49">
        <f>IFERROR(IF(Data_Entry!P159/Data_Entry!$H159&lt;0,0,Data_Entry!P159/Data_Entry!$H159),0)</f>
        <v>0.86890858874763377</v>
      </c>
      <c r="L170" s="49">
        <f>IFERROR(IF(Data_Entry!Q159/Data_Entry!$H159&lt;0,0,Data_Entry!Q159/Data_Entry!$H159),0)</f>
        <v>0.89373454842613753</v>
      </c>
      <c r="M170" s="49">
        <f>IFERROR(IF(Data_Entry!R159/Data_Entry!$H159&lt;0,0,Data_Entry!R159/Data_Entry!$H159),0)</f>
        <v>0.86270209882800786</v>
      </c>
      <c r="N170" s="49">
        <f>IFERROR(IF(Data_Entry!S159/Data_Entry!$H159&lt;0,0,Data_Entry!S159/Data_Entry!$H159),0)</f>
        <v>0.91235401818501549</v>
      </c>
      <c r="O170" s="49">
        <f>IFERROR(IF(Data_Entry!T159/Data_Entry!$H159&lt;0,0,Data_Entry!T159/Data_Entry!$H159),0)</f>
        <v>0.93717997786351925</v>
      </c>
      <c r="P170" s="49">
        <f>IFERROR(IF(Data_Entry!U159/Data_Entry!$H159&lt;0,0,Data_Entry!U159/Data_Entry!$H159),0)</f>
        <v>1.0364838165775345</v>
      </c>
      <c r="Q170" s="49">
        <f>IFERROR(IF(Data_Entry!V159/Data_Entry!$H159&lt;0,0,Data_Entry!V159/Data_Entry!$H159),0)</f>
        <v>0.85649560890838183</v>
      </c>
      <c r="R170" s="49">
        <f>IFERROR(IF(Data_Entry!W159/Data_Entry!$H159&lt;0,0,Data_Entry!W159/Data_Entry!$H159),0)</f>
        <v>0.94338646778314528</v>
      </c>
      <c r="S170" s="49">
        <f>IFERROR(IF(Data_Entry!X159/Data_Entry!$H159&lt;0,0,Data_Entry!X159/Data_Entry!$H159),0)</f>
        <v>0.80063719963174829</v>
      </c>
      <c r="T170" s="49">
        <f>IFERROR(IF(Data_Entry!Y159/Data_Entry!$H159&lt;0,0,Data_Entry!Y159/Data_Entry!$H159),0)</f>
        <v>0.52134515324858022</v>
      </c>
      <c r="U170" s="49">
        <f>IFERROR(IF(Data_Entry!Z159/Data_Entry!$H159&lt;0,0,Data_Entry!Z159/Data_Entry!$H159),0)</f>
        <v>0.88132156858688571</v>
      </c>
      <c r="V170" s="49">
        <f>IFERROR(IF(Data_Entry!AA159/Data_Entry!$H159&lt;0,0,Data_Entry!AA159/Data_Entry!$H159),0)</f>
        <v>0.54617111292708409</v>
      </c>
      <c r="W170" s="49">
        <f>IFERROR(IF(Data_Entry!AB159/Data_Entry!$H159&lt;0,0,Data_Entry!AB159/Data_Entry!$H159),0)</f>
        <v>0.60823601212334366</v>
      </c>
      <c r="X170" s="49">
        <f>IFERROR(IF(Data_Entry!AC159/Data_Entry!$I159&lt;0,0,Data_Entry!AC159/Data_Entry!$I159),0)</f>
        <v>0.87184115523465711</v>
      </c>
      <c r="Y170" s="49">
        <f>IFERROR(IF(Data_Entry!AD159/Data_Entry!$I159&lt;0,0,Data_Entry!AD159/Data_Entry!$I159),0)</f>
        <v>0.70397111913357402</v>
      </c>
      <c r="Z170" s="49">
        <f>IFERROR(IF(Data_Entry!AE159/Data_Entry!$I159&lt;0,0,Data_Entry!AE159/Data_Entry!$I159),0)</f>
        <v>0.10830324909747292</v>
      </c>
      <c r="AA170" s="49">
        <f>IFERROR(IF(Data_Entry!AF159/Data_Entry!$I159&lt;0,0,Data_Entry!AF159/Data_Entry!$I159),0)</f>
        <v>0</v>
      </c>
      <c r="AB170" s="49">
        <f>IFERROR(IF(Data_Entry!AG159/Data_Entry!$I159&lt;0,0,Data_Entry!AG159/Data_Entry!$I159),0)</f>
        <v>0</v>
      </c>
      <c r="AC170" s="49">
        <f>IFERROR(IF(Data_Entry!AI159/Data_Entry!$I159&lt;0,0,Data_Entry!AI159/Data_Entry!$I159),0)</f>
        <v>0.1803249097472924</v>
      </c>
      <c r="AD170" s="49">
        <f>IFERROR(IF(Data_Entry!AM159/Data_Entry!$H159&lt;0,0,Data_Entry!AM159/Data_Entry!$H159),0)</f>
        <v>0.80063719963174829</v>
      </c>
      <c r="AE170" s="50">
        <f>Data_Entry!AK159</f>
        <v>24.12166666666667</v>
      </c>
      <c r="AF170" s="50">
        <f>Data_Entry!AL159</f>
        <v>8</v>
      </c>
      <c r="AG170" s="153">
        <f>(Data_Entry!O159-Data_Entry!Q159)/Data_Entry!O159</f>
        <v>-5.1094890510948905E-2</v>
      </c>
      <c r="AH170" s="79" t="str">
        <f t="shared" si="4"/>
        <v>CAT3</v>
      </c>
      <c r="AI170" s="51">
        <f>SUBTOTAL(3,Tableau1[[#This Row],[ZS]])</f>
        <v>1</v>
      </c>
      <c r="AJ170" s="51" t="e">
        <f t="shared" ca="1" si="5"/>
        <v>#NAME?</v>
      </c>
      <c r="AK170" s="50" t="str">
        <f>IFERROR(IF((Data_Entry!O159-Data_Entry!Q159)/Data_Entry!O159&lt;=10%,"&lt;=10%","&gt;10%"),"&lt;=10%")</f>
        <v>&lt;=10%</v>
      </c>
    </row>
    <row r="171" spans="1:37" s="48" customFormat="1" ht="13" x14ac:dyDescent="0.3">
      <c r="A171" s="31" t="s">
        <v>16</v>
      </c>
      <c r="B171" s="48" t="str">
        <f>Data_Entry!B160</f>
        <v>Goma</v>
      </c>
      <c r="C171" s="48" t="str">
        <f>Data_Entry!C160</f>
        <v xml:space="preserve"> Itebero</v>
      </c>
      <c r="D171" s="48" t="str">
        <f>Data_Entry!D160</f>
        <v xml:space="preserve"> Mifuti 8ème CEPAC</v>
      </c>
      <c r="E171" s="49">
        <f>IFERROR(IF(Data_Entry!J160/Data_Entry!$I160&lt;0,0,Data_Entry!J160/Data_Entry!$I160),0)</f>
        <v>0.77944911115452242</v>
      </c>
      <c r="F171" s="49">
        <f>IFERROR(IF(Data_Entry!K160/Data_Entry!$H160&lt;0,0,Data_Entry!K160/Data_Entry!$H160),0)</f>
        <v>0.55078809155844488</v>
      </c>
      <c r="G171" s="49">
        <f>IFERROR(IF(Data_Entry!L160/Data_Entry!$H160&lt;0,0,Data_Entry!L160/Data_Entry!$H160),0)</f>
        <v>0.77244671377098972</v>
      </c>
      <c r="H171" s="49">
        <f>IFERROR(IF(Data_Entry!M160/Data_Entry!$H160&lt;0,0,Data_Entry!M160/Data_Entry!$H160),0)</f>
        <v>0.73886207404181625</v>
      </c>
      <c r="I171" s="49">
        <f>IFERROR(IF(Data_Entry!N160/Data_Entry!$H160&lt;0,0,Data_Entry!N160/Data_Entry!$H160),0)</f>
        <v>0.75229592993348571</v>
      </c>
      <c r="J171" s="49">
        <f>IFERROR(IF(Data_Entry!O160/Data_Entry!$H160&lt;0,0,Data_Entry!O160/Data_Entry!$H160),0)</f>
        <v>0.77244671377098972</v>
      </c>
      <c r="K171" s="49">
        <f>IFERROR(IF(Data_Entry!P160/Data_Entry!$H160&lt;0,0,Data_Entry!P160/Data_Entry!$H160),0)</f>
        <v>0.73886207404181625</v>
      </c>
      <c r="L171" s="49">
        <f>IFERROR(IF(Data_Entry!Q160/Data_Entry!$H160&lt;0,0,Data_Entry!Q160/Data_Entry!$H160),0)</f>
        <v>0.75229592993348571</v>
      </c>
      <c r="M171" s="49">
        <f>IFERROR(IF(Data_Entry!R160/Data_Entry!$H160&lt;0,0,Data_Entry!R160/Data_Entry!$H160),0)</f>
        <v>0.77244671377098972</v>
      </c>
      <c r="N171" s="49">
        <f>IFERROR(IF(Data_Entry!S160/Data_Entry!$H160&lt;0,0,Data_Entry!S160/Data_Entry!$H160),0)</f>
        <v>0.73886207404181625</v>
      </c>
      <c r="O171" s="49">
        <f>IFERROR(IF(Data_Entry!T160/Data_Entry!$H160&lt;0,0,Data_Entry!T160/Data_Entry!$H160),0)</f>
        <v>0.75229592993348571</v>
      </c>
      <c r="P171" s="49">
        <f>IFERROR(IF(Data_Entry!U160/Data_Entry!$H160&lt;0,0,Data_Entry!U160/Data_Entry!$H160),0)</f>
        <v>0.77244671377098972</v>
      </c>
      <c r="Q171" s="49">
        <f>IFERROR(IF(Data_Entry!V160/Data_Entry!$H160&lt;0,0,Data_Entry!V160/Data_Entry!$H160),0)</f>
        <v>0.73886207404181625</v>
      </c>
      <c r="R171" s="49">
        <f>IFERROR(IF(Data_Entry!W160/Data_Entry!$H160&lt;0,0,Data_Entry!W160/Data_Entry!$H160),0)</f>
        <v>0.75901285787932038</v>
      </c>
      <c r="S171" s="49">
        <f>IFERROR(IF(Data_Entry!X160/Data_Entry!$H160&lt;0,0,Data_Entry!X160/Data_Entry!$H160),0)</f>
        <v>0.94036991241685708</v>
      </c>
      <c r="T171" s="49">
        <f>IFERROR(IF(Data_Entry!Y160/Data_Entry!$H160&lt;0,0,Data_Entry!Y160/Data_Entry!$H160),0)</f>
        <v>0.67840972252930409</v>
      </c>
      <c r="U171" s="49">
        <f>IFERROR(IF(Data_Entry!Z160/Data_Entry!$H160&lt;0,0,Data_Entry!Z160/Data_Entry!$H160),0)</f>
        <v>0.69856050636680811</v>
      </c>
      <c r="V171" s="49">
        <f>IFERROR(IF(Data_Entry!AA160/Data_Entry!$H160&lt;0,0,Data_Entry!AA160/Data_Entry!$H160),0)</f>
        <v>0.75229592993348571</v>
      </c>
      <c r="W171" s="49">
        <f>IFERROR(IF(Data_Entry!AB160/Data_Entry!$H160&lt;0,0,Data_Entry!AB160/Data_Entry!$H160),0)</f>
        <v>0.69856050636680811</v>
      </c>
      <c r="X171" s="49">
        <f>IFERROR(IF(Data_Entry!AC160/Data_Entry!$I160&lt;0,0,Data_Entry!AC160/Data_Entry!$I160),0)</f>
        <v>0.86735690564563395</v>
      </c>
      <c r="Y171" s="49">
        <f>IFERROR(IF(Data_Entry!AD160/Data_Entry!$I160&lt;0,0,Data_Entry!AD160/Data_Entry!$I160),0)</f>
        <v>0.60363352217229926</v>
      </c>
      <c r="Z171" s="49">
        <f>IFERROR(IF(Data_Entry!AE160/Data_Entry!$I160&lt;0,0,Data_Entry!AE160/Data_Entry!$I160),0)</f>
        <v>0</v>
      </c>
      <c r="AA171" s="49">
        <f>IFERROR(IF(Data_Entry!AF160/Data_Entry!$I160&lt;0,0,Data_Entry!AF160/Data_Entry!$I160),0)</f>
        <v>0</v>
      </c>
      <c r="AB171" s="49">
        <f>IFERROR(IF(Data_Entry!AG160/Data_Entry!$I160&lt;0,0,Data_Entry!AG160/Data_Entry!$I160),0)</f>
        <v>0</v>
      </c>
      <c r="AC171" s="49">
        <f>IFERROR(IF(Data_Entry!AI160/Data_Entry!$I160&lt;0,0,Data_Entry!AI160/Data_Entry!$I160),0)</f>
        <v>0.19515530377026763</v>
      </c>
      <c r="AD171" s="49">
        <f>IFERROR(IF(Data_Entry!AM160/Data_Entry!$H160&lt;0,0,Data_Entry!AM160/Data_Entry!$H160),0)</f>
        <v>0.69856050636680811</v>
      </c>
      <c r="AE171" s="50">
        <f>Data_Entry!AK160</f>
        <v>33.87758333333332</v>
      </c>
      <c r="AF171" s="50">
        <f>Data_Entry!AL160</f>
        <v>0</v>
      </c>
      <c r="AG171" s="153">
        <f>(Data_Entry!O160-Data_Entry!Q160)/Data_Entry!O160</f>
        <v>2.6086956521739129E-2</v>
      </c>
      <c r="AH171" s="79" t="str">
        <f t="shared" si="4"/>
        <v>CAT3</v>
      </c>
      <c r="AI171" s="51">
        <f>SUBTOTAL(3,Tableau1[[#This Row],[ZS]])</f>
        <v>1</v>
      </c>
      <c r="AJ171" s="51" t="e">
        <f t="shared" ca="1" si="5"/>
        <v>#NAME?</v>
      </c>
      <c r="AK171" s="50" t="str">
        <f>IFERROR(IF((Data_Entry!O160-Data_Entry!Q160)/Data_Entry!O160&lt;=10%,"&lt;=10%","&gt;10%"),"&lt;=10%")</f>
        <v>&lt;=10%</v>
      </c>
    </row>
    <row r="172" spans="1:37" s="48" customFormat="1" ht="13" x14ac:dyDescent="0.3">
      <c r="A172" s="31" t="s">
        <v>16</v>
      </c>
      <c r="B172" s="48" t="str">
        <f>Data_Entry!B161</f>
        <v>Goma</v>
      </c>
      <c r="C172" s="48" t="str">
        <f>Data_Entry!C161</f>
        <v xml:space="preserve"> Itebero</v>
      </c>
      <c r="D172" s="48" t="str">
        <f>Data_Entry!D161</f>
        <v xml:space="preserve"> Muruo</v>
      </c>
      <c r="E172" s="49">
        <f>IFERROR(IF(Data_Entry!J161/Data_Entry!$I161&lt;0,0,Data_Entry!J161/Data_Entry!$I161),0)</f>
        <v>0.76453532733099339</v>
      </c>
      <c r="F172" s="49">
        <f>IFERROR(IF(Data_Entry!K161/Data_Entry!$H161&lt;0,0,Data_Entry!K161/Data_Entry!$H161),0)</f>
        <v>0.22562338297776519</v>
      </c>
      <c r="G172" s="49">
        <f>IFERROR(IF(Data_Entry!L161/Data_Entry!$H161&lt;0,0,Data_Entry!L161/Data_Entry!$H161),0)</f>
        <v>0.88675236565679805</v>
      </c>
      <c r="H172" s="49">
        <f>IFERROR(IF(Data_Entry!M161/Data_Entry!$H161&lt;0,0,Data_Entry!M161/Data_Entry!$H161),0)</f>
        <v>0.81329358980357214</v>
      </c>
      <c r="I172" s="49">
        <f>IFERROR(IF(Data_Entry!N161/Data_Entry!$H161&lt;0,0,Data_Entry!N161/Data_Entry!$H161),0)</f>
        <v>0.77131714645887162</v>
      </c>
      <c r="J172" s="49">
        <f>IFERROR(IF(Data_Entry!O161/Data_Entry!$H161&lt;0,0,Data_Entry!O161/Data_Entry!$H161),0)</f>
        <v>0.88675236565679805</v>
      </c>
      <c r="K172" s="49">
        <f>IFERROR(IF(Data_Entry!P161/Data_Entry!$H161&lt;0,0,Data_Entry!P161/Data_Entry!$H161),0)</f>
        <v>0.81329358980357214</v>
      </c>
      <c r="L172" s="49">
        <f>IFERROR(IF(Data_Entry!Q161/Data_Entry!$H161&lt;0,0,Data_Entry!Q161/Data_Entry!$H161),0)</f>
        <v>0.77131714645887162</v>
      </c>
      <c r="M172" s="49">
        <f>IFERROR(IF(Data_Entry!R161/Data_Entry!$H161&lt;0,0,Data_Entry!R161/Data_Entry!$H161),0)</f>
        <v>0.88675236565679805</v>
      </c>
      <c r="N172" s="49">
        <f>IFERROR(IF(Data_Entry!S161/Data_Entry!$H161&lt;0,0,Data_Entry!S161/Data_Entry!$H161),0)</f>
        <v>0.81329358980357214</v>
      </c>
      <c r="O172" s="49">
        <f>IFERROR(IF(Data_Entry!T161/Data_Entry!$H161&lt;0,0,Data_Entry!T161/Data_Entry!$H161),0)</f>
        <v>0.77131714645887162</v>
      </c>
      <c r="P172" s="49">
        <f>IFERROR(IF(Data_Entry!U161/Data_Entry!$H161&lt;0,0,Data_Entry!U161/Data_Entry!$H161),0)</f>
        <v>0.88675236565679805</v>
      </c>
      <c r="Q172" s="49">
        <f>IFERROR(IF(Data_Entry!V161/Data_Entry!$H161&lt;0,0,Data_Entry!V161/Data_Entry!$H161),0)</f>
        <v>0.81329358980357214</v>
      </c>
      <c r="R172" s="49">
        <f>IFERROR(IF(Data_Entry!W161/Data_Entry!$H161&lt;0,0,Data_Entry!W161/Data_Entry!$H161),0)</f>
        <v>0.77131714645887162</v>
      </c>
      <c r="S172" s="49">
        <f>IFERROR(IF(Data_Entry!X161/Data_Entry!$H161&lt;0,0,Data_Entry!X161/Data_Entry!$H161),0)</f>
        <v>0.79230536813122188</v>
      </c>
      <c r="T172" s="49">
        <f>IFERROR(IF(Data_Entry!Y161/Data_Entry!$H161&lt;0,0,Data_Entry!Y161/Data_Entry!$H161),0)</f>
        <v>0.60865842849815721</v>
      </c>
      <c r="U172" s="49">
        <f>IFERROR(IF(Data_Entry!Z161/Data_Entry!$H161&lt;0,0,Data_Entry!Z161/Data_Entry!$H161),0)</f>
        <v>0.79230536813122188</v>
      </c>
      <c r="V172" s="49">
        <f>IFERROR(IF(Data_Entry!AA161/Data_Entry!$H161&lt;0,0,Data_Entry!AA161/Data_Entry!$H161),0)</f>
        <v>0.77131714645887162</v>
      </c>
      <c r="W172" s="49">
        <f>IFERROR(IF(Data_Entry!AB161/Data_Entry!$H161&lt;0,0,Data_Entry!AB161/Data_Entry!$H161),0)</f>
        <v>0.76082303562269649</v>
      </c>
      <c r="X172" s="49">
        <f>IFERROR(IF(Data_Entry!AC161/Data_Entry!$I161&lt;0,0,Data_Entry!AC161/Data_Entry!$I161),0)</f>
        <v>0.75537921562643062</v>
      </c>
      <c r="Y172" s="49">
        <f>IFERROR(IF(Data_Entry!AD161/Data_Entry!$I161&lt;0,0,Data_Entry!AD161/Data_Entry!$I161),0)</f>
        <v>0.69586448954677249</v>
      </c>
      <c r="Z172" s="49">
        <f>IFERROR(IF(Data_Entry!AE161/Data_Entry!$I161&lt;0,0,Data_Entry!AE161/Data_Entry!$I161),0)</f>
        <v>0.48069586448954676</v>
      </c>
      <c r="AA172" s="49">
        <f>IFERROR(IF(Data_Entry!AF161/Data_Entry!$I161&lt;0,0,Data_Entry!AF161/Data_Entry!$I161),0)</f>
        <v>0</v>
      </c>
      <c r="AB172" s="49">
        <f>IFERROR(IF(Data_Entry!AG161/Data_Entry!$I161&lt;0,0,Data_Entry!AG161/Data_Entry!$I161),0)</f>
        <v>0</v>
      </c>
      <c r="AC172" s="49">
        <f>IFERROR(IF(Data_Entry!AI161/Data_Entry!$I161&lt;0,0,Data_Entry!AI161/Data_Entry!$I161),0)</f>
        <v>0.15244925988097052</v>
      </c>
      <c r="AD172" s="49">
        <f>IFERROR(IF(Data_Entry!AM161/Data_Entry!$H161&lt;0,0,Data_Entry!AM161/Data_Entry!$H161),0)</f>
        <v>0.79230536813122188</v>
      </c>
      <c r="AE172" s="50">
        <f>Data_Entry!AK161</f>
        <v>21.58308333333332</v>
      </c>
      <c r="AF172" s="50">
        <f>Data_Entry!AL161</f>
        <v>18</v>
      </c>
      <c r="AG172" s="153">
        <f>(Data_Entry!O161-Data_Entry!Q161)/Data_Entry!O161</f>
        <v>0.13017751479289941</v>
      </c>
      <c r="AH172" s="79" t="str">
        <f t="shared" si="4"/>
        <v>CAT4</v>
      </c>
      <c r="AI172" s="51">
        <f>SUBTOTAL(3,Tableau1[[#This Row],[ZS]])</f>
        <v>1</v>
      </c>
      <c r="AJ172" s="51" t="e">
        <f t="shared" ca="1" si="5"/>
        <v>#NAME?</v>
      </c>
      <c r="AK172" s="50" t="str">
        <f>IFERROR(IF((Data_Entry!O161-Data_Entry!Q161)/Data_Entry!O161&lt;=10%,"&lt;=10%","&gt;10%"),"&lt;=10%")</f>
        <v>&gt;10%</v>
      </c>
    </row>
    <row r="173" spans="1:37" s="48" customFormat="1" ht="13" x14ac:dyDescent="0.3">
      <c r="A173" s="31" t="s">
        <v>16</v>
      </c>
      <c r="B173" s="48" t="str">
        <f>Data_Entry!B162</f>
        <v>Goma</v>
      </c>
      <c r="C173" s="48" t="str">
        <f>Data_Entry!C162</f>
        <v xml:space="preserve"> Itebero</v>
      </c>
      <c r="D173" s="48" t="str">
        <f>Data_Entry!D162</f>
        <v xml:space="preserve"> Musenge</v>
      </c>
      <c r="E173" s="49">
        <f>IFERROR(IF(Data_Entry!J162/Data_Entry!$I162&lt;0,0,Data_Entry!J162/Data_Entry!$I162),0)</f>
        <v>0.96402375130981488</v>
      </c>
      <c r="F173" s="49">
        <f>IFERROR(IF(Data_Entry!K162/Data_Entry!$H162&lt;0,0,Data_Entry!K162/Data_Entry!$H162),0)</f>
        <v>0.46437753893915751</v>
      </c>
      <c r="G173" s="49">
        <f>IFERROR(IF(Data_Entry!L162/Data_Entry!$H162&lt;0,0,Data_Entry!L162/Data_Entry!$H162),0)</f>
        <v>0.89672904071009729</v>
      </c>
      <c r="H173" s="49">
        <f>IFERROR(IF(Data_Entry!M162/Data_Entry!$H162&lt;0,0,Data_Entry!M162/Data_Entry!$H162),0)</f>
        <v>0.83267696637366173</v>
      </c>
      <c r="I173" s="49">
        <f>IFERROR(IF(Data_Entry!N162/Data_Entry!$H162&lt;0,0,Data_Entry!N162/Data_Entry!$H162),0)</f>
        <v>0.8887225314180428</v>
      </c>
      <c r="J173" s="49">
        <f>IFERROR(IF(Data_Entry!O162/Data_Entry!$H162&lt;0,0,Data_Entry!O162/Data_Entry!$H162),0)</f>
        <v>0.89672904071009729</v>
      </c>
      <c r="K173" s="49">
        <f>IFERROR(IF(Data_Entry!P162/Data_Entry!$H162&lt;0,0,Data_Entry!P162/Data_Entry!$H162),0)</f>
        <v>0.83267696637366173</v>
      </c>
      <c r="L173" s="49">
        <f>IFERROR(IF(Data_Entry!Q162/Data_Entry!$H162&lt;0,0,Data_Entry!Q162/Data_Entry!$H162),0)</f>
        <v>0.8887225314180428</v>
      </c>
      <c r="M173" s="49">
        <f>IFERROR(IF(Data_Entry!R162/Data_Entry!$H162&lt;0,0,Data_Entry!R162/Data_Entry!$H162),0)</f>
        <v>0.89272578606407005</v>
      </c>
      <c r="N173" s="49">
        <f>IFERROR(IF(Data_Entry!S162/Data_Entry!$H162&lt;0,0,Data_Entry!S162/Data_Entry!$H162),0)</f>
        <v>0.83267696637366173</v>
      </c>
      <c r="O173" s="49">
        <f>IFERROR(IF(Data_Entry!T162/Data_Entry!$H162&lt;0,0,Data_Entry!T162/Data_Entry!$H162),0)</f>
        <v>0.8887225314180428</v>
      </c>
      <c r="P173" s="49">
        <f>IFERROR(IF(Data_Entry!U162/Data_Entry!$H162&lt;0,0,Data_Entry!U162/Data_Entry!$H162),0)</f>
        <v>0.90073229535612453</v>
      </c>
      <c r="Q173" s="49">
        <f>IFERROR(IF(Data_Entry!V162/Data_Entry!$H162&lt;0,0,Data_Entry!V162/Data_Entry!$H162),0)</f>
        <v>0.85269323960379784</v>
      </c>
      <c r="R173" s="49">
        <f>IFERROR(IF(Data_Entry!W162/Data_Entry!$H162&lt;0,0,Data_Entry!W162/Data_Entry!$H162),0)</f>
        <v>0.89272578606407005</v>
      </c>
      <c r="S173" s="49">
        <f>IFERROR(IF(Data_Entry!X162/Data_Entry!$H162&lt;0,0,Data_Entry!X162/Data_Entry!$H162),0)</f>
        <v>0.86069974889585232</v>
      </c>
      <c r="T173" s="49">
        <f>IFERROR(IF(Data_Entry!Y162/Data_Entry!$H162&lt;0,0,Data_Entry!Y162/Data_Entry!$H162),0)</f>
        <v>0.75261187345311742</v>
      </c>
      <c r="U173" s="49">
        <f>IFERROR(IF(Data_Entry!Z162/Data_Entry!$H162&lt;0,0,Data_Entry!Z162/Data_Entry!$H162),0)</f>
        <v>0.8887225314180428</v>
      </c>
      <c r="V173" s="49">
        <f>IFERROR(IF(Data_Entry!AA162/Data_Entry!$H162&lt;0,0,Data_Entry!AA162/Data_Entry!$H162),0)</f>
        <v>0.88471927677201567</v>
      </c>
      <c r="W173" s="49">
        <f>IFERROR(IF(Data_Entry!AB162/Data_Entry!$H162&lt;0,0,Data_Entry!AB162/Data_Entry!$H162),0)</f>
        <v>0.76862489203722628</v>
      </c>
      <c r="X173" s="49">
        <f>IFERROR(IF(Data_Entry!AC162/Data_Entry!$I162&lt;0,0,Data_Entry!AC162/Data_Entry!$I162),0)</f>
        <v>0.9430667132378624</v>
      </c>
      <c r="Y173" s="49">
        <f>IFERROR(IF(Data_Entry!AD162/Data_Entry!$I162&lt;0,0,Data_Entry!AD162/Data_Entry!$I162),0)</f>
        <v>0.87320991966468731</v>
      </c>
      <c r="Z173" s="49">
        <f>IFERROR(IF(Data_Entry!AE162/Data_Entry!$I162&lt;0,0,Data_Entry!AE162/Data_Entry!$I162),0)</f>
        <v>6.9856793573174992E-3</v>
      </c>
      <c r="AA173" s="49">
        <f>IFERROR(IF(Data_Entry!AF162/Data_Entry!$I162&lt;0,0,Data_Entry!AF162/Data_Entry!$I162),0)</f>
        <v>3.4928396786587496E-3</v>
      </c>
      <c r="AB173" s="49">
        <f>IFERROR(IF(Data_Entry!AG162/Data_Entry!$I162&lt;0,0,Data_Entry!AG162/Data_Entry!$I162),0)</f>
        <v>0</v>
      </c>
      <c r="AC173" s="49">
        <f>IFERROR(IF(Data_Entry!AI162/Data_Entry!$I162&lt;0,0,Data_Entry!AI162/Data_Entry!$I162),0)</f>
        <v>0.17464198393293748</v>
      </c>
      <c r="AD173" s="49">
        <f>IFERROR(IF(Data_Entry!AM162/Data_Entry!$H162&lt;0,0,Data_Entry!AM162/Data_Entry!$H162),0)</f>
        <v>0.86069974889585232</v>
      </c>
      <c r="AE173" s="50">
        <f>Data_Entry!AK162</f>
        <v>25.796750000000003</v>
      </c>
      <c r="AF173" s="50">
        <f>Data_Entry!AL162</f>
        <v>9</v>
      </c>
      <c r="AG173" s="153">
        <f>(Data_Entry!O162-Data_Entry!Q162)/Data_Entry!O162</f>
        <v>8.9285714285714281E-3</v>
      </c>
      <c r="AH173" s="79" t="str">
        <f t="shared" si="4"/>
        <v>CAT3</v>
      </c>
      <c r="AI173" s="51">
        <f>SUBTOTAL(3,Tableau1[[#This Row],[ZS]])</f>
        <v>1</v>
      </c>
      <c r="AJ173" s="51" t="e">
        <f t="shared" ca="1" si="5"/>
        <v>#NAME?</v>
      </c>
      <c r="AK173" s="50" t="str">
        <f>IFERROR(IF((Data_Entry!O162-Data_Entry!Q162)/Data_Entry!O162&lt;=10%,"&lt;=10%","&gt;10%"),"&lt;=10%")</f>
        <v>&lt;=10%</v>
      </c>
    </row>
    <row r="174" spans="1:37" s="48" customFormat="1" ht="13" x14ac:dyDescent="0.3">
      <c r="A174" s="31" t="s">
        <v>16</v>
      </c>
      <c r="B174" s="48" t="str">
        <f>Data_Entry!B163</f>
        <v>Goma</v>
      </c>
      <c r="C174" s="48" t="str">
        <f>Data_Entry!C163</f>
        <v xml:space="preserve"> Itebero</v>
      </c>
      <c r="D174" s="48" t="str">
        <f>Data_Entry!D163</f>
        <v xml:space="preserve"> Nyamimba</v>
      </c>
      <c r="E174" s="49">
        <f>IFERROR(IF(Data_Entry!J163/Data_Entry!$I163&lt;0,0,Data_Entry!J163/Data_Entry!$I163),0)</f>
        <v>1.6126114485075589</v>
      </c>
      <c r="F174" s="49">
        <f>IFERROR(IF(Data_Entry!K163/Data_Entry!$H163&lt;0,0,Data_Entry!K163/Data_Entry!$H163),0)</f>
        <v>1.5994603302367238</v>
      </c>
      <c r="G174" s="49">
        <f>IFERROR(IF(Data_Entry!L163/Data_Entry!$H163&lt;0,0,Data_Entry!L163/Data_Entry!$H163),0)</f>
        <v>1.8793658880281505</v>
      </c>
      <c r="H174" s="49">
        <f>IFERROR(IF(Data_Entry!M163/Data_Entry!$H163&lt;0,0,Data_Entry!M163/Data_Entry!$H163),0)</f>
        <v>1.8082787622398517</v>
      </c>
      <c r="I174" s="49">
        <f>IFERROR(IF(Data_Entry!N163/Data_Entry!$H163&lt;0,0,Data_Entry!N163/Data_Entry!$H163),0)</f>
        <v>1.7460775271750901</v>
      </c>
      <c r="J174" s="49">
        <f>IFERROR(IF(Data_Entry!O163/Data_Entry!$H163&lt;0,0,Data_Entry!O163/Data_Entry!$H163),0)</f>
        <v>1.8793658880281505</v>
      </c>
      <c r="K174" s="49">
        <f>IFERROR(IF(Data_Entry!P163/Data_Entry!$H163&lt;0,0,Data_Entry!P163/Data_Entry!$H163),0)</f>
        <v>1.8082787622398517</v>
      </c>
      <c r="L174" s="49">
        <f>IFERROR(IF(Data_Entry!Q163/Data_Entry!$H163&lt;0,0,Data_Entry!Q163/Data_Entry!$H163),0)</f>
        <v>1.7460775271750901</v>
      </c>
      <c r="M174" s="49">
        <f>IFERROR(IF(Data_Entry!R163/Data_Entry!$H163&lt;0,0,Data_Entry!R163/Data_Entry!$H163),0)</f>
        <v>1.8793658880281505</v>
      </c>
      <c r="N174" s="49">
        <f>IFERROR(IF(Data_Entry!S163/Data_Entry!$H163&lt;0,0,Data_Entry!S163/Data_Entry!$H163),0)</f>
        <v>1.9237953416458373</v>
      </c>
      <c r="O174" s="49">
        <f>IFERROR(IF(Data_Entry!T163/Data_Entry!$H163&lt;0,0,Data_Entry!T163/Data_Entry!$H163),0)</f>
        <v>1.7460775271750901</v>
      </c>
      <c r="P174" s="49">
        <f>IFERROR(IF(Data_Entry!U163/Data_Entry!$H163&lt;0,0,Data_Entry!U163/Data_Entry!$H163),0)</f>
        <v>1.8793658880281505</v>
      </c>
      <c r="Q174" s="49">
        <f>IFERROR(IF(Data_Entry!V163/Data_Entry!$H163&lt;0,0,Data_Entry!V163/Data_Entry!$H163),0)</f>
        <v>1.7727351993457021</v>
      </c>
      <c r="R174" s="49">
        <f>IFERROR(IF(Data_Entry!W163/Data_Entry!$H163&lt;0,0,Data_Entry!W163/Data_Entry!$H163),0)</f>
        <v>1.7460775271750901</v>
      </c>
      <c r="S174" s="49">
        <f>IFERROR(IF(Data_Entry!X163/Data_Entry!$H163&lt;0,0,Data_Entry!X163/Data_Entry!$H163),0)</f>
        <v>1.3950848435953647</v>
      </c>
      <c r="T174" s="49">
        <f>IFERROR(IF(Data_Entry!Y163/Data_Entry!$H163&lt;0,0,Data_Entry!Y163/Data_Entry!$H163),0)</f>
        <v>0.9730050342273403</v>
      </c>
      <c r="U174" s="49">
        <f>IFERROR(IF(Data_Entry!Z163/Data_Entry!$H163&lt;0,0,Data_Entry!Z163/Data_Entry!$H163),0)</f>
        <v>1.6127891663220297</v>
      </c>
      <c r="V174" s="49">
        <f>IFERROR(IF(Data_Entry!AA163/Data_Entry!$H163&lt;0,0,Data_Entry!AA163/Data_Entry!$H163),0)</f>
        <v>1.7460775271750901</v>
      </c>
      <c r="W174" s="49">
        <f>IFERROR(IF(Data_Entry!AB163/Data_Entry!$H163&lt;0,0,Data_Entry!AB163/Data_Entry!$H163),0)</f>
        <v>0.93301852597142221</v>
      </c>
      <c r="X174" s="49">
        <f>IFERROR(IF(Data_Entry!AC163/Data_Entry!$I163&lt;0,0,Data_Entry!AC163/Data_Entry!$I163),0)</f>
        <v>1.500193823491407</v>
      </c>
      <c r="Y174" s="49">
        <f>IFERROR(IF(Data_Entry!AD163/Data_Entry!$I163&lt;0,0,Data_Entry!AD163/Data_Entry!$I163),0)</f>
        <v>1.0776586122238014</v>
      </c>
      <c r="Z174" s="49">
        <f>IFERROR(IF(Data_Entry!AE163/Data_Entry!$I163&lt;0,0,Data_Entry!AE163/Data_Entry!$I163),0)</f>
        <v>0.83344101305078166</v>
      </c>
      <c r="AA174" s="49">
        <f>IFERROR(IF(Data_Entry!AF163/Data_Entry!$I163&lt;0,0,Data_Entry!AF163/Data_Entry!$I163),0)</f>
        <v>0.43028815092389194</v>
      </c>
      <c r="AB174" s="49">
        <f>IFERROR(IF(Data_Entry!AG163/Data_Entry!$I163&lt;0,0,Data_Entry!AG163/Data_Entry!$I163),0)</f>
        <v>0.18219408192272901</v>
      </c>
      <c r="AC174" s="49">
        <f>IFERROR(IF(Data_Entry!AI163/Data_Entry!$I163&lt;0,0,Data_Entry!AI163/Data_Entry!$I163),0)</f>
        <v>0.12908644527716756</v>
      </c>
      <c r="AD174" s="49">
        <f>IFERROR(IF(Data_Entry!AM163/Data_Entry!$H163&lt;0,0,Data_Entry!AM163/Data_Entry!$H163),0)</f>
        <v>1.3950848435953647</v>
      </c>
      <c r="AE174" s="50">
        <f>Data_Entry!AK163</f>
        <v>0</v>
      </c>
      <c r="AF174" s="50">
        <f>Data_Entry!AL163</f>
        <v>109</v>
      </c>
      <c r="AG174" s="153">
        <f>(Data_Entry!O163-Data_Entry!Q163)/Data_Entry!O163</f>
        <v>7.0921985815602842E-2</v>
      </c>
      <c r="AH174" s="79" t="str">
        <f t="shared" si="4"/>
        <v>CAT1</v>
      </c>
      <c r="AI174" s="51">
        <f>SUBTOTAL(3,Tableau1[[#This Row],[ZS]])</f>
        <v>1</v>
      </c>
      <c r="AJ174" s="51" t="e">
        <f t="shared" ca="1" si="5"/>
        <v>#NAME?</v>
      </c>
      <c r="AK174" s="50" t="str">
        <f>IFERROR(IF((Data_Entry!O163-Data_Entry!Q163)/Data_Entry!O163&lt;=10%,"&lt;=10%","&gt;10%"),"&lt;=10%")</f>
        <v>&lt;=10%</v>
      </c>
    </row>
    <row r="175" spans="1:37" s="48" customFormat="1" ht="13" x14ac:dyDescent="0.3">
      <c r="A175" s="31" t="s">
        <v>16</v>
      </c>
      <c r="B175" s="48" t="str">
        <f>Data_Entry!B164</f>
        <v>Goma</v>
      </c>
      <c r="C175" s="48" t="str">
        <f>Data_Entry!C164</f>
        <v xml:space="preserve"> Itebero</v>
      </c>
      <c r="D175" s="48" t="str">
        <f>Data_Entry!D164</f>
        <v xml:space="preserve"> Otobora</v>
      </c>
      <c r="E175" s="49">
        <f>IFERROR(IF(Data_Entry!J164/Data_Entry!$I164&lt;0,0,Data_Entry!J164/Data_Entry!$I164),0)</f>
        <v>0.9776146788990826</v>
      </c>
      <c r="F175" s="49">
        <f>IFERROR(IF(Data_Entry!K164/Data_Entry!$H164&lt;0,0,Data_Entry!K164/Data_Entry!$H164),0)</f>
        <v>0.20693462316973793</v>
      </c>
      <c r="G175" s="49">
        <f>IFERROR(IF(Data_Entry!L164/Data_Entry!$H164&lt;0,0,Data_Entry!L164/Data_Entry!$H164),0)</f>
        <v>1.0750506032964433</v>
      </c>
      <c r="H175" s="49">
        <f>IFERROR(IF(Data_Entry!M164/Data_Entry!$H164&lt;0,0,Data_Entry!M164/Data_Entry!$H164),0)</f>
        <v>0.93877658316027457</v>
      </c>
      <c r="I175" s="49">
        <f>IFERROR(IF(Data_Entry!N164/Data_Entry!$H164&lt;0,0,Data_Entry!N164/Data_Entry!$H164),0)</f>
        <v>0.95139454798769763</v>
      </c>
      <c r="J175" s="49">
        <f>IFERROR(IF(Data_Entry!O164/Data_Entry!$H164&lt;0,0,Data_Entry!O164/Data_Entry!$H164),0)</f>
        <v>1.052338266607082</v>
      </c>
      <c r="K175" s="49">
        <f>IFERROR(IF(Data_Entry!P164/Data_Entry!$H164&lt;0,0,Data_Entry!P164/Data_Entry!$H164),0)</f>
        <v>1.0296259299177204</v>
      </c>
      <c r="L175" s="49">
        <f>IFERROR(IF(Data_Entry!Q164/Data_Entry!$H164&lt;0,0,Data_Entry!Q164/Data_Entry!$H164),0)</f>
        <v>1.0573854525380511</v>
      </c>
      <c r="M175" s="49">
        <f>IFERROR(IF(Data_Entry!R164/Data_Entry!$H164&lt;0,0,Data_Entry!R164/Data_Entry!$H164),0)</f>
        <v>1.0750506032964433</v>
      </c>
      <c r="N175" s="49">
        <f>IFERROR(IF(Data_Entry!S164/Data_Entry!$H164&lt;0,0,Data_Entry!S164/Data_Entry!$H164),0)</f>
        <v>0.93877658316027457</v>
      </c>
      <c r="O175" s="49">
        <f>IFERROR(IF(Data_Entry!T164/Data_Entry!$H164&lt;0,0,Data_Entry!T164/Data_Entry!$H164),0)</f>
        <v>1.0346731158486897</v>
      </c>
      <c r="P175" s="49">
        <f>IFERROR(IF(Data_Entry!U164/Data_Entry!$H164&lt;0,0,Data_Entry!U164/Data_Entry!$H164),0)</f>
        <v>1.052338266607082</v>
      </c>
      <c r="Q175" s="49">
        <f>IFERROR(IF(Data_Entry!V164/Data_Entry!$H164&lt;0,0,Data_Entry!V164/Data_Entry!$H164),0)</f>
        <v>0.93877658316027457</v>
      </c>
      <c r="R175" s="49">
        <f>IFERROR(IF(Data_Entry!W164/Data_Entry!$H164&lt;0,0,Data_Entry!W164/Data_Entry!$H164),0)</f>
        <v>1.0700034173654742</v>
      </c>
      <c r="S175" s="49">
        <f>IFERROR(IF(Data_Entry!X164/Data_Entry!$H164&lt;0,0,Data_Entry!X164/Data_Entry!$H164),0)</f>
        <v>1.0043900002628743</v>
      </c>
      <c r="T175" s="49">
        <f>IFERROR(IF(Data_Entry!Y164/Data_Entry!$H164&lt;0,0,Data_Entry!Y164/Data_Entry!$H164),0)</f>
        <v>0.67884650771535981</v>
      </c>
      <c r="U175" s="49">
        <f>IFERROR(IF(Data_Entry!Z164/Data_Entry!$H164&lt;0,0,Data_Entry!Z164/Data_Entry!$H164),0)</f>
        <v>1.006913593228359</v>
      </c>
      <c r="V175" s="49">
        <f>IFERROR(IF(Data_Entry!AA164/Data_Entry!$H164&lt;0,0,Data_Entry!AA164/Data_Entry!$H164),0)</f>
        <v>0.86054520123025169</v>
      </c>
      <c r="W175" s="49">
        <f>IFERROR(IF(Data_Entry!AB164/Data_Entry!$H164&lt;0,0,Data_Entry!AB164/Data_Entry!$H164),0)</f>
        <v>0.98672484950448214</v>
      </c>
      <c r="X175" s="49">
        <f>IFERROR(IF(Data_Entry!AC164/Data_Entry!$I164&lt;0,0,Data_Entry!AC164/Data_Entry!$I164),0)</f>
        <v>0.8278899082568808</v>
      </c>
      <c r="Y175" s="49">
        <f>IFERROR(IF(Data_Entry!AD164/Data_Entry!$I164&lt;0,0,Data_Entry!AD164/Data_Entry!$I164),0)</f>
        <v>0.65394495412844045</v>
      </c>
      <c r="Z175" s="49">
        <f>IFERROR(IF(Data_Entry!AE164/Data_Entry!$I164&lt;0,0,Data_Entry!AE164/Data_Entry!$I164),0)</f>
        <v>0.43155963302752298</v>
      </c>
      <c r="AA175" s="49">
        <f>IFERROR(IF(Data_Entry!AF164/Data_Entry!$I164&lt;0,0,Data_Entry!AF164/Data_Entry!$I164),0)</f>
        <v>2.2018348623853212E-2</v>
      </c>
      <c r="AB175" s="49">
        <f>IFERROR(IF(Data_Entry!AG164/Data_Entry!$I164&lt;0,0,Data_Entry!AG164/Data_Entry!$I164),0)</f>
        <v>1.1009174311926606E-2</v>
      </c>
      <c r="AC175" s="49">
        <f>IFERROR(IF(Data_Entry!AI164/Data_Entry!$I164&lt;0,0,Data_Entry!AI164/Data_Entry!$I164),0)</f>
        <v>9.1816513761467905E-2</v>
      </c>
      <c r="AD175" s="49">
        <f>IFERROR(IF(Data_Entry!AM164/Data_Entry!$H164&lt;0,0,Data_Entry!AM164/Data_Entry!$H164),0)</f>
        <v>1.0043900002628743</v>
      </c>
      <c r="AE175" s="50">
        <f>Data_Entry!AK164</f>
        <v>0</v>
      </c>
      <c r="AF175" s="50">
        <f>Data_Entry!AL164</f>
        <v>19</v>
      </c>
      <c r="AG175" s="153">
        <f>(Data_Entry!O164-Data_Entry!Q164)/Data_Entry!O164</f>
        <v>-4.7961630695443642E-3</v>
      </c>
      <c r="AH175" s="79" t="str">
        <f t="shared" si="4"/>
        <v>CAT1</v>
      </c>
      <c r="AI175" s="51">
        <f>SUBTOTAL(3,Tableau1[[#This Row],[ZS]])</f>
        <v>1</v>
      </c>
      <c r="AJ175" s="51" t="e">
        <f t="shared" ca="1" si="5"/>
        <v>#NAME?</v>
      </c>
      <c r="AK175" s="50" t="str">
        <f>IFERROR(IF((Data_Entry!O164-Data_Entry!Q164)/Data_Entry!O164&lt;=10%,"&lt;=10%","&gt;10%"),"&lt;=10%")</f>
        <v>&lt;=10%</v>
      </c>
    </row>
    <row r="176" spans="1:37" s="48" customFormat="1" ht="13" x14ac:dyDescent="0.3">
      <c r="A176" s="31" t="s">
        <v>16</v>
      </c>
      <c r="B176" s="48" t="str">
        <f>Data_Entry!B165</f>
        <v>Goma</v>
      </c>
      <c r="C176" s="48" t="str">
        <f>Data_Entry!C165</f>
        <v xml:space="preserve"> Itebero</v>
      </c>
      <c r="D176" s="48" t="str">
        <f>Data_Entry!D165</f>
        <v xml:space="preserve"> Tusoke</v>
      </c>
      <c r="E176" s="49">
        <f>IFERROR(IF(Data_Entry!J165/Data_Entry!$I165&lt;0,0,Data_Entry!J165/Data_Entry!$I165),0)</f>
        <v>0.42194744976816079</v>
      </c>
      <c r="F176" s="49">
        <f>IFERROR(IF(Data_Entry!K165/Data_Entry!$H165&lt;0,0,Data_Entry!K165/Data_Entry!$H165),0)</f>
        <v>0.60583783209257625</v>
      </c>
      <c r="G176" s="49">
        <f>IFERROR(IF(Data_Entry!L165/Data_Entry!$H165&lt;0,0,Data_Entry!L165/Data_Entry!$H165),0)</f>
        <v>0.82904124391615697</v>
      </c>
      <c r="H176" s="49">
        <f>IFERROR(IF(Data_Entry!M165/Data_Entry!$H165&lt;0,0,Data_Entry!M165/Data_Entry!$H165),0)</f>
        <v>0.78121194138253247</v>
      </c>
      <c r="I176" s="49">
        <f>IFERROR(IF(Data_Entry!N165/Data_Entry!$H165&lt;0,0,Data_Entry!N165/Data_Entry!$H165),0)</f>
        <v>0.86624181255342037</v>
      </c>
      <c r="J176" s="49">
        <f>IFERROR(IF(Data_Entry!O165/Data_Entry!$H165&lt;0,0,Data_Entry!O165/Data_Entry!$H165),0)</f>
        <v>0.82904124391615697</v>
      </c>
      <c r="K176" s="49">
        <f>IFERROR(IF(Data_Entry!P165/Data_Entry!$H165&lt;0,0,Data_Entry!P165/Data_Entry!$H165),0)</f>
        <v>0.78121194138253247</v>
      </c>
      <c r="L176" s="49">
        <f>IFERROR(IF(Data_Entry!Q165/Data_Entry!$H165&lt;0,0,Data_Entry!Q165/Data_Entry!$H165),0)</f>
        <v>0.86624181255342037</v>
      </c>
      <c r="M176" s="49">
        <f>IFERROR(IF(Data_Entry!R165/Data_Entry!$H165&lt;0,0,Data_Entry!R165/Data_Entry!$H165),0)</f>
        <v>0.82904124391615697</v>
      </c>
      <c r="N176" s="49">
        <f>IFERROR(IF(Data_Entry!S165/Data_Entry!$H165&lt;0,0,Data_Entry!S165/Data_Entry!$H165),0)</f>
        <v>0.78121194138253247</v>
      </c>
      <c r="O176" s="49">
        <f>IFERROR(IF(Data_Entry!T165/Data_Entry!$H165&lt;0,0,Data_Entry!T165/Data_Entry!$H165),0)</f>
        <v>0.86624181255342037</v>
      </c>
      <c r="P176" s="49">
        <f>IFERROR(IF(Data_Entry!U165/Data_Entry!$H165&lt;0,0,Data_Entry!U165/Data_Entry!$H165),0)</f>
        <v>0.82904124391615697</v>
      </c>
      <c r="Q176" s="49">
        <f>IFERROR(IF(Data_Entry!V165/Data_Entry!$H165&lt;0,0,Data_Entry!V165/Data_Entry!$H165),0)</f>
        <v>0.78121194138253247</v>
      </c>
      <c r="R176" s="49">
        <f>IFERROR(IF(Data_Entry!W165/Data_Entry!$H165&lt;0,0,Data_Entry!W165/Data_Entry!$H165),0)</f>
        <v>0.86624181255342037</v>
      </c>
      <c r="S176" s="49">
        <f>IFERROR(IF(Data_Entry!X165/Data_Entry!$H165&lt;0,0,Data_Entry!X165/Data_Entry!$H165),0)</f>
        <v>0.63240966683347866</v>
      </c>
      <c r="T176" s="49">
        <f>IFERROR(IF(Data_Entry!Y165/Data_Entry!$H165&lt;0,0,Data_Entry!Y165/Data_Entry!$H165),0)</f>
        <v>0.57926599735167372</v>
      </c>
      <c r="U176" s="49">
        <f>IFERROR(IF(Data_Entry!Z165/Data_Entry!$H165&lt;0,0,Data_Entry!Z165/Data_Entry!$H165),0)</f>
        <v>0.63240966683347866</v>
      </c>
      <c r="V176" s="49">
        <f>IFERROR(IF(Data_Entry!AA165/Data_Entry!$H165&lt;0,0,Data_Entry!AA165/Data_Entry!$H165),0)</f>
        <v>0.88749928034614234</v>
      </c>
      <c r="W176" s="49">
        <f>IFERROR(IF(Data_Entry!AB165/Data_Entry!$H165&lt;0,0,Data_Entry!AB165/Data_Entry!$H165),0)</f>
        <v>0.31354764994264911</v>
      </c>
      <c r="X176" s="49">
        <f>IFERROR(IF(Data_Entry!AC165/Data_Entry!$I165&lt;0,0,Data_Entry!AC165/Data_Entry!$I165),0)</f>
        <v>0.2642967542503864</v>
      </c>
      <c r="Y176" s="49">
        <f>IFERROR(IF(Data_Entry!AD165/Data_Entry!$I165&lt;0,0,Data_Entry!AD165/Data_Entry!$I165),0)</f>
        <v>0.12982998454404945</v>
      </c>
      <c r="Z176" s="49">
        <f>IFERROR(IF(Data_Entry!AE165/Data_Entry!$I165&lt;0,0,Data_Entry!AE165/Data_Entry!$I165),0)</f>
        <v>9.7372488408037097E-2</v>
      </c>
      <c r="AA176" s="49">
        <f>IFERROR(IF(Data_Entry!AF165/Data_Entry!$I165&lt;0,0,Data_Entry!AF165/Data_Entry!$I165),0)</f>
        <v>4.6367851622874809E-2</v>
      </c>
      <c r="AB176" s="49">
        <f>IFERROR(IF(Data_Entry!AG165/Data_Entry!$I165&lt;0,0,Data_Entry!AG165/Data_Entry!$I165),0)</f>
        <v>4.6367851622874812E-3</v>
      </c>
      <c r="AC176" s="49">
        <f>IFERROR(IF(Data_Entry!AI165/Data_Entry!$I165&lt;0,0,Data_Entry!AI165/Data_Entry!$I165),0)</f>
        <v>0.15440494590417311</v>
      </c>
      <c r="AD176" s="49">
        <f>IFERROR(IF(Data_Entry!AM165/Data_Entry!$H165&lt;0,0,Data_Entry!AM165/Data_Entry!$H165),0)</f>
        <v>0.63240966683347866</v>
      </c>
      <c r="AE176" s="50">
        <f>Data_Entry!AK165</f>
        <v>32.169166666666683</v>
      </c>
      <c r="AF176" s="50">
        <f>Data_Entry!AL165</f>
        <v>37</v>
      </c>
      <c r="AG176" s="153">
        <f>(Data_Entry!O165-Data_Entry!Q165)/Data_Entry!O165</f>
        <v>-4.4871794871794872E-2</v>
      </c>
      <c r="AH176" s="79" t="str">
        <f t="shared" si="4"/>
        <v>CAT3</v>
      </c>
      <c r="AI176" s="51">
        <f>SUBTOTAL(3,Tableau1[[#This Row],[ZS]])</f>
        <v>1</v>
      </c>
      <c r="AJ176" s="51" t="e">
        <f t="shared" ca="1" si="5"/>
        <v>#NAME?</v>
      </c>
      <c r="AK176" s="50" t="str">
        <f>IFERROR(IF((Data_Entry!O165-Data_Entry!Q165)/Data_Entry!O165&lt;=10%,"&lt;=10%","&gt;10%"),"&lt;=10%")</f>
        <v>&lt;=10%</v>
      </c>
    </row>
    <row r="177" spans="1:37" s="48" customFormat="1" ht="13" hidden="1" x14ac:dyDescent="0.3">
      <c r="A177" s="31" t="s">
        <v>16</v>
      </c>
      <c r="B177" s="48" t="str">
        <f>Data_Entry!B166</f>
        <v>Butembo</v>
      </c>
      <c r="C177" s="48" t="str">
        <f>Data_Entry!C166</f>
        <v xml:space="preserve"> Kalunguta</v>
      </c>
      <c r="D177" s="48" t="str">
        <f>Data_Entry!D166</f>
        <v xml:space="preserve"> Amani Kisungu</v>
      </c>
      <c r="E177" s="49">
        <f>IFERROR(IF(Data_Entry!J166/Data_Entry!$I166&lt;0,0,Data_Entry!J166/Data_Entry!$I166),0)</f>
        <v>1.06359649122807</v>
      </c>
      <c r="F177" s="49">
        <f>IFERROR(IF(Data_Entry!K166/Data_Entry!$H166&lt;0,0,Data_Entry!K166/Data_Entry!$H166),0)</f>
        <v>0.78126309086948509</v>
      </c>
      <c r="G177" s="49">
        <f>IFERROR(IF(Data_Entry!L166/Data_Entry!$H166&lt;0,0,Data_Entry!L166/Data_Entry!$H166),0)</f>
        <v>1.0032842373364164</v>
      </c>
      <c r="H177" s="49">
        <f>IFERROR(IF(Data_Entry!M166/Data_Entry!$H166&lt;0,0,Data_Entry!M166/Data_Entry!$H166),0)</f>
        <v>0.79592486469277302</v>
      </c>
      <c r="I177" s="49">
        <f>IFERROR(IF(Data_Entry!N166/Data_Entry!$H166&lt;0,0,Data_Entry!N166/Data_Entry!$H166),0)</f>
        <v>0.98652792439551595</v>
      </c>
      <c r="J177" s="49">
        <f>IFERROR(IF(Data_Entry!O166/Data_Entry!$H166&lt;0,0,Data_Entry!O166/Data_Entry!$H166),0)</f>
        <v>0.77079039528142224</v>
      </c>
      <c r="K177" s="49">
        <f>IFERROR(IF(Data_Entry!P166/Data_Entry!$H166&lt;0,0,Data_Entry!P166/Data_Entry!$H166),0)</f>
        <v>0.54876924881449085</v>
      </c>
      <c r="L177" s="49">
        <f>IFERROR(IF(Data_Entry!Q166/Data_Entry!$H166&lt;0,0,Data_Entry!Q166/Data_Entry!$H166),0)</f>
        <v>0.69538698704737012</v>
      </c>
      <c r="M177" s="49">
        <f>IFERROR(IF(Data_Entry!R166/Data_Entry!$H166&lt;0,0,Data_Entry!R166/Data_Entry!$H166),0)</f>
        <v>0.84619380351547446</v>
      </c>
      <c r="N177" s="49">
        <f>IFERROR(IF(Data_Entry!S166/Data_Entry!$H166&lt;0,0,Data_Entry!S166/Data_Entry!$H166),0)</f>
        <v>0.63883443087183089</v>
      </c>
      <c r="O177" s="49">
        <f>IFERROR(IF(Data_Entry!T166/Data_Entry!$H166&lt;0,0,Data_Entry!T166/Data_Entry!$H166),0)</f>
        <v>0.78964124733993535</v>
      </c>
      <c r="P177" s="49">
        <f>IFERROR(IF(Data_Entry!U166/Data_Entry!$H166&lt;0,0,Data_Entry!U166/Data_Entry!$H166),0)</f>
        <v>0.93206990733758943</v>
      </c>
      <c r="Q177" s="49">
        <f>IFERROR(IF(Data_Entry!V166/Data_Entry!$H166&lt;0,0,Data_Entry!V166/Data_Entry!$H166),0)</f>
        <v>0.71004876087065805</v>
      </c>
      <c r="R177" s="49">
        <f>IFERROR(IF(Data_Entry!W166/Data_Entry!$H166&lt;0,0,Data_Entry!W166/Data_Entry!$H166),0)</f>
        <v>0.90693543792623865</v>
      </c>
      <c r="S177" s="49">
        <f>IFERROR(IF(Data_Entry!X166/Data_Entry!$H166&lt;0,0,Data_Entry!X166/Data_Entry!$H166),0)</f>
        <v>0.91321905527907632</v>
      </c>
      <c r="T177" s="49">
        <f>IFERROR(IF(Data_Entry!Y166/Data_Entry!$H166&lt;0,0,Data_Entry!Y166/Data_Entry!$H166),0)</f>
        <v>0.95092075939610243</v>
      </c>
      <c r="U177" s="49">
        <f>IFERROR(IF(Data_Entry!Z166/Data_Entry!$H166&lt;0,0,Data_Entry!Z166/Data_Entry!$H166),0)</f>
        <v>0.81687025586889861</v>
      </c>
      <c r="V177" s="49">
        <f>IFERROR(IF(Data_Entry!AA166/Data_Entry!$H166&lt;0,0,Data_Entry!AA166/Data_Entry!$H166),0)</f>
        <v>0.98652792439551595</v>
      </c>
      <c r="W177" s="49">
        <f>IFERROR(IF(Data_Entry!AB166/Data_Entry!$H166&lt;0,0,Data_Entry!AB166/Data_Entry!$H166),0)</f>
        <v>0.81896479498651109</v>
      </c>
      <c r="X177" s="49">
        <f>IFERROR(IF(Data_Entry!AC166/Data_Entry!$I166&lt;0,0,Data_Entry!AC166/Data_Entry!$I166),0)</f>
        <v>0.57383040935672514</v>
      </c>
      <c r="Y177" s="49">
        <f>IFERROR(IF(Data_Entry!AD166/Data_Entry!$I166&lt;0,0,Data_Entry!AD166/Data_Entry!$I166),0)</f>
        <v>0.1644736842105263</v>
      </c>
      <c r="Z177" s="49">
        <f>IFERROR(IF(Data_Entry!AE166/Data_Entry!$I166&lt;0,0,Data_Entry!AE166/Data_Entry!$I166),0)</f>
        <v>0.12975146198830409</v>
      </c>
      <c r="AA177" s="49">
        <f>IFERROR(IF(Data_Entry!AF166/Data_Entry!$I166&lt;0,0,Data_Entry!AF166/Data_Entry!$I166),0)</f>
        <v>0.13888888888888887</v>
      </c>
      <c r="AB177" s="49">
        <f>IFERROR(IF(Data_Entry!AG166/Data_Entry!$I166&lt;0,0,Data_Entry!AG166/Data_Entry!$I166),0)</f>
        <v>9.3201754385964911E-2</v>
      </c>
      <c r="AC177" s="49">
        <f>IFERROR(IF(Data_Entry!AI166/Data_Entry!$I166&lt;0,0,Data_Entry!AI166/Data_Entry!$I166),0)</f>
        <v>0.1065423976608187</v>
      </c>
      <c r="AD177" s="49">
        <f>IFERROR(IF(Data_Entry!AM166/Data_Entry!$H166&lt;0,0,Data_Entry!AM166/Data_Entry!$H166),0)</f>
        <v>0.81687025586889861</v>
      </c>
      <c r="AE177" s="50">
        <f>Data_Entry!AK166</f>
        <v>109.43200000000002</v>
      </c>
      <c r="AF177" s="50">
        <f>Data_Entry!AL166</f>
        <v>0</v>
      </c>
      <c r="AG177" s="153">
        <f>(Data_Entry!O166-Data_Entry!Q166)/Data_Entry!O166</f>
        <v>9.7826086956521743E-2</v>
      </c>
      <c r="AH177" s="79" t="str">
        <f t="shared" si="4"/>
        <v>CAT3</v>
      </c>
      <c r="AI177" s="51">
        <f>SUBTOTAL(3,Tableau1[[#This Row],[ZS]])</f>
        <v>0</v>
      </c>
      <c r="AJ177" s="51" t="e">
        <f t="shared" ca="1" si="5"/>
        <v>#NAME?</v>
      </c>
      <c r="AK177" s="50" t="str">
        <f>IFERROR(IF((Data_Entry!O166-Data_Entry!Q166)/Data_Entry!O166&lt;=10%,"&lt;=10%","&gt;10%"),"&lt;=10%")</f>
        <v>&lt;=10%</v>
      </c>
    </row>
    <row r="178" spans="1:37" s="48" customFormat="1" ht="13" hidden="1" x14ac:dyDescent="0.3">
      <c r="A178" s="31" t="s">
        <v>16</v>
      </c>
      <c r="B178" s="48" t="str">
        <f>Data_Entry!B167</f>
        <v>Butembo</v>
      </c>
      <c r="C178" s="48" t="str">
        <f>Data_Entry!C167</f>
        <v xml:space="preserve"> Kalunguta</v>
      </c>
      <c r="D178" s="48" t="str">
        <f>Data_Entry!D167</f>
        <v xml:space="preserve"> Butuhe</v>
      </c>
      <c r="E178" s="49">
        <f>IFERROR(IF(Data_Entry!J167/Data_Entry!$I167&lt;0,0,Data_Entry!J167/Data_Entry!$I167),0)</f>
        <v>0.91817483054992644</v>
      </c>
      <c r="F178" s="49">
        <f>IFERROR(IF(Data_Entry!K167/Data_Entry!$H167&lt;0,0,Data_Entry!K167/Data_Entry!$H167),0)</f>
        <v>0.84572369942451142</v>
      </c>
      <c r="G178" s="49">
        <f>IFERROR(IF(Data_Entry!L167/Data_Entry!$H167&lt;0,0,Data_Entry!L167/Data_Entry!$H167),0)</f>
        <v>0.90578930307682048</v>
      </c>
      <c r="H178" s="49">
        <f>IFERROR(IF(Data_Entry!M167/Data_Entry!$H167&lt;0,0,Data_Entry!M167/Data_Entry!$H167),0)</f>
        <v>0.89137355820026631</v>
      </c>
      <c r="I178" s="49">
        <f>IFERROR(IF(Data_Entry!N167/Data_Entry!$H167&lt;0,0,Data_Entry!N167/Data_Entry!$H167),0)</f>
        <v>0.94182866526820586</v>
      </c>
      <c r="J178" s="49">
        <f>IFERROR(IF(Data_Entry!O167/Data_Entry!$H167&lt;0,0,Data_Entry!O167/Data_Entry!$H167),0)</f>
        <v>0.86254206844715797</v>
      </c>
      <c r="K178" s="49">
        <f>IFERROR(IF(Data_Entry!P167/Data_Entry!$H167&lt;0,0,Data_Entry!P167/Data_Entry!$H167),0)</f>
        <v>0.79767121650266415</v>
      </c>
      <c r="L178" s="49">
        <f>IFERROR(IF(Data_Entry!Q167/Data_Entry!$H167&lt;0,0,Data_Entry!Q167/Data_Entry!$H167),0)</f>
        <v>1.3166380320586144</v>
      </c>
      <c r="M178" s="49">
        <f>IFERROR(IF(Data_Entry!R167/Data_Entry!$H167&lt;0,0,Data_Entry!R167/Data_Entry!$H167),0)</f>
        <v>0.83611320284014201</v>
      </c>
      <c r="N178" s="49">
        <f>IFERROR(IF(Data_Entry!S167/Data_Entry!$H167&lt;0,0,Data_Entry!S167/Data_Entry!$H167),0)</f>
        <v>0.80487908894094129</v>
      </c>
      <c r="O178" s="49">
        <f>IFERROR(IF(Data_Entry!T167/Data_Entry!$H167&lt;0,0,Data_Entry!T167/Data_Entry!$H167),0)</f>
        <v>0.83130795454795725</v>
      </c>
      <c r="P178" s="49">
        <f>IFERROR(IF(Data_Entry!U167/Data_Entry!$H167&lt;0,0,Data_Entry!U167/Data_Entry!$H167),0)</f>
        <v>0.83611320284014201</v>
      </c>
      <c r="Q178" s="49">
        <f>IFERROR(IF(Data_Entry!V167/Data_Entry!$H167&lt;0,0,Data_Entry!V167/Data_Entry!$H167),0)</f>
        <v>0.78565809577220236</v>
      </c>
      <c r="R178" s="49">
        <f>IFERROR(IF(Data_Entry!W167/Data_Entry!$H167&lt;0,0,Data_Entry!W167/Data_Entry!$H167),0)</f>
        <v>0.83130795454795725</v>
      </c>
      <c r="S178" s="49">
        <f>IFERROR(IF(Data_Entry!X167/Data_Entry!$H167&lt;0,0,Data_Entry!X167/Data_Entry!$H167),0)</f>
        <v>1.0451415035501774</v>
      </c>
      <c r="T178" s="49">
        <f>IFERROR(IF(Data_Entry!Y167/Data_Entry!$H167&lt;0,0,Data_Entry!Y167/Data_Entry!$H167),0)</f>
        <v>0.46370646019582584</v>
      </c>
      <c r="U178" s="49">
        <f>IFERROR(IF(Data_Entry!Z167/Data_Entry!$H167&lt;0,0,Data_Entry!Z167/Data_Entry!$H167),0)</f>
        <v>1.0235178862353462</v>
      </c>
      <c r="V178" s="49">
        <f>IFERROR(IF(Data_Entry!AA167/Data_Entry!$H167&lt;0,0,Data_Entry!AA167/Data_Entry!$H167),0)</f>
        <v>0.92741292039165169</v>
      </c>
      <c r="W178" s="49">
        <f>IFERROR(IF(Data_Entry!AB167/Data_Entry!$H167&lt;0,0,Data_Entry!AB167/Data_Entry!$H167),0)</f>
        <v>0.74721610943472461</v>
      </c>
      <c r="X178" s="49">
        <f>IFERROR(IF(Data_Entry!AC167/Data_Entry!$I167&lt;0,0,Data_Entry!AC167/Data_Entry!$I167),0)</f>
        <v>0.28090280204038848</v>
      </c>
      <c r="Y178" s="49">
        <f>IFERROR(IF(Data_Entry!AD167/Data_Entry!$I167&lt;0,0,Data_Entry!AD167/Data_Entry!$I167),0)</f>
        <v>0.20543637761162739</v>
      </c>
      <c r="Z178" s="49">
        <f>IFERROR(IF(Data_Entry!AE167/Data_Entry!$I167&lt;0,0,Data_Entry!AE167/Data_Entry!$I167),0)</f>
        <v>8.8044161833554596E-2</v>
      </c>
      <c r="AA178" s="49">
        <f>IFERROR(IF(Data_Entry!AF167/Data_Entry!$I167&lt;0,0,Data_Entry!AF167/Data_Entry!$I167),0)</f>
        <v>1.0481447837327927E-2</v>
      </c>
      <c r="AB178" s="49">
        <f>IFERROR(IF(Data_Entry!AG167/Data_Entry!$I167&lt;0,0,Data_Entry!AG167/Data_Entry!$I167),0)</f>
        <v>8.5947872266089007E-2</v>
      </c>
      <c r="AC178" s="49">
        <f>IFERROR(IF(Data_Entry!AI167/Data_Entry!$I167&lt;0,0,Data_Entry!AI167/Data_Entry!$I167),0)</f>
        <v>0.12221368178324363</v>
      </c>
      <c r="AD178" s="49">
        <f>IFERROR(IF(Data_Entry!AM167/Data_Entry!$H167&lt;0,0,Data_Entry!AM167/Data_Entry!$H167),0)</f>
        <v>1.0235178862353462</v>
      </c>
      <c r="AE178" s="50">
        <f>Data_Entry!AK167</f>
        <v>57.211583333333351</v>
      </c>
      <c r="AF178" s="50">
        <f>Data_Entry!AL167</f>
        <v>0</v>
      </c>
      <c r="AG178" s="153">
        <f>(Data_Entry!O167-Data_Entry!Q167)/Data_Entry!O167</f>
        <v>-0.52646239554317553</v>
      </c>
      <c r="AH178" s="79" t="str">
        <f t="shared" si="4"/>
        <v>CAT3</v>
      </c>
      <c r="AI178" s="51">
        <f>SUBTOTAL(3,Tableau1[[#This Row],[ZS]])</f>
        <v>0</v>
      </c>
      <c r="AJ178" s="51" t="e">
        <f t="shared" ca="1" si="5"/>
        <v>#NAME?</v>
      </c>
      <c r="AK178" s="50" t="str">
        <f>IFERROR(IF((Data_Entry!O167-Data_Entry!Q167)/Data_Entry!O167&lt;=10%,"&lt;=10%","&gt;10%"),"&lt;=10%")</f>
        <v>&lt;=10%</v>
      </c>
    </row>
    <row r="179" spans="1:37" s="48" customFormat="1" ht="13" hidden="1" x14ac:dyDescent="0.3">
      <c r="A179" s="31" t="s">
        <v>16</v>
      </c>
      <c r="B179" s="48" t="str">
        <f>Data_Entry!B168</f>
        <v>Butembo</v>
      </c>
      <c r="C179" s="48" t="str">
        <f>Data_Entry!C168</f>
        <v xml:space="preserve"> Kalunguta</v>
      </c>
      <c r="D179" s="48" t="str">
        <f>Data_Entry!D168</f>
        <v xml:space="preserve"> Kabasha</v>
      </c>
      <c r="E179" s="49">
        <f>IFERROR(IF(Data_Entry!J168/Data_Entry!$I168&lt;0,0,Data_Entry!J168/Data_Entry!$I168),0)</f>
        <v>1.2923076923076924</v>
      </c>
      <c r="F179" s="49">
        <f>IFERROR(IF(Data_Entry!K168/Data_Entry!$H168&lt;0,0,Data_Entry!K168/Data_Entry!$H168),0)</f>
        <v>1.2372345896701198</v>
      </c>
      <c r="G179" s="49">
        <f>IFERROR(IF(Data_Entry!L168/Data_Entry!$H168&lt;0,0,Data_Entry!L168/Data_Entry!$H168),0)</f>
        <v>1.4135625596943648</v>
      </c>
      <c r="H179" s="49">
        <f>IFERROR(IF(Data_Entry!M168/Data_Entry!$H168&lt;0,0,Data_Entry!M168/Data_Entry!$H168),0)</f>
        <v>1.3988685621923445</v>
      </c>
      <c r="I179" s="49">
        <f>IFERROR(IF(Data_Entry!N168/Data_Entry!$H168&lt;0,0,Data_Entry!N168/Data_Entry!$H168),0)</f>
        <v>1.3577253691866873</v>
      </c>
      <c r="J179" s="49">
        <f>IFERROR(IF(Data_Entry!O168/Data_Entry!$H168&lt;0,0,Data_Entry!O168/Data_Entry!$H168),0)</f>
        <v>1.3165821761810301</v>
      </c>
      <c r="K179" s="49">
        <f>IFERROR(IF(Data_Entry!P168/Data_Entry!$H168&lt;0,0,Data_Entry!P168/Data_Entry!$H168),0)</f>
        <v>1.2196017926676954</v>
      </c>
      <c r="L179" s="49">
        <f>IFERROR(IF(Data_Entry!Q168/Data_Entry!$H168&lt;0,0,Data_Entry!Q168/Data_Entry!$H168),0)</f>
        <v>1.4311953566967894</v>
      </c>
      <c r="M179" s="49">
        <f>IFERROR(IF(Data_Entry!R168/Data_Entry!$H168&lt;0,0,Data_Entry!R168/Data_Entry!$H168),0)</f>
        <v>1.275438983175373</v>
      </c>
      <c r="N179" s="49">
        <f>IFERROR(IF(Data_Entry!S168/Data_Entry!$H168&lt;0,0,Data_Entry!S168/Data_Entry!$H168),0)</f>
        <v>1.1902137976636544</v>
      </c>
      <c r="O179" s="49">
        <f>IFERROR(IF(Data_Entry!T168/Data_Entry!$H168&lt;0,0,Data_Entry!T168/Data_Entry!$H168),0)</f>
        <v>1.1960913966644626</v>
      </c>
      <c r="P179" s="49">
        <f>IFERROR(IF(Data_Entry!U168/Data_Entry!$H168&lt;0,0,Data_Entry!U168/Data_Entry!$H168),0)</f>
        <v>1.3018881786790097</v>
      </c>
      <c r="Q179" s="49">
        <f>IFERROR(IF(Data_Entry!V168/Data_Entry!$H168&lt;0,0,Data_Entry!V168/Data_Entry!$H168),0)</f>
        <v>1.4782161487032548</v>
      </c>
      <c r="R179" s="49">
        <f>IFERROR(IF(Data_Entry!W168/Data_Entry!$H168&lt;0,0,Data_Entry!W168/Data_Entry!$H168),0)</f>
        <v>1.207846594666079</v>
      </c>
      <c r="S179" s="49">
        <f>IFERROR(IF(Data_Entry!X168/Data_Entry!$H168&lt;0,0,Data_Entry!X168/Data_Entry!$H168),0)</f>
        <v>1.2960105796782015</v>
      </c>
      <c r="T179" s="49">
        <f>IFERROR(IF(Data_Entry!Y168/Data_Entry!$H168&lt;0,0,Data_Entry!Y168/Data_Entry!$H168),0)</f>
        <v>0.86400705311880099</v>
      </c>
      <c r="U179" s="49">
        <f>IFERROR(IF(Data_Entry!Z168/Data_Entry!$H168&lt;0,0,Data_Entry!Z168/Data_Entry!$H168),0)</f>
        <v>1.2960105796782015</v>
      </c>
      <c r="V179" s="49">
        <f>IFERROR(IF(Data_Entry!AA168/Data_Entry!$H168&lt;0,0,Data_Entry!AA168/Data_Entry!$H168),0)</f>
        <v>1.2930717801777976</v>
      </c>
      <c r="W179" s="49">
        <f>IFERROR(IF(Data_Entry!AB168/Data_Entry!$H168&lt;0,0,Data_Entry!AB168/Data_Entry!$H168),0)</f>
        <v>1.1343766071559769</v>
      </c>
      <c r="X179" s="49">
        <f>IFERROR(IF(Data_Entry!AC168/Data_Entry!$I168&lt;0,0,Data_Entry!AC168/Data_Entry!$I168),0)</f>
        <v>0.73076923076923073</v>
      </c>
      <c r="Y179" s="49">
        <f>IFERROR(IF(Data_Entry!AD168/Data_Entry!$I168&lt;0,0,Data_Entry!AD168/Data_Entry!$I168),0)</f>
        <v>0.53333333333333333</v>
      </c>
      <c r="Z179" s="49">
        <f>IFERROR(IF(Data_Entry!AE168/Data_Entry!$I168&lt;0,0,Data_Entry!AE168/Data_Entry!$I168),0)</f>
        <v>0.26153846153846155</v>
      </c>
      <c r="AA179" s="49">
        <f>IFERROR(IF(Data_Entry!AF168/Data_Entry!$I168&lt;0,0,Data_Entry!AF168/Data_Entry!$I168),0)</f>
        <v>0.16153846153846155</v>
      </c>
      <c r="AB179" s="49">
        <f>IFERROR(IF(Data_Entry!AG168/Data_Entry!$I168&lt;0,0,Data_Entry!AG168/Data_Entry!$I168),0)</f>
        <v>0.13589743589743589</v>
      </c>
      <c r="AC179" s="49">
        <f>IFERROR(IF(Data_Entry!AI168/Data_Entry!$I168&lt;0,0,Data_Entry!AI168/Data_Entry!$I168),0)</f>
        <v>0.14948717948717949</v>
      </c>
      <c r="AD179" s="49">
        <f>IFERROR(IF(Data_Entry!AM168/Data_Entry!$H168&lt;0,0,Data_Entry!AM168/Data_Entry!$H168),0)</f>
        <v>1.2960105796782015</v>
      </c>
      <c r="AE179" s="50">
        <f>Data_Entry!AK168</f>
        <v>0</v>
      </c>
      <c r="AF179" s="50">
        <f>Data_Entry!AL168</f>
        <v>7</v>
      </c>
      <c r="AG179" s="153">
        <f>(Data_Entry!O168-Data_Entry!Q168)/Data_Entry!O168</f>
        <v>-8.7053571428571425E-2</v>
      </c>
      <c r="AH179" s="79" t="str">
        <f t="shared" si="4"/>
        <v>CAT1</v>
      </c>
      <c r="AI179" s="51">
        <f>SUBTOTAL(3,Tableau1[[#This Row],[ZS]])</f>
        <v>0</v>
      </c>
      <c r="AJ179" s="51" t="e">
        <f t="shared" ca="1" si="5"/>
        <v>#NAME?</v>
      </c>
      <c r="AK179" s="50" t="str">
        <f>IFERROR(IF((Data_Entry!O168-Data_Entry!Q168)/Data_Entry!O168&lt;=10%,"&lt;=10%","&gt;10%"),"&lt;=10%")</f>
        <v>&lt;=10%</v>
      </c>
    </row>
    <row r="180" spans="1:37" s="48" customFormat="1" ht="13" hidden="1" x14ac:dyDescent="0.3">
      <c r="A180" s="31" t="s">
        <v>16</v>
      </c>
      <c r="B180" s="48" t="str">
        <f>Data_Entry!B169</f>
        <v>Butembo</v>
      </c>
      <c r="C180" s="48" t="str">
        <f>Data_Entry!C169</f>
        <v xml:space="preserve"> Kalunguta</v>
      </c>
      <c r="D180" s="48" t="str">
        <f>Data_Entry!D169</f>
        <v xml:space="preserve"> Kahamba</v>
      </c>
      <c r="E180" s="49">
        <f>IFERROR(IF(Data_Entry!J169/Data_Entry!$I169&lt;0,0,Data_Entry!J169/Data_Entry!$I169),0)</f>
        <v>1.1275546159267089</v>
      </c>
      <c r="F180" s="49">
        <f>IFERROR(IF(Data_Entry!K169/Data_Entry!$H169&lt;0,0,Data_Entry!K169/Data_Entry!$H169),0)</f>
        <v>1.0136683689025929</v>
      </c>
      <c r="G180" s="49">
        <f>IFERROR(IF(Data_Entry!L169/Data_Entry!$H169&lt;0,0,Data_Entry!L169/Data_Entry!$H169),0)</f>
        <v>1.0338609658926845</v>
      </c>
      <c r="H180" s="49">
        <f>IFERROR(IF(Data_Entry!M169/Data_Entry!$H169&lt;0,0,Data_Entry!M169/Data_Entry!$H169),0)</f>
        <v>1.0459765240867394</v>
      </c>
      <c r="I180" s="49">
        <f>IFERROR(IF(Data_Entry!N169/Data_Entry!$H169&lt;0,0,Data_Entry!N169/Data_Entry!$H169),0)</f>
        <v>1.1348239508431419</v>
      </c>
      <c r="J180" s="49">
        <f>IFERROR(IF(Data_Entry!O169/Data_Entry!$H169&lt;0,0,Data_Entry!O169/Data_Entry!$H169),0)</f>
        <v>0.93693650034024523</v>
      </c>
      <c r="K180" s="49">
        <f>IFERROR(IF(Data_Entry!P169/Data_Entry!$H169&lt;0,0,Data_Entry!P169/Data_Entry!$H169),0)</f>
        <v>0.9652061361263734</v>
      </c>
      <c r="L180" s="49">
        <f>IFERROR(IF(Data_Entry!Q169/Data_Entry!$H169&lt;0,0,Data_Entry!Q169/Data_Entry!$H169),0)</f>
        <v>1.0742461598728674</v>
      </c>
      <c r="M180" s="49">
        <f>IFERROR(IF(Data_Entry!R169/Data_Entry!$H169&lt;0,0,Data_Entry!R169/Data_Entry!$H169),0)</f>
        <v>0.83193499599176945</v>
      </c>
      <c r="N180" s="49">
        <f>IFERROR(IF(Data_Entry!S169/Data_Entry!$H169&lt;0,0,Data_Entry!S169/Data_Entry!$H169),0)</f>
        <v>0.81578091839969635</v>
      </c>
      <c r="O180" s="49">
        <f>IFERROR(IF(Data_Entry!T169/Data_Entry!$H169&lt;0,0,Data_Entry!T169/Data_Entry!$H169),0)</f>
        <v>0.92078242274817212</v>
      </c>
      <c r="P180" s="49">
        <f>IFERROR(IF(Data_Entry!U169/Data_Entry!$H169&lt;0,0,Data_Entry!U169/Data_Entry!$H169),0)</f>
        <v>0.86828167057393424</v>
      </c>
      <c r="Q180" s="49">
        <f>IFERROR(IF(Data_Entry!V169/Data_Entry!$H169&lt;0,0,Data_Entry!V169/Data_Entry!$H169),0)</f>
        <v>0.78751128261356818</v>
      </c>
      <c r="R180" s="49">
        <f>IFERROR(IF(Data_Entry!W169/Data_Entry!$H169&lt;0,0,Data_Entry!W169/Data_Entry!$H169),0)</f>
        <v>0.96924465552439165</v>
      </c>
      <c r="S180" s="49">
        <f>IFERROR(IF(Data_Entry!X169/Data_Entry!$H169&lt;0,0,Data_Entry!X169/Data_Entry!$H169),0)</f>
        <v>1.0177068883006113</v>
      </c>
      <c r="T180" s="49">
        <f>IFERROR(IF(Data_Entry!Y169/Data_Entry!$H169&lt;0,0,Data_Entry!Y169/Data_Entry!$H169),0)</f>
        <v>0.66231718127500094</v>
      </c>
      <c r="U180" s="49">
        <f>IFERROR(IF(Data_Entry!Z169/Data_Entry!$H169&lt;0,0,Data_Entry!Z169/Data_Entry!$H169),0)</f>
        <v>0.85212759298186103</v>
      </c>
      <c r="V180" s="49">
        <f>IFERROR(IF(Data_Entry!AA169/Data_Entry!$H169&lt;0,0,Data_Entry!AA169/Data_Entry!$H169),0)</f>
        <v>0.93289798094222698</v>
      </c>
      <c r="W180" s="49">
        <f>IFERROR(IF(Data_Entry!AB169/Data_Entry!$H169&lt;0,0,Data_Entry!AB169/Data_Entry!$H169),0)</f>
        <v>0.69866385585716562</v>
      </c>
      <c r="X180" s="49">
        <f>IFERROR(IF(Data_Entry!AC169/Data_Entry!$I169&lt;0,0,Data_Entry!AC169/Data_Entry!$I169),0)</f>
        <v>0.26427061310782241</v>
      </c>
      <c r="Y180" s="49">
        <f>IFERROR(IF(Data_Entry!AD169/Data_Entry!$I169&lt;0,0,Data_Entry!AD169/Data_Entry!$I169),0)</f>
        <v>0.28893587033121915</v>
      </c>
      <c r="Z180" s="49">
        <f>IFERROR(IF(Data_Entry!AE169/Data_Entry!$I169&lt;0,0,Data_Entry!AE169/Data_Entry!$I169),0)</f>
        <v>0.1726568005637773</v>
      </c>
      <c r="AA180" s="49">
        <f>IFERROR(IF(Data_Entry!AF169/Data_Entry!$I169&lt;0,0,Data_Entry!AF169/Data_Entry!$I169),0)</f>
        <v>0.1620859760394644</v>
      </c>
      <c r="AB180" s="49">
        <f>IFERROR(IF(Data_Entry!AG169/Data_Entry!$I169&lt;0,0,Data_Entry!AG169/Data_Entry!$I169),0)</f>
        <v>0.13742071881606766</v>
      </c>
      <c r="AC180" s="49">
        <f>IFERROR(IF(Data_Entry!AI169/Data_Entry!$I169&lt;0,0,Data_Entry!AI169/Data_Entry!$I169),0)</f>
        <v>0.20542635658914726</v>
      </c>
      <c r="AD180" s="49">
        <f>IFERROR(IF(Data_Entry!AM169/Data_Entry!$H169&lt;0,0,Data_Entry!AM169/Data_Entry!$H169),0)</f>
        <v>0.85212759298186103</v>
      </c>
      <c r="AE180" s="50">
        <f>Data_Entry!AK169</f>
        <v>15.615499999999997</v>
      </c>
      <c r="AF180" s="50">
        <f>Data_Entry!AL169</f>
        <v>0</v>
      </c>
      <c r="AG180" s="153">
        <f>(Data_Entry!O169-Data_Entry!Q169)/Data_Entry!O169</f>
        <v>-0.14655172413793102</v>
      </c>
      <c r="AH180" s="79" t="str">
        <f t="shared" si="4"/>
        <v>CAT1</v>
      </c>
      <c r="AI180" s="51">
        <f>SUBTOTAL(3,Tableau1[[#This Row],[ZS]])</f>
        <v>0</v>
      </c>
      <c r="AJ180" s="51" t="e">
        <f t="shared" ca="1" si="5"/>
        <v>#NAME?</v>
      </c>
      <c r="AK180" s="50" t="str">
        <f>IFERROR(IF((Data_Entry!O169-Data_Entry!Q169)/Data_Entry!O169&lt;=10%,"&lt;=10%","&gt;10%"),"&lt;=10%")</f>
        <v>&lt;=10%</v>
      </c>
    </row>
    <row r="181" spans="1:37" s="48" customFormat="1" ht="13" hidden="1" x14ac:dyDescent="0.3">
      <c r="A181" s="31" t="s">
        <v>16</v>
      </c>
      <c r="B181" s="48" t="str">
        <f>Data_Entry!B170</f>
        <v>Butembo</v>
      </c>
      <c r="C181" s="48" t="str">
        <f>Data_Entry!C170</f>
        <v xml:space="preserve"> Kalunguta</v>
      </c>
      <c r="D181" s="48" t="str">
        <f>Data_Entry!D170</f>
        <v xml:space="preserve"> Kalunguta</v>
      </c>
      <c r="E181" s="49">
        <f>IFERROR(IF(Data_Entry!J170/Data_Entry!$I170&lt;0,0,Data_Entry!J170/Data_Entry!$I170),0)</f>
        <v>1.0613163322707668</v>
      </c>
      <c r="F181" s="49">
        <f>IFERROR(IF(Data_Entry!K170/Data_Entry!$H170&lt;0,0,Data_Entry!K170/Data_Entry!$H170),0)</f>
        <v>0.68987119717904999</v>
      </c>
      <c r="G181" s="49">
        <f>IFERROR(IF(Data_Entry!L170/Data_Entry!$H170&lt;0,0,Data_Entry!L170/Data_Entry!$H170),0)</f>
        <v>1.0702674647824515</v>
      </c>
      <c r="H181" s="49">
        <f>IFERROR(IF(Data_Entry!M170/Data_Entry!$H170&lt;0,0,Data_Entry!M170/Data_Entry!$H170),0)</f>
        <v>1.0079426525762445</v>
      </c>
      <c r="I181" s="49">
        <f>IFERROR(IF(Data_Entry!N170/Data_Entry!$H170&lt;0,0,Data_Entry!N170/Data_Entry!$H170),0)</f>
        <v>1.0509252816839734</v>
      </c>
      <c r="J181" s="49">
        <f>IFERROR(IF(Data_Entry!O170/Data_Entry!$H170&lt;0,0,Data_Entry!O170/Data_Entry!$H170),0)</f>
        <v>0.80807342722530473</v>
      </c>
      <c r="K181" s="49">
        <f>IFERROR(IF(Data_Entry!P170/Data_Entry!$H170&lt;0,0,Data_Entry!P170/Data_Entry!$H170),0)</f>
        <v>0.77153819248373512</v>
      </c>
      <c r="L181" s="49">
        <f>IFERROR(IF(Data_Entry!Q170/Data_Entry!$H170&lt;0,0,Data_Entry!Q170/Data_Entry!$H170),0)</f>
        <v>0.79088037558221314</v>
      </c>
      <c r="M181" s="49">
        <f>IFERROR(IF(Data_Entry!R170/Data_Entry!$H170&lt;0,0,Data_Entry!R170/Data_Entry!$H170),0)</f>
        <v>0.85750345069919298</v>
      </c>
      <c r="N181" s="49">
        <f>IFERROR(IF(Data_Entry!S170/Data_Entry!$H170&lt;0,0,Data_Entry!S170/Data_Entry!$H170),0)</f>
        <v>0.84675779342226076</v>
      </c>
      <c r="O181" s="49">
        <f>IFERROR(IF(Data_Entry!T170/Data_Entry!$H170&lt;0,0,Data_Entry!T170/Data_Entry!$H170),0)</f>
        <v>0.84890692487764718</v>
      </c>
      <c r="P181" s="49">
        <f>IFERROR(IF(Data_Entry!U170/Data_Entry!$H170&lt;0,0,Data_Entry!U170/Data_Entry!$H170),0)</f>
        <v>0.73715208919755193</v>
      </c>
      <c r="Q181" s="49">
        <f>IFERROR(IF(Data_Entry!V170/Data_Entry!$H170&lt;0,0,Data_Entry!V170/Data_Entry!$H170),0)</f>
        <v>0.67912553990211777</v>
      </c>
      <c r="R181" s="49">
        <f>IFERROR(IF(Data_Entry!W170/Data_Entry!$H170&lt;0,0,Data_Entry!W170/Data_Entry!$H170),0)</f>
        <v>0.71351164318830096</v>
      </c>
      <c r="S181" s="49">
        <f>IFERROR(IF(Data_Entry!X170/Data_Entry!$H170&lt;0,0,Data_Entry!X170/Data_Entry!$H170),0)</f>
        <v>1.0810131220593837</v>
      </c>
      <c r="T181" s="49">
        <f>IFERROR(IF(Data_Entry!Y170/Data_Entry!$H170&lt;0,0,Data_Entry!Y170/Data_Entry!$H170),0)</f>
        <v>0.35675582159415048</v>
      </c>
      <c r="U181" s="49">
        <f>IFERROR(IF(Data_Entry!Z170/Data_Entry!$H170&lt;0,0,Data_Entry!Z170/Data_Entry!$H170),0)</f>
        <v>0.84460866196687434</v>
      </c>
      <c r="V181" s="49">
        <f>IFERROR(IF(Data_Entry!AA170/Data_Entry!$H170&lt;0,0,Data_Entry!AA170/Data_Entry!$H170),0)</f>
        <v>0.98645133802237994</v>
      </c>
      <c r="W181" s="49">
        <f>IFERROR(IF(Data_Entry!AB170/Data_Entry!$H170&lt;0,0,Data_Entry!AB170/Data_Entry!$H170),0)</f>
        <v>0.66623075116979913</v>
      </c>
      <c r="X181" s="49">
        <f>IFERROR(IF(Data_Entry!AC170/Data_Entry!$I170&lt;0,0,Data_Entry!AC170/Data_Entry!$I170),0)</f>
        <v>0.81380086255390949</v>
      </c>
      <c r="Y181" s="49">
        <f>IFERROR(IF(Data_Entry!AD170/Data_Entry!$I170&lt;0,0,Data_Entry!AD170/Data_Entry!$I170),0)</f>
        <v>0.54565910369398085</v>
      </c>
      <c r="Z181" s="49">
        <f>IFERROR(IF(Data_Entry!AE170/Data_Entry!$I170&lt;0,0,Data_Entry!AE170/Data_Entry!$I170),0)</f>
        <v>0.27939246202887674</v>
      </c>
      <c r="AA181" s="49">
        <f>IFERROR(IF(Data_Entry!AF170/Data_Entry!$I170&lt;0,0,Data_Entry!AF170/Data_Entry!$I170),0)</f>
        <v>8.0630039377461077E-2</v>
      </c>
      <c r="AB181" s="49">
        <f>IFERROR(IF(Data_Entry!AG170/Data_Entry!$I170&lt;0,0,Data_Entry!AG170/Data_Entry!$I170),0)</f>
        <v>5.8128633039564968E-2</v>
      </c>
      <c r="AC181" s="49">
        <f>IFERROR(IF(Data_Entry!AI170/Data_Entry!$I170&lt;0,0,Data_Entry!AI170/Data_Entry!$I170),0)</f>
        <v>0.10931933245827863</v>
      </c>
      <c r="AD181" s="49">
        <f>IFERROR(IF(Data_Entry!AM170/Data_Entry!$H170&lt;0,0,Data_Entry!AM170/Data_Entry!$H170),0)</f>
        <v>0.84460866196687434</v>
      </c>
      <c r="AE181" s="50">
        <f>Data_Entry!AK170</f>
        <v>89.304250000000025</v>
      </c>
      <c r="AF181" s="50">
        <f>Data_Entry!AL170</f>
        <v>0</v>
      </c>
      <c r="AG181" s="153">
        <f>(Data_Entry!O170-Data_Entry!Q170)/Data_Entry!O170</f>
        <v>2.1276595744680851E-2</v>
      </c>
      <c r="AH181" s="79" t="str">
        <f t="shared" si="4"/>
        <v>CAT3</v>
      </c>
      <c r="AI181" s="51">
        <f>SUBTOTAL(3,Tableau1[[#This Row],[ZS]])</f>
        <v>0</v>
      </c>
      <c r="AJ181" s="51" t="e">
        <f t="shared" ca="1" si="5"/>
        <v>#NAME?</v>
      </c>
      <c r="AK181" s="50" t="str">
        <f>IFERROR(IF((Data_Entry!O170-Data_Entry!Q170)/Data_Entry!O170&lt;=10%,"&lt;=10%","&gt;10%"),"&lt;=10%")</f>
        <v>&lt;=10%</v>
      </c>
    </row>
    <row r="182" spans="1:37" s="48" customFormat="1" ht="13" hidden="1" x14ac:dyDescent="0.3">
      <c r="A182" s="31" t="s">
        <v>16</v>
      </c>
      <c r="B182" s="48" t="str">
        <f>Data_Entry!B171</f>
        <v>Butembo</v>
      </c>
      <c r="C182" s="48" t="str">
        <f>Data_Entry!C171</f>
        <v xml:space="preserve"> Kalunguta</v>
      </c>
      <c r="D182" s="48" t="str">
        <f>Data_Entry!D171</f>
        <v xml:space="preserve"> Kanyihunga</v>
      </c>
      <c r="E182" s="49">
        <f>IFERROR(IF(Data_Entry!J171/Data_Entry!$I171&lt;0,0,Data_Entry!J171/Data_Entry!$I171),0)</f>
        <v>0.8092408359484542</v>
      </c>
      <c r="F182" s="49">
        <f>IFERROR(IF(Data_Entry!K171/Data_Entry!$H171&lt;0,0,Data_Entry!K171/Data_Entry!$H171),0)</f>
        <v>0.89994725436691558</v>
      </c>
      <c r="G182" s="49">
        <f>IFERROR(IF(Data_Entry!L171/Data_Entry!$H171&lt;0,0,Data_Entry!L171/Data_Entry!$H171),0)</f>
        <v>1.1731455280140148</v>
      </c>
      <c r="H182" s="49">
        <f>IFERROR(IF(Data_Entry!M171/Data_Entry!$H171&lt;0,0,Data_Entry!M171/Data_Entry!$H171),0)</f>
        <v>1.053764769781669</v>
      </c>
      <c r="I182" s="49">
        <f>IFERROR(IF(Data_Entry!N171/Data_Entry!$H171&lt;0,0,Data_Entry!N171/Data_Entry!$H171),0)</f>
        <v>1.1295256355829655</v>
      </c>
      <c r="J182" s="49">
        <f>IFERROR(IF(Data_Entry!O171/Data_Entry!$H171&lt;0,0,Data_Entry!O171/Data_Entry!$H171),0)</f>
        <v>0.99866595828981697</v>
      </c>
      <c r="K182" s="49">
        <f>IFERROR(IF(Data_Entry!P171/Data_Entry!$H171&lt;0,0,Data_Entry!P171/Data_Entry!$H171),0)</f>
        <v>0.91601774105203904</v>
      </c>
      <c r="L182" s="49">
        <f>IFERROR(IF(Data_Entry!Q171/Data_Entry!$H171&lt;0,0,Data_Entry!Q171/Data_Entry!$H171),0)</f>
        <v>0.91601774105203904</v>
      </c>
      <c r="M182" s="49">
        <f>IFERROR(IF(Data_Entry!R171/Data_Entry!$H171&lt;0,0,Data_Entry!R171/Data_Entry!$H171),0)</f>
        <v>1.007849093538459</v>
      </c>
      <c r="N182" s="49">
        <f>IFERROR(IF(Data_Entry!S171/Data_Entry!$H171&lt;0,0,Data_Entry!S171/Data_Entry!$H171),0)</f>
        <v>1.0285111478479034</v>
      </c>
      <c r="O182" s="49">
        <f>IFERROR(IF(Data_Entry!T171/Data_Entry!$H171&lt;0,0,Data_Entry!T171/Data_Entry!$H171),0)</f>
        <v>0.97800390398037251</v>
      </c>
      <c r="P182" s="49">
        <f>IFERROR(IF(Data_Entry!U171/Data_Entry!$H171&lt;0,0,Data_Entry!U171/Data_Entry!$H171),0)</f>
        <v>0.85403157812370556</v>
      </c>
      <c r="Q182" s="49">
        <f>IFERROR(IF(Data_Entry!V171/Data_Entry!$H171&lt;0,0,Data_Entry!V171/Data_Entry!$H171),0)</f>
        <v>0.89765147055475503</v>
      </c>
      <c r="R182" s="49">
        <f>IFERROR(IF(Data_Entry!W171/Data_Entry!$H171&lt;0,0,Data_Entry!W171/Data_Entry!$H171),0)</f>
        <v>0.84944001049938456</v>
      </c>
      <c r="S182" s="49">
        <f>IFERROR(IF(Data_Entry!X171/Data_Entry!$H171&lt;0,0,Data_Entry!X171/Data_Entry!$H171),0)</f>
        <v>1.0882015269640763</v>
      </c>
      <c r="T182" s="49">
        <f>IFERROR(IF(Data_Entry!Y171/Data_Entry!$H171&lt;0,0,Data_Entry!Y171/Data_Entry!$H171),0)</f>
        <v>0.86321471337234756</v>
      </c>
      <c r="U182" s="49">
        <f>IFERROR(IF(Data_Entry!Z171/Data_Entry!$H171&lt;0,0,Data_Entry!Z171/Data_Entry!$H171),0)</f>
        <v>1.0882015269640763</v>
      </c>
      <c r="V182" s="49">
        <f>IFERROR(IF(Data_Entry!AA171/Data_Entry!$H171&lt;0,0,Data_Entry!AA171/Data_Entry!$H171),0)</f>
        <v>1.1203425003343235</v>
      </c>
      <c r="W182" s="49">
        <f>IFERROR(IF(Data_Entry!AB171/Data_Entry!$H171&lt;0,0,Data_Entry!AB171/Data_Entry!$H171),0)</f>
        <v>1.0216237964114219</v>
      </c>
      <c r="X182" s="49">
        <f>IFERROR(IF(Data_Entry!AC171/Data_Entry!$I171&lt;0,0,Data_Entry!AC171/Data_Entry!$I171),0)</f>
        <v>0.1201842825666021</v>
      </c>
      <c r="Y182" s="49">
        <f>IFERROR(IF(Data_Entry!AD171/Data_Entry!$I171&lt;0,0,Data_Entry!AD171/Data_Entry!$I171),0)</f>
        <v>0.12218735394271214</v>
      </c>
      <c r="Z182" s="49">
        <f>IFERROR(IF(Data_Entry!AE171/Data_Entry!$I171&lt;0,0,Data_Entry!AE171/Data_Entry!$I171),0)</f>
        <v>5.4082927154970949E-2</v>
      </c>
      <c r="AA182" s="49">
        <f>IFERROR(IF(Data_Entry!AF171/Data_Entry!$I171&lt;0,0,Data_Entry!AF171/Data_Entry!$I171),0)</f>
        <v>3.4052213393870594E-2</v>
      </c>
      <c r="AB182" s="49">
        <f>IFERROR(IF(Data_Entry!AG171/Data_Entry!$I171&lt;0,0,Data_Entry!AG171/Data_Entry!$I171),0)</f>
        <v>1.201842825666021E-2</v>
      </c>
      <c r="AC182" s="49">
        <f>IFERROR(IF(Data_Entry!AI171/Data_Entry!$I171&lt;0,0,Data_Entry!AI171/Data_Entry!$I171),0)</f>
        <v>0.10015356880550176</v>
      </c>
      <c r="AD182" s="49">
        <f>IFERROR(IF(Data_Entry!AM171/Data_Entry!$H171&lt;0,0,Data_Entry!AM171/Data_Entry!$H171),0)</f>
        <v>1.0882015269640763</v>
      </c>
      <c r="AE182" s="50">
        <f>Data_Entry!AK171</f>
        <v>0.58108333333336759</v>
      </c>
      <c r="AF182" s="50">
        <f>Data_Entry!AL171</f>
        <v>0</v>
      </c>
      <c r="AG182" s="153">
        <f>(Data_Entry!O171-Data_Entry!Q171)/Data_Entry!O171</f>
        <v>8.2758620689655171E-2</v>
      </c>
      <c r="AH182" s="79" t="str">
        <f t="shared" si="4"/>
        <v>CAT1</v>
      </c>
      <c r="AI182" s="51">
        <f>SUBTOTAL(3,Tableau1[[#This Row],[ZS]])</f>
        <v>0</v>
      </c>
      <c r="AJ182" s="51" t="e">
        <f t="shared" ca="1" si="5"/>
        <v>#NAME?</v>
      </c>
      <c r="AK182" s="50" t="str">
        <f>IFERROR(IF((Data_Entry!O171-Data_Entry!Q171)/Data_Entry!O171&lt;=10%,"&lt;=10%","&gt;10%"),"&lt;=10%")</f>
        <v>&lt;=10%</v>
      </c>
    </row>
    <row r="183" spans="1:37" s="48" customFormat="1" ht="13" hidden="1" x14ac:dyDescent="0.3">
      <c r="A183" s="31" t="s">
        <v>16</v>
      </c>
      <c r="B183" s="48" t="str">
        <f>Data_Entry!B172</f>
        <v>Butembo</v>
      </c>
      <c r="C183" s="48" t="str">
        <f>Data_Entry!C172</f>
        <v xml:space="preserve"> Kalunguta</v>
      </c>
      <c r="D183" s="48" t="str">
        <f>Data_Entry!D172</f>
        <v xml:space="preserve"> Kasebere</v>
      </c>
      <c r="E183" s="49">
        <f>IFERROR(IF(Data_Entry!J172/Data_Entry!$I172&lt;0,0,Data_Entry!J172/Data_Entry!$I172),0)</f>
        <v>0.53850722629182346</v>
      </c>
      <c r="F183" s="49">
        <f>IFERROR(IF(Data_Entry!K172/Data_Entry!$H172&lt;0,0,Data_Entry!K172/Data_Entry!$H172),0)</f>
        <v>0.33809867148778733</v>
      </c>
      <c r="G183" s="49">
        <f>IFERROR(IF(Data_Entry!L172/Data_Entry!$H172&lt;0,0,Data_Entry!L172/Data_Entry!$H172),0)</f>
        <v>0.97572099825334602</v>
      </c>
      <c r="H183" s="49">
        <f>IFERROR(IF(Data_Entry!M172/Data_Entry!$H172&lt;0,0,Data_Entry!M172/Data_Entry!$H172),0)</f>
        <v>0.96891364245157841</v>
      </c>
      <c r="I183" s="49">
        <f>IFERROR(IF(Data_Entry!N172/Data_Entry!$H172&lt;0,0,Data_Entry!N172/Data_Entry!$H172),0)</f>
        <v>0.9552989308480434</v>
      </c>
      <c r="J183" s="49">
        <f>IFERROR(IF(Data_Entry!O172/Data_Entry!$H172&lt;0,0,Data_Entry!O172/Data_Entry!$H172),0)</f>
        <v>1.7631051526577903</v>
      </c>
      <c r="K183" s="49">
        <f>IFERROR(IF(Data_Entry!P172/Data_Entry!$H172&lt;0,0,Data_Entry!P172/Data_Entry!$H172),0)</f>
        <v>0.82595917061446034</v>
      </c>
      <c r="L183" s="49">
        <f>IFERROR(IF(Data_Entry!Q172/Data_Entry!$H172&lt;0,0,Data_Entry!Q172/Data_Entry!$H172),0)</f>
        <v>0.80780622180974693</v>
      </c>
      <c r="M183" s="49">
        <f>IFERROR(IF(Data_Entry!R172/Data_Entry!$H172&lt;0,0,Data_Entry!R172/Data_Entry!$H172),0)</f>
        <v>0.84411211941917375</v>
      </c>
      <c r="N183" s="49">
        <f>IFERROR(IF(Data_Entry!S172/Data_Entry!$H172&lt;0,0,Data_Entry!S172/Data_Entry!$H172),0)</f>
        <v>0.82595917061446034</v>
      </c>
      <c r="O183" s="49">
        <f>IFERROR(IF(Data_Entry!T172/Data_Entry!$H172&lt;0,0,Data_Entry!T172/Data_Entry!$H172),0)</f>
        <v>0.81234445901092522</v>
      </c>
      <c r="P183" s="49">
        <f>IFERROR(IF(Data_Entry!U172/Data_Entry!$H172&lt;0,0,Data_Entry!U172/Data_Entry!$H172),0)</f>
        <v>0.84411211941917375</v>
      </c>
      <c r="Q183" s="49">
        <f>IFERROR(IF(Data_Entry!V172/Data_Entry!$H172&lt;0,0,Data_Entry!V172/Data_Entry!$H172),0)</f>
        <v>0.81234445901092522</v>
      </c>
      <c r="R183" s="49">
        <f>IFERROR(IF(Data_Entry!W172/Data_Entry!$H172&lt;0,0,Data_Entry!W172/Data_Entry!$H172),0)</f>
        <v>0.81234445901092522</v>
      </c>
      <c r="S183" s="49">
        <f>IFERROR(IF(Data_Entry!X172/Data_Entry!$H172&lt;0,0,Data_Entry!X172/Data_Entry!$H172),0)</f>
        <v>0.87814889842801136</v>
      </c>
      <c r="T183" s="49">
        <f>IFERROR(IF(Data_Entry!Y172/Data_Entry!$H172&lt;0,0,Data_Entry!Y172/Data_Entry!$H172),0)</f>
        <v>0.22918097865950685</v>
      </c>
      <c r="U183" s="49">
        <f>IFERROR(IF(Data_Entry!Z172/Data_Entry!$H172&lt;0,0,Data_Entry!Z172/Data_Entry!$H172),0)</f>
        <v>0.83503564501681704</v>
      </c>
      <c r="V183" s="49">
        <f>IFERROR(IF(Data_Entry!AA172/Data_Entry!$H172&lt;0,0,Data_Entry!AA172/Data_Entry!$H172),0)</f>
        <v>0.72384883358794738</v>
      </c>
      <c r="W183" s="49">
        <f>IFERROR(IF(Data_Entry!AB172/Data_Entry!$H172&lt;0,0,Data_Entry!AB172/Data_Entry!$H172),0)</f>
        <v>0.2836398250736471</v>
      </c>
      <c r="X183" s="49">
        <f>IFERROR(IF(Data_Entry!AC172/Data_Entry!$I172&lt;0,0,Data_Entry!AC172/Data_Entry!$I172),0)</f>
        <v>0.50287071866957045</v>
      </c>
      <c r="Y183" s="49">
        <f>IFERROR(IF(Data_Entry!AD172/Data_Entry!$I172&lt;0,0,Data_Entry!AD172/Data_Entry!$I172),0)</f>
        <v>0.26925361314591173</v>
      </c>
      <c r="Z183" s="49">
        <f>IFERROR(IF(Data_Entry!AE172/Data_Entry!$I172&lt;0,0,Data_Entry!AE172/Data_Entry!$I172),0)</f>
        <v>0.18016234409027918</v>
      </c>
      <c r="AA183" s="49">
        <f>IFERROR(IF(Data_Entry!AF172/Data_Entry!$I172&lt;0,0,Data_Entry!AF172/Data_Entry!$I172),0)</f>
        <v>0.12472777667788558</v>
      </c>
      <c r="AB183" s="49">
        <f>IFERROR(IF(Data_Entry!AG172/Data_Entry!$I172&lt;0,0,Data_Entry!AG172/Data_Entry!$I172),0)</f>
        <v>0.1286873886359137</v>
      </c>
      <c r="AC183" s="49">
        <f>IFERROR(IF(Data_Entry!AI172/Data_Entry!$I172&lt;0,0,Data_Entry!AI172/Data_Entry!$I172),0)</f>
        <v>0.11542268857651951</v>
      </c>
      <c r="AD183" s="49">
        <f>IFERROR(IF(Data_Entry!AM172/Data_Entry!$H172&lt;0,0,Data_Entry!AM172/Data_Entry!$H172),0)</f>
        <v>0.83503564501681704</v>
      </c>
      <c r="AE183" s="50">
        <f>Data_Entry!AK172</f>
        <v>0</v>
      </c>
      <c r="AF183" s="50">
        <f>Data_Entry!AL172</f>
        <v>390</v>
      </c>
      <c r="AG183" s="153">
        <f>(Data_Entry!O172-Data_Entry!Q172)/Data_Entry!O172</f>
        <v>0.54182754182754178</v>
      </c>
      <c r="AH183" s="79" t="str">
        <f t="shared" si="4"/>
        <v>CAT2</v>
      </c>
      <c r="AI183" s="51">
        <f>SUBTOTAL(3,Tableau1[[#This Row],[ZS]])</f>
        <v>0</v>
      </c>
      <c r="AJ183" s="51" t="e">
        <f t="shared" ca="1" si="5"/>
        <v>#NAME?</v>
      </c>
      <c r="AK183" s="50" t="str">
        <f>IFERROR(IF((Data_Entry!O172-Data_Entry!Q172)/Data_Entry!O172&lt;=10%,"&lt;=10%","&gt;10%"),"&lt;=10%")</f>
        <v>&gt;10%</v>
      </c>
    </row>
    <row r="184" spans="1:37" s="48" customFormat="1" ht="13" hidden="1" x14ac:dyDescent="0.3">
      <c r="A184" s="31" t="s">
        <v>16</v>
      </c>
      <c r="B184" s="48" t="str">
        <f>Data_Entry!B173</f>
        <v>Butembo</v>
      </c>
      <c r="C184" s="48" t="str">
        <f>Data_Entry!C173</f>
        <v xml:space="preserve"> Kalunguta</v>
      </c>
      <c r="D184" s="48" t="str">
        <f>Data_Entry!D173</f>
        <v xml:space="preserve"> Kavakubi</v>
      </c>
      <c r="E184" s="49">
        <f>IFERROR(IF(Data_Entry!J173/Data_Entry!$I173&lt;0,0,Data_Entry!J173/Data_Entry!$I173),0)</f>
        <v>1.1342002949457033</v>
      </c>
      <c r="F184" s="49">
        <f>IFERROR(IF(Data_Entry!K173/Data_Entry!$H173&lt;0,0,Data_Entry!K173/Data_Entry!$H173),0)</f>
        <v>0.53011861211874201</v>
      </c>
      <c r="G184" s="49">
        <f>IFERROR(IF(Data_Entry!L173/Data_Entry!$H173&lt;0,0,Data_Entry!L173/Data_Entry!$H173),0)</f>
        <v>1.060237224237484</v>
      </c>
      <c r="H184" s="49">
        <f>IFERROR(IF(Data_Entry!M173/Data_Entry!$H173&lt;0,0,Data_Entry!M173/Data_Entry!$H173),0)</f>
        <v>1.060237224237484</v>
      </c>
      <c r="I184" s="49">
        <f>IFERROR(IF(Data_Entry!N173/Data_Entry!$H173&lt;0,0,Data_Entry!N173/Data_Entry!$H173),0)</f>
        <v>1.0095302265565609</v>
      </c>
      <c r="J184" s="49">
        <f>IFERROR(IF(Data_Entry!O173/Data_Entry!$H173&lt;0,0,Data_Entry!O173/Data_Entry!$H173),0)</f>
        <v>1.1616512195993303</v>
      </c>
      <c r="K184" s="49">
        <f>IFERROR(IF(Data_Entry!P173/Data_Entry!$H173&lt;0,0,Data_Entry!P173/Data_Entry!$H173),0)</f>
        <v>1.0694566783612882</v>
      </c>
      <c r="L184" s="49">
        <f>IFERROR(IF(Data_Entry!Q173/Data_Entry!$H173&lt;0,0,Data_Entry!Q173/Data_Entry!$H173),0)</f>
        <v>1.0740664054231903</v>
      </c>
      <c r="M184" s="49">
        <f>IFERROR(IF(Data_Entry!R173/Data_Entry!$H173&lt;0,0,Data_Entry!R173/Data_Entry!$H173),0)</f>
        <v>1.2492360337754702</v>
      </c>
      <c r="N184" s="49">
        <f>IFERROR(IF(Data_Entry!S173/Data_Entry!$H173&lt;0,0,Data_Entry!S173/Data_Entry!$H173),0)</f>
        <v>1.0464080430517777</v>
      </c>
      <c r="O184" s="49">
        <f>IFERROR(IF(Data_Entry!T173/Data_Entry!$H173&lt;0,0,Data_Entry!T173/Data_Entry!$H173),0)</f>
        <v>1.0878955866088966</v>
      </c>
      <c r="P184" s="49">
        <f>IFERROR(IF(Data_Entry!U173/Data_Entry!$H173&lt;0,0,Data_Entry!U173/Data_Entry!$H173),0)</f>
        <v>1.2261873984659597</v>
      </c>
      <c r="Q184" s="49">
        <f>IFERROR(IF(Data_Entry!V173/Data_Entry!$H173&lt;0,0,Data_Entry!V173/Data_Entry!$H173),0)</f>
        <v>1.0786761324850924</v>
      </c>
      <c r="R184" s="49">
        <f>IFERROR(IF(Data_Entry!W173/Data_Entry!$H173&lt;0,0,Data_Entry!W173/Data_Entry!$H173),0)</f>
        <v>1.0878955866088966</v>
      </c>
      <c r="S184" s="49">
        <f>IFERROR(IF(Data_Entry!X173/Data_Entry!$H173&lt;0,0,Data_Entry!X173/Data_Entry!$H173),0)</f>
        <v>1.1524317654755261</v>
      </c>
      <c r="T184" s="49">
        <f>IFERROR(IF(Data_Entry!Y173/Data_Entry!$H173&lt;0,0,Data_Entry!Y173/Data_Entry!$H173),0)</f>
        <v>0.37338789201407041</v>
      </c>
      <c r="U184" s="49">
        <f>IFERROR(IF(Data_Entry!Z173/Data_Entry!$H173&lt;0,0,Data_Entry!Z173/Data_Entry!$H173),0)</f>
        <v>1.1524317654755261</v>
      </c>
      <c r="V184" s="49">
        <f>IFERROR(IF(Data_Entry!AA173/Data_Entry!$H173&lt;0,0,Data_Entry!AA173/Data_Entry!$H173),0)</f>
        <v>1.060237224237484</v>
      </c>
      <c r="W184" s="49">
        <f>IFERROR(IF(Data_Entry!AB173/Data_Entry!$H173&lt;0,0,Data_Entry!AB173/Data_Entry!$H173),0)</f>
        <v>1.060237224237484</v>
      </c>
      <c r="X184" s="49">
        <f>IFERROR(IF(Data_Entry!AC173/Data_Entry!$I173&lt;0,0,Data_Entry!AC173/Data_Entry!$I173),0)</f>
        <v>0.63949591098002412</v>
      </c>
      <c r="Y184" s="49">
        <f>IFERROR(IF(Data_Entry!AD173/Data_Entry!$I173&lt;0,0,Data_Entry!AD173/Data_Entry!$I173),0)</f>
        <v>0.3096929883362381</v>
      </c>
      <c r="Z184" s="49">
        <f>IFERROR(IF(Data_Entry!AE173/Data_Entry!$I173&lt;0,0,Data_Entry!AE173/Data_Entry!$I173),0)</f>
        <v>0.18903338249095053</v>
      </c>
      <c r="AA184" s="49">
        <f>IFERROR(IF(Data_Entry!AF173/Data_Entry!$I173&lt;0,0,Data_Entry!AF173/Data_Entry!$I173),0)</f>
        <v>0.10859364526075882</v>
      </c>
      <c r="AB184" s="49">
        <f>IFERROR(IF(Data_Entry!AG173/Data_Entry!$I173&lt;0,0,Data_Entry!AG173/Data_Entry!$I173),0)</f>
        <v>4.0219868615095862E-2</v>
      </c>
      <c r="AC184" s="49">
        <f>IFERROR(IF(Data_Entry!AI173/Data_Entry!$I173&lt;0,0,Data_Entry!AI173/Data_Entry!$I173),0)</f>
        <v>0.16771685212494974</v>
      </c>
      <c r="AD184" s="49">
        <f>IFERROR(IF(Data_Entry!AM173/Data_Entry!$H173&lt;0,0,Data_Entry!AM173/Data_Entry!$H173),0)</f>
        <v>1.1524317654755261</v>
      </c>
      <c r="AE184" s="50">
        <f>Data_Entry!AK173</f>
        <v>0</v>
      </c>
      <c r="AF184" s="50">
        <f>Data_Entry!AL173</f>
        <v>2</v>
      </c>
      <c r="AG184" s="153">
        <f>(Data_Entry!O173-Data_Entry!Q173)/Data_Entry!O173</f>
        <v>7.5396825396825393E-2</v>
      </c>
      <c r="AH184" s="79" t="str">
        <f t="shared" si="4"/>
        <v>CAT1</v>
      </c>
      <c r="AI184" s="51">
        <f>SUBTOTAL(3,Tableau1[[#This Row],[ZS]])</f>
        <v>0</v>
      </c>
      <c r="AJ184" s="51" t="e">
        <f t="shared" ca="1" si="5"/>
        <v>#NAME?</v>
      </c>
      <c r="AK184" s="50" t="str">
        <f>IFERROR(IF((Data_Entry!O173-Data_Entry!Q173)/Data_Entry!O173&lt;=10%,"&lt;=10%","&gt;10%"),"&lt;=10%")</f>
        <v>&lt;=10%</v>
      </c>
    </row>
    <row r="185" spans="1:37" s="48" customFormat="1" ht="13" hidden="1" x14ac:dyDescent="0.3">
      <c r="A185" s="31" t="s">
        <v>16</v>
      </c>
      <c r="B185" s="48" t="str">
        <f>Data_Entry!B174</f>
        <v>Butembo</v>
      </c>
      <c r="C185" s="48" t="str">
        <f>Data_Entry!C174</f>
        <v xml:space="preserve"> Kalunguta</v>
      </c>
      <c r="D185" s="48" t="str">
        <f>Data_Entry!D174</f>
        <v xml:space="preserve"> Kitovo</v>
      </c>
      <c r="E185" s="49">
        <f>IFERROR(IF(Data_Entry!J174/Data_Entry!$I174&lt;0,0,Data_Entry!J174/Data_Entry!$I174),0)</f>
        <v>0.56484473795138401</v>
      </c>
      <c r="F185" s="49">
        <f>IFERROR(IF(Data_Entry!K174/Data_Entry!$H174&lt;0,0,Data_Entry!K174/Data_Entry!$H174),0)</f>
        <v>0.55076166553870565</v>
      </c>
      <c r="G185" s="49">
        <f>IFERROR(IF(Data_Entry!L174/Data_Entry!$H174&lt;0,0,Data_Entry!L174/Data_Entry!$H174),0)</f>
        <v>0.60873657770067469</v>
      </c>
      <c r="H185" s="49">
        <f>IFERROR(IF(Data_Entry!M174/Data_Entry!$H174&lt;0,0,Data_Entry!M174/Data_Entry!$H174),0)</f>
        <v>0.57974912161969017</v>
      </c>
      <c r="I185" s="49">
        <f>IFERROR(IF(Data_Entry!N174/Data_Entry!$H174&lt;0,0,Data_Entry!N174/Data_Entry!$H174),0)</f>
        <v>0.623230305741167</v>
      </c>
      <c r="J185" s="49">
        <f>IFERROR(IF(Data_Entry!O174/Data_Entry!$H174&lt;0,0,Data_Entry!O174/Data_Entry!$H174),0)</f>
        <v>0.50244923873706482</v>
      </c>
      <c r="K185" s="49">
        <f>IFERROR(IF(Data_Entry!P174/Data_Entry!$H174&lt;0,0,Data_Entry!P174/Data_Entry!$H174),0)</f>
        <v>0.4782930253362444</v>
      </c>
      <c r="L185" s="49">
        <f>IFERROR(IF(Data_Entry!Q174/Data_Entry!$H174&lt;0,0,Data_Entry!Q174/Data_Entry!$H174),0)</f>
        <v>0.50728048141722892</v>
      </c>
      <c r="M185" s="49">
        <f>IFERROR(IF(Data_Entry!R174/Data_Entry!$H174&lt;0,0,Data_Entry!R174/Data_Entry!$H174),0)</f>
        <v>0.60873657770067469</v>
      </c>
      <c r="N185" s="49">
        <f>IFERROR(IF(Data_Entry!S174/Data_Entry!$H174&lt;0,0,Data_Entry!S174/Data_Entry!$H174),0)</f>
        <v>0.57974912161969017</v>
      </c>
      <c r="O185" s="49">
        <f>IFERROR(IF(Data_Entry!T174/Data_Entry!$H174&lt;0,0,Data_Entry!T174/Data_Entry!$H174),0)</f>
        <v>0.623230305741167</v>
      </c>
      <c r="P185" s="49">
        <f>IFERROR(IF(Data_Entry!U174/Data_Entry!$H174&lt;0,0,Data_Entry!U174/Data_Entry!$H174),0)</f>
        <v>0.59907409234034659</v>
      </c>
      <c r="Q185" s="49">
        <f>IFERROR(IF(Data_Entry!V174/Data_Entry!$H174&lt;0,0,Data_Entry!V174/Data_Entry!$H174),0)</f>
        <v>0.57974912161969017</v>
      </c>
      <c r="R185" s="49">
        <f>IFERROR(IF(Data_Entry!W174/Data_Entry!$H174&lt;0,0,Data_Entry!W174/Data_Entry!$H174),0)</f>
        <v>0.623230305741167</v>
      </c>
      <c r="S185" s="49">
        <f>IFERROR(IF(Data_Entry!X174/Data_Entry!$H174&lt;0,0,Data_Entry!X174/Data_Entry!$H174),0)</f>
        <v>0.57974912161969017</v>
      </c>
      <c r="T185" s="49">
        <f>IFERROR(IF(Data_Entry!Y174/Data_Entry!$H174&lt;0,0,Data_Entry!Y174/Data_Entry!$H174),0)</f>
        <v>0.36234320101230638</v>
      </c>
      <c r="U185" s="49">
        <f>IFERROR(IF(Data_Entry!Z174/Data_Entry!$H174&lt;0,0,Data_Entry!Z174/Data_Entry!$H174),0)</f>
        <v>0.57974912161969017</v>
      </c>
      <c r="V185" s="49">
        <f>IFERROR(IF(Data_Entry!AA174/Data_Entry!$H174&lt;0,0,Data_Entry!AA174/Data_Entry!$H174),0)</f>
        <v>0.623230305741167</v>
      </c>
      <c r="W185" s="49">
        <f>IFERROR(IF(Data_Entry!AB174/Data_Entry!$H174&lt;0,0,Data_Entry!AB174/Data_Entry!$H174),0)</f>
        <v>0.57974912161969017</v>
      </c>
      <c r="X185" s="49">
        <f>IFERROR(IF(Data_Entry!AC174/Data_Entry!$I174&lt;0,0,Data_Entry!AC174/Data_Entry!$I174),0)</f>
        <v>0.24448503582970355</v>
      </c>
      <c r="Y185" s="49">
        <f>IFERROR(IF(Data_Entry!AD174/Data_Entry!$I174&lt;0,0,Data_Entry!AD174/Data_Entry!$I174),0)</f>
        <v>8.8520444007306451E-2</v>
      </c>
      <c r="Z185" s="49">
        <f>IFERROR(IF(Data_Entry!AE174/Data_Entry!$I174&lt;0,0,Data_Entry!AE174/Data_Entry!$I174),0)</f>
        <v>6.744414781509063E-2</v>
      </c>
      <c r="AA185" s="49">
        <f>IFERROR(IF(Data_Entry!AF174/Data_Entry!$I174&lt;0,0,Data_Entry!AF174/Data_Entry!$I174),0)</f>
        <v>4.6367851622874809E-2</v>
      </c>
      <c r="AB185" s="49">
        <f>IFERROR(IF(Data_Entry!AG174/Data_Entry!$I174&lt;0,0,Data_Entry!AG174/Data_Entry!$I174),0)</f>
        <v>5.0583110861317976E-2</v>
      </c>
      <c r="AC185" s="49">
        <f>IFERROR(IF(Data_Entry!AI174/Data_Entry!$I174&lt;0,0,Data_Entry!AI174/Data_Entry!$I174),0)</f>
        <v>0.17577631024307996</v>
      </c>
      <c r="AD185" s="49">
        <f>IFERROR(IF(Data_Entry!AM174/Data_Entry!$H174&lt;0,0,Data_Entry!AM174/Data_Entry!$H174),0)</f>
        <v>0.57974912161969017</v>
      </c>
      <c r="AE185" s="50">
        <f>Data_Entry!AK174</f>
        <v>102.98608333333334</v>
      </c>
      <c r="AF185" s="50">
        <f>Data_Entry!AL174</f>
        <v>0</v>
      </c>
      <c r="AG185" s="153">
        <f>(Data_Entry!O174-Data_Entry!Q174)/Data_Entry!O174</f>
        <v>-9.6153846153846159E-3</v>
      </c>
      <c r="AH185" s="79" t="str">
        <f t="shared" si="4"/>
        <v>CAT3</v>
      </c>
      <c r="AI185" s="51">
        <f>SUBTOTAL(3,Tableau1[[#This Row],[ZS]])</f>
        <v>0</v>
      </c>
      <c r="AJ185" s="51" t="e">
        <f t="shared" ca="1" si="5"/>
        <v>#NAME?</v>
      </c>
      <c r="AK185" s="50" t="str">
        <f>IFERROR(IF((Data_Entry!O174-Data_Entry!Q174)/Data_Entry!O174&lt;=10%,"&lt;=10%","&gt;10%"),"&lt;=10%")</f>
        <v>&lt;=10%</v>
      </c>
    </row>
    <row r="186" spans="1:37" s="48" customFormat="1" ht="13" hidden="1" x14ac:dyDescent="0.3">
      <c r="A186" s="31" t="s">
        <v>16</v>
      </c>
      <c r="B186" s="48" t="str">
        <f>Data_Entry!B175</f>
        <v>Butembo</v>
      </c>
      <c r="C186" s="48" t="str">
        <f>Data_Entry!C175</f>
        <v xml:space="preserve"> Kalunguta</v>
      </c>
      <c r="D186" s="48" t="str">
        <f>Data_Entry!D175</f>
        <v xml:space="preserve"> Kivetya</v>
      </c>
      <c r="E186" s="49">
        <f>IFERROR(IF(Data_Entry!J175/Data_Entry!$I175&lt;0,0,Data_Entry!J175/Data_Entry!$I175),0)</f>
        <v>1.0025171426091484</v>
      </c>
      <c r="F186" s="49">
        <f>IFERROR(IF(Data_Entry!K175/Data_Entry!$H175&lt;0,0,Data_Entry!K175/Data_Entry!$H175),0)</f>
        <v>1.5728099852045434</v>
      </c>
      <c r="G186" s="49">
        <f>IFERROR(IF(Data_Entry!L175/Data_Entry!$H175&lt;0,0,Data_Entry!L175/Data_Entry!$H175),0)</f>
        <v>1.0863431396858707</v>
      </c>
      <c r="H186" s="49">
        <f>IFERROR(IF(Data_Entry!M175/Data_Entry!$H175&lt;0,0,Data_Entry!M175/Data_Entry!$H175),0)</f>
        <v>1.0744053029860259</v>
      </c>
      <c r="I186" s="49">
        <f>IFERROR(IF(Data_Entry!N175/Data_Entry!$H175&lt;0,0,Data_Entry!N175/Data_Entry!$H175),0)</f>
        <v>1.05948300711122</v>
      </c>
      <c r="J186" s="49">
        <f>IFERROR(IF(Data_Entry!O175/Data_Entry!$H175&lt;0,0,Data_Entry!O175/Data_Entry!$H175),0)</f>
        <v>1.1132032722605212</v>
      </c>
      <c r="K186" s="49">
        <f>IFERROR(IF(Data_Entry!P175/Data_Entry!$H175&lt;0,0,Data_Entry!P175/Data_Entry!$H175),0)</f>
        <v>1.1311100273102883</v>
      </c>
      <c r="L186" s="49">
        <f>IFERROR(IF(Data_Entry!Q175/Data_Entry!$H175&lt;0,0,Data_Entry!Q175/Data_Entry!$H175),0)</f>
        <v>1.0356073337115306</v>
      </c>
      <c r="M186" s="49">
        <f>IFERROR(IF(Data_Entry!R175/Data_Entry!$H175&lt;0,0,Data_Entry!R175/Data_Entry!$H175),0)</f>
        <v>1.1490167823600554</v>
      </c>
      <c r="N186" s="49">
        <f>IFERROR(IF(Data_Entry!S175/Data_Entry!$H175&lt;0,0,Data_Entry!S175/Data_Entry!$H175),0)</f>
        <v>1.1520012415350167</v>
      </c>
      <c r="O186" s="49">
        <f>IFERROR(IF(Data_Entry!T175/Data_Entry!$H175&lt;0,0,Data_Entry!T175/Data_Entry!$H175),0)</f>
        <v>1.1460323231850944</v>
      </c>
      <c r="P186" s="49">
        <f>IFERROR(IF(Data_Entry!U175/Data_Entry!$H175&lt;0,0,Data_Entry!U175/Data_Entry!$H175),0)</f>
        <v>1.1460323231850944</v>
      </c>
      <c r="Q186" s="49">
        <f>IFERROR(IF(Data_Entry!V175/Data_Entry!$H175&lt;0,0,Data_Entry!V175/Data_Entry!$H175),0)</f>
        <v>1.1490167823600554</v>
      </c>
      <c r="R186" s="49">
        <f>IFERROR(IF(Data_Entry!W175/Data_Entry!$H175&lt;0,0,Data_Entry!W175/Data_Entry!$H175),0)</f>
        <v>1.0833586805109094</v>
      </c>
      <c r="S186" s="49">
        <f>IFERROR(IF(Data_Entry!X175/Data_Entry!$H175&lt;0,0,Data_Entry!X175/Data_Entry!$H175),0)</f>
        <v>1.092312058035793</v>
      </c>
      <c r="T186" s="49">
        <f>IFERROR(IF(Data_Entry!Y175/Data_Entry!$H175&lt;0,0,Data_Entry!Y175/Data_Entry!$H175),0)</f>
        <v>0.86549316073874305</v>
      </c>
      <c r="U186" s="49">
        <f>IFERROR(IF(Data_Entry!Z175/Data_Entry!$H175&lt;0,0,Data_Entry!Z175/Data_Entry!$H175),0)</f>
        <v>1.0177005786617634</v>
      </c>
      <c r="V186" s="49">
        <f>IFERROR(IF(Data_Entry!AA175/Data_Entry!$H175&lt;0,0,Data_Entry!AA175/Data_Entry!$H175),0)</f>
        <v>1.0714208438110646</v>
      </c>
      <c r="W186" s="49">
        <f>IFERROR(IF(Data_Entry!AB175/Data_Entry!$H175&lt;0,0,Data_Entry!AB175/Data_Entry!$H175),0)</f>
        <v>1.0147161194868022</v>
      </c>
      <c r="X186" s="49">
        <f>IFERROR(IF(Data_Entry!AC175/Data_Entry!$I175&lt;0,0,Data_Entry!AC175/Data_Entry!$I175),0)</f>
        <v>0.3957989757833521</v>
      </c>
      <c r="Y186" s="49">
        <f>IFERROR(IF(Data_Entry!AD175/Data_Entry!$I175&lt;0,0,Data_Entry!AD175/Data_Entry!$I175),0)</f>
        <v>0.38277927263258393</v>
      </c>
      <c r="Z186" s="49">
        <f>IFERROR(IF(Data_Entry!AE175/Data_Entry!$I175&lt;0,0,Data_Entry!AE175/Data_Entry!$I175),0)</f>
        <v>0.23695859734398053</v>
      </c>
      <c r="AA186" s="49">
        <f>IFERROR(IF(Data_Entry!AF175/Data_Entry!$I175&lt;0,0,Data_Entry!AF175/Data_Entry!$I175),0)</f>
        <v>0.15623643780921795</v>
      </c>
      <c r="AB186" s="49">
        <f>IFERROR(IF(Data_Entry!AG175/Data_Entry!$I175&lt;0,0,Data_Entry!AG175/Data_Entry!$I175),0)</f>
        <v>0.19269160663136878</v>
      </c>
      <c r="AC186" s="49">
        <f>IFERROR(IF(Data_Entry!AI175/Data_Entry!$I175&lt;0,0,Data_Entry!AI175/Data_Entry!$I175),0)</f>
        <v>0.14113358215432689</v>
      </c>
      <c r="AD186" s="49">
        <f>IFERROR(IF(Data_Entry!AM175/Data_Entry!$H175&lt;0,0,Data_Entry!AM175/Data_Entry!$H175),0)</f>
        <v>1.0177005786617634</v>
      </c>
      <c r="AE186" s="50">
        <f>Data_Entry!AK175</f>
        <v>0</v>
      </c>
      <c r="AF186" s="50">
        <f>Data_Entry!AL175</f>
        <v>7</v>
      </c>
      <c r="AG186" s="153">
        <f>(Data_Entry!O175-Data_Entry!Q175)/Data_Entry!O175</f>
        <v>6.9705093833780166E-2</v>
      </c>
      <c r="AH186" s="79" t="str">
        <f t="shared" si="4"/>
        <v>CAT1</v>
      </c>
      <c r="AI186" s="51">
        <f>SUBTOTAL(3,Tableau1[[#This Row],[ZS]])</f>
        <v>0</v>
      </c>
      <c r="AJ186" s="51" t="e">
        <f t="shared" ca="1" si="5"/>
        <v>#NAME?</v>
      </c>
      <c r="AK186" s="50" t="str">
        <f>IFERROR(IF((Data_Entry!O175-Data_Entry!Q175)/Data_Entry!O175&lt;=10%,"&lt;=10%","&gt;10%"),"&lt;=10%")</f>
        <v>&lt;=10%</v>
      </c>
    </row>
    <row r="187" spans="1:37" s="48" customFormat="1" ht="13" hidden="1" x14ac:dyDescent="0.3">
      <c r="A187" s="31" t="s">
        <v>16</v>
      </c>
      <c r="B187" s="48" t="str">
        <f>Data_Entry!B176</f>
        <v>Butembo</v>
      </c>
      <c r="C187" s="48" t="str">
        <f>Data_Entry!C176</f>
        <v xml:space="preserve"> Kalunguta</v>
      </c>
      <c r="D187" s="48" t="str">
        <f>Data_Entry!D176</f>
        <v xml:space="preserve"> Kyavisogho</v>
      </c>
      <c r="E187" s="49">
        <f>IFERROR(IF(Data_Entry!J176/Data_Entry!$I176&lt;0,0,Data_Entry!J176/Data_Entry!$I176),0)</f>
        <v>1.0145454545454546</v>
      </c>
      <c r="F187" s="49">
        <f>IFERROR(IF(Data_Entry!K176/Data_Entry!$H176&lt;0,0,Data_Entry!K176/Data_Entry!$H176),0)</f>
        <v>0.87522792393852578</v>
      </c>
      <c r="G187" s="49">
        <f>IFERROR(IF(Data_Entry!L176/Data_Entry!$H176&lt;0,0,Data_Entry!L176/Data_Entry!$H176),0)</f>
        <v>1.0502735087262309</v>
      </c>
      <c r="H187" s="49">
        <f>IFERROR(IF(Data_Entry!M176/Data_Entry!$H176&lt;0,0,Data_Entry!M176/Data_Entry!$H176),0)</f>
        <v>0.99400885647303994</v>
      </c>
      <c r="I187" s="49">
        <f>IFERROR(IF(Data_Entry!N176/Data_Entry!$H176&lt;0,0,Data_Entry!N176/Data_Entry!$H176),0)</f>
        <v>1.0565251367543633</v>
      </c>
      <c r="J187" s="49">
        <f>IFERROR(IF(Data_Entry!O176/Data_Entry!$H176&lt;0,0,Data_Entry!O176/Data_Entry!$H176),0)</f>
        <v>1.0627767647824955</v>
      </c>
      <c r="K187" s="49">
        <f>IFERROR(IF(Data_Entry!P176/Data_Entry!$H176&lt;0,0,Data_Entry!P176/Data_Entry!$H176),0)</f>
        <v>0.99400885647303994</v>
      </c>
      <c r="L187" s="49">
        <f>IFERROR(IF(Data_Entry!Q176/Data_Entry!$H176&lt;0,0,Data_Entry!Q176/Data_Entry!$H176),0)</f>
        <v>1.0565251367543633</v>
      </c>
      <c r="M187" s="49">
        <f>IFERROR(IF(Data_Entry!R176/Data_Entry!$H176&lt;0,0,Data_Entry!R176/Data_Entry!$H176),0)</f>
        <v>1.0565251367543633</v>
      </c>
      <c r="N187" s="49">
        <f>IFERROR(IF(Data_Entry!S176/Data_Entry!$H176&lt;0,0,Data_Entry!S176/Data_Entry!$H176),0)</f>
        <v>0.95024746027611373</v>
      </c>
      <c r="O187" s="49">
        <f>IFERROR(IF(Data_Entry!T176/Data_Entry!$H176&lt;0,0,Data_Entry!T176/Data_Entry!$H176),0)</f>
        <v>1.2815837457671271</v>
      </c>
      <c r="P187" s="49">
        <f>IFERROR(IF(Data_Entry!U176/Data_Entry!$H176&lt;0,0,Data_Entry!U176/Data_Entry!$H176),0)</f>
        <v>1.0502735087262309</v>
      </c>
      <c r="Q187" s="49">
        <f>IFERROR(IF(Data_Entry!V176/Data_Entry!$H176&lt;0,0,Data_Entry!V176/Data_Entry!$H176),0)</f>
        <v>1.0065121125293046</v>
      </c>
      <c r="R187" s="49">
        <f>IFERROR(IF(Data_Entry!W176/Data_Entry!$H176&lt;0,0,Data_Entry!W176/Data_Entry!$H176),0)</f>
        <v>1.0565251367543633</v>
      </c>
      <c r="S187" s="49">
        <f>IFERROR(IF(Data_Entry!X176/Data_Entry!$H176&lt;0,0,Data_Entry!X176/Data_Entry!$H176),0)</f>
        <v>1.0627767647824955</v>
      </c>
      <c r="T187" s="49">
        <f>IFERROR(IF(Data_Entry!Y176/Data_Entry!$H176&lt;0,0,Data_Entry!Y176/Data_Entry!$H176),0)</f>
        <v>1.1252930450638188</v>
      </c>
      <c r="U187" s="49">
        <f>IFERROR(IF(Data_Entry!Z176/Data_Entry!$H176&lt;0,0,Data_Entry!Z176/Data_Entry!$H176),0)</f>
        <v>1.0627767647824955</v>
      </c>
      <c r="V187" s="49">
        <f>IFERROR(IF(Data_Entry!AA176/Data_Entry!$H176&lt;0,0,Data_Entry!AA176/Data_Entry!$H176),0)</f>
        <v>1.0627767647824955</v>
      </c>
      <c r="W187" s="49">
        <f>IFERROR(IF(Data_Entry!AB176/Data_Entry!$H176&lt;0,0,Data_Entry!AB176/Data_Entry!$H176),0)</f>
        <v>0.85022141182599642</v>
      </c>
      <c r="X187" s="49">
        <f>IFERROR(IF(Data_Entry!AC176/Data_Entry!$I176&lt;0,0,Data_Entry!AC176/Data_Entry!$I176),0)</f>
        <v>0.32727272727272733</v>
      </c>
      <c r="Y187" s="49">
        <f>IFERROR(IF(Data_Entry!AD176/Data_Entry!$I176&lt;0,0,Data_Entry!AD176/Data_Entry!$I176),0)</f>
        <v>0.31090909090909097</v>
      </c>
      <c r="Z187" s="49">
        <f>IFERROR(IF(Data_Entry!AE176/Data_Entry!$I176&lt;0,0,Data_Entry!AE176/Data_Entry!$I176),0)</f>
        <v>0.12545454545454546</v>
      </c>
      <c r="AA187" s="49">
        <f>IFERROR(IF(Data_Entry!AF176/Data_Entry!$I176&lt;0,0,Data_Entry!AF176/Data_Entry!$I176),0)</f>
        <v>9.818181818181819E-2</v>
      </c>
      <c r="AB187" s="49">
        <f>IFERROR(IF(Data_Entry!AG176/Data_Entry!$I176&lt;0,0,Data_Entry!AG176/Data_Entry!$I176),0)</f>
        <v>0.1090909090909091</v>
      </c>
      <c r="AC187" s="49">
        <f>IFERROR(IF(Data_Entry!AI176/Data_Entry!$I176&lt;0,0,Data_Entry!AI176/Data_Entry!$I176),0)</f>
        <v>0.318</v>
      </c>
      <c r="AD187" s="49">
        <f>IFERROR(IF(Data_Entry!AM176/Data_Entry!$H176&lt;0,0,Data_Entry!AM176/Data_Entry!$H176),0)</f>
        <v>1.0627767647824955</v>
      </c>
      <c r="AE187" s="50">
        <f>Data_Entry!AK176</f>
        <v>0</v>
      </c>
      <c r="AF187" s="50">
        <f>Data_Entry!AL176</f>
        <v>0</v>
      </c>
      <c r="AG187" s="153">
        <f>(Data_Entry!O176-Data_Entry!Q176)/Data_Entry!O176</f>
        <v>5.8823529411764705E-3</v>
      </c>
      <c r="AH187" s="79" t="str">
        <f t="shared" si="4"/>
        <v>CAT1</v>
      </c>
      <c r="AI187" s="51">
        <f>SUBTOTAL(3,Tableau1[[#This Row],[ZS]])</f>
        <v>0</v>
      </c>
      <c r="AJ187" s="51" t="e">
        <f t="shared" ca="1" si="5"/>
        <v>#NAME?</v>
      </c>
      <c r="AK187" s="50" t="str">
        <f>IFERROR(IF((Data_Entry!O176-Data_Entry!Q176)/Data_Entry!O176&lt;=10%,"&lt;=10%","&gt;10%"),"&lt;=10%")</f>
        <v>&lt;=10%</v>
      </c>
    </row>
    <row r="188" spans="1:37" s="48" customFormat="1" ht="13" hidden="1" x14ac:dyDescent="0.3">
      <c r="A188" s="31" t="s">
        <v>16</v>
      </c>
      <c r="B188" s="48" t="str">
        <f>Data_Entry!B177</f>
        <v>Butembo</v>
      </c>
      <c r="C188" s="48" t="str">
        <f>Data_Entry!C177</f>
        <v xml:space="preserve"> Kalunguta</v>
      </c>
      <c r="D188" s="48" t="str">
        <f>Data_Entry!D177</f>
        <v xml:space="preserve"> Lisasa</v>
      </c>
      <c r="E188" s="49">
        <f>IFERROR(IF(Data_Entry!J177/Data_Entry!$I177&lt;0,0,Data_Entry!J177/Data_Entry!$I177),0)</f>
        <v>0.45149097018059636</v>
      </c>
      <c r="F188" s="49">
        <f>IFERROR(IF(Data_Entry!K177/Data_Entry!$H177&lt;0,0,Data_Entry!K177/Data_Entry!$H177),0)</f>
        <v>3.6102429813867902E-2</v>
      </c>
      <c r="G188" s="49">
        <f>IFERROR(IF(Data_Entry!L177/Data_Entry!$H177&lt;0,0,Data_Entry!L177/Data_Entry!$H177),0)</f>
        <v>0.67631885184645868</v>
      </c>
      <c r="H188" s="49">
        <f>IFERROR(IF(Data_Entry!M177/Data_Entry!$H177&lt;0,0,Data_Entry!M177/Data_Entry!$H177),0)</f>
        <v>0.58726619163891791</v>
      </c>
      <c r="I188" s="49">
        <f>IFERROR(IF(Data_Entry!N177/Data_Entry!$H177&lt;0,0,Data_Entry!N177/Data_Entry!$H177),0)</f>
        <v>0.55838424778782358</v>
      </c>
      <c r="J188" s="49">
        <f>IFERROR(IF(Data_Entry!O177/Data_Entry!$H177&lt;0,0,Data_Entry!O177/Data_Entry!$H177),0)</f>
        <v>0.58726619163891791</v>
      </c>
      <c r="K188" s="49">
        <f>IFERROR(IF(Data_Entry!P177/Data_Entry!$H177&lt;0,0,Data_Entry!P177/Data_Entry!$H177),0)</f>
        <v>0.48858621681434561</v>
      </c>
      <c r="L188" s="49">
        <f>IFERROR(IF(Data_Entry!Q177/Data_Entry!$H177&lt;0,0,Data_Entry!Q177/Data_Entry!$H177),0)</f>
        <v>0.5487569331707921</v>
      </c>
      <c r="M188" s="49">
        <f>IFERROR(IF(Data_Entry!R177/Data_Entry!$H177&lt;0,0,Data_Entry!R177/Data_Entry!$H177),0)</f>
        <v>0.62096179279852792</v>
      </c>
      <c r="N188" s="49">
        <f>IFERROR(IF(Data_Entry!S177/Data_Entry!$H177&lt;0,0,Data_Entry!S177/Data_Entry!$H177),0)</f>
        <v>0.50543401739415061</v>
      </c>
      <c r="O188" s="49">
        <f>IFERROR(IF(Data_Entry!T177/Data_Entry!$H177&lt;0,0,Data_Entry!T177/Data_Entry!$H177),0)</f>
        <v>0.53190913259098715</v>
      </c>
      <c r="P188" s="49">
        <f>IFERROR(IF(Data_Entry!U177/Data_Entry!$H177&lt;0,0,Data_Entry!U177/Data_Entry!$H177),0)</f>
        <v>0.60652082087298076</v>
      </c>
      <c r="Q188" s="49">
        <f>IFERROR(IF(Data_Entry!V177/Data_Entry!$H177&lt;0,0,Data_Entry!V177/Data_Entry!$H177),0)</f>
        <v>0.43322915776641485</v>
      </c>
      <c r="R188" s="49">
        <f>IFERROR(IF(Data_Entry!W177/Data_Entry!$H177&lt;0,0,Data_Entry!W177/Data_Entry!$H177),0)</f>
        <v>0.44767012969196202</v>
      </c>
      <c r="S188" s="49">
        <f>IFERROR(IF(Data_Entry!X177/Data_Entry!$H177&lt;0,0,Data_Entry!X177/Data_Entry!$H177),0)</f>
        <v>0.70038713838903732</v>
      </c>
      <c r="T188" s="49">
        <f>IFERROR(IF(Data_Entry!Y177/Data_Entry!$H177&lt;0,0,Data_Entry!Y177/Data_Entry!$H177),0)</f>
        <v>0.2190214075374653</v>
      </c>
      <c r="U188" s="49">
        <f>IFERROR(IF(Data_Entry!Z177/Data_Entry!$H177&lt;0,0,Data_Entry!Z177/Data_Entry!$H177),0)</f>
        <v>0.58967302029317581</v>
      </c>
      <c r="V188" s="49">
        <f>IFERROR(IF(Data_Entry!AA177/Data_Entry!$H177&lt;0,0,Data_Entry!AA177/Data_Entry!$H177),0)</f>
        <v>0.56079107644208148</v>
      </c>
      <c r="W188" s="49">
        <f>IFERROR(IF(Data_Entry!AB177/Data_Entry!$H177&lt;0,0,Data_Entry!AB177/Data_Entry!$H177),0)</f>
        <v>0.44285647238344628</v>
      </c>
      <c r="X188" s="49">
        <f>IFERROR(IF(Data_Entry!AC177/Data_Entry!$I177&lt;0,0,Data_Entry!AC177/Data_Entry!$I177),0)</f>
        <v>0.17639647207055859</v>
      </c>
      <c r="Y188" s="49">
        <f>IFERROR(IF(Data_Entry!AD177/Data_Entry!$I177&lt;0,0,Data_Entry!AD177/Data_Entry!$I177),0)</f>
        <v>8.1898362032759339E-2</v>
      </c>
      <c r="Z188" s="49">
        <f>IFERROR(IF(Data_Entry!AE177/Data_Entry!$I177&lt;0,0,Data_Entry!AE177/Data_Entry!$I177),0)</f>
        <v>2.3099538009239813E-2</v>
      </c>
      <c r="AA188" s="49">
        <f>IFERROR(IF(Data_Entry!AF177/Data_Entry!$I177&lt;0,0,Data_Entry!AF177/Data_Entry!$I177),0)</f>
        <v>1.0499790004199915E-2</v>
      </c>
      <c r="AB188" s="49">
        <f>IFERROR(IF(Data_Entry!AG177/Data_Entry!$I177&lt;0,0,Data_Entry!AG177/Data_Entry!$I177),0)</f>
        <v>1.0499790004199915E-2</v>
      </c>
      <c r="AC188" s="49">
        <f>IFERROR(IF(Data_Entry!AI177/Data_Entry!$I177&lt;0,0,Data_Entry!AI177/Data_Entry!$I177),0)</f>
        <v>0.12242755144897101</v>
      </c>
      <c r="AD188" s="49">
        <f>IFERROR(IF(Data_Entry!AM177/Data_Entry!$H177&lt;0,0,Data_Entry!AM177/Data_Entry!$H177),0)</f>
        <v>0.58967302029317581</v>
      </c>
      <c r="AE188" s="50">
        <f>Data_Entry!AK177</f>
        <v>171.48450000000003</v>
      </c>
      <c r="AF188" s="50">
        <f>Data_Entry!AL177</f>
        <v>0</v>
      </c>
      <c r="AG188" s="153">
        <f>(Data_Entry!O177-Data_Entry!Q177)/Data_Entry!O177</f>
        <v>6.5573770491803282E-2</v>
      </c>
      <c r="AH188" s="79" t="str">
        <f t="shared" si="4"/>
        <v>CAT3</v>
      </c>
      <c r="AI188" s="51">
        <f>SUBTOTAL(3,Tableau1[[#This Row],[ZS]])</f>
        <v>0</v>
      </c>
      <c r="AJ188" s="51" t="e">
        <f t="shared" ca="1" si="5"/>
        <v>#NAME?</v>
      </c>
      <c r="AK188" s="50" t="str">
        <f>IFERROR(IF((Data_Entry!O177-Data_Entry!Q177)/Data_Entry!O177&lt;=10%,"&lt;=10%","&gt;10%"),"&lt;=10%")</f>
        <v>&lt;=10%</v>
      </c>
    </row>
    <row r="189" spans="1:37" s="48" customFormat="1" ht="13" hidden="1" x14ac:dyDescent="0.3">
      <c r="A189" s="31" t="s">
        <v>16</v>
      </c>
      <c r="B189" s="48" t="str">
        <f>Data_Entry!B178</f>
        <v>Butembo</v>
      </c>
      <c r="C189" s="48" t="str">
        <f>Data_Entry!C178</f>
        <v xml:space="preserve"> Kalunguta</v>
      </c>
      <c r="D189" s="48" t="str">
        <f>Data_Entry!D178</f>
        <v xml:space="preserve"> Maboya</v>
      </c>
      <c r="E189" s="49">
        <f>IFERROR(IF(Data_Entry!J178/Data_Entry!$I178&lt;0,0,Data_Entry!J178/Data_Entry!$I178),0)</f>
        <v>1.0614525139664805</v>
      </c>
      <c r="F189" s="49">
        <f>IFERROR(IF(Data_Entry!K178/Data_Entry!$H178&lt;0,0,Data_Entry!K178/Data_Entry!$H178),0)</f>
        <v>1.0307221575201138</v>
      </c>
      <c r="G189" s="49">
        <f>IFERROR(IF(Data_Entry!L178/Data_Entry!$H178&lt;0,0,Data_Entry!L178/Data_Entry!$H178),0)</f>
        <v>1.0400923589521147</v>
      </c>
      <c r="H189" s="49">
        <f>IFERROR(IF(Data_Entry!M178/Data_Entry!$H178&lt;0,0,Data_Entry!M178/Data_Entry!$H178),0)</f>
        <v>1.0432157594294484</v>
      </c>
      <c r="I189" s="49">
        <f>IFERROR(IF(Data_Entry!N178/Data_Entry!$H178&lt;0,0,Data_Entry!N178/Data_Entry!$H178),0)</f>
        <v>1.0510242606227826</v>
      </c>
      <c r="J189" s="49">
        <f>IFERROR(IF(Data_Entry!O178/Data_Entry!$H178&lt;0,0,Data_Entry!O178/Data_Entry!$H178),0)</f>
        <v>0.86205853174409508</v>
      </c>
      <c r="K189" s="49">
        <f>IFERROR(IF(Data_Entry!P178/Data_Entry!$H178&lt;0,0,Data_Entry!P178/Data_Entry!$H178),0)</f>
        <v>0.86986703293742929</v>
      </c>
      <c r="L189" s="49">
        <f>IFERROR(IF(Data_Entry!Q178/Data_Entry!$H178&lt;0,0,Data_Entry!Q178/Data_Entry!$H178),0)</f>
        <v>0.79646712172008782</v>
      </c>
      <c r="M189" s="49">
        <f>IFERROR(IF(Data_Entry!R178/Data_Entry!$H178&lt;0,0,Data_Entry!R178/Data_Entry!$H178),0)</f>
        <v>0.94795204487077123</v>
      </c>
      <c r="N189" s="49">
        <f>IFERROR(IF(Data_Entry!S178/Data_Entry!$H178&lt;0,0,Data_Entry!S178/Data_Entry!$H178),0)</f>
        <v>0.94170524391610388</v>
      </c>
      <c r="O189" s="49">
        <f>IFERROR(IF(Data_Entry!T178/Data_Entry!$H178&lt;0,0,Data_Entry!T178/Data_Entry!$H178),0)</f>
        <v>0.91047123914276706</v>
      </c>
      <c r="P189" s="49">
        <f>IFERROR(IF(Data_Entry!U178/Data_Entry!$H178&lt;0,0,Data_Entry!U178/Data_Entry!$H178),0)</f>
        <v>0.99167965155344273</v>
      </c>
      <c r="Q189" s="49">
        <f>IFERROR(IF(Data_Entry!V178/Data_Entry!$H178&lt;0,0,Data_Entry!V178/Data_Entry!$H178),0)</f>
        <v>0.97293924868944059</v>
      </c>
      <c r="R189" s="49">
        <f>IFERROR(IF(Data_Entry!W178/Data_Entry!$H178&lt;0,0,Data_Entry!W178/Data_Entry!$H178),0)</f>
        <v>0.87611383389209663</v>
      </c>
      <c r="S189" s="49">
        <f>IFERROR(IF(Data_Entry!X178/Data_Entry!$H178&lt;0,0,Data_Entry!X178/Data_Entry!$H178),0)</f>
        <v>0.76210971646941739</v>
      </c>
      <c r="T189" s="49">
        <f>IFERROR(IF(Data_Entry!Y178/Data_Entry!$H178&lt;0,0,Data_Entry!Y178/Data_Entry!$H178),0)</f>
        <v>0.22800823484535848</v>
      </c>
      <c r="U189" s="49">
        <f>IFERROR(IF(Data_Entry!Z178/Data_Entry!$H178&lt;0,0,Data_Entry!Z178/Data_Entry!$H178),0)</f>
        <v>0.76210971646941739</v>
      </c>
      <c r="V189" s="49">
        <f>IFERROR(IF(Data_Entry!AA178/Data_Entry!$H178&lt;0,0,Data_Entry!AA178/Data_Entry!$H178),0)</f>
        <v>1.0119817546561116</v>
      </c>
      <c r="W189" s="49">
        <f>IFERROR(IF(Data_Entry!AB178/Data_Entry!$H178&lt;0,0,Data_Entry!AB178/Data_Entry!$H178),0)</f>
        <v>0.55908868544272827</v>
      </c>
      <c r="X189" s="49">
        <f>IFERROR(IF(Data_Entry!AC178/Data_Entry!$I178&lt;0,0,Data_Entry!AC178/Data_Entry!$I178),0)</f>
        <v>0.97424717263932414</v>
      </c>
      <c r="Y189" s="49">
        <f>IFERROR(IF(Data_Entry!AD178/Data_Entry!$I178&lt;0,0,Data_Entry!AD178/Data_Entry!$I178),0)</f>
        <v>0.66221556070309306</v>
      </c>
      <c r="Z189" s="49">
        <f>IFERROR(IF(Data_Entry!AE178/Data_Entry!$I178&lt;0,0,Data_Entry!AE178/Data_Entry!$I178),0)</f>
        <v>6.1316255620656769E-2</v>
      </c>
      <c r="AA189" s="49">
        <f>IFERROR(IF(Data_Entry!AF178/Data_Entry!$I178&lt;0,0,Data_Entry!AF178/Data_Entry!$I178),0)</f>
        <v>3.4064586455920427E-2</v>
      </c>
      <c r="AB189" s="49">
        <f>IFERROR(IF(Data_Entry!AG178/Data_Entry!$I178&lt;0,0,Data_Entry!AG178/Data_Entry!$I178),0)</f>
        <v>2.8614252622973159E-2</v>
      </c>
      <c r="AC189" s="49">
        <f>IFERROR(IF(Data_Entry!AI178/Data_Entry!$I178&lt;0,0,Data_Entry!AI178/Data_Entry!$I178),0)</f>
        <v>7.9438615615206432E-2</v>
      </c>
      <c r="AD189" s="49">
        <f>IFERROR(IF(Data_Entry!AM178/Data_Entry!$H178&lt;0,0,Data_Entry!AM178/Data_Entry!$H178),0)</f>
        <v>0.76210971646941739</v>
      </c>
      <c r="AE189" s="50">
        <f>Data_Entry!AK178</f>
        <v>88.327750000000037</v>
      </c>
      <c r="AF189" s="50">
        <f>Data_Entry!AL178</f>
        <v>64</v>
      </c>
      <c r="AG189" s="153">
        <f>(Data_Entry!O178-Data_Entry!Q178)/Data_Entry!O178</f>
        <v>7.6086956521739135E-2</v>
      </c>
      <c r="AH189" s="79" t="str">
        <f t="shared" si="4"/>
        <v>CAT3</v>
      </c>
      <c r="AI189" s="51">
        <f>SUBTOTAL(3,Tableau1[[#This Row],[ZS]])</f>
        <v>0</v>
      </c>
      <c r="AJ189" s="51" t="e">
        <f t="shared" ca="1" si="5"/>
        <v>#NAME?</v>
      </c>
      <c r="AK189" s="50" t="str">
        <f>IFERROR(IF((Data_Entry!O178-Data_Entry!Q178)/Data_Entry!O178&lt;=10%,"&lt;=10%","&gt;10%"),"&lt;=10%")</f>
        <v>&lt;=10%</v>
      </c>
    </row>
    <row r="190" spans="1:37" s="48" customFormat="1" ht="13" hidden="1" x14ac:dyDescent="0.3">
      <c r="A190" s="31" t="s">
        <v>16</v>
      </c>
      <c r="B190" s="48" t="str">
        <f>Data_Entry!B179</f>
        <v>Butembo</v>
      </c>
      <c r="C190" s="48" t="str">
        <f>Data_Entry!C179</f>
        <v xml:space="preserve"> Kalunguta</v>
      </c>
      <c r="D190" s="48" t="str">
        <f>Data_Entry!D179</f>
        <v xml:space="preserve"> Mabuku</v>
      </c>
      <c r="E190" s="49">
        <f>IFERROR(IF(Data_Entry!J179/Data_Entry!$I179&lt;0,0,Data_Entry!J179/Data_Entry!$I179),0)</f>
        <v>0.72083563154991726</v>
      </c>
      <c r="F190" s="49">
        <f>IFERROR(IF(Data_Entry!K179/Data_Entry!$H179&lt;0,0,Data_Entry!K179/Data_Entry!$H179),0)</f>
        <v>0.4634627025130505</v>
      </c>
      <c r="G190" s="49">
        <f>IFERROR(IF(Data_Entry!L179/Data_Entry!$H179&lt;0,0,Data_Entry!L179/Data_Entry!$H179),0)</f>
        <v>0.83446992984446944</v>
      </c>
      <c r="H190" s="49">
        <f>IFERROR(IF(Data_Entry!M179/Data_Entry!$H179&lt;0,0,Data_Entry!M179/Data_Entry!$H179),0)</f>
        <v>0.6578562657154553</v>
      </c>
      <c r="I190" s="49">
        <f>IFERROR(IF(Data_Entry!N179/Data_Entry!$H179&lt;0,0,Data_Entry!N179/Data_Entry!$H179),0)</f>
        <v>0.66615355194970427</v>
      </c>
      <c r="J190" s="49">
        <f>IFERROR(IF(Data_Entry!O179/Data_Entry!$H179&lt;0,0,Data_Entry!O179/Data_Entry!$H179),0)</f>
        <v>0.72423455558944716</v>
      </c>
      <c r="K190" s="49">
        <f>IFERROR(IF(Data_Entry!P179/Data_Entry!$H179&lt;0,0,Data_Entry!P179/Data_Entry!$H179),0)</f>
        <v>0.66970953176438242</v>
      </c>
      <c r="L190" s="49">
        <f>IFERROR(IF(Data_Entry!Q179/Data_Entry!$H179&lt;0,0,Data_Entry!Q179/Data_Entry!$H179),0)</f>
        <v>1.1011684159453297</v>
      </c>
      <c r="M190" s="49">
        <f>IFERROR(IF(Data_Entry!R179/Data_Entry!$H179&lt;0,0,Data_Entry!R179/Data_Entry!$H179),0)</f>
        <v>0.753867720711765</v>
      </c>
      <c r="N190" s="49">
        <f>IFERROR(IF(Data_Entry!S179/Data_Entry!$H179&lt;0,0,Data_Entry!S179/Data_Entry!$H179),0)</f>
        <v>0.70171335009648561</v>
      </c>
      <c r="O190" s="49">
        <f>IFERROR(IF(Data_Entry!T179/Data_Entry!$H179&lt;0,0,Data_Entry!T179/Data_Entry!$H179),0)</f>
        <v>0.72067857577476901</v>
      </c>
      <c r="P190" s="49">
        <f>IFERROR(IF(Data_Entry!U179/Data_Entry!$H179&lt;0,0,Data_Entry!U179/Data_Entry!$H179),0)</f>
        <v>0.79298349867322449</v>
      </c>
      <c r="Q190" s="49">
        <f>IFERROR(IF(Data_Entry!V179/Data_Entry!$H179&lt;0,0,Data_Entry!V179/Data_Entry!$H179),0)</f>
        <v>0.73134651521880345</v>
      </c>
      <c r="R190" s="49">
        <f>IFERROR(IF(Data_Entry!W179/Data_Entry!$H179&lt;0,0,Data_Entry!W179/Data_Entry!$H179),0)</f>
        <v>1.1687320324242143</v>
      </c>
      <c r="S190" s="49">
        <f>IFERROR(IF(Data_Entry!X179/Data_Entry!$H179&lt;0,0,Data_Entry!X179/Data_Entry!$H179),0)</f>
        <v>0.92336942521142285</v>
      </c>
      <c r="T190" s="49">
        <f>IFERROR(IF(Data_Entry!Y179/Data_Entry!$H179&lt;0,0,Data_Entry!Y179/Data_Entry!$H179),0)</f>
        <v>0.23232401455897159</v>
      </c>
      <c r="U190" s="49">
        <f>IFERROR(IF(Data_Entry!Z179/Data_Entry!$H179&lt;0,0,Data_Entry!Z179/Data_Entry!$H179),0)</f>
        <v>0.84869384910318191</v>
      </c>
      <c r="V190" s="49">
        <f>IFERROR(IF(Data_Entry!AA179/Data_Entry!$H179&lt;0,0,Data_Entry!AA179/Data_Entry!$H179),0)</f>
        <v>0.76927696657537026</v>
      </c>
      <c r="W190" s="49">
        <f>IFERROR(IF(Data_Entry!AB179/Data_Entry!$H179&lt;0,0,Data_Entry!AB179/Data_Entry!$H179),0)</f>
        <v>0.80957807114172242</v>
      </c>
      <c r="X190" s="49">
        <f>IFERROR(IF(Data_Entry!AC179/Data_Entry!$I179&lt;0,0,Data_Entry!AC179/Data_Entry!$I179),0)</f>
        <v>0.46332046332046334</v>
      </c>
      <c r="Y190" s="49">
        <f>IFERROR(IF(Data_Entry!AD179/Data_Entry!$I179&lt;0,0,Data_Entry!AD179/Data_Entry!$I179),0)</f>
        <v>0.34438775510204084</v>
      </c>
      <c r="Z190" s="49">
        <f>IFERROR(IF(Data_Entry!AE179/Data_Entry!$I179&lt;0,0,Data_Entry!AE179/Data_Entry!$I179),0)</f>
        <v>0.13961665747380034</v>
      </c>
      <c r="AA190" s="49">
        <f>IFERROR(IF(Data_Entry!AF179/Data_Entry!$I179&lt;0,0,Data_Entry!AF179/Data_Entry!$I179),0)</f>
        <v>8.2735797021511306E-2</v>
      </c>
      <c r="AB190" s="49">
        <f>IFERROR(IF(Data_Entry!AG179/Data_Entry!$I179&lt;0,0,Data_Entry!AG179/Data_Entry!$I179),0)</f>
        <v>8.37699944842802E-2</v>
      </c>
      <c r="AC190" s="49">
        <f>IFERROR(IF(Data_Entry!AI179/Data_Entry!$I179&lt;0,0,Data_Entry!AI179/Data_Entry!$I179),0)</f>
        <v>6.0293712079426368E-2</v>
      </c>
      <c r="AD190" s="49">
        <f>IFERROR(IF(Data_Entry!AM179/Data_Entry!$H179&lt;0,0,Data_Entry!AM179/Data_Entry!$H179),0)</f>
        <v>0.84869384910318191</v>
      </c>
      <c r="AE190" s="50">
        <f>Data_Entry!AK179</f>
        <v>232.64933333333329</v>
      </c>
      <c r="AF190" s="50">
        <f>Data_Entry!AL179</f>
        <v>0</v>
      </c>
      <c r="AG190" s="153">
        <f>(Data_Entry!O179-Data_Entry!Q179)/Data_Entry!O179</f>
        <v>-0.52045826513911619</v>
      </c>
      <c r="AH190" s="79" t="str">
        <f t="shared" si="4"/>
        <v>CAT3</v>
      </c>
      <c r="AI190" s="51">
        <f>SUBTOTAL(3,Tableau1[[#This Row],[ZS]])</f>
        <v>0</v>
      </c>
      <c r="AJ190" s="51" t="e">
        <f t="shared" ca="1" si="5"/>
        <v>#NAME?</v>
      </c>
      <c r="AK190" s="50" t="str">
        <f>IFERROR(IF((Data_Entry!O179-Data_Entry!Q179)/Data_Entry!O179&lt;=10%,"&lt;=10%","&gt;10%"),"&lt;=10%")</f>
        <v>&lt;=10%</v>
      </c>
    </row>
    <row r="191" spans="1:37" s="48" customFormat="1" ht="13" hidden="1" x14ac:dyDescent="0.3">
      <c r="A191" s="31" t="s">
        <v>16</v>
      </c>
      <c r="B191" s="48" t="str">
        <f>Data_Entry!B180</f>
        <v>Butembo</v>
      </c>
      <c r="C191" s="48" t="str">
        <f>Data_Entry!C180</f>
        <v xml:space="preserve"> Kalunguta</v>
      </c>
      <c r="D191" s="48" t="str">
        <f>Data_Entry!D180</f>
        <v xml:space="preserve"> Makoko</v>
      </c>
      <c r="E191" s="49">
        <f>IFERROR(IF(Data_Entry!J180/Data_Entry!$I180&lt;0,0,Data_Entry!J180/Data_Entry!$I180),0)</f>
        <v>0.88130774697938885</v>
      </c>
      <c r="F191" s="49">
        <f>IFERROR(IF(Data_Entry!K180/Data_Entry!$H180&lt;0,0,Data_Entry!K180/Data_Entry!$H180),0)</f>
        <v>0.42358815826719859</v>
      </c>
      <c r="G191" s="49">
        <f>IFERROR(IF(Data_Entry!L180/Data_Entry!$H180&lt;0,0,Data_Entry!L180/Data_Entry!$H180),0)</f>
        <v>1.1404296568732271</v>
      </c>
      <c r="H191" s="49">
        <f>IFERROR(IF(Data_Entry!M180/Data_Entry!$H180&lt;0,0,Data_Entry!M180/Data_Entry!$H180),0)</f>
        <v>1.0345326173064273</v>
      </c>
      <c r="I191" s="49">
        <f>IFERROR(IF(Data_Entry!N180/Data_Entry!$H180&lt;0,0,Data_Entry!N180/Data_Entry!$H180),0)</f>
        <v>1.1241378046321808</v>
      </c>
      <c r="J191" s="49">
        <f>IFERROR(IF(Data_Entry!O180/Data_Entry!$H180&lt;0,0,Data_Entry!O180/Data_Entry!$H180),0)</f>
        <v>1.0263866911859043</v>
      </c>
      <c r="K191" s="49">
        <f>IFERROR(IF(Data_Entry!P180/Data_Entry!$H180&lt;0,0,Data_Entry!P180/Data_Entry!$H180),0)</f>
        <v>0.92863557773962768</v>
      </c>
      <c r="L191" s="49">
        <f>IFERROR(IF(Data_Entry!Q180/Data_Entry!$H180&lt;0,0,Data_Entry!Q180/Data_Entry!$H180),0)</f>
        <v>1.0100948389448581</v>
      </c>
      <c r="M191" s="49">
        <f>IFERROR(IF(Data_Entry!R180/Data_Entry!$H180&lt;0,0,Data_Entry!R180/Data_Entry!$H180),0)</f>
        <v>0.91234372549858156</v>
      </c>
      <c r="N191" s="49">
        <f>IFERROR(IF(Data_Entry!S180/Data_Entry!$H180&lt;0,0,Data_Entry!S180/Data_Entry!$H180),0)</f>
        <v>0.82273853817282805</v>
      </c>
      <c r="O191" s="49">
        <f>IFERROR(IF(Data_Entry!T180/Data_Entry!$H180&lt;0,0,Data_Entry!T180/Data_Entry!$H180),0)</f>
        <v>0.89605187325753544</v>
      </c>
      <c r="P191" s="49">
        <f>IFERROR(IF(Data_Entry!U180/Data_Entry!$H180&lt;0,0,Data_Entry!U180/Data_Entry!$H180),0)</f>
        <v>1.1078459523911348</v>
      </c>
      <c r="Q191" s="49">
        <f>IFERROR(IF(Data_Entry!V180/Data_Entry!$H180&lt;0,0,Data_Entry!V180/Data_Entry!$H180),0)</f>
        <v>0.92863557773962768</v>
      </c>
      <c r="R191" s="49">
        <f>IFERROR(IF(Data_Entry!W180/Data_Entry!$H180&lt;0,0,Data_Entry!W180/Data_Entry!$H180),0)</f>
        <v>1.0100948389448581</v>
      </c>
      <c r="S191" s="49">
        <f>IFERROR(IF(Data_Entry!X180/Data_Entry!$H180&lt;0,0,Data_Entry!X180/Data_Entry!$H180),0)</f>
        <v>1.1159918785116578</v>
      </c>
      <c r="T191" s="49">
        <f>IFERROR(IF(Data_Entry!Y180/Data_Entry!$H180&lt;0,0,Data_Entry!Y180/Data_Entry!$H180),0)</f>
        <v>1.2789104009221188</v>
      </c>
      <c r="U191" s="49">
        <f>IFERROR(IF(Data_Entry!Z180/Data_Entry!$H180&lt;0,0,Data_Entry!Z180/Data_Entry!$H180),0)</f>
        <v>1.1159918785116578</v>
      </c>
      <c r="V191" s="49">
        <f>IFERROR(IF(Data_Entry!AA180/Data_Entry!$H180&lt;0,0,Data_Entry!AA180/Data_Entry!$H180),0)</f>
        <v>1.0019489128243351</v>
      </c>
      <c r="W191" s="49">
        <f>IFERROR(IF(Data_Entry!AB180/Data_Entry!$H180&lt;0,0,Data_Entry!AB180/Data_Entry!$H180),0)</f>
        <v>0.99380298670381206</v>
      </c>
      <c r="X191" s="49">
        <f>IFERROR(IF(Data_Entry!AC180/Data_Entry!$I180&lt;0,0,Data_Entry!AC180/Data_Entry!$I180),0)</f>
        <v>0.1492537313432836</v>
      </c>
      <c r="Y191" s="49">
        <f>IFERROR(IF(Data_Entry!AD180/Data_Entry!$I180&lt;0,0,Data_Entry!AD180/Data_Entry!$I180),0)</f>
        <v>0.11371712864250179</v>
      </c>
      <c r="Z191" s="49">
        <f>IFERROR(IF(Data_Entry!AE180/Data_Entry!$I180&lt;0,0,Data_Entry!AE180/Data_Entry!$I180),0)</f>
        <v>0.19189765458422176</v>
      </c>
      <c r="AA191" s="49">
        <f>IFERROR(IF(Data_Entry!AF180/Data_Entry!$I180&lt;0,0,Data_Entry!AF180/Data_Entry!$I180),0)</f>
        <v>0.11371712864250179</v>
      </c>
      <c r="AB191" s="49">
        <f>IFERROR(IF(Data_Entry!AG180/Data_Entry!$I180&lt;0,0,Data_Entry!AG180/Data_Entry!$I180),0)</f>
        <v>0.13503909026297087</v>
      </c>
      <c r="AC191" s="49">
        <f>IFERROR(IF(Data_Entry!AI180/Data_Entry!$I180&lt;0,0,Data_Entry!AI180/Data_Entry!$I180),0)</f>
        <v>0.41435678749111587</v>
      </c>
      <c r="AD191" s="49">
        <f>IFERROR(IF(Data_Entry!AM180/Data_Entry!$H180&lt;0,0,Data_Entry!AM180/Data_Entry!$H180),0)</f>
        <v>1.1159918785116578</v>
      </c>
      <c r="AE191" s="50">
        <f>Data_Entry!AK180</f>
        <v>0</v>
      </c>
      <c r="AF191" s="50">
        <f>Data_Entry!AL180</f>
        <v>0</v>
      </c>
      <c r="AG191" s="153">
        <f>(Data_Entry!O180-Data_Entry!Q180)/Data_Entry!O180</f>
        <v>1.5873015873015872E-2</v>
      </c>
      <c r="AH191" s="79" t="str">
        <f t="shared" si="4"/>
        <v>CAT1</v>
      </c>
      <c r="AI191" s="51">
        <f>SUBTOTAL(3,Tableau1[[#This Row],[ZS]])</f>
        <v>0</v>
      </c>
      <c r="AJ191" s="51" t="e">
        <f t="shared" ca="1" si="5"/>
        <v>#NAME?</v>
      </c>
      <c r="AK191" s="50" t="str">
        <f>IFERROR(IF((Data_Entry!O180-Data_Entry!Q180)/Data_Entry!O180&lt;=10%,"&lt;=10%","&gt;10%"),"&lt;=10%")</f>
        <v>&lt;=10%</v>
      </c>
    </row>
    <row r="192" spans="1:37" s="48" customFormat="1" ht="13" hidden="1" x14ac:dyDescent="0.3">
      <c r="A192" s="31" t="s">
        <v>16</v>
      </c>
      <c r="B192" s="48" t="str">
        <f>Data_Entry!B181</f>
        <v>Butembo</v>
      </c>
      <c r="C192" s="48" t="str">
        <f>Data_Entry!C181</f>
        <v xml:space="preserve"> Kalunguta</v>
      </c>
      <c r="D192" s="48" t="str">
        <f>Data_Entry!D181</f>
        <v xml:space="preserve"> Mambingi</v>
      </c>
      <c r="E192" s="49">
        <f>IFERROR(IF(Data_Entry!J181/Data_Entry!$I181&lt;0,0,Data_Entry!J181/Data_Entry!$I181),0)</f>
        <v>0.75985892914395636</v>
      </c>
      <c r="F192" s="49">
        <f>IFERROR(IF(Data_Entry!K181/Data_Entry!$H181&lt;0,0,Data_Entry!K181/Data_Entry!$H181),0)</f>
        <v>0.63388180952127227</v>
      </c>
      <c r="G192" s="49">
        <f>IFERROR(IF(Data_Entry!L181/Data_Entry!$H181&lt;0,0,Data_Entry!L181/Data_Entry!$H181),0)</f>
        <v>0.74963413995559158</v>
      </c>
      <c r="H192" s="49">
        <f>IFERROR(IF(Data_Entry!M181/Data_Entry!$H181&lt;0,0,Data_Entry!M181/Data_Entry!$H181),0)</f>
        <v>0.63388180952127227</v>
      </c>
      <c r="I192" s="49">
        <f>IFERROR(IF(Data_Entry!N181/Data_Entry!$H181&lt;0,0,Data_Entry!N181/Data_Entry!$H181),0)</f>
        <v>0.65041785672617503</v>
      </c>
      <c r="J192" s="49">
        <f>IFERROR(IF(Data_Entry!O181/Data_Entry!$H181&lt;0,0,Data_Entry!O181/Data_Entry!$H181),0)</f>
        <v>0.74412212422062396</v>
      </c>
      <c r="K192" s="49">
        <f>IFERROR(IF(Data_Entry!P181/Data_Entry!$H181&lt;0,0,Data_Entry!P181/Data_Entry!$H181),0)</f>
        <v>0.63939382525623989</v>
      </c>
      <c r="L192" s="49">
        <f>IFERROR(IF(Data_Entry!Q181/Data_Entry!$H181&lt;0,0,Data_Entry!Q181/Data_Entry!$H181),0)</f>
        <v>0.61183374658140188</v>
      </c>
      <c r="M192" s="49">
        <f>IFERROR(IF(Data_Entry!R181/Data_Entry!$H181&lt;0,0,Data_Entry!R181/Data_Entry!$H181),0)</f>
        <v>0.67797793540101292</v>
      </c>
      <c r="N192" s="49">
        <f>IFERROR(IF(Data_Entry!S181/Data_Entry!$H181&lt;0,0,Data_Entry!S181/Data_Entry!$H181),0)</f>
        <v>0.56222560496669371</v>
      </c>
      <c r="O192" s="49">
        <f>IFERROR(IF(Data_Entry!T181/Data_Entry!$H181&lt;0,0,Data_Entry!T181/Data_Entry!$H181),0)</f>
        <v>0.56222560496669371</v>
      </c>
      <c r="P192" s="49">
        <f>IFERROR(IF(Data_Entry!U181/Data_Entry!$H181&lt;0,0,Data_Entry!U181/Data_Entry!$H181),0)</f>
        <v>0.82129034451017013</v>
      </c>
      <c r="Q192" s="49">
        <f>IFERROR(IF(Data_Entry!V181/Data_Entry!$H181&lt;0,0,Data_Entry!V181/Data_Entry!$H181),0)</f>
        <v>0.70553801407585093</v>
      </c>
      <c r="R192" s="49">
        <f>IFERROR(IF(Data_Entry!W181/Data_Entry!$H181&lt;0,0,Data_Entry!W181/Data_Entry!$H181),0)</f>
        <v>0.68900196687094817</v>
      </c>
      <c r="S192" s="49">
        <f>IFERROR(IF(Data_Entry!X181/Data_Entry!$H181&lt;0,0,Data_Entry!X181/Data_Entry!$H181),0)</f>
        <v>0.69451398260591568</v>
      </c>
      <c r="T192" s="49">
        <f>IFERROR(IF(Data_Entry!Y181/Data_Entry!$H181&lt;0,0,Data_Entry!Y181/Data_Entry!$H181),0)</f>
        <v>0.25355272380850891</v>
      </c>
      <c r="U192" s="49">
        <f>IFERROR(IF(Data_Entry!Z181/Data_Entry!$H181&lt;0,0,Data_Entry!Z181/Data_Entry!$H181),0)</f>
        <v>0.77168220289546186</v>
      </c>
      <c r="V192" s="49">
        <f>IFERROR(IF(Data_Entry!AA181/Data_Entry!$H181&lt;0,0,Data_Entry!AA181/Data_Entry!$H181),0)</f>
        <v>0.72207406128075369</v>
      </c>
      <c r="W192" s="49">
        <f>IFERROR(IF(Data_Entry!AB181/Data_Entry!$H181&lt;0,0,Data_Entry!AB181/Data_Entry!$H181),0)</f>
        <v>0.71105002981081844</v>
      </c>
      <c r="X192" s="49">
        <f>IFERROR(IF(Data_Entry!AC181/Data_Entry!$I181&lt;0,0,Data_Entry!AC181/Data_Entry!$I181),0)</f>
        <v>0.38954793202949661</v>
      </c>
      <c r="Y192" s="49">
        <f>IFERROR(IF(Data_Entry!AD181/Data_Entry!$I181&lt;0,0,Data_Entry!AD181/Data_Entry!$I181),0)</f>
        <v>0.26450785508175695</v>
      </c>
      <c r="Z192" s="49">
        <f>IFERROR(IF(Data_Entry!AE181/Data_Entry!$I181&lt;0,0,Data_Entry!AE181/Data_Entry!$I181),0)</f>
        <v>0.16832318050657261</v>
      </c>
      <c r="AA192" s="49">
        <f>IFERROR(IF(Data_Entry!AF181/Data_Entry!$I181&lt;0,0,Data_Entry!AF181/Data_Entry!$I181),0)</f>
        <v>7.2138505931388264E-2</v>
      </c>
      <c r="AB192" s="49">
        <f>IFERROR(IF(Data_Entry!AG181/Data_Entry!$I181&lt;0,0,Data_Entry!AG181/Data_Entry!$I181),0)</f>
        <v>5.2901571016351394E-2</v>
      </c>
      <c r="AC192" s="49">
        <f>IFERROR(IF(Data_Entry!AI181/Data_Entry!$I181&lt;0,0,Data_Entry!AI181/Data_Entry!$I181),0)</f>
        <v>0.28037832638666238</v>
      </c>
      <c r="AD192" s="49">
        <f>IFERROR(IF(Data_Entry!AM181/Data_Entry!$H181&lt;0,0,Data_Entry!AM181/Data_Entry!$H181),0)</f>
        <v>0.69451398260591568</v>
      </c>
      <c r="AE192" s="50">
        <f>Data_Entry!AK181</f>
        <v>46.421833333333325</v>
      </c>
      <c r="AF192" s="50">
        <f>Data_Entry!AL181</f>
        <v>9</v>
      </c>
      <c r="AG192" s="153">
        <f>(Data_Entry!O181-Data_Entry!Q181)/Data_Entry!O181</f>
        <v>0.17777777777777778</v>
      </c>
      <c r="AH192" s="79" t="str">
        <f t="shared" si="4"/>
        <v>CAT4</v>
      </c>
      <c r="AI192" s="51">
        <f>SUBTOTAL(3,Tableau1[[#This Row],[ZS]])</f>
        <v>0</v>
      </c>
      <c r="AJ192" s="51" t="e">
        <f t="shared" ca="1" si="5"/>
        <v>#NAME?</v>
      </c>
      <c r="AK192" s="50" t="str">
        <f>IFERROR(IF((Data_Entry!O181-Data_Entry!Q181)/Data_Entry!O181&lt;=10%,"&lt;=10%","&gt;10%"),"&lt;=10%")</f>
        <v>&gt;10%</v>
      </c>
    </row>
    <row r="193" spans="1:37" s="48" customFormat="1" ht="13" hidden="1" x14ac:dyDescent="0.3">
      <c r="A193" s="31" t="s">
        <v>16</v>
      </c>
      <c r="B193" s="48" t="str">
        <f>Data_Entry!B182</f>
        <v>Butembo</v>
      </c>
      <c r="C193" s="48" t="str">
        <f>Data_Entry!C182</f>
        <v xml:space="preserve"> Kalunguta</v>
      </c>
      <c r="D193" s="48" t="str">
        <f>Data_Entry!D182</f>
        <v xml:space="preserve"> Mataba</v>
      </c>
      <c r="E193" s="49">
        <f>IFERROR(IF(Data_Entry!J182/Data_Entry!$I182&lt;0,0,Data_Entry!J182/Data_Entry!$I182),0)</f>
        <v>0.65279091769158004</v>
      </c>
      <c r="F193" s="49">
        <f>IFERROR(IF(Data_Entry!K182/Data_Entry!$H182&lt;0,0,Data_Entry!K182/Data_Entry!$H182),0)</f>
        <v>0.27831015136277099</v>
      </c>
      <c r="G193" s="49">
        <f>IFERROR(IF(Data_Entry!L182/Data_Entry!$H182&lt;0,0,Data_Entry!L182/Data_Entry!$H182),0)</f>
        <v>0.93251972794279114</v>
      </c>
      <c r="H193" s="49">
        <f>IFERROR(IF(Data_Entry!M182/Data_Entry!$H182&lt;0,0,Data_Entry!M182/Data_Entry!$H182),0)</f>
        <v>0.78432860838599094</v>
      </c>
      <c r="I193" s="49">
        <f>IFERROR(IF(Data_Entry!N182/Data_Entry!$H182&lt;0,0,Data_Entry!N182/Data_Entry!$H182),0)</f>
        <v>0.86746021203980572</v>
      </c>
      <c r="J193" s="49">
        <f>IFERROR(IF(Data_Entry!O182/Data_Entry!$H182&lt;0,0,Data_Entry!O182/Data_Entry!$H182),0)</f>
        <v>0.95059181569362039</v>
      </c>
      <c r="K193" s="49">
        <f>IFERROR(IF(Data_Entry!P182/Data_Entry!$H182&lt;0,0,Data_Entry!P182/Data_Entry!$H182),0)</f>
        <v>0.76987093818532759</v>
      </c>
      <c r="L193" s="49">
        <f>IFERROR(IF(Data_Entry!Q182/Data_Entry!$H182&lt;0,0,Data_Entry!Q182/Data_Entry!$H182),0)</f>
        <v>0.93974856304312282</v>
      </c>
      <c r="M193" s="49">
        <f>IFERROR(IF(Data_Entry!R182/Data_Entry!$H182&lt;0,0,Data_Entry!R182/Data_Entry!$H182),0)</f>
        <v>0.93613414549295693</v>
      </c>
      <c r="N193" s="49">
        <f>IFERROR(IF(Data_Entry!S182/Data_Entry!$H182&lt;0,0,Data_Entry!S182/Data_Entry!$H182),0)</f>
        <v>0.7662565206351617</v>
      </c>
      <c r="O193" s="49">
        <f>IFERROR(IF(Data_Entry!T182/Data_Entry!$H182&lt;0,0,Data_Entry!T182/Data_Entry!$H182),0)</f>
        <v>0.84938812428897636</v>
      </c>
      <c r="P193" s="49">
        <f>IFERROR(IF(Data_Entry!U182/Data_Entry!$H182&lt;0,0,Data_Entry!U182/Data_Entry!$H182),0)</f>
        <v>0.94336298059328871</v>
      </c>
      <c r="Q193" s="49">
        <f>IFERROR(IF(Data_Entry!V182/Data_Entry!$H182&lt;0,0,Data_Entry!V182/Data_Entry!$H182),0)</f>
        <v>0.80601511368698608</v>
      </c>
      <c r="R193" s="49">
        <f>IFERROR(IF(Data_Entry!W182/Data_Entry!$H182&lt;0,0,Data_Entry!W182/Data_Entry!$H182),0)</f>
        <v>0.81324394878731787</v>
      </c>
      <c r="S193" s="49">
        <f>IFERROR(IF(Data_Entry!X182/Data_Entry!$H182&lt;0,0,Data_Entry!X182/Data_Entry!$H182),0)</f>
        <v>0.88553229979063497</v>
      </c>
      <c r="T193" s="49">
        <f>IFERROR(IF(Data_Entry!Y182/Data_Entry!$H182&lt;0,0,Data_Entry!Y182/Data_Entry!$H182),0)</f>
        <v>0.15541995465713185</v>
      </c>
      <c r="U193" s="49">
        <f>IFERROR(IF(Data_Entry!Z182/Data_Entry!$H182&lt;0,0,Data_Entry!Z182/Data_Entry!$H182),0)</f>
        <v>0.88553229979063497</v>
      </c>
      <c r="V193" s="49">
        <f>IFERROR(IF(Data_Entry!AA182/Data_Entry!$H182&lt;0,0,Data_Entry!AA182/Data_Entry!$H182),0)</f>
        <v>0.86384579448963983</v>
      </c>
      <c r="W193" s="49">
        <f>IFERROR(IF(Data_Entry!AB182/Data_Entry!$H182&lt;0,0,Data_Entry!AB182/Data_Entry!$H182),0)</f>
        <v>0.87107462958997151</v>
      </c>
      <c r="X193" s="49">
        <f>IFERROR(IF(Data_Entry!AC182/Data_Entry!$I182&lt;0,0,Data_Entry!AC182/Data_Entry!$I182),0)</f>
        <v>0.54241564175339019</v>
      </c>
      <c r="Y193" s="49">
        <f>IFERROR(IF(Data_Entry!AD182/Data_Entry!$I182&lt;0,0,Data_Entry!AD182/Data_Entry!$I182),0)</f>
        <v>0.35635446231472723</v>
      </c>
      <c r="Z193" s="49">
        <f>IFERROR(IF(Data_Entry!AE182/Data_Entry!$I182&lt;0,0,Data_Entry!AE182/Data_Entry!$I182),0)</f>
        <v>4.730368968779565E-2</v>
      </c>
      <c r="AA193" s="49">
        <f>IFERROR(IF(Data_Entry!AF182/Data_Entry!$I182&lt;0,0,Data_Entry!AF182/Data_Entry!$I182),0)</f>
        <v>5.0457269000315365E-2</v>
      </c>
      <c r="AB193" s="49">
        <f>IFERROR(IF(Data_Entry!AG182/Data_Entry!$I182&lt;0,0,Data_Entry!AG182/Data_Entry!$I182),0)</f>
        <v>3.7842951750236525E-2</v>
      </c>
      <c r="AC193" s="49">
        <f>IFERROR(IF(Data_Entry!AI182/Data_Entry!$I182&lt;0,0,Data_Entry!AI182/Data_Entry!$I182),0)</f>
        <v>0.1838536739198991</v>
      </c>
      <c r="AD193" s="49">
        <f>IFERROR(IF(Data_Entry!AM182/Data_Entry!$H182&lt;0,0,Data_Entry!AM182/Data_Entry!$H182),0)</f>
        <v>0.88553229979063497</v>
      </c>
      <c r="AE193" s="50">
        <f>Data_Entry!AK182</f>
        <v>13.669749999999965</v>
      </c>
      <c r="AF193" s="50">
        <f>Data_Entry!AL182</f>
        <v>18</v>
      </c>
      <c r="AG193" s="153">
        <f>(Data_Entry!O182-Data_Entry!Q182)/Data_Entry!O182</f>
        <v>1.1406844106463879E-2</v>
      </c>
      <c r="AH193" s="79" t="str">
        <f t="shared" si="4"/>
        <v>CAT1</v>
      </c>
      <c r="AI193" s="51">
        <f>SUBTOTAL(3,Tableau1[[#This Row],[ZS]])</f>
        <v>0</v>
      </c>
      <c r="AJ193" s="51" t="e">
        <f t="shared" ca="1" si="5"/>
        <v>#NAME?</v>
      </c>
      <c r="AK193" s="50" t="str">
        <f>IFERROR(IF((Data_Entry!O182-Data_Entry!Q182)/Data_Entry!O182&lt;=10%,"&lt;=10%","&gt;10%"),"&lt;=10%")</f>
        <v>&lt;=10%</v>
      </c>
    </row>
    <row r="194" spans="1:37" s="48" customFormat="1" ht="13" hidden="1" x14ac:dyDescent="0.3">
      <c r="A194" s="31" t="s">
        <v>16</v>
      </c>
      <c r="B194" s="48" t="str">
        <f>Data_Entry!B183</f>
        <v>Butembo</v>
      </c>
      <c r="C194" s="48" t="str">
        <f>Data_Entry!C183</f>
        <v xml:space="preserve"> Kalunguta</v>
      </c>
      <c r="D194" s="48" t="str">
        <f>Data_Entry!D183</f>
        <v xml:space="preserve"> Mbilinga</v>
      </c>
      <c r="E194" s="49">
        <f>IFERROR(IF(Data_Entry!J183/Data_Entry!$I183&lt;0,0,Data_Entry!J183/Data_Entry!$I183),0)</f>
        <v>0.93331529825510617</v>
      </c>
      <c r="F194" s="49">
        <f>IFERROR(IF(Data_Entry!K183/Data_Entry!$H183&lt;0,0,Data_Entry!K183/Data_Entry!$H183),0)</f>
        <v>1.0836549868864571</v>
      </c>
      <c r="G194" s="49">
        <f>IFERROR(IF(Data_Entry!L183/Data_Entry!$H183&lt;0,0,Data_Entry!L183/Data_Entry!$H183),0)</f>
        <v>1.051098828482143</v>
      </c>
      <c r="H194" s="49">
        <f>IFERROR(IF(Data_Entry!M183/Data_Entry!$H183&lt;0,0,Data_Entry!M183/Data_Entry!$H183),0)</f>
        <v>0.91157243532079657</v>
      </c>
      <c r="I194" s="49">
        <f>IFERROR(IF(Data_Entry!N183/Data_Entry!$H183&lt;0,0,Data_Entry!N183/Data_Entry!$H183),0)</f>
        <v>1.009240910533739</v>
      </c>
      <c r="J194" s="49">
        <f>IFERROR(IF(Data_Entry!O183/Data_Entry!$H183&lt;0,0,Data_Entry!O183/Data_Entry!$H183),0)</f>
        <v>1.051098828482143</v>
      </c>
      <c r="K194" s="49">
        <f>IFERROR(IF(Data_Entry!P183/Data_Entry!$H183&lt;0,0,Data_Entry!P183/Data_Entry!$H183),0)</f>
        <v>0.91157243532079657</v>
      </c>
      <c r="L194" s="49">
        <f>IFERROR(IF(Data_Entry!Q183/Data_Entry!$H183&lt;0,0,Data_Entry!Q183/Data_Entry!$H183),0)</f>
        <v>1.009240910533739</v>
      </c>
      <c r="M194" s="49">
        <f>IFERROR(IF(Data_Entry!R183/Data_Entry!$H183&lt;0,0,Data_Entry!R183/Data_Entry!$H183),0)</f>
        <v>1.051098828482143</v>
      </c>
      <c r="N194" s="49">
        <f>IFERROR(IF(Data_Entry!S183/Data_Entry!$H183&lt;0,0,Data_Entry!S183/Data_Entry!$H183),0)</f>
        <v>0.91157243532079657</v>
      </c>
      <c r="O194" s="49">
        <f>IFERROR(IF(Data_Entry!T183/Data_Entry!$H183&lt;0,0,Data_Entry!T183/Data_Entry!$H183),0)</f>
        <v>1.009240910533739</v>
      </c>
      <c r="P194" s="49">
        <f>IFERROR(IF(Data_Entry!U183/Data_Entry!$H183&lt;0,0,Data_Entry!U183/Data_Entry!$H183),0)</f>
        <v>1.0045900307616942</v>
      </c>
      <c r="Q194" s="49">
        <f>IFERROR(IF(Data_Entry!V183/Data_Entry!$H183&lt;0,0,Data_Entry!V183/Data_Entry!$H183),0)</f>
        <v>0.88831803646057217</v>
      </c>
      <c r="R194" s="49">
        <f>IFERROR(IF(Data_Entry!W183/Data_Entry!$H183&lt;0,0,Data_Entry!W183/Data_Entry!$H183),0)</f>
        <v>0.97203387235737992</v>
      </c>
      <c r="S194" s="49">
        <f>IFERROR(IF(Data_Entry!X183/Data_Entry!$H183&lt;0,0,Data_Entry!X183/Data_Entry!$H183),0)</f>
        <v>1.0045900307616942</v>
      </c>
      <c r="T194" s="49">
        <f>IFERROR(IF(Data_Entry!Y183/Data_Entry!$H183&lt;0,0,Data_Entry!Y183/Data_Entry!$H183),0)</f>
        <v>0.7348390039830911</v>
      </c>
      <c r="U194" s="49">
        <f>IFERROR(IF(Data_Entry!Z183/Data_Entry!$H183&lt;0,0,Data_Entry!Z183/Data_Entry!$H183),0)</f>
        <v>1.0045900307616942</v>
      </c>
      <c r="V194" s="49">
        <f>IFERROR(IF(Data_Entry!AA183/Data_Entry!$H183&lt;0,0,Data_Entry!AA183/Data_Entry!$H183),0)</f>
        <v>0.96738299258533511</v>
      </c>
      <c r="W194" s="49">
        <f>IFERROR(IF(Data_Entry!AB183/Data_Entry!$H183&lt;0,0,Data_Entry!AB183/Data_Entry!$H183),0)</f>
        <v>0.98133563190146977</v>
      </c>
      <c r="X194" s="49">
        <f>IFERROR(IF(Data_Entry!AC183/Data_Entry!$I183&lt;0,0,Data_Entry!AC183/Data_Entry!$I183),0)</f>
        <v>0.27187880427431355</v>
      </c>
      <c r="Y194" s="49">
        <f>IFERROR(IF(Data_Entry!AD183/Data_Entry!$I183&lt;0,0,Data_Entry!AD183/Data_Entry!$I183),0)</f>
        <v>0.17448938184769378</v>
      </c>
      <c r="Z194" s="49">
        <f>IFERROR(IF(Data_Entry!AE183/Data_Entry!$I183&lt;0,0,Data_Entry!AE183/Data_Entry!$I183),0)</f>
        <v>0.1907209522521304</v>
      </c>
      <c r="AA194" s="49">
        <f>IFERROR(IF(Data_Entry!AF183/Data_Entry!$I183&lt;0,0,Data_Entry!AF183/Data_Entry!$I183),0)</f>
        <v>0.12985256323549302</v>
      </c>
      <c r="AB194" s="49">
        <f>IFERROR(IF(Data_Entry!AG183/Data_Entry!$I183&lt;0,0,Data_Entry!AG183/Data_Entry!$I183),0)</f>
        <v>0.1420262410388205</v>
      </c>
      <c r="AC194" s="49">
        <f>IFERROR(IF(Data_Entry!AI183/Data_Entry!$I183&lt;0,0,Data_Entry!AI183/Data_Entry!$I183),0)</f>
        <v>0.23657513864466387</v>
      </c>
      <c r="AD194" s="49">
        <f>IFERROR(IF(Data_Entry!AM183/Data_Entry!$H183&lt;0,0,Data_Entry!AM183/Data_Entry!$H183),0)</f>
        <v>1.0045900307616942</v>
      </c>
      <c r="AE194" s="50">
        <f>Data_Entry!AK183</f>
        <v>0</v>
      </c>
      <c r="AF194" s="50">
        <f>Data_Entry!AL183</f>
        <v>10</v>
      </c>
      <c r="AG194" s="153">
        <f>(Data_Entry!O183-Data_Entry!Q183)/Data_Entry!O183</f>
        <v>3.9823008849557522E-2</v>
      </c>
      <c r="AH194" s="79" t="str">
        <f t="shared" si="4"/>
        <v>CAT1</v>
      </c>
      <c r="AI194" s="51">
        <f>SUBTOTAL(3,Tableau1[[#This Row],[ZS]])</f>
        <v>0</v>
      </c>
      <c r="AJ194" s="51" t="e">
        <f t="shared" ca="1" si="5"/>
        <v>#NAME?</v>
      </c>
      <c r="AK194" s="50" t="str">
        <f>IFERROR(IF((Data_Entry!O183-Data_Entry!Q183)/Data_Entry!O183&lt;=10%,"&lt;=10%","&gt;10%"),"&lt;=10%")</f>
        <v>&lt;=10%</v>
      </c>
    </row>
    <row r="195" spans="1:37" s="48" customFormat="1" ht="13" hidden="1" x14ac:dyDescent="0.3">
      <c r="A195" s="31" t="s">
        <v>16</v>
      </c>
      <c r="B195" s="48" t="str">
        <f>Data_Entry!B184</f>
        <v>Butembo</v>
      </c>
      <c r="C195" s="48" t="str">
        <f>Data_Entry!C184</f>
        <v xml:space="preserve"> Kalunguta</v>
      </c>
      <c r="D195" s="48" t="str">
        <f>Data_Entry!D184</f>
        <v xml:space="preserve"> Rwahwa</v>
      </c>
      <c r="E195" s="49">
        <f>IFERROR(IF(Data_Entry!J184/Data_Entry!$I184&lt;0,0,Data_Entry!J184/Data_Entry!$I184),0)</f>
        <v>1.1437388015130399</v>
      </c>
      <c r="F195" s="49">
        <f>IFERROR(IF(Data_Entry!K184/Data_Entry!$H184&lt;0,0,Data_Entry!K184/Data_Entry!$H184),0)</f>
        <v>0.96176499278105809</v>
      </c>
      <c r="G195" s="49">
        <f>IFERROR(IF(Data_Entry!L184/Data_Entry!$H184&lt;0,0,Data_Entry!L184/Data_Entry!$H184),0)</f>
        <v>1.314298068426784</v>
      </c>
      <c r="H195" s="49">
        <f>IFERROR(IF(Data_Entry!M184/Data_Entry!$H184&lt;0,0,Data_Entry!M184/Data_Entry!$H184),0)</f>
        <v>1.2800715562281697</v>
      </c>
      <c r="I195" s="49">
        <f>IFERROR(IF(Data_Entry!N184/Data_Entry!$H184&lt;0,0,Data_Entry!N184/Data_Entry!$H184),0)</f>
        <v>1.3211433708665068</v>
      </c>
      <c r="J195" s="49">
        <f>IFERROR(IF(Data_Entry!O184/Data_Entry!$H184&lt;0,0,Data_Entry!O184/Data_Entry!$H184),0)</f>
        <v>1.0678671805967619</v>
      </c>
      <c r="K195" s="49">
        <f>IFERROR(IF(Data_Entry!P184/Data_Entry!$H184&lt;0,0,Data_Entry!P184/Data_Entry!$H184),0)</f>
        <v>1.026795365958425</v>
      </c>
      <c r="L195" s="49">
        <f>IFERROR(IF(Data_Entry!Q184/Data_Entry!$H184&lt;0,0,Data_Entry!Q184/Data_Entry!$H184),0)</f>
        <v>1.0199500635187022</v>
      </c>
      <c r="M195" s="49">
        <f>IFERROR(IF(Data_Entry!R184/Data_Entry!$H184&lt;0,0,Data_Entry!R184/Data_Entry!$H184),0)</f>
        <v>1.1363202049939902</v>
      </c>
      <c r="N195" s="49">
        <f>IFERROR(IF(Data_Entry!S184/Data_Entry!$H184&lt;0,0,Data_Entry!S184/Data_Entry!$H184),0)</f>
        <v>1.0747124830364847</v>
      </c>
      <c r="O195" s="49">
        <f>IFERROR(IF(Data_Entry!T184/Data_Entry!$H184&lt;0,0,Data_Entry!T184/Data_Entry!$H184),0)</f>
        <v>0.99256885375981074</v>
      </c>
      <c r="P195" s="49">
        <f>IFERROR(IF(Data_Entry!U184/Data_Entry!$H184&lt;0,0,Data_Entry!U184/Data_Entry!$H184),0)</f>
        <v>1.1363202049939902</v>
      </c>
      <c r="Q195" s="49">
        <f>IFERROR(IF(Data_Entry!V184/Data_Entry!$H184&lt;0,0,Data_Entry!V184/Data_Entry!$H184),0)</f>
        <v>1.0747124830364847</v>
      </c>
      <c r="R195" s="49">
        <f>IFERROR(IF(Data_Entry!W184/Data_Entry!$H184&lt;0,0,Data_Entry!W184/Data_Entry!$H184),0)</f>
        <v>1.0747124830364847</v>
      </c>
      <c r="S195" s="49">
        <f>IFERROR(IF(Data_Entry!X184/Data_Entry!$H184&lt;0,0,Data_Entry!X184/Data_Entry!$H184),0)</f>
        <v>1.3108754172069226</v>
      </c>
      <c r="T195" s="49">
        <f>IFERROR(IF(Data_Entry!Y184/Data_Entry!$H184&lt;0,0,Data_Entry!Y184/Data_Entry!$H184),0)</f>
        <v>1.1876599732919115</v>
      </c>
      <c r="U195" s="49">
        <f>IFERROR(IF(Data_Entry!Z184/Data_Entry!$H184&lt;0,0,Data_Entry!Z184/Data_Entry!$H184),0)</f>
        <v>1.3108754172069226</v>
      </c>
      <c r="V195" s="49">
        <f>IFERROR(IF(Data_Entry!AA184/Data_Entry!$H184&lt;0,0,Data_Entry!AA184/Data_Entry!$H184),0)</f>
        <v>1.2526903464692785</v>
      </c>
      <c r="W195" s="49">
        <f>IFERROR(IF(Data_Entry!AB184/Data_Entry!$H184&lt;0,0,Data_Entry!AB184/Data_Entry!$H184),0)</f>
        <v>1.1123616464549604</v>
      </c>
      <c r="X195" s="49">
        <f>IFERROR(IF(Data_Entry!AC184/Data_Entry!$I184&lt;0,0,Data_Entry!AC184/Data_Entry!$I184),0)</f>
        <v>0.50467847899661544</v>
      </c>
      <c r="Y195" s="49">
        <f>IFERROR(IF(Data_Entry!AD184/Data_Entry!$I184&lt;0,0,Data_Entry!AD184/Data_Entry!$I184),0)</f>
        <v>0.27473621341827587</v>
      </c>
      <c r="Z195" s="49">
        <f>IFERROR(IF(Data_Entry!AE184/Data_Entry!$I184&lt;0,0,Data_Entry!AE184/Data_Entry!$I184),0)</f>
        <v>0.20306589687437782</v>
      </c>
      <c r="AA195" s="49">
        <f>IFERROR(IF(Data_Entry!AF184/Data_Entry!$I184&lt;0,0,Data_Entry!AF184/Data_Entry!$I184),0)</f>
        <v>0.18514831773840332</v>
      </c>
      <c r="AB195" s="49">
        <f>IFERROR(IF(Data_Entry!AG184/Data_Entry!$I184&lt;0,0,Data_Entry!AG184/Data_Entry!$I184),0)</f>
        <v>0.22098347601035234</v>
      </c>
      <c r="AC195" s="49">
        <f>IFERROR(IF(Data_Entry!AI184/Data_Entry!$I184&lt;0,0,Data_Entry!AI184/Data_Entry!$I184),0)</f>
        <v>0.1740991439378857</v>
      </c>
      <c r="AD195" s="49">
        <f>IFERROR(IF(Data_Entry!AM184/Data_Entry!$H184&lt;0,0,Data_Entry!AM184/Data_Entry!$H184),0)</f>
        <v>1.3108754172069226</v>
      </c>
      <c r="AE195" s="50">
        <f>Data_Entry!AK184</f>
        <v>0</v>
      </c>
      <c r="AF195" s="50">
        <f>Data_Entry!AL184</f>
        <v>0</v>
      </c>
      <c r="AG195" s="153">
        <f>(Data_Entry!O184-Data_Entry!Q184)/Data_Entry!O184</f>
        <v>4.4871794871794872E-2</v>
      </c>
      <c r="AH195" s="79" t="str">
        <f t="shared" si="4"/>
        <v>CAT1</v>
      </c>
      <c r="AI195" s="51">
        <f>SUBTOTAL(3,Tableau1[[#This Row],[ZS]])</f>
        <v>0</v>
      </c>
      <c r="AJ195" s="51" t="e">
        <f t="shared" ca="1" si="5"/>
        <v>#NAME?</v>
      </c>
      <c r="AK195" s="50" t="str">
        <f>IFERROR(IF((Data_Entry!O184-Data_Entry!Q184)/Data_Entry!O184&lt;=10%,"&lt;=10%","&gt;10%"),"&lt;=10%")</f>
        <v>&lt;=10%</v>
      </c>
    </row>
    <row r="196" spans="1:37" s="48" customFormat="1" ht="13" hidden="1" x14ac:dyDescent="0.3">
      <c r="A196" s="31" t="s">
        <v>16</v>
      </c>
      <c r="B196" s="48" t="str">
        <f>Data_Entry!B185</f>
        <v>Butembo</v>
      </c>
      <c r="C196" s="48" t="str">
        <f>Data_Entry!C185</f>
        <v xml:space="preserve"> Kalunguta</v>
      </c>
      <c r="D196" s="48" t="str">
        <f>Data_Entry!D185</f>
        <v xml:space="preserve"> Vurondo</v>
      </c>
      <c r="E196" s="49">
        <f>IFERROR(IF(Data_Entry!J185/Data_Entry!$I185&lt;0,0,Data_Entry!J185/Data_Entry!$I185),0)</f>
        <v>0.92219020172910648</v>
      </c>
      <c r="F196" s="49">
        <f>IFERROR(IF(Data_Entry!K185/Data_Entry!$H185&lt;0,0,Data_Entry!K185/Data_Entry!$H185),0)</f>
        <v>0.51432015958080546</v>
      </c>
      <c r="G196" s="49">
        <f>IFERROR(IF(Data_Entry!L185/Data_Entry!$H185&lt;0,0,Data_Entry!L185/Data_Entry!$H185),0)</f>
        <v>1.0569515206064257</v>
      </c>
      <c r="H196" s="49">
        <f>IFERROR(IF(Data_Entry!M185/Data_Entry!$H185&lt;0,0,Data_Entry!M185/Data_Entry!$H185),0)</f>
        <v>1.0097661848650674</v>
      </c>
      <c r="I196" s="49">
        <f>IFERROR(IF(Data_Entry!N185/Data_Entry!$H185&lt;0,0,Data_Entry!N185/Data_Entry!$H185),0)</f>
        <v>0.90123991265994341</v>
      </c>
      <c r="J196" s="49">
        <f>IFERROR(IF(Data_Entry!O185/Data_Entry!$H185&lt;0,0,Data_Entry!O185/Data_Entry!$H185),0)</f>
        <v>0.90123991265994341</v>
      </c>
      <c r="K196" s="49">
        <f>IFERROR(IF(Data_Entry!P185/Data_Entry!$H185&lt;0,0,Data_Entry!P185/Data_Entry!$H185),0)</f>
        <v>0.70778003612037443</v>
      </c>
      <c r="L196" s="49">
        <f>IFERROR(IF(Data_Entry!Q185/Data_Entry!$H185&lt;0,0,Data_Entry!Q185/Data_Entry!$H185),0)</f>
        <v>0.74080977113932522</v>
      </c>
      <c r="M196" s="49">
        <f>IFERROR(IF(Data_Entry!R185/Data_Entry!$H185&lt;0,0,Data_Entry!R185/Data_Entry!$H185),0)</f>
        <v>0.91067697980821505</v>
      </c>
      <c r="N196" s="49">
        <f>IFERROR(IF(Data_Entry!S185/Data_Entry!$H185&lt;0,0,Data_Entry!S185/Data_Entry!$H185),0)</f>
        <v>0.8068692411772268</v>
      </c>
      <c r="O196" s="49">
        <f>IFERROR(IF(Data_Entry!T185/Data_Entry!$H185&lt;0,0,Data_Entry!T185/Data_Entry!$H185),0)</f>
        <v>0.84461750977031347</v>
      </c>
      <c r="P196" s="49">
        <f>IFERROR(IF(Data_Entry!U185/Data_Entry!$H185&lt;0,0,Data_Entry!U185/Data_Entry!$H185),0)</f>
        <v>0.91067697980821505</v>
      </c>
      <c r="Q196" s="49">
        <f>IFERROR(IF(Data_Entry!V185/Data_Entry!$H185&lt;0,0,Data_Entry!V185/Data_Entry!$H185),0)</f>
        <v>0.8068692411772268</v>
      </c>
      <c r="R196" s="49">
        <f>IFERROR(IF(Data_Entry!W185/Data_Entry!$H185&lt;0,0,Data_Entry!W185/Data_Entry!$H185),0)</f>
        <v>0.84461750977031347</v>
      </c>
      <c r="S196" s="49">
        <f>IFERROR(IF(Data_Entry!X185/Data_Entry!$H185&lt;0,0,Data_Entry!X185/Data_Entry!$H185),0)</f>
        <v>0.93898818125303007</v>
      </c>
      <c r="T196" s="49">
        <f>IFERROR(IF(Data_Entry!Y185/Data_Entry!$H185&lt;0,0,Data_Entry!Y185/Data_Entry!$H185),0)</f>
        <v>0.5709425624704354</v>
      </c>
      <c r="U196" s="49">
        <f>IFERROR(IF(Data_Entry!Z185/Data_Entry!$H185&lt;0,0,Data_Entry!Z185/Data_Entry!$H185),0)</f>
        <v>0.93898818125303007</v>
      </c>
      <c r="V196" s="49">
        <f>IFERROR(IF(Data_Entry!AA185/Data_Entry!$H185&lt;0,0,Data_Entry!AA185/Data_Entry!$H185),0)</f>
        <v>0.95314378197543759</v>
      </c>
      <c r="W196" s="49">
        <f>IFERROR(IF(Data_Entry!AB185/Data_Entry!$H185&lt;0,0,Data_Entry!AB185/Data_Entry!$H185),0)</f>
        <v>0.86821017764099262</v>
      </c>
      <c r="X196" s="49">
        <f>IFERROR(IF(Data_Entry!AC185/Data_Entry!$I185&lt;0,0,Data_Entry!AC185/Data_Entry!$I185),0)</f>
        <v>0.18526142445450799</v>
      </c>
      <c r="Y196" s="49">
        <f>IFERROR(IF(Data_Entry!AD185/Data_Entry!$I185&lt;0,0,Data_Entry!AD185/Data_Entry!$I185),0)</f>
        <v>0.17702758336764099</v>
      </c>
      <c r="Z196" s="49">
        <f>IFERROR(IF(Data_Entry!AE185/Data_Entry!$I185&lt;0,0,Data_Entry!AE185/Data_Entry!$I185),0)</f>
        <v>0.17702758336764099</v>
      </c>
      <c r="AA196" s="49">
        <f>IFERROR(IF(Data_Entry!AF185/Data_Entry!$I185&lt;0,0,Data_Entry!AF185/Data_Entry!$I185),0)</f>
        <v>0.12350761630300533</v>
      </c>
      <c r="AB196" s="49">
        <f>IFERROR(IF(Data_Entry!AG185/Data_Entry!$I185&lt;0,0,Data_Entry!AG185/Data_Entry!$I185),0)</f>
        <v>5.7636887608069155E-2</v>
      </c>
      <c r="AC196" s="49">
        <f>IFERROR(IF(Data_Entry!AI185/Data_Entry!$I185&lt;0,0,Data_Entry!AI185/Data_Entry!$I185),0)</f>
        <v>0.24001646768217369</v>
      </c>
      <c r="AD196" s="49">
        <f>IFERROR(IF(Data_Entry!AM185/Data_Entry!$H185&lt;0,0,Data_Entry!AM185/Data_Entry!$H185),0)</f>
        <v>0.93898818125303007</v>
      </c>
      <c r="AE196" s="50">
        <f>Data_Entry!AK185</f>
        <v>20.930250000000029</v>
      </c>
      <c r="AF196" s="50">
        <f>Data_Entry!AL185</f>
        <v>0</v>
      </c>
      <c r="AG196" s="153">
        <f>(Data_Entry!O185-Data_Entry!Q185)/Data_Entry!O185</f>
        <v>0.17801047120418848</v>
      </c>
      <c r="AH196" s="79" t="str">
        <f t="shared" si="4"/>
        <v>CAT2</v>
      </c>
      <c r="AI196" s="51">
        <f>SUBTOTAL(3,Tableau1[[#This Row],[ZS]])</f>
        <v>0</v>
      </c>
      <c r="AJ196" s="51" t="e">
        <f t="shared" ca="1" si="5"/>
        <v>#NAME?</v>
      </c>
      <c r="AK196" s="50" t="str">
        <f>IFERROR(IF((Data_Entry!O185-Data_Entry!Q185)/Data_Entry!O185&lt;=10%,"&lt;=10%","&gt;10%"),"&lt;=10%")</f>
        <v>&gt;10%</v>
      </c>
    </row>
    <row r="197" spans="1:37" s="48" customFormat="1" ht="13" hidden="1" x14ac:dyDescent="0.3">
      <c r="A197" s="31" t="s">
        <v>16</v>
      </c>
      <c r="B197" s="48" t="str">
        <f>Data_Entry!B186</f>
        <v>Butembo</v>
      </c>
      <c r="C197" s="48" t="str">
        <f>Data_Entry!C186</f>
        <v xml:space="preserve"> Kamango</v>
      </c>
      <c r="D197" s="48" t="str">
        <f>Data_Entry!D186</f>
        <v xml:space="preserve"> Bugando</v>
      </c>
      <c r="E197" s="49">
        <f>IFERROR(IF(Data_Entry!J186/Data_Entry!$I186&lt;0,0,Data_Entry!J186/Data_Entry!$I186),0)</f>
        <v>0.96629692832764502</v>
      </c>
      <c r="F197" s="49">
        <f>IFERROR(IF(Data_Entry!K186/Data_Entry!$H186&lt;0,0,Data_Entry!K186/Data_Entry!$H186),0)</f>
        <v>1.1221725652033601</v>
      </c>
      <c r="G197" s="49">
        <f>IFERROR(IF(Data_Entry!L186/Data_Entry!$H186&lt;0,0,Data_Entry!L186/Data_Entry!$H186),0)</f>
        <v>0.93514380433613342</v>
      </c>
      <c r="H197" s="49">
        <f>IFERROR(IF(Data_Entry!M186/Data_Entry!$H186&lt;0,0,Data_Entry!M186/Data_Entry!$H186),0)</f>
        <v>0.7884545801265439</v>
      </c>
      <c r="I197" s="49">
        <f>IFERROR(IF(Data_Entry!N186/Data_Entry!$H186&lt;0,0,Data_Entry!N186/Data_Entry!$H186),0)</f>
        <v>0.80312350254750287</v>
      </c>
      <c r="J197" s="49">
        <f>IFERROR(IF(Data_Entry!O186/Data_Entry!$H186&lt;0,0,Data_Entry!O186/Data_Entry!$H186),0)</f>
        <v>1.1038364121771613</v>
      </c>
      <c r="K197" s="49">
        <f>IFERROR(IF(Data_Entry!P186/Data_Entry!$H186&lt;0,0,Data_Entry!P186/Data_Entry!$H186),0)</f>
        <v>0.98648503280948974</v>
      </c>
      <c r="L197" s="49">
        <f>IFERROR(IF(Data_Entry!Q186/Data_Entry!$H186&lt;0,0,Data_Entry!Q186/Data_Entry!$H186),0)</f>
        <v>0.99015226341472951</v>
      </c>
      <c r="M197" s="49">
        <f>IFERROR(IF(Data_Entry!R186/Data_Entry!$H186&lt;0,0,Data_Entry!R186/Data_Entry!$H186),0)</f>
        <v>1.1038364121771613</v>
      </c>
      <c r="N197" s="49">
        <f>IFERROR(IF(Data_Entry!S186/Data_Entry!$H186&lt;0,0,Data_Entry!S186/Data_Entry!$H186),0)</f>
        <v>0.98648503280948974</v>
      </c>
      <c r="O197" s="49">
        <f>IFERROR(IF(Data_Entry!T186/Data_Entry!$H186&lt;0,0,Data_Entry!T186/Data_Entry!$H186),0)</f>
        <v>0.99015226341472951</v>
      </c>
      <c r="P197" s="49">
        <f>IFERROR(IF(Data_Entry!U186/Data_Entry!$H186&lt;0,0,Data_Entry!U186/Data_Entry!$H186),0)</f>
        <v>1.1038364121771613</v>
      </c>
      <c r="Q197" s="49">
        <f>IFERROR(IF(Data_Entry!V186/Data_Entry!$H186&lt;0,0,Data_Entry!V186/Data_Entry!$H186),0)</f>
        <v>0.98648503280948974</v>
      </c>
      <c r="R197" s="49">
        <f>IFERROR(IF(Data_Entry!W186/Data_Entry!$H186&lt;0,0,Data_Entry!W186/Data_Entry!$H186),0)</f>
        <v>0.86546642283657838</v>
      </c>
      <c r="S197" s="49">
        <f>IFERROR(IF(Data_Entry!X186/Data_Entry!$H186&lt;0,0,Data_Entry!X186/Data_Entry!$H186),0)</f>
        <v>1.4815611645168545</v>
      </c>
      <c r="T197" s="49">
        <f>IFERROR(IF(Data_Entry!Y186/Data_Entry!$H186&lt;0,0,Data_Entry!Y186/Data_Entry!$H186),0)</f>
        <v>0.30804737084013806</v>
      </c>
      <c r="U197" s="49">
        <f>IFERROR(IF(Data_Entry!Z186/Data_Entry!$H186&lt;0,0,Data_Entry!Z186/Data_Entry!$H186),0)</f>
        <v>1.4815611645168545</v>
      </c>
      <c r="V197" s="49">
        <f>IFERROR(IF(Data_Entry!AA186/Data_Entry!$H186&lt;0,0,Data_Entry!AA186/Data_Entry!$H186),0)</f>
        <v>1.0158228776514078</v>
      </c>
      <c r="W197" s="49">
        <f>IFERROR(IF(Data_Entry!AB186/Data_Entry!$H186&lt;0,0,Data_Entry!AB186/Data_Entry!$H186),0)</f>
        <v>0.49140890110212504</v>
      </c>
      <c r="X197" s="49">
        <f>IFERROR(IF(Data_Entry!AC186/Data_Entry!$I186&lt;0,0,Data_Entry!AC186/Data_Entry!$I186),0)</f>
        <v>0.68792662116040948</v>
      </c>
      <c r="Y197" s="49">
        <f>IFERROR(IF(Data_Entry!AD186/Data_Entry!$I186&lt;0,0,Data_Entry!AD186/Data_Entry!$I186),0)</f>
        <v>0.33596416382252559</v>
      </c>
      <c r="Z197" s="49">
        <f>IFERROR(IF(Data_Entry!AE186/Data_Entry!$I186&lt;0,0,Data_Entry!AE186/Data_Entry!$I186),0)</f>
        <v>0.20477815699658702</v>
      </c>
      <c r="AA197" s="49">
        <f>IFERROR(IF(Data_Entry!AF186/Data_Entry!$I186&lt;0,0,Data_Entry!AF186/Data_Entry!$I186),0)</f>
        <v>0.10558873720136518</v>
      </c>
      <c r="AB197" s="49">
        <f>IFERROR(IF(Data_Entry!AG186/Data_Entry!$I186&lt;0,0,Data_Entry!AG186/Data_Entry!$I186),0)</f>
        <v>0.14718430034129693</v>
      </c>
      <c r="AC197" s="49">
        <f>IFERROR(IF(Data_Entry!AI186/Data_Entry!$I186&lt;0,0,Data_Entry!AI186/Data_Entry!$I186),0)</f>
        <v>0.15998293515358361</v>
      </c>
      <c r="AD197" s="49">
        <f>IFERROR(IF(Data_Entry!AM186/Data_Entry!$H186&lt;0,0,Data_Entry!AM186/Data_Entry!$H186),0)</f>
        <v>1.4815611645168545</v>
      </c>
      <c r="AE197" s="50">
        <f>Data_Entry!AK186</f>
        <v>0</v>
      </c>
      <c r="AF197" s="50">
        <f>Data_Entry!AL186</f>
        <v>0</v>
      </c>
      <c r="AG197" s="153">
        <f>(Data_Entry!O186-Data_Entry!Q186)/Data_Entry!O186</f>
        <v>0.10299003322259136</v>
      </c>
      <c r="AH197" s="79" t="str">
        <f t="shared" si="4"/>
        <v>CAT2</v>
      </c>
      <c r="AI197" s="51">
        <f>SUBTOTAL(3,Tableau1[[#This Row],[ZS]])</f>
        <v>0</v>
      </c>
      <c r="AJ197" s="51" t="e">
        <f t="shared" ca="1" si="5"/>
        <v>#NAME?</v>
      </c>
      <c r="AK197" s="50" t="str">
        <f>IFERROR(IF((Data_Entry!O186-Data_Entry!Q186)/Data_Entry!O186&lt;=10%,"&lt;=10%","&gt;10%"),"&lt;=10%")</f>
        <v>&gt;10%</v>
      </c>
    </row>
    <row r="198" spans="1:37" s="48" customFormat="1" ht="13" hidden="1" x14ac:dyDescent="0.3">
      <c r="A198" s="31" t="s">
        <v>16</v>
      </c>
      <c r="B198" s="48" t="str">
        <f>Data_Entry!B187</f>
        <v>Butembo</v>
      </c>
      <c r="C198" s="48" t="str">
        <f>Data_Entry!C187</f>
        <v xml:space="preserve"> Kamango</v>
      </c>
      <c r="D198" s="48" t="str">
        <f>Data_Entry!D187</f>
        <v xml:space="preserve"> Bukohwa</v>
      </c>
      <c r="E198" s="49">
        <f>IFERROR(IF(Data_Entry!J187/Data_Entry!$I187&lt;0,0,Data_Entry!J187/Data_Entry!$I187),0)</f>
        <v>0.80616090447320987</v>
      </c>
      <c r="F198" s="49">
        <f>IFERROR(IF(Data_Entry!K187/Data_Entry!$H187&lt;0,0,Data_Entry!K187/Data_Entry!$H187),0)</f>
        <v>0.92396665269135803</v>
      </c>
      <c r="G198" s="49">
        <f>IFERROR(IF(Data_Entry!L187/Data_Entry!$H187&lt;0,0,Data_Entry!L187/Data_Entry!$H187),0)</f>
        <v>0.98030608273351394</v>
      </c>
      <c r="H198" s="49">
        <f>IFERROR(IF(Data_Entry!M187/Data_Entry!$H187&lt;0,0,Data_Entry!M187/Data_Entry!$H187),0)</f>
        <v>0.81128779260704609</v>
      </c>
      <c r="I198" s="49">
        <f>IFERROR(IF(Data_Entry!N187/Data_Entry!$H187&lt;0,0,Data_Entry!N187/Data_Entry!$H187),0)</f>
        <v>0.867627222649202</v>
      </c>
      <c r="J198" s="49">
        <f>IFERROR(IF(Data_Entry!O187/Data_Entry!$H187&lt;0,0,Data_Entry!O187/Data_Entry!$H187),0)</f>
        <v>0.98030608273351394</v>
      </c>
      <c r="K198" s="49">
        <f>IFERROR(IF(Data_Entry!P187/Data_Entry!$H187&lt;0,0,Data_Entry!P187/Data_Entry!$H187),0)</f>
        <v>0.81128779260704609</v>
      </c>
      <c r="L198" s="49">
        <f>IFERROR(IF(Data_Entry!Q187/Data_Entry!$H187&lt;0,0,Data_Entry!Q187/Data_Entry!$H187),0)</f>
        <v>0.867627222649202</v>
      </c>
      <c r="M198" s="49">
        <f>IFERROR(IF(Data_Entry!R187/Data_Entry!$H187&lt;0,0,Data_Entry!R187/Data_Entry!$H187),0)</f>
        <v>0.98030608273351394</v>
      </c>
      <c r="N198" s="49">
        <f>IFERROR(IF(Data_Entry!S187/Data_Entry!$H187&lt;0,0,Data_Entry!S187/Data_Entry!$H187),0)</f>
        <v>0.81128779260704609</v>
      </c>
      <c r="O198" s="49">
        <f>IFERROR(IF(Data_Entry!T187/Data_Entry!$H187&lt;0,0,Data_Entry!T187/Data_Entry!$H187),0)</f>
        <v>0.867627222649202</v>
      </c>
      <c r="P198" s="49">
        <f>IFERROR(IF(Data_Entry!U187/Data_Entry!$H187&lt;0,0,Data_Entry!U187/Data_Entry!$H187),0)</f>
        <v>0.98030608273351394</v>
      </c>
      <c r="Q198" s="49">
        <f>IFERROR(IF(Data_Entry!V187/Data_Entry!$H187&lt;0,0,Data_Entry!V187/Data_Entry!$H187),0)</f>
        <v>0.81128779260704609</v>
      </c>
      <c r="R198" s="49">
        <f>IFERROR(IF(Data_Entry!W187/Data_Entry!$H187&lt;0,0,Data_Entry!W187/Data_Entry!$H187),0)</f>
        <v>0.867627222649202</v>
      </c>
      <c r="S198" s="49">
        <f>IFERROR(IF(Data_Entry!X187/Data_Entry!$H187&lt;0,0,Data_Entry!X187/Data_Entry!$H187),0)</f>
        <v>0.94650242470822044</v>
      </c>
      <c r="T198" s="49">
        <f>IFERROR(IF(Data_Entry!Y187/Data_Entry!$H187&lt;0,0,Data_Entry!Y187/Data_Entry!$H187),0)</f>
        <v>0.78311807758596808</v>
      </c>
      <c r="U198" s="49">
        <f>IFERROR(IF(Data_Entry!Z187/Data_Entry!$H187&lt;0,0,Data_Entry!Z187/Data_Entry!$H187),0)</f>
        <v>1.0817170568093948</v>
      </c>
      <c r="V198" s="49">
        <f>IFERROR(IF(Data_Entry!AA187/Data_Entry!$H187&lt;0,0,Data_Entry!AA187/Data_Entry!$H187),0)</f>
        <v>0.867627222649202</v>
      </c>
      <c r="W198" s="49">
        <f>IFERROR(IF(Data_Entry!AB187/Data_Entry!$H187&lt;0,0,Data_Entry!AB187/Data_Entry!$H187),0)</f>
        <v>0.47888515535832576</v>
      </c>
      <c r="X198" s="49">
        <f>IFERROR(IF(Data_Entry!AC187/Data_Entry!$I187&lt;0,0,Data_Entry!AC187/Data_Entry!$I187),0)</f>
        <v>0.27035883991479598</v>
      </c>
      <c r="Y198" s="49">
        <f>IFERROR(IF(Data_Entry!AD187/Data_Entry!$I187&lt;0,0,Data_Entry!AD187/Data_Entry!$I187),0)</f>
        <v>0.12289038177945273</v>
      </c>
      <c r="Z198" s="49">
        <f>IFERROR(IF(Data_Entry!AE187/Data_Entry!$I187&lt;0,0,Data_Entry!AE187/Data_Entry!$I187),0)</f>
        <v>7.864984433884975E-2</v>
      </c>
      <c r="AA198" s="49">
        <f>IFERROR(IF(Data_Entry!AF187/Data_Entry!$I187&lt;0,0,Data_Entry!AF187/Data_Entry!$I187),0)</f>
        <v>0</v>
      </c>
      <c r="AB198" s="49">
        <f>IFERROR(IF(Data_Entry!AG187/Data_Entry!$I187&lt;0,0,Data_Entry!AG187/Data_Entry!$I187),0)</f>
        <v>0</v>
      </c>
      <c r="AC198" s="49">
        <f>IFERROR(IF(Data_Entry!AI187/Data_Entry!$I187&lt;0,0,Data_Entry!AI187/Data_Entry!$I187),0)</f>
        <v>0.24578076355890546</v>
      </c>
      <c r="AD198" s="49">
        <f>IFERROR(IF(Data_Entry!AM187/Data_Entry!$H187&lt;0,0,Data_Entry!AM187/Data_Entry!$H187),0)</f>
        <v>0.94650242470822044</v>
      </c>
      <c r="AE198" s="50">
        <f>Data_Entry!AK187</f>
        <v>3.495583333333343</v>
      </c>
      <c r="AF198" s="50">
        <f>Data_Entry!AL187</f>
        <v>6</v>
      </c>
      <c r="AG198" s="153">
        <f>(Data_Entry!O187-Data_Entry!Q187)/Data_Entry!O187</f>
        <v>0.11494252873563218</v>
      </c>
      <c r="AH198" s="79" t="str">
        <f t="shared" si="4"/>
        <v>CAT2</v>
      </c>
      <c r="AI198" s="51">
        <f>SUBTOTAL(3,Tableau1[[#This Row],[ZS]])</f>
        <v>0</v>
      </c>
      <c r="AJ198" s="51" t="e">
        <f t="shared" ca="1" si="5"/>
        <v>#NAME?</v>
      </c>
      <c r="AK198" s="50" t="str">
        <f>IFERROR(IF((Data_Entry!O187-Data_Entry!Q187)/Data_Entry!O187&lt;=10%,"&lt;=10%","&gt;10%"),"&lt;=10%")</f>
        <v>&gt;10%</v>
      </c>
    </row>
    <row r="199" spans="1:37" s="48" customFormat="1" ht="13" hidden="1" x14ac:dyDescent="0.3">
      <c r="A199" s="31" t="s">
        <v>16</v>
      </c>
      <c r="B199" s="48" t="str">
        <f>Data_Entry!B188</f>
        <v>Butembo</v>
      </c>
      <c r="C199" s="48" t="str">
        <f>Data_Entry!C188</f>
        <v xml:space="preserve"> Kamango</v>
      </c>
      <c r="D199" s="48" t="str">
        <f>Data_Entry!D188</f>
        <v xml:space="preserve"> Kahondo</v>
      </c>
      <c r="E199" s="49">
        <f>IFERROR(IF(Data_Entry!J188/Data_Entry!$I188&lt;0,0,Data_Entry!J188/Data_Entry!$I188),0)</f>
        <v>1.1854752580989678</v>
      </c>
      <c r="F199" s="49">
        <f>IFERROR(IF(Data_Entry!K188/Data_Entry!$H188&lt;0,0,Data_Entry!K188/Data_Entry!$H188),0)</f>
        <v>1.0445345038104088</v>
      </c>
      <c r="G199" s="49">
        <f>IFERROR(IF(Data_Entry!L188/Data_Entry!$H188&lt;0,0,Data_Entry!L188/Data_Entry!$H188),0)</f>
        <v>1.415833878211765</v>
      </c>
      <c r="H199" s="49">
        <f>IFERROR(IF(Data_Entry!M188/Data_Entry!$H188&lt;0,0,Data_Entry!M188/Data_Entry!$H188),0)</f>
        <v>1.2363045103693509</v>
      </c>
      <c r="I199" s="49">
        <f>IFERROR(IF(Data_Entry!N188/Data_Entry!$H188&lt;0,0,Data_Entry!N188/Data_Entry!$H188),0)</f>
        <v>1.1261387619205969</v>
      </c>
      <c r="J199" s="49">
        <f>IFERROR(IF(Data_Entry!O188/Data_Entry!$H188&lt;0,0,Data_Entry!O188/Data_Entry!$H188),0)</f>
        <v>1.415833878211765</v>
      </c>
      <c r="K199" s="49">
        <f>IFERROR(IF(Data_Entry!P188/Data_Entry!$H188&lt;0,0,Data_Entry!P188/Data_Entry!$H188),0)</f>
        <v>1.2363045103693509</v>
      </c>
      <c r="L199" s="49">
        <f>IFERROR(IF(Data_Entry!Q188/Data_Entry!$H188&lt;0,0,Data_Entry!Q188/Data_Entry!$H188),0)</f>
        <v>1.1261387619205969</v>
      </c>
      <c r="M199" s="49">
        <f>IFERROR(IF(Data_Entry!R188/Data_Entry!$H188&lt;0,0,Data_Entry!R188/Data_Entry!$H188),0)</f>
        <v>1.2730264265189355</v>
      </c>
      <c r="N199" s="49">
        <f>IFERROR(IF(Data_Entry!S188/Data_Entry!$H188&lt;0,0,Data_Entry!S188/Data_Entry!$H188),0)</f>
        <v>1.1261387619205969</v>
      </c>
      <c r="O199" s="49">
        <f>IFERROR(IF(Data_Entry!T188/Data_Entry!$H188&lt;0,0,Data_Entry!T188/Data_Entry!$H188),0)</f>
        <v>1.0118928005663335</v>
      </c>
      <c r="P199" s="49">
        <f>IFERROR(IF(Data_Entry!U188/Data_Entry!$H188&lt;0,0,Data_Entry!U188/Data_Entry!$H188),0)</f>
        <v>1.415833878211765</v>
      </c>
      <c r="Q199" s="49">
        <f>IFERROR(IF(Data_Entry!V188/Data_Entry!$H188&lt;0,0,Data_Entry!V188/Data_Entry!$H188),0)</f>
        <v>1.2363045103693509</v>
      </c>
      <c r="R199" s="49">
        <f>IFERROR(IF(Data_Entry!W188/Data_Entry!$H188&lt;0,0,Data_Entry!W188/Data_Entry!$H188),0)</f>
        <v>1.1261387619205969</v>
      </c>
      <c r="S199" s="49">
        <f>IFERROR(IF(Data_Entry!X188/Data_Entry!$H188&lt;0,0,Data_Entry!X188/Data_Entry!$H188),0)</f>
        <v>1.4770370717944061</v>
      </c>
      <c r="T199" s="49">
        <f>IFERROR(IF(Data_Entry!Y188/Data_Entry!$H188&lt;0,0,Data_Entry!Y188/Data_Entry!$H188),0)</f>
        <v>4.4882341960603499E-2</v>
      </c>
      <c r="U199" s="49">
        <f>IFERROR(IF(Data_Entry!Z188/Data_Entry!$H188&lt;0,0,Data_Entry!Z188/Data_Entry!$H188),0)</f>
        <v>1.4770370717944061</v>
      </c>
      <c r="V199" s="49">
        <f>IFERROR(IF(Data_Entry!AA188/Data_Entry!$H188&lt;0,0,Data_Entry!AA188/Data_Entry!$H188),0)</f>
        <v>0.96293024570022057</v>
      </c>
      <c r="W199" s="49">
        <f>IFERROR(IF(Data_Entry!AB188/Data_Entry!$H188&lt;0,0,Data_Entry!AB188/Data_Entry!$H188),0)</f>
        <v>0.34273788406279038</v>
      </c>
      <c r="X199" s="49">
        <f>IFERROR(IF(Data_Entry!AC188/Data_Entry!$I188&lt;0,0,Data_Entry!AC188/Data_Entry!$I188),0)</f>
        <v>0.45211819152723393</v>
      </c>
      <c r="Y199" s="49">
        <f>IFERROR(IF(Data_Entry!AD188/Data_Entry!$I188&lt;0,0,Data_Entry!AD188/Data_Entry!$I188),0)</f>
        <v>0.37379850480598081</v>
      </c>
      <c r="Z199" s="49">
        <f>IFERROR(IF(Data_Entry!AE188/Data_Entry!$I188&lt;0,0,Data_Entry!AE188/Data_Entry!$I188),0)</f>
        <v>0.3203987184051264</v>
      </c>
      <c r="AA199" s="49">
        <f>IFERROR(IF(Data_Entry!AF188/Data_Entry!$I188&lt;0,0,Data_Entry!AF188/Data_Entry!$I188),0)</f>
        <v>0.19223923104307583</v>
      </c>
      <c r="AB199" s="49">
        <f>IFERROR(IF(Data_Entry!AG188/Data_Entry!$I188&lt;0,0,Data_Entry!AG188/Data_Entry!$I188),0)</f>
        <v>0.19935920256318976</v>
      </c>
      <c r="AC199" s="49">
        <f>IFERROR(IF(Data_Entry!AI188/Data_Entry!$I188&lt;0,0,Data_Entry!AI188/Data_Entry!$I188),0)</f>
        <v>0.20754716981132076</v>
      </c>
      <c r="AD199" s="49">
        <f>IFERROR(IF(Data_Entry!AM188/Data_Entry!$H188&lt;0,0,Data_Entry!AM188/Data_Entry!$H188),0)</f>
        <v>1.4770370717944061</v>
      </c>
      <c r="AE199" s="50">
        <f>Data_Entry!AK188</f>
        <v>0</v>
      </c>
      <c r="AF199" s="50">
        <f>Data_Entry!AL188</f>
        <v>0</v>
      </c>
      <c r="AG199" s="153">
        <f>(Data_Entry!O188-Data_Entry!Q188)/Data_Entry!O188</f>
        <v>0.20461095100864554</v>
      </c>
      <c r="AH199" s="79" t="str">
        <f t="shared" si="4"/>
        <v>CAT2</v>
      </c>
      <c r="AI199" s="51">
        <f>SUBTOTAL(3,Tableau1[[#This Row],[ZS]])</f>
        <v>0</v>
      </c>
      <c r="AJ199" s="51" t="e">
        <f t="shared" ca="1" si="5"/>
        <v>#NAME?</v>
      </c>
      <c r="AK199" s="50" t="str">
        <f>IFERROR(IF((Data_Entry!O188-Data_Entry!Q188)/Data_Entry!O188&lt;=10%,"&lt;=10%","&gt;10%"),"&lt;=10%")</f>
        <v>&gt;10%</v>
      </c>
    </row>
    <row r="200" spans="1:37" s="48" customFormat="1" ht="13" hidden="1" x14ac:dyDescent="0.3">
      <c r="A200" s="31" t="s">
        <v>16</v>
      </c>
      <c r="B200" s="48" t="str">
        <f>Data_Entry!B189</f>
        <v>Butembo</v>
      </c>
      <c r="C200" s="48" t="str">
        <f>Data_Entry!C189</f>
        <v xml:space="preserve"> Kamango</v>
      </c>
      <c r="D200" s="48" t="str">
        <f>Data_Entry!D189</f>
        <v xml:space="preserve"> Kamango</v>
      </c>
      <c r="E200" s="49">
        <f>IFERROR(IF(Data_Entry!J189/Data_Entry!$I189&lt;0,0,Data_Entry!J189/Data_Entry!$I189),0)</f>
        <v>0.66642651296829969</v>
      </c>
      <c r="F200" s="49">
        <f>IFERROR(IF(Data_Entry!K189/Data_Entry!$H189&lt;0,0,Data_Entry!K189/Data_Entry!$H189),0)</f>
        <v>0.97231282462036439</v>
      </c>
      <c r="G200" s="49">
        <f>IFERROR(IF(Data_Entry!L189/Data_Entry!$H189&lt;0,0,Data_Entry!L189/Data_Entry!$H189),0)</f>
        <v>1.2819665904230282</v>
      </c>
      <c r="H200" s="49">
        <f>IFERROR(IF(Data_Entry!M189/Data_Entry!$H189&lt;0,0,Data_Entry!M189/Data_Entry!$H189),0)</f>
        <v>1.1353971412764341</v>
      </c>
      <c r="I200" s="49">
        <f>IFERROR(IF(Data_Entry!N189/Data_Entry!$H189&lt;0,0,Data_Entry!N189/Data_Entry!$H189),0)</f>
        <v>1.2695804397909216</v>
      </c>
      <c r="J200" s="49">
        <f>IFERROR(IF(Data_Entry!O189/Data_Entry!$H189&lt;0,0,Data_Entry!O189/Data_Entry!$H189),0)</f>
        <v>1.2819665904230282</v>
      </c>
      <c r="K200" s="49">
        <f>IFERROR(IF(Data_Entry!P189/Data_Entry!$H189&lt;0,0,Data_Entry!P189/Data_Entry!$H189),0)</f>
        <v>1.1353971412764341</v>
      </c>
      <c r="L200" s="49">
        <f>IFERROR(IF(Data_Entry!Q189/Data_Entry!$H189&lt;0,0,Data_Entry!Q189/Data_Entry!$H189),0)</f>
        <v>1.2695804397909216</v>
      </c>
      <c r="M200" s="49">
        <f>IFERROR(IF(Data_Entry!R189/Data_Entry!$H189&lt;0,0,Data_Entry!R189/Data_Entry!$H189),0)</f>
        <v>1.2799022319843438</v>
      </c>
      <c r="N200" s="49">
        <f>IFERROR(IF(Data_Entry!S189/Data_Entry!$H189&lt;0,0,Data_Entry!S189/Data_Entry!$H189),0)</f>
        <v>1.1457189334698561</v>
      </c>
      <c r="O200" s="49">
        <f>IFERROR(IF(Data_Entry!T189/Data_Entry!$H189&lt;0,0,Data_Entry!T189/Data_Entry!$H189),0)</f>
        <v>1.2695804397909216</v>
      </c>
      <c r="P200" s="49">
        <f>IFERROR(IF(Data_Entry!U189/Data_Entry!$H189&lt;0,0,Data_Entry!U189/Data_Entry!$H189),0)</f>
        <v>1.2819665904230282</v>
      </c>
      <c r="Q200" s="49">
        <f>IFERROR(IF(Data_Entry!V189/Data_Entry!$H189&lt;0,0,Data_Entry!V189/Data_Entry!$H189),0)</f>
        <v>1.1457189334698561</v>
      </c>
      <c r="R200" s="49">
        <f>IFERROR(IF(Data_Entry!W189/Data_Entry!$H189&lt;0,0,Data_Entry!W189/Data_Entry!$H189),0)</f>
        <v>1.2695804397909216</v>
      </c>
      <c r="S200" s="49">
        <f>IFERROR(IF(Data_Entry!X189/Data_Entry!$H189&lt;0,0,Data_Entry!X189/Data_Entry!$H189),0)</f>
        <v>1.2055853281917044</v>
      </c>
      <c r="T200" s="49">
        <f>IFERROR(IF(Data_Entry!Y189/Data_Entry!$H189&lt;0,0,Data_Entry!Y189/Data_Entry!$H189),0)</f>
        <v>0.28694582297713517</v>
      </c>
      <c r="U200" s="49">
        <f>IFERROR(IF(Data_Entry!Z189/Data_Entry!$H189&lt;0,0,Data_Entry!Z189/Data_Entry!$H189),0)</f>
        <v>0.95373359867220453</v>
      </c>
      <c r="V200" s="49">
        <f>IFERROR(IF(Data_Entry!AA189/Data_Entry!$H189&lt;0,0,Data_Entry!AA189/Data_Entry!$H189),0)</f>
        <v>1.2695804397909216</v>
      </c>
      <c r="W200" s="49">
        <f>IFERROR(IF(Data_Entry!AB189/Data_Entry!$H189&lt;0,0,Data_Entry!AB189/Data_Entry!$H189),0)</f>
        <v>0.99502076744589307</v>
      </c>
      <c r="X200" s="49">
        <f>IFERROR(IF(Data_Entry!AC189/Data_Entry!$I189&lt;0,0,Data_Entry!AC189/Data_Entry!$I189),0)</f>
        <v>0.3890489913544668</v>
      </c>
      <c r="Y200" s="49">
        <f>IFERROR(IF(Data_Entry!AD189/Data_Entry!$I189&lt;0,0,Data_Entry!AD189/Data_Entry!$I189),0)</f>
        <v>0.22334293948126799</v>
      </c>
      <c r="Z200" s="49">
        <f>IFERROR(IF(Data_Entry!AE189/Data_Entry!$I189&lt;0,0,Data_Entry!AE189/Data_Entry!$I189),0)</f>
        <v>0.23414985590778095</v>
      </c>
      <c r="AA200" s="49">
        <f>IFERROR(IF(Data_Entry!AF189/Data_Entry!$I189&lt;0,0,Data_Entry!AF189/Data_Entry!$I189),0)</f>
        <v>0.14409221902017291</v>
      </c>
      <c r="AB200" s="49">
        <f>IFERROR(IF(Data_Entry!AG189/Data_Entry!$I189&lt;0,0,Data_Entry!AG189/Data_Entry!$I189),0)</f>
        <v>0.18191642651296827</v>
      </c>
      <c r="AC200" s="49">
        <f>IFERROR(IF(Data_Entry!AI189/Data_Entry!$I189&lt;0,0,Data_Entry!AI189/Data_Entry!$I189),0)</f>
        <v>8.501440922190201E-2</v>
      </c>
      <c r="AD200" s="49">
        <f>IFERROR(IF(Data_Entry!AM189/Data_Entry!$H189&lt;0,0,Data_Entry!AM189/Data_Entry!$H189),0)</f>
        <v>0.95373359867220453</v>
      </c>
      <c r="AE200" s="50">
        <f>Data_Entry!AK189</f>
        <v>0</v>
      </c>
      <c r="AF200" s="50">
        <f>Data_Entry!AL189</f>
        <v>37</v>
      </c>
      <c r="AG200" s="153">
        <f>(Data_Entry!O189-Data_Entry!Q189)/Data_Entry!O189</f>
        <v>9.6618357487922701E-3</v>
      </c>
      <c r="AH200" s="79" t="str">
        <f t="shared" si="4"/>
        <v>CAT1</v>
      </c>
      <c r="AI200" s="51">
        <f>SUBTOTAL(3,Tableau1[[#This Row],[ZS]])</f>
        <v>0</v>
      </c>
      <c r="AJ200" s="51" t="e">
        <f t="shared" ca="1" si="5"/>
        <v>#NAME?</v>
      </c>
      <c r="AK200" s="50" t="str">
        <f>IFERROR(IF((Data_Entry!O189-Data_Entry!Q189)/Data_Entry!O189&lt;=10%,"&lt;=10%","&gt;10%"),"&lt;=10%")</f>
        <v>&lt;=10%</v>
      </c>
    </row>
    <row r="201" spans="1:37" s="48" customFormat="1" ht="13" hidden="1" x14ac:dyDescent="0.3">
      <c r="A201" s="31" t="s">
        <v>16</v>
      </c>
      <c r="B201" s="48" t="str">
        <f>Data_Entry!B190</f>
        <v>Butembo</v>
      </c>
      <c r="C201" s="48" t="str">
        <f>Data_Entry!C190</f>
        <v xml:space="preserve"> Kamango</v>
      </c>
      <c r="D201" s="48" t="str">
        <f>Data_Entry!D190</f>
        <v xml:space="preserve"> Kamanzara</v>
      </c>
      <c r="E201" s="49">
        <f>IFERROR(IF(Data_Entry!J190/Data_Entry!$I190&lt;0,0,Data_Entry!J190/Data_Entry!$I190),0)</f>
        <v>0.93058274356271642</v>
      </c>
      <c r="F201" s="49">
        <f>IFERROR(IF(Data_Entry!K190/Data_Entry!$H190&lt;0,0,Data_Entry!K190/Data_Entry!$H190),0)</f>
        <v>1.263316490551661</v>
      </c>
      <c r="G201" s="49">
        <f>IFERROR(IF(Data_Entry!L190/Data_Entry!$H190&lt;0,0,Data_Entry!L190/Data_Entry!$H190),0)</f>
        <v>1.2684940171522825</v>
      </c>
      <c r="H201" s="49">
        <f>IFERROR(IF(Data_Entry!M190/Data_Entry!$H190&lt;0,0,Data_Entry!M190/Data_Entry!$H190),0)</f>
        <v>1.1287007989355005</v>
      </c>
      <c r="I201" s="49">
        <f>IFERROR(IF(Data_Entry!N190/Data_Entry!$H190&lt;0,0,Data_Entry!N190/Data_Entry!$H190),0)</f>
        <v>1.2218962777466884</v>
      </c>
      <c r="J201" s="49">
        <f>IFERROR(IF(Data_Entry!O190/Data_Entry!$H190&lt;0,0,Data_Entry!O190/Data_Entry!$H190),0)</f>
        <v>1.2684940171522825</v>
      </c>
      <c r="K201" s="49">
        <f>IFERROR(IF(Data_Entry!P190/Data_Entry!$H190&lt;0,0,Data_Entry!P190/Data_Entry!$H190),0)</f>
        <v>1.1649434851398512</v>
      </c>
      <c r="L201" s="49">
        <f>IFERROR(IF(Data_Entry!Q190/Data_Entry!$H190&lt;0,0,Data_Entry!Q190/Data_Entry!$H190),0)</f>
        <v>1.2892041235547689</v>
      </c>
      <c r="M201" s="49">
        <f>IFERROR(IF(Data_Entry!R190/Data_Entry!$H190&lt;0,0,Data_Entry!R190/Data_Entry!$H190),0)</f>
        <v>0.93713231471250258</v>
      </c>
      <c r="N201" s="49">
        <f>IFERROR(IF(Data_Entry!S190/Data_Entry!$H190&lt;0,0,Data_Entry!S190/Data_Entry!$H190),0)</f>
        <v>0.84393683590131452</v>
      </c>
      <c r="O201" s="49">
        <f>IFERROR(IF(Data_Entry!T190/Data_Entry!$H190&lt;0,0,Data_Entry!T190/Data_Entry!$H190),0)</f>
        <v>0.91642220831001642</v>
      </c>
      <c r="P201" s="49">
        <f>IFERROR(IF(Data_Entry!U190/Data_Entry!$H190&lt;0,0,Data_Entry!U190/Data_Entry!$H190),0)</f>
        <v>1.1804760649417161</v>
      </c>
      <c r="Q201" s="49">
        <f>IFERROR(IF(Data_Entry!V190/Data_Entry!$H190&lt;0,0,Data_Entry!V190/Data_Entry!$H190),0)</f>
        <v>0.9889075807187182</v>
      </c>
      <c r="R201" s="49">
        <f>IFERROR(IF(Data_Entry!W190/Data_Entry!$H190&lt;0,0,Data_Entry!W190/Data_Entry!$H190),0)</f>
        <v>1.0769255329292848</v>
      </c>
      <c r="S201" s="49">
        <f>IFERROR(IF(Data_Entry!X190/Data_Entry!$H190&lt;0,0,Data_Entry!X190/Data_Entry!$H190),0)</f>
        <v>1.2011861713442022</v>
      </c>
      <c r="T201" s="49">
        <f>IFERROR(IF(Data_Entry!Y190/Data_Entry!$H190&lt;0,0,Data_Entry!Y190/Data_Entry!$H190),0)</f>
        <v>0.81287167629758517</v>
      </c>
      <c r="U201" s="49">
        <f>IFERROR(IF(Data_Entry!Z190/Data_Entry!$H190&lt;0,0,Data_Entry!Z190/Data_Entry!$H190),0)</f>
        <v>1.2011861713442022</v>
      </c>
      <c r="V201" s="49">
        <f>IFERROR(IF(Data_Entry!AA190/Data_Entry!$H190&lt;0,0,Data_Entry!AA190/Data_Entry!$H190),0)</f>
        <v>1.0924581127311495</v>
      </c>
      <c r="W201" s="49">
        <f>IFERROR(IF(Data_Entry!AB190/Data_Entry!$H190&lt;0,0,Data_Entry!AB190/Data_Entry!$H190),0)</f>
        <v>0.5125751334615346</v>
      </c>
      <c r="X201" s="49">
        <f>IFERROR(IF(Data_Entry!AC190/Data_Entry!$I190&lt;0,0,Data_Entry!AC190/Data_Entry!$I190),0)</f>
        <v>0.59177834663454298</v>
      </c>
      <c r="Y201" s="49">
        <f>IFERROR(IF(Data_Entry!AD190/Data_Entry!$I190&lt;0,0,Data_Entry!AD190/Data_Entry!$I190),0)</f>
        <v>0.44722180394518896</v>
      </c>
      <c r="Z201" s="49">
        <f>IFERROR(IF(Data_Entry!AE190/Data_Entry!$I190&lt;0,0,Data_Entry!AE190/Data_Entry!$I190),0)</f>
        <v>0.34332178888721576</v>
      </c>
      <c r="AA201" s="49">
        <f>IFERROR(IF(Data_Entry!AF190/Data_Entry!$I190&lt;0,0,Data_Entry!AF190/Data_Entry!$I190),0)</f>
        <v>0.23942177382924257</v>
      </c>
      <c r="AB201" s="49">
        <f>IFERROR(IF(Data_Entry!AG190/Data_Entry!$I190&lt;0,0,Data_Entry!AG190/Data_Entry!$I190),0)</f>
        <v>0.10390001505797319</v>
      </c>
      <c r="AC201" s="49">
        <f>IFERROR(IF(Data_Entry!AI190/Data_Entry!$I190&lt;0,0,Data_Entry!AI190/Data_Entry!$I190),0)</f>
        <v>0.22586959795211564</v>
      </c>
      <c r="AD201" s="49">
        <f>IFERROR(IF(Data_Entry!AM190/Data_Entry!$H190&lt;0,0,Data_Entry!AM190/Data_Entry!$H190),0)</f>
        <v>1.2011861713442022</v>
      </c>
      <c r="AE201" s="50">
        <f>Data_Entry!AK190</f>
        <v>0</v>
      </c>
      <c r="AF201" s="50">
        <f>Data_Entry!AL190</f>
        <v>13</v>
      </c>
      <c r="AG201" s="153">
        <f>(Data_Entry!O190-Data_Entry!Q190)/Data_Entry!O190</f>
        <v>-1.6326530612244899E-2</v>
      </c>
      <c r="AH201" s="79" t="str">
        <f t="shared" si="4"/>
        <v>CAT1</v>
      </c>
      <c r="AI201" s="51">
        <f>SUBTOTAL(3,Tableau1[[#This Row],[ZS]])</f>
        <v>0</v>
      </c>
      <c r="AJ201" s="51" t="e">
        <f t="shared" ca="1" si="5"/>
        <v>#NAME?</v>
      </c>
      <c r="AK201" s="50" t="str">
        <f>IFERROR(IF((Data_Entry!O190-Data_Entry!Q190)/Data_Entry!O190&lt;=10%,"&lt;=10%","&gt;10%"),"&lt;=10%")</f>
        <v>&lt;=10%</v>
      </c>
    </row>
    <row r="202" spans="1:37" s="48" customFormat="1" ht="13" hidden="1" x14ac:dyDescent="0.3">
      <c r="A202" s="31" t="s">
        <v>16</v>
      </c>
      <c r="B202" s="48" t="str">
        <f>Data_Entry!B191</f>
        <v>Butembo</v>
      </c>
      <c r="C202" s="48" t="str">
        <f>Data_Entry!C191</f>
        <v xml:space="preserve"> Kamango</v>
      </c>
      <c r="D202" s="48" t="str">
        <f>Data_Entry!D191</f>
        <v xml:space="preserve"> Kikingi</v>
      </c>
      <c r="E202" s="49">
        <f>IFERROR(IF(Data_Entry!J191/Data_Entry!$I191&lt;0,0,Data_Entry!J191/Data_Entry!$I191),0)</f>
        <v>1.2758813654168997</v>
      </c>
      <c r="F202" s="49">
        <f>IFERROR(IF(Data_Entry!K191/Data_Entry!$H191&lt;0,0,Data_Entry!K191/Data_Entry!$H191),0)</f>
        <v>0.86585223109275355</v>
      </c>
      <c r="G202" s="49">
        <f>IFERROR(IF(Data_Entry!L191/Data_Entry!$H191&lt;0,0,Data_Entry!L191/Data_Entry!$H191),0)</f>
        <v>1.6066369176943316</v>
      </c>
      <c r="H202" s="49">
        <f>IFERROR(IF(Data_Entry!M191/Data_Entry!$H191&lt;0,0,Data_Entry!M191/Data_Entry!$H191),0)</f>
        <v>1.5537237257942189</v>
      </c>
      <c r="I202" s="49">
        <f>IFERROR(IF(Data_Entry!N191/Data_Entry!$H191&lt;0,0,Data_Entry!N191/Data_Entry!$H191),0)</f>
        <v>1.4671385026849435</v>
      </c>
      <c r="J202" s="49">
        <f>IFERROR(IF(Data_Entry!O191/Data_Entry!$H191&lt;0,0,Data_Entry!O191/Data_Entry!$H191),0)</f>
        <v>1.6066369176943316</v>
      </c>
      <c r="K202" s="49">
        <f>IFERROR(IF(Data_Entry!P191/Data_Entry!$H191&lt;0,0,Data_Entry!P191/Data_Entry!$H191),0)</f>
        <v>1.5537237257942189</v>
      </c>
      <c r="L202" s="49">
        <f>IFERROR(IF(Data_Entry!Q191/Data_Entry!$H191&lt;0,0,Data_Entry!Q191/Data_Entry!$H191),0)</f>
        <v>1.5104311142395812</v>
      </c>
      <c r="M202" s="49">
        <f>IFERROR(IF(Data_Entry!R191/Data_Entry!$H191&lt;0,0,Data_Entry!R191/Data_Entry!$H191),0)</f>
        <v>1.3661224090574555</v>
      </c>
      <c r="N202" s="49">
        <f>IFERROR(IF(Data_Entry!S191/Data_Entry!$H191&lt;0,0,Data_Entry!S191/Data_Entry!$H191),0)</f>
        <v>1.2506754449117552</v>
      </c>
      <c r="O202" s="49">
        <f>IFERROR(IF(Data_Entry!T191/Data_Entry!$H191&lt;0,0,Data_Entry!T191/Data_Entry!$H191),0)</f>
        <v>1.2170034137025925</v>
      </c>
      <c r="P202" s="49">
        <f>IFERROR(IF(Data_Entry!U191/Data_Entry!$H191&lt;0,0,Data_Entry!U191/Data_Entry!$H191),0)</f>
        <v>1.351691538539243</v>
      </c>
      <c r="Q202" s="49">
        <f>IFERROR(IF(Data_Entry!V191/Data_Entry!$H191&lt;0,0,Data_Entry!V191/Data_Entry!$H191),0)</f>
        <v>1.2747268957754427</v>
      </c>
      <c r="R202" s="49">
        <f>IFERROR(IF(Data_Entry!W191/Data_Entry!$H191&lt;0,0,Data_Entry!W191/Data_Entry!$H191),0)</f>
        <v>1.1448490611115296</v>
      </c>
      <c r="S202" s="49">
        <f>IFERROR(IF(Data_Entry!X191/Data_Entry!$H191&lt;0,0,Data_Entry!X191/Data_Entry!$H191),0)</f>
        <v>0.87066252126549104</v>
      </c>
      <c r="T202" s="49">
        <f>IFERROR(IF(Data_Entry!Y191/Data_Entry!$H191&lt;0,0,Data_Entry!Y191/Data_Entry!$H191),0)</f>
        <v>7.2154352591062787E-2</v>
      </c>
      <c r="U202" s="49">
        <f>IFERROR(IF(Data_Entry!Z191/Data_Entry!$H191&lt;0,0,Data_Entry!Z191/Data_Entry!$H191),0)</f>
        <v>0.8466110704018035</v>
      </c>
      <c r="V202" s="49">
        <f>IFERROR(IF(Data_Entry!AA191/Data_Entry!$H191&lt;0,0,Data_Entry!AA191/Data_Entry!$H191),0)</f>
        <v>1.5585340159669563</v>
      </c>
      <c r="W202" s="49">
        <f>IFERROR(IF(Data_Entry!AB191/Data_Entry!$H191&lt;0,0,Data_Entry!AB191/Data_Entry!$H191),0)</f>
        <v>0.59647598141945246</v>
      </c>
      <c r="X202" s="49">
        <f>IFERROR(IF(Data_Entry!AC191/Data_Entry!$I191&lt;0,0,Data_Entry!AC191/Data_Entry!$I191),0)</f>
        <v>0.44487968662562954</v>
      </c>
      <c r="Y202" s="49">
        <f>IFERROR(IF(Data_Entry!AD191/Data_Entry!$I191&lt;0,0,Data_Entry!AD191/Data_Entry!$I191),0)</f>
        <v>0.21404588696138779</v>
      </c>
      <c r="Z202" s="49">
        <f>IFERROR(IF(Data_Entry!AE191/Data_Entry!$I191&lt;0,0,Data_Entry!AE191/Data_Entry!$I191),0)</f>
        <v>0.18886401790710688</v>
      </c>
      <c r="AA202" s="49">
        <f>IFERROR(IF(Data_Entry!AF191/Data_Entry!$I191&lt;0,0,Data_Entry!AF191/Data_Entry!$I191),0)</f>
        <v>0.20145495243424733</v>
      </c>
      <c r="AB202" s="49">
        <f>IFERROR(IF(Data_Entry!AG191/Data_Entry!$I191&lt;0,0,Data_Entry!AG191/Data_Entry!$I191),0)</f>
        <v>0.13430330162283155</v>
      </c>
      <c r="AC202" s="49">
        <f>IFERROR(IF(Data_Entry!AI191/Data_Entry!$I191&lt;0,0,Data_Entry!AI191/Data_Entry!$I191),0)</f>
        <v>0.24468382764409621</v>
      </c>
      <c r="AD202" s="49">
        <f>IFERROR(IF(Data_Entry!AM191/Data_Entry!$H191&lt;0,0,Data_Entry!AM191/Data_Entry!$H191),0)</f>
        <v>0.8466110704018035</v>
      </c>
      <c r="AE202" s="50">
        <f>Data_Entry!AK191</f>
        <v>0</v>
      </c>
      <c r="AF202" s="50">
        <f>Data_Entry!AL191</f>
        <v>153</v>
      </c>
      <c r="AG202" s="153">
        <f>(Data_Entry!O191-Data_Entry!Q191)/Data_Entry!O191</f>
        <v>5.9880239520958084E-2</v>
      </c>
      <c r="AH202" s="79" t="str">
        <f t="shared" si="4"/>
        <v>CAT1</v>
      </c>
      <c r="AI202" s="51">
        <f>SUBTOTAL(3,Tableau1[[#This Row],[ZS]])</f>
        <v>0</v>
      </c>
      <c r="AJ202" s="51" t="e">
        <f t="shared" ca="1" si="5"/>
        <v>#NAME?</v>
      </c>
      <c r="AK202" s="50" t="str">
        <f>IFERROR(IF((Data_Entry!O191-Data_Entry!Q191)/Data_Entry!O191&lt;=10%,"&lt;=10%","&gt;10%"),"&lt;=10%")</f>
        <v>&lt;=10%</v>
      </c>
    </row>
    <row r="203" spans="1:37" s="48" customFormat="1" ht="13" hidden="1" x14ac:dyDescent="0.3">
      <c r="A203" s="31" t="s">
        <v>16</v>
      </c>
      <c r="B203" s="48" t="str">
        <f>Data_Entry!B192</f>
        <v>Butembo</v>
      </c>
      <c r="C203" s="48" t="str">
        <f>Data_Entry!C192</f>
        <v xml:space="preserve"> Kamango</v>
      </c>
      <c r="D203" s="48" t="str">
        <f>Data_Entry!D192</f>
        <v xml:space="preserve"> Kikura</v>
      </c>
      <c r="E203" s="49">
        <f>IFERROR(IF(Data_Entry!J192/Data_Entry!$I192&lt;0,0,Data_Entry!J192/Data_Entry!$I192),0)</f>
        <v>1.0326010913670072</v>
      </c>
      <c r="F203" s="49">
        <f>IFERROR(IF(Data_Entry!K192/Data_Entry!$H192&lt;0,0,Data_Entry!K192/Data_Entry!$H192),0)</f>
        <v>0.73126640989486835</v>
      </c>
      <c r="G203" s="49">
        <f>IFERROR(IF(Data_Entry!L192/Data_Entry!$H192&lt;0,0,Data_Entry!L192/Data_Entry!$H192),0)</f>
        <v>1.2941491069849973</v>
      </c>
      <c r="H203" s="49">
        <f>IFERROR(IF(Data_Entry!M192/Data_Entry!$H192&lt;0,0,Data_Entry!M192/Data_Entry!$H192),0)</f>
        <v>0.99586938715945894</v>
      </c>
      <c r="I203" s="49">
        <f>IFERROR(IF(Data_Entry!N192/Data_Entry!$H192&lt;0,0,Data_Entry!N192/Data_Entry!$H192),0)</f>
        <v>1.09208865161931</v>
      </c>
      <c r="J203" s="49">
        <f>IFERROR(IF(Data_Entry!O192/Data_Entry!$H192&lt;0,0,Data_Entry!O192/Data_Entry!$H192),0)</f>
        <v>1.4096122243368188</v>
      </c>
      <c r="K203" s="49">
        <f>IFERROR(IF(Data_Entry!P192/Data_Entry!$H192&lt;0,0,Data_Entry!P192/Data_Entry!$H192),0)</f>
        <v>1.0776557619503324</v>
      </c>
      <c r="L203" s="49">
        <f>IFERROR(IF(Data_Entry!Q192/Data_Entry!$H192&lt;0,0,Data_Entry!Q192/Data_Entry!$H192),0)</f>
        <v>1.1979298425251463</v>
      </c>
      <c r="M203" s="49">
        <f>IFERROR(IF(Data_Entry!R192/Data_Entry!$H192&lt;0,0,Data_Entry!R192/Data_Entry!$H192),0)</f>
        <v>1.5106424520196624</v>
      </c>
      <c r="N203" s="49">
        <f>IFERROR(IF(Data_Entry!S192/Data_Entry!$H192&lt;0,0,Data_Entry!S192/Data_Entry!$H192),0)</f>
        <v>1.1738750264101834</v>
      </c>
      <c r="O203" s="49">
        <f>IFERROR(IF(Data_Entry!T192/Data_Entry!$H192&lt;0,0,Data_Entry!T192/Data_Entry!$H192),0)</f>
        <v>1.342258739214923</v>
      </c>
      <c r="P203" s="49">
        <f>IFERROR(IF(Data_Entry!U192/Data_Entry!$H192&lt;0,0,Data_Entry!U192/Data_Entry!$H192),0)</f>
        <v>1.4096122243368188</v>
      </c>
      <c r="Q203" s="49">
        <f>IFERROR(IF(Data_Entry!V192/Data_Entry!$H192&lt;0,0,Data_Entry!V192/Data_Entry!$H192),0)</f>
        <v>1.0680338355043473</v>
      </c>
      <c r="R203" s="49">
        <f>IFERROR(IF(Data_Entry!W192/Data_Entry!$H192&lt;0,0,Data_Entry!W192/Data_Entry!$H192),0)</f>
        <v>1.2460394747550718</v>
      </c>
      <c r="S203" s="49">
        <f>IFERROR(IF(Data_Entry!X192/Data_Entry!$H192&lt;0,0,Data_Entry!X192/Data_Entry!$H192),0)</f>
        <v>1.3807464449988633</v>
      </c>
      <c r="T203" s="49">
        <f>IFERROR(IF(Data_Entry!Y192/Data_Entry!$H192&lt;0,0,Data_Entry!Y192/Data_Entry!$H192),0)</f>
        <v>0.25017008759561288</v>
      </c>
      <c r="U203" s="49">
        <f>IFERROR(IF(Data_Entry!Z192/Data_Entry!$H192&lt;0,0,Data_Entry!Z192/Data_Entry!$H192),0)</f>
        <v>1.3278258495459452</v>
      </c>
      <c r="V203" s="49">
        <f>IFERROR(IF(Data_Entry!AA192/Data_Entry!$H192&lt;0,0,Data_Entry!AA192/Data_Entry!$H192),0)</f>
        <v>1.048789982612377</v>
      </c>
      <c r="W203" s="49">
        <f>IFERROR(IF(Data_Entry!AB192/Data_Entry!$H192&lt;0,0,Data_Entry!AB192/Data_Entry!$H192),0)</f>
        <v>0.50515113841421833</v>
      </c>
      <c r="X203" s="49">
        <f>IFERROR(IF(Data_Entry!AC192/Data_Entry!$I192&lt;0,0,Data_Entry!AC192/Data_Entry!$I192),0)</f>
        <v>0.33160766755281934</v>
      </c>
      <c r="Y203" s="49">
        <f>IFERROR(IF(Data_Entry!AD192/Data_Entry!$I192&lt;0,0,Data_Entry!AD192/Data_Entry!$I192),0)</f>
        <v>0.27703931719602631</v>
      </c>
      <c r="Z203" s="49">
        <f>IFERROR(IF(Data_Entry!AE192/Data_Entry!$I192&lt;0,0,Data_Entry!AE192/Data_Entry!$I192),0)</f>
        <v>0.20148313977892821</v>
      </c>
      <c r="AA203" s="49">
        <f>IFERROR(IF(Data_Entry!AF192/Data_Entry!$I192&lt;0,0,Data_Entry!AF192/Data_Entry!$I192),0)</f>
        <v>0.14271722401007414</v>
      </c>
      <c r="AB203" s="49">
        <f>IFERROR(IF(Data_Entry!AG192/Data_Entry!$I192&lt;0,0,Data_Entry!AG192/Data_Entry!$I192),0)</f>
        <v>0.12172939694976913</v>
      </c>
      <c r="AC203" s="49">
        <f>IFERROR(IF(Data_Entry!AI192/Data_Entry!$I192&lt;0,0,Data_Entry!AI192/Data_Entry!$I192),0)</f>
        <v>0.24471806352315653</v>
      </c>
      <c r="AD203" s="49">
        <f>IFERROR(IF(Data_Entry!AM192/Data_Entry!$H192&lt;0,0,Data_Entry!AM192/Data_Entry!$H192),0)</f>
        <v>1.3278258495459452</v>
      </c>
      <c r="AE203" s="50">
        <f>Data_Entry!AK192</f>
        <v>0</v>
      </c>
      <c r="AF203" s="50">
        <f>Data_Entry!AL192</f>
        <v>6</v>
      </c>
      <c r="AG203" s="153">
        <f>(Data_Entry!O192-Data_Entry!Q192)/Data_Entry!O192</f>
        <v>0.15017064846416384</v>
      </c>
      <c r="AH203" s="79" t="str">
        <f t="shared" si="4"/>
        <v>CAT2</v>
      </c>
      <c r="AI203" s="51">
        <f>SUBTOTAL(3,Tableau1[[#This Row],[ZS]])</f>
        <v>0</v>
      </c>
      <c r="AJ203" s="51" t="e">
        <f t="shared" ca="1" si="5"/>
        <v>#NAME?</v>
      </c>
      <c r="AK203" s="50" t="str">
        <f>IFERROR(IF((Data_Entry!O192-Data_Entry!Q192)/Data_Entry!O192&lt;=10%,"&lt;=10%","&gt;10%"),"&lt;=10%")</f>
        <v>&gt;10%</v>
      </c>
    </row>
    <row r="204" spans="1:37" s="48" customFormat="1" ht="13" hidden="1" x14ac:dyDescent="0.3">
      <c r="A204" s="31" t="s">
        <v>16</v>
      </c>
      <c r="B204" s="48" t="str">
        <f>Data_Entry!B193</f>
        <v>Butembo</v>
      </c>
      <c r="C204" s="48" t="str">
        <f>Data_Entry!C193</f>
        <v xml:space="preserve"> Kamango</v>
      </c>
      <c r="D204" s="48" t="str">
        <f>Data_Entry!D193</f>
        <v xml:space="preserve"> Kitimba</v>
      </c>
      <c r="E204" s="49">
        <f>IFERROR(IF(Data_Entry!J193/Data_Entry!$I193&lt;0,0,Data_Entry!J193/Data_Entry!$I193),0)</f>
        <v>0.72447859495060374</v>
      </c>
      <c r="F204" s="49">
        <f>IFERROR(IF(Data_Entry!K193/Data_Entry!$H193&lt;0,0,Data_Entry!K193/Data_Entry!$H193),0)</f>
        <v>0.97551368707156472</v>
      </c>
      <c r="G204" s="49">
        <f>IFERROR(IF(Data_Entry!L193/Data_Entry!$H193&lt;0,0,Data_Entry!L193/Data_Entry!$H193),0)</f>
        <v>0.63292257077857472</v>
      </c>
      <c r="H204" s="49">
        <f>IFERROR(IF(Data_Entry!M193/Data_Entry!$H193&lt;0,0,Data_Entry!M193/Data_Entry!$H193),0)</f>
        <v>0.60969605441972796</v>
      </c>
      <c r="I204" s="49">
        <f>IFERROR(IF(Data_Entry!N193/Data_Entry!$H193&lt;0,0,Data_Entry!N193/Data_Entry!$H193),0)</f>
        <v>0.59517948169544865</v>
      </c>
      <c r="J204" s="49">
        <f>IFERROR(IF(Data_Entry!O193/Data_Entry!$H193&lt;0,0,Data_Entry!O193/Data_Entry!$H193),0)</f>
        <v>0.63292257077857472</v>
      </c>
      <c r="K204" s="49">
        <f>IFERROR(IF(Data_Entry!P193/Data_Entry!$H193&lt;0,0,Data_Entry!P193/Data_Entry!$H193),0)</f>
        <v>0.60969605441972796</v>
      </c>
      <c r="L204" s="49">
        <f>IFERROR(IF(Data_Entry!Q193/Data_Entry!$H193&lt;0,0,Data_Entry!Q193/Data_Entry!$H193),0)</f>
        <v>0.59517948169544865</v>
      </c>
      <c r="M204" s="49">
        <f>IFERROR(IF(Data_Entry!R193/Data_Entry!$H193&lt;0,0,Data_Entry!R193/Data_Entry!$H193),0)</f>
        <v>0.63292257077857472</v>
      </c>
      <c r="N204" s="49">
        <f>IFERROR(IF(Data_Entry!S193/Data_Entry!$H193&lt;0,0,Data_Entry!S193/Data_Entry!$H193),0)</f>
        <v>0.60969605441972796</v>
      </c>
      <c r="O204" s="49">
        <f>IFERROR(IF(Data_Entry!T193/Data_Entry!$H193&lt;0,0,Data_Entry!T193/Data_Entry!$H193),0)</f>
        <v>0.58937285260573702</v>
      </c>
      <c r="P204" s="49">
        <f>IFERROR(IF(Data_Entry!U193/Data_Entry!$H193&lt;0,0,Data_Entry!U193/Data_Entry!$H193),0)</f>
        <v>0.63292257077857472</v>
      </c>
      <c r="Q204" s="49">
        <f>IFERROR(IF(Data_Entry!V193/Data_Entry!$H193&lt;0,0,Data_Entry!V193/Data_Entry!$H193),0)</f>
        <v>0.60969605441972796</v>
      </c>
      <c r="R204" s="49">
        <f>IFERROR(IF(Data_Entry!W193/Data_Entry!$H193&lt;0,0,Data_Entry!W193/Data_Entry!$H193),0)</f>
        <v>0.17419887269135084</v>
      </c>
      <c r="S204" s="49">
        <f>IFERROR(IF(Data_Entry!X193/Data_Entry!$H193&lt;0,0,Data_Entry!X193/Data_Entry!$H193),0)</f>
        <v>1.1584225033974831</v>
      </c>
      <c r="T204" s="49">
        <f>IFERROR(IF(Data_Entry!Y193/Data_Entry!$H193&lt;0,0,Data_Entry!Y193/Data_Entry!$H193),0)</f>
        <v>0.11322926724937804</v>
      </c>
      <c r="U204" s="49">
        <f>IFERROR(IF(Data_Entry!Z193/Data_Entry!$H193&lt;0,0,Data_Entry!Z193/Data_Entry!$H193),0)</f>
        <v>0.82744464528391648</v>
      </c>
      <c r="V204" s="49">
        <f>IFERROR(IF(Data_Entry!AA193/Data_Entry!$H193&lt;0,0,Data_Entry!AA193/Data_Entry!$H193),0)</f>
        <v>0.5574363926123227</v>
      </c>
      <c r="W204" s="49">
        <f>IFERROR(IF(Data_Entry!AB193/Data_Entry!$H193&lt;0,0,Data_Entry!AB193/Data_Entry!$H193),0)</f>
        <v>8.7099436345675421E-2</v>
      </c>
      <c r="X204" s="49">
        <f>IFERROR(IF(Data_Entry!AC193/Data_Entry!$I193&lt;0,0,Data_Entry!AC193/Data_Entry!$I193),0)</f>
        <v>0.42810098792535678</v>
      </c>
      <c r="Y204" s="49">
        <f>IFERROR(IF(Data_Entry!AD193/Data_Entry!$I193&lt;0,0,Data_Entry!AD193/Data_Entry!$I193),0)</f>
        <v>0.13425652284049649</v>
      </c>
      <c r="Z204" s="49">
        <f>IFERROR(IF(Data_Entry!AE193/Data_Entry!$I193&lt;0,0,Data_Entry!AE193/Data_Entry!$I193),0)</f>
        <v>0.10639196149624251</v>
      </c>
      <c r="AA204" s="49">
        <f>IFERROR(IF(Data_Entry!AF193/Data_Entry!$I193&lt;0,0,Data_Entry!AF193/Data_Entry!$I193),0)</f>
        <v>7.8527400151988516E-2</v>
      </c>
      <c r="AB204" s="49">
        <f>IFERROR(IF(Data_Entry!AG193/Data_Entry!$I193&lt;0,0,Data_Entry!AG193/Data_Entry!$I193),0)</f>
        <v>6.0795406569281438E-2</v>
      </c>
      <c r="AC204" s="49">
        <f>IFERROR(IF(Data_Entry!AI193/Data_Entry!$I193&lt;0,0,Data_Entry!AI193/Data_Entry!$I193),0)</f>
        <v>0.12665709701933633</v>
      </c>
      <c r="AD204" s="49">
        <f>IFERROR(IF(Data_Entry!AM193/Data_Entry!$H193&lt;0,0,Data_Entry!AM193/Data_Entry!$H193),0)</f>
        <v>0.82744464528391648</v>
      </c>
      <c r="AE204" s="50">
        <f>Data_Entry!AK193</f>
        <v>126.43391666666662</v>
      </c>
      <c r="AF204" s="50">
        <f>Data_Entry!AL193</f>
        <v>0</v>
      </c>
      <c r="AG204" s="153">
        <f>(Data_Entry!O193-Data_Entry!Q193)/Data_Entry!O193</f>
        <v>5.9633027522935783E-2</v>
      </c>
      <c r="AH204" s="79" t="str">
        <f t="shared" si="4"/>
        <v>CAT3</v>
      </c>
      <c r="AI204" s="51">
        <f>SUBTOTAL(3,Tableau1[[#This Row],[ZS]])</f>
        <v>0</v>
      </c>
      <c r="AJ204" s="51" t="e">
        <f t="shared" ca="1" si="5"/>
        <v>#NAME?</v>
      </c>
      <c r="AK204" s="50" t="str">
        <f>IFERROR(IF((Data_Entry!O193-Data_Entry!Q193)/Data_Entry!O193&lt;=10%,"&lt;=10%","&gt;10%"),"&lt;=10%")</f>
        <v>&lt;=10%</v>
      </c>
    </row>
    <row r="205" spans="1:37" s="48" customFormat="1" ht="13" hidden="1" x14ac:dyDescent="0.3">
      <c r="A205" s="31" t="s">
        <v>16</v>
      </c>
      <c r="B205" s="48" t="str">
        <f>Data_Entry!B194</f>
        <v>Butembo</v>
      </c>
      <c r="C205" s="48" t="str">
        <f>Data_Entry!C194</f>
        <v xml:space="preserve"> Kamango</v>
      </c>
      <c r="D205" s="48" t="str">
        <f>Data_Entry!D194</f>
        <v xml:space="preserve"> Luanoli</v>
      </c>
      <c r="E205" s="49">
        <f>IFERROR(IF(Data_Entry!J194/Data_Entry!$I194&lt;0,0,Data_Entry!J194/Data_Entry!$I194),0)</f>
        <v>0.64448359989156956</v>
      </c>
      <c r="F205" s="49">
        <f>IFERROR(IF(Data_Entry!K194/Data_Entry!$H194&lt;0,0,Data_Entry!K194/Data_Entry!$H194),0)</f>
        <v>0.83186985858212392</v>
      </c>
      <c r="G205" s="49">
        <f>IFERROR(IF(Data_Entry!L194/Data_Entry!$H194&lt;0,0,Data_Entry!L194/Data_Entry!$H194),0)</f>
        <v>0.83653019392432071</v>
      </c>
      <c r="H205" s="49">
        <f>IFERROR(IF(Data_Entry!M194/Data_Entry!$H194&lt;0,0,Data_Entry!M194/Data_Entry!$H194),0)</f>
        <v>0.83186985858212392</v>
      </c>
      <c r="I205" s="49">
        <f>IFERROR(IF(Data_Entry!N194/Data_Entry!$H194&lt;0,0,Data_Entry!N194/Data_Entry!$H194),0)</f>
        <v>0.81555868488443528</v>
      </c>
      <c r="J205" s="49">
        <f>IFERROR(IF(Data_Entry!O194/Data_Entry!$H194&lt;0,0,Data_Entry!O194/Data_Entry!$H194),0)</f>
        <v>0.83653019392432071</v>
      </c>
      <c r="K205" s="49">
        <f>IFERROR(IF(Data_Entry!P194/Data_Entry!$H194&lt;0,0,Data_Entry!P194/Data_Entry!$H194),0)</f>
        <v>0.8388603615954191</v>
      </c>
      <c r="L205" s="49">
        <f>IFERROR(IF(Data_Entry!Q194/Data_Entry!$H194&lt;0,0,Data_Entry!Q194/Data_Entry!$H194),0)</f>
        <v>0.81555868488443528</v>
      </c>
      <c r="M205" s="49">
        <f>IFERROR(IF(Data_Entry!R194/Data_Entry!$H194&lt;0,0,Data_Entry!R194/Data_Entry!$H194),0)</f>
        <v>0.93672740378155139</v>
      </c>
      <c r="N205" s="49">
        <f>IFERROR(IF(Data_Entry!S194/Data_Entry!$H194&lt;0,0,Data_Entry!S194/Data_Entry!$H194),0)</f>
        <v>0.93672740378155139</v>
      </c>
      <c r="O205" s="49">
        <f>IFERROR(IF(Data_Entry!T194/Data_Entry!$H194&lt;0,0,Data_Entry!T194/Data_Entry!$H194),0)</f>
        <v>0.90876539172837068</v>
      </c>
      <c r="P205" s="49">
        <f>IFERROR(IF(Data_Entry!U194/Data_Entry!$H194&lt;0,0,Data_Entry!U194/Data_Entry!$H194),0)</f>
        <v>0.84585086460871428</v>
      </c>
      <c r="Q205" s="49">
        <f>IFERROR(IF(Data_Entry!V194/Data_Entry!$H194&lt;0,0,Data_Entry!V194/Data_Entry!$H194),0)</f>
        <v>0.84352069693761589</v>
      </c>
      <c r="R205" s="49">
        <f>IFERROR(IF(Data_Entry!W194/Data_Entry!$H194&lt;0,0,Data_Entry!W194/Data_Entry!$H194),0)</f>
        <v>0.81555868488443528</v>
      </c>
      <c r="S205" s="49">
        <f>IFERROR(IF(Data_Entry!X194/Data_Entry!$H194&lt;0,0,Data_Entry!X194/Data_Entry!$H194),0)</f>
        <v>0.92507656542605943</v>
      </c>
      <c r="T205" s="49">
        <f>IFERROR(IF(Data_Entry!Y194/Data_Entry!$H194&lt;0,0,Data_Entry!Y194/Data_Entry!$H194),0)</f>
        <v>0</v>
      </c>
      <c r="U205" s="49">
        <f>IFERROR(IF(Data_Entry!Z194/Data_Entry!$H194&lt;0,0,Data_Entry!Z194/Data_Entry!$H194),0)</f>
        <v>0.92507656542605943</v>
      </c>
      <c r="V205" s="49">
        <f>IFERROR(IF(Data_Entry!AA194/Data_Entry!$H194&lt;0,0,Data_Entry!AA194/Data_Entry!$H194),0)</f>
        <v>0.90876539172837068</v>
      </c>
      <c r="W205" s="49">
        <f>IFERROR(IF(Data_Entry!AB194/Data_Entry!$H194&lt;0,0,Data_Entry!AB194/Data_Entry!$H194),0)</f>
        <v>0</v>
      </c>
      <c r="X205" s="49">
        <f>IFERROR(IF(Data_Entry!AC194/Data_Entry!$I194&lt;0,0,Data_Entry!AC194/Data_Entry!$I194),0)</f>
        <v>0.44727568446733529</v>
      </c>
      <c r="Y205" s="49">
        <f>IFERROR(IF(Data_Entry!AD194/Data_Entry!$I194&lt;0,0,Data_Entry!AD194/Data_Entry!$I194),0)</f>
        <v>0.33342369205746814</v>
      </c>
      <c r="Z205" s="49">
        <f>IFERROR(IF(Data_Entry!AE194/Data_Entry!$I194&lt;0,0,Data_Entry!AE194/Data_Entry!$I194),0)</f>
        <v>0.25820005421523445</v>
      </c>
      <c r="AA205" s="49">
        <f>IFERROR(IF(Data_Entry!AF194/Data_Entry!$I194&lt;0,0,Data_Entry!AF194/Data_Entry!$I194),0)</f>
        <v>0.17891027378693414</v>
      </c>
      <c r="AB205" s="49">
        <f>IFERROR(IF(Data_Entry!AG194/Data_Entry!$I194&lt;0,0,Data_Entry!AG194/Data_Entry!$I194),0)</f>
        <v>0.11588506370290051</v>
      </c>
      <c r="AC205" s="49">
        <f>IFERROR(IF(Data_Entry!AI194/Data_Entry!$I194&lt;0,0,Data_Entry!AI194/Data_Entry!$I194),0)</f>
        <v>0.11852805638384385</v>
      </c>
      <c r="AD205" s="49">
        <f>IFERROR(IF(Data_Entry!AM194/Data_Entry!$H194&lt;0,0,Data_Entry!AM194/Data_Entry!$H194),0)</f>
        <v>0.92507656542605943</v>
      </c>
      <c r="AE205" s="50">
        <f>Data_Entry!AK194</f>
        <v>70.153666666666709</v>
      </c>
      <c r="AF205" s="50">
        <f>Data_Entry!AL194</f>
        <v>0</v>
      </c>
      <c r="AG205" s="153">
        <f>(Data_Entry!O194-Data_Entry!Q194)/Data_Entry!O194</f>
        <v>2.5069637883008356E-2</v>
      </c>
      <c r="AH205" s="79" t="str">
        <f t="shared" si="4"/>
        <v>CAT3</v>
      </c>
      <c r="AI205" s="51">
        <f>SUBTOTAL(3,Tableau1[[#This Row],[ZS]])</f>
        <v>0</v>
      </c>
      <c r="AJ205" s="51" t="e">
        <f t="shared" ca="1" si="5"/>
        <v>#NAME?</v>
      </c>
      <c r="AK205" s="50" t="str">
        <f>IFERROR(IF((Data_Entry!O194-Data_Entry!Q194)/Data_Entry!O194&lt;=10%,"&lt;=10%","&gt;10%"),"&lt;=10%")</f>
        <v>&lt;=10%</v>
      </c>
    </row>
    <row r="206" spans="1:37" s="48" customFormat="1" ht="13" hidden="1" x14ac:dyDescent="0.3">
      <c r="A206" s="31" t="s">
        <v>16</v>
      </c>
      <c r="B206" s="48" t="str">
        <f>Data_Entry!B195</f>
        <v>Butembo</v>
      </c>
      <c r="C206" s="48" t="str">
        <f>Data_Entry!C195</f>
        <v xml:space="preserve"> Kamango</v>
      </c>
      <c r="D206" s="48" t="str">
        <f>Data_Entry!D195</f>
        <v xml:space="preserve"> Maale</v>
      </c>
      <c r="E206" s="49">
        <f>IFERROR(IF(Data_Entry!J195/Data_Entry!$I195&lt;0,0,Data_Entry!J195/Data_Entry!$I195),0)</f>
        <v>0.46824348661303877</v>
      </c>
      <c r="F206" s="49">
        <f>IFERROR(IF(Data_Entry!K195/Data_Entry!$H195&lt;0,0,Data_Entry!K195/Data_Entry!$H195),0)</f>
        <v>0.66464360894599295</v>
      </c>
      <c r="G206" s="49">
        <f>IFERROR(IF(Data_Entry!L195/Data_Entry!$H195&lt;0,0,Data_Entry!L195/Data_Entry!$H195),0)</f>
        <v>0.9040804370134935</v>
      </c>
      <c r="H206" s="49">
        <f>IFERROR(IF(Data_Entry!M195/Data_Entry!$H195&lt;0,0,Data_Entry!M195/Data_Entry!$H195),0)</f>
        <v>0.82151601354194159</v>
      </c>
      <c r="I206" s="49">
        <f>IFERROR(IF(Data_Entry!N195/Data_Entry!$H195&lt;0,0,Data_Entry!N195/Data_Entry!$H195),0)</f>
        <v>0.87105466762487271</v>
      </c>
      <c r="J206" s="49">
        <f>IFERROR(IF(Data_Entry!O195/Data_Entry!$H195&lt;0,0,Data_Entry!O195/Data_Entry!$H195),0)</f>
        <v>0.91646510053422636</v>
      </c>
      <c r="K206" s="49">
        <f>IFERROR(IF(Data_Entry!P195/Data_Entry!$H195&lt;0,0,Data_Entry!P195/Data_Entry!$H195),0)</f>
        <v>0.84628534058340721</v>
      </c>
      <c r="L206" s="49">
        <f>IFERROR(IF(Data_Entry!Q195/Data_Entry!$H195&lt;0,0,Data_Entry!Q195/Data_Entry!$H195),0)</f>
        <v>0.86692644645129513</v>
      </c>
      <c r="M206" s="49">
        <f>IFERROR(IF(Data_Entry!R195/Data_Entry!$H195&lt;0,0,Data_Entry!R195/Data_Entry!$H195),0)</f>
        <v>0.80500312884763126</v>
      </c>
      <c r="N206" s="49">
        <f>IFERROR(IF(Data_Entry!S195/Data_Entry!$H195&lt;0,0,Data_Entry!S195/Data_Entry!$H195),0)</f>
        <v>0.7637209171118553</v>
      </c>
      <c r="O206" s="49">
        <f>IFERROR(IF(Data_Entry!T195/Data_Entry!$H195&lt;0,0,Data_Entry!T195/Data_Entry!$H195),0)</f>
        <v>0.78849024415332081</v>
      </c>
      <c r="P206" s="49">
        <f>IFERROR(IF(Data_Entry!U195/Data_Entry!$H195&lt;0,0,Data_Entry!U195/Data_Entry!$H195),0)</f>
        <v>0.80500312884763126</v>
      </c>
      <c r="Q206" s="49">
        <f>IFERROR(IF(Data_Entry!V195/Data_Entry!$H195&lt;0,0,Data_Entry!V195/Data_Entry!$H195),0)</f>
        <v>0.7637209171118553</v>
      </c>
      <c r="R206" s="49">
        <f>IFERROR(IF(Data_Entry!W195/Data_Entry!$H195&lt;0,0,Data_Entry!W195/Data_Entry!$H195),0)</f>
        <v>0.78849024415332081</v>
      </c>
      <c r="S206" s="49">
        <f>IFERROR(IF(Data_Entry!X195/Data_Entry!$H195&lt;0,0,Data_Entry!X195/Data_Entry!$H195),0)</f>
        <v>1.0320552933943989</v>
      </c>
      <c r="T206" s="49">
        <f>IFERROR(IF(Data_Entry!Y195/Data_Entry!$H195&lt;0,0,Data_Entry!Y195/Data_Entry!$H195),0)</f>
        <v>0.86279822527771755</v>
      </c>
      <c r="U206" s="49">
        <f>IFERROR(IF(Data_Entry!Z195/Data_Entry!$H195&lt;0,0,Data_Entry!Z195/Data_Entry!$H195),0)</f>
        <v>1.0155424087000886</v>
      </c>
      <c r="V206" s="49">
        <f>IFERROR(IF(Data_Entry!AA195/Data_Entry!$H195&lt;0,0,Data_Entry!AA195/Data_Entry!$H195),0)</f>
        <v>0.87518288879845041</v>
      </c>
      <c r="W206" s="49">
        <f>IFERROR(IF(Data_Entry!AB195/Data_Entry!$H195&lt;0,0,Data_Entry!AB195/Data_Entry!$H195),0)</f>
        <v>0.78023380180616564</v>
      </c>
      <c r="X206" s="49">
        <f>IFERROR(IF(Data_Entry!AC195/Data_Entry!$I195&lt;0,0,Data_Entry!AC195/Data_Entry!$I195),0)</f>
        <v>0.26293672709809102</v>
      </c>
      <c r="Y206" s="49">
        <f>IFERROR(IF(Data_Entry!AD195/Data_Entry!$I195&lt;0,0,Data_Entry!AD195/Data_Entry!$I195),0)</f>
        <v>0.19450114059310841</v>
      </c>
      <c r="Z206" s="49">
        <f>IFERROR(IF(Data_Entry!AE195/Data_Entry!$I195&lt;0,0,Data_Entry!AE195/Data_Entry!$I195),0)</f>
        <v>0.18729739464521553</v>
      </c>
      <c r="AA206" s="49">
        <f>IFERROR(IF(Data_Entry!AF195/Data_Entry!$I195&lt;0,0,Data_Entry!AF195/Data_Entry!$I195),0)</f>
        <v>0.13687117300996518</v>
      </c>
      <c r="AB206" s="49">
        <f>IFERROR(IF(Data_Entry!AG195/Data_Entry!$I195&lt;0,0,Data_Entry!AG195/Data_Entry!$I195),0)</f>
        <v>0.13687117300996518</v>
      </c>
      <c r="AC206" s="49">
        <f>IFERROR(IF(Data_Entry!AI195/Data_Entry!$I195&lt;0,0,Data_Entry!AI195/Data_Entry!$I195),0)</f>
        <v>0.18009364869732261</v>
      </c>
      <c r="AD206" s="49">
        <f>IFERROR(IF(Data_Entry!AM195/Data_Entry!$H195&lt;0,0,Data_Entry!AM195/Data_Entry!$H195),0)</f>
        <v>1.0155424087000886</v>
      </c>
      <c r="AE206" s="50">
        <f>Data_Entry!AK195</f>
        <v>20.235083333333307</v>
      </c>
      <c r="AF206" s="50">
        <f>Data_Entry!AL195</f>
        <v>0</v>
      </c>
      <c r="AG206" s="153">
        <f>(Data_Entry!O195-Data_Entry!Q195)/Data_Entry!O195</f>
        <v>5.4054054054054057E-2</v>
      </c>
      <c r="AH206" s="79" t="str">
        <f t="shared" si="4"/>
        <v>CAT1</v>
      </c>
      <c r="AI206" s="51">
        <f>SUBTOTAL(3,Tableau1[[#This Row],[ZS]])</f>
        <v>0</v>
      </c>
      <c r="AJ206" s="51" t="e">
        <f t="shared" ca="1" si="5"/>
        <v>#NAME?</v>
      </c>
      <c r="AK206" s="50" t="str">
        <f>IFERROR(IF((Data_Entry!O195-Data_Entry!Q195)/Data_Entry!O195&lt;=10%,"&lt;=10%","&gt;10%"),"&lt;=10%")</f>
        <v>&lt;=10%</v>
      </c>
    </row>
    <row r="207" spans="1:37" s="48" customFormat="1" ht="13" hidden="1" x14ac:dyDescent="0.3">
      <c r="A207" s="31" t="s">
        <v>16</v>
      </c>
      <c r="B207" s="48" t="str">
        <f>Data_Entry!B196</f>
        <v>Butembo</v>
      </c>
      <c r="C207" s="48" t="str">
        <f>Data_Entry!C196</f>
        <v xml:space="preserve"> Kamango</v>
      </c>
      <c r="D207" s="48" t="str">
        <f>Data_Entry!D196</f>
        <v xml:space="preserve"> Mulopia</v>
      </c>
      <c r="E207" s="49">
        <f>IFERROR(IF(Data_Entry!J196/Data_Entry!$I196&lt;0,0,Data_Entry!J196/Data_Entry!$I196),0)</f>
        <v>0.37071362372567196</v>
      </c>
      <c r="F207" s="49">
        <f>IFERROR(IF(Data_Entry!K196/Data_Entry!$H196&lt;0,0,Data_Entry!K196/Data_Entry!$H196),0)</f>
        <v>0.26555417172326068</v>
      </c>
      <c r="G207" s="49">
        <f>IFERROR(IF(Data_Entry!L196/Data_Entry!$H196&lt;0,0,Data_Entry!L196/Data_Entry!$H196),0)</f>
        <v>0.89580273927979936</v>
      </c>
      <c r="H207" s="49">
        <f>IFERROR(IF(Data_Entry!M196/Data_Entry!$H196&lt;0,0,Data_Entry!M196/Data_Entry!$H196),0)</f>
        <v>0.68335940190119082</v>
      </c>
      <c r="I207" s="49">
        <f>IFERROR(IF(Data_Entry!N196/Data_Entry!$H196&lt;0,0,Data_Entry!N196/Data_Entry!$H196),0)</f>
        <v>0.80020323745942556</v>
      </c>
      <c r="J207" s="49">
        <f>IFERROR(IF(Data_Entry!O196/Data_Entry!$H196&lt;0,0,Data_Entry!O196/Data_Entry!$H196),0)</f>
        <v>0.86747696096265159</v>
      </c>
      <c r="K207" s="49">
        <f>IFERROR(IF(Data_Entry!P196/Data_Entry!$H196&lt;0,0,Data_Entry!P196/Data_Entry!$H196),0)</f>
        <v>0.67981867961154741</v>
      </c>
      <c r="L207" s="49">
        <f>IFERROR(IF(Data_Entry!Q196/Data_Entry!$H196&lt;0,0,Data_Entry!Q196/Data_Entry!$H196),0)</f>
        <v>0.83206973806621687</v>
      </c>
      <c r="M207" s="49">
        <f>IFERROR(IF(Data_Entry!R196/Data_Entry!$H196&lt;0,0,Data_Entry!R196/Data_Entry!$H196),0)</f>
        <v>0.67273723503226046</v>
      </c>
      <c r="N207" s="49">
        <f>IFERROR(IF(Data_Entry!S196/Data_Entry!$H196&lt;0,0,Data_Entry!S196/Data_Entry!$H196),0)</f>
        <v>0.57005628863259961</v>
      </c>
      <c r="O207" s="49">
        <f>IFERROR(IF(Data_Entry!T196/Data_Entry!$H196&lt;0,0,Data_Entry!T196/Data_Entry!$H196),0)</f>
        <v>0.64087073442546916</v>
      </c>
      <c r="P207" s="49">
        <f>IFERROR(IF(Data_Entry!U196/Data_Entry!$H196&lt;0,0,Data_Entry!U196/Data_Entry!$H196),0)</f>
        <v>0.86747696096265159</v>
      </c>
      <c r="Q207" s="49">
        <f>IFERROR(IF(Data_Entry!V196/Data_Entry!$H196&lt;0,0,Data_Entry!V196/Data_Entry!$H196),0)</f>
        <v>0.67981867961154741</v>
      </c>
      <c r="R207" s="49">
        <f>IFERROR(IF(Data_Entry!W196/Data_Entry!$H196&lt;0,0,Data_Entry!W196/Data_Entry!$H196),0)</f>
        <v>0.83206973806621687</v>
      </c>
      <c r="S207" s="49">
        <f>IFERROR(IF(Data_Entry!X196/Data_Entry!$H196&lt;0,0,Data_Entry!X196/Data_Entry!$H196),0)</f>
        <v>0.89580273927979936</v>
      </c>
      <c r="T207" s="49">
        <f>IFERROR(IF(Data_Entry!Y196/Data_Entry!$H196&lt;0,0,Data_Entry!Y196/Data_Entry!$H196),0)</f>
        <v>9.205877953073037E-2</v>
      </c>
      <c r="U207" s="49">
        <f>IFERROR(IF(Data_Entry!Z196/Data_Entry!$H196&lt;0,0,Data_Entry!Z196/Data_Entry!$H196),0)</f>
        <v>0.43196811933650409</v>
      </c>
      <c r="V207" s="49">
        <f>IFERROR(IF(Data_Entry!AA196/Data_Entry!$H196&lt;0,0,Data_Entry!AA196/Data_Entry!$H196),0)</f>
        <v>0.60192278923939091</v>
      </c>
      <c r="W207" s="49">
        <f>IFERROR(IF(Data_Entry!AB196/Data_Entry!$H196&lt;0,0,Data_Entry!AB196/Data_Entry!$H196),0)</f>
        <v>0.32220572835755629</v>
      </c>
      <c r="X207" s="49">
        <f>IFERROR(IF(Data_Entry!AC196/Data_Entry!$I196&lt;0,0,Data_Entry!AC196/Data_Entry!$I196),0)</f>
        <v>9.5767686129131918E-2</v>
      </c>
      <c r="Y207" s="49">
        <f>IFERROR(IF(Data_Entry!AD196/Data_Entry!$I196&lt;0,0,Data_Entry!AD196/Data_Entry!$I196),0)</f>
        <v>0.14828544949026878</v>
      </c>
      <c r="Z207" s="49">
        <f>IFERROR(IF(Data_Entry!AE196/Data_Entry!$I196&lt;0,0,Data_Entry!AE196/Data_Entry!$I196),0)</f>
        <v>6.4874884151992593E-2</v>
      </c>
      <c r="AA207" s="49">
        <f>IFERROR(IF(Data_Entry!AF196/Data_Entry!$I196&lt;0,0,Data_Entry!AF196/Data_Entry!$I196),0)</f>
        <v>4.324992276799506E-2</v>
      </c>
      <c r="AB207" s="49">
        <f>IFERROR(IF(Data_Entry!AG196/Data_Entry!$I196&lt;0,0,Data_Entry!AG196/Data_Entry!$I196),0)</f>
        <v>3.7071362372567196E-2</v>
      </c>
      <c r="AC207" s="49">
        <f>IFERROR(IF(Data_Entry!AI196/Data_Entry!$I196&lt;0,0,Data_Entry!AI196/Data_Entry!$I196),0)</f>
        <v>0.15446400988569664</v>
      </c>
      <c r="AD207" s="49">
        <f>IFERROR(IF(Data_Entry!AM196/Data_Entry!$H196&lt;0,0,Data_Entry!AM196/Data_Entry!$H196),0)</f>
        <v>0.43196811933650409</v>
      </c>
      <c r="AE207" s="50">
        <f>Data_Entry!AK196</f>
        <v>37.428249999999991</v>
      </c>
      <c r="AF207" s="50">
        <f>Data_Entry!AL196</f>
        <v>0</v>
      </c>
      <c r="AG207" s="153">
        <f>(Data_Entry!O196-Data_Entry!Q196)/Data_Entry!O196</f>
        <v>4.0816326530612242E-2</v>
      </c>
      <c r="AH207" s="79" t="str">
        <f t="shared" si="4"/>
        <v>CAT3</v>
      </c>
      <c r="AI207" s="51">
        <f>SUBTOTAL(3,Tableau1[[#This Row],[ZS]])</f>
        <v>0</v>
      </c>
      <c r="AJ207" s="51" t="e">
        <f t="shared" ca="1" si="5"/>
        <v>#NAME?</v>
      </c>
      <c r="AK207" s="50" t="str">
        <f>IFERROR(IF((Data_Entry!O196-Data_Entry!Q196)/Data_Entry!O196&lt;=10%,"&lt;=10%","&gt;10%"),"&lt;=10%")</f>
        <v>&lt;=10%</v>
      </c>
    </row>
    <row r="208" spans="1:37" s="48" customFormat="1" ht="13" hidden="1" x14ac:dyDescent="0.3">
      <c r="A208" s="31" t="s">
        <v>16</v>
      </c>
      <c r="B208" s="48" t="str">
        <f>Data_Entry!B197</f>
        <v>Butembo</v>
      </c>
      <c r="C208" s="48" t="str">
        <f>Data_Entry!C197</f>
        <v xml:space="preserve"> Kamango</v>
      </c>
      <c r="D208" s="48" t="str">
        <f>Data_Entry!D197</f>
        <v xml:space="preserve"> Musale</v>
      </c>
      <c r="E208" s="49">
        <f>IFERROR(IF(Data_Entry!J197/Data_Entry!$I197&lt;0,0,Data_Entry!J197/Data_Entry!$I197),0)</f>
        <v>0.67790118728456528</v>
      </c>
      <c r="F208" s="49">
        <f>IFERROR(IF(Data_Entry!K197/Data_Entry!$H197&lt;0,0,Data_Entry!K197/Data_Entry!$H197),0)</f>
        <v>0.56626197956847768</v>
      </c>
      <c r="G208" s="49">
        <f>IFERROR(IF(Data_Entry!L197/Data_Entry!$H197&lt;0,0,Data_Entry!L197/Data_Entry!$H197),0)</f>
        <v>0.96571810469042707</v>
      </c>
      <c r="H208" s="49">
        <f>IFERROR(IF(Data_Entry!M197/Data_Entry!$H197&lt;0,0,Data_Entry!M197/Data_Entry!$H197),0)</f>
        <v>0.86475666647279148</v>
      </c>
      <c r="I208" s="49">
        <f>IFERROR(IF(Data_Entry!N197/Data_Entry!$H197&lt;0,0,Data_Entry!N197/Data_Entry!$H197),0)</f>
        <v>0.88231517746716293</v>
      </c>
      <c r="J208" s="49">
        <f>IFERROR(IF(Data_Entry!O197/Data_Entry!$H197&lt;0,0,Data_Entry!O197/Data_Entry!$H197),0)</f>
        <v>0.96571810469042707</v>
      </c>
      <c r="K208" s="49">
        <f>IFERROR(IF(Data_Entry!P197/Data_Entry!$H197&lt;0,0,Data_Entry!P197/Data_Entry!$H197),0)</f>
        <v>0.86475666647279148</v>
      </c>
      <c r="L208" s="49">
        <f>IFERROR(IF(Data_Entry!Q197/Data_Entry!$H197&lt;0,0,Data_Entry!Q197/Data_Entry!$H197),0)</f>
        <v>0.88231517746716293</v>
      </c>
      <c r="M208" s="49">
        <f>IFERROR(IF(Data_Entry!R197/Data_Entry!$H197&lt;0,0,Data_Entry!R197/Data_Entry!$H197),0)</f>
        <v>0.85597741097560587</v>
      </c>
      <c r="N208" s="49">
        <f>IFERROR(IF(Data_Entry!S197/Data_Entry!$H197&lt;0,0,Data_Entry!S197/Data_Entry!$H197),0)</f>
        <v>0.77696411150093447</v>
      </c>
      <c r="O208" s="49">
        <f>IFERROR(IF(Data_Entry!T197/Data_Entry!$H197&lt;0,0,Data_Entry!T197/Data_Entry!$H197),0)</f>
        <v>0.80330187799249164</v>
      </c>
      <c r="P208" s="49">
        <f>IFERROR(IF(Data_Entry!U197/Data_Entry!$H197&lt;0,0,Data_Entry!U197/Data_Entry!$H197),0)</f>
        <v>0.96571810469042707</v>
      </c>
      <c r="Q208" s="49">
        <f>IFERROR(IF(Data_Entry!V197/Data_Entry!$H197&lt;0,0,Data_Entry!V197/Data_Entry!$H197),0)</f>
        <v>0.86475666647279148</v>
      </c>
      <c r="R208" s="49">
        <f>IFERROR(IF(Data_Entry!W197/Data_Entry!$H197&lt;0,0,Data_Entry!W197/Data_Entry!$H197),0)</f>
        <v>0.88231517746716293</v>
      </c>
      <c r="S208" s="49">
        <f>IFERROR(IF(Data_Entry!X197/Data_Entry!$H197&lt;0,0,Data_Entry!X197/Data_Entry!$H197),0)</f>
        <v>0.79013299474671306</v>
      </c>
      <c r="T208" s="49">
        <f>IFERROR(IF(Data_Entry!Y197/Data_Entry!$H197&lt;0,0,Data_Entry!Y197/Data_Entry!$H197),0)</f>
        <v>5.2675532983114205E-2</v>
      </c>
      <c r="U208" s="49">
        <f>IFERROR(IF(Data_Entry!Z197/Data_Entry!$H197&lt;0,0,Data_Entry!Z197/Data_Entry!$H197),0)</f>
        <v>0.80330187799249164</v>
      </c>
      <c r="V208" s="49">
        <f>IFERROR(IF(Data_Entry!AA197/Data_Entry!$H197&lt;0,0,Data_Entry!AA197/Data_Entry!$H197),0)</f>
        <v>0.88231517746716293</v>
      </c>
      <c r="W208" s="49">
        <f>IFERROR(IF(Data_Entry!AB197/Data_Entry!$H197&lt;0,0,Data_Entry!AB197/Data_Entry!$H197),0)</f>
        <v>0.20631250418386396</v>
      </c>
      <c r="X208" s="49">
        <f>IFERROR(IF(Data_Entry!AC197/Data_Entry!$I197&lt;0,0,Data_Entry!AC197/Data_Entry!$I197),0)</f>
        <v>0.14936805821524318</v>
      </c>
      <c r="Y208" s="49">
        <f>IFERROR(IF(Data_Entry!AD197/Data_Entry!$I197&lt;0,0,Data_Entry!AD197/Data_Entry!$I197),0)</f>
        <v>7.2769054002297967E-2</v>
      </c>
      <c r="Z208" s="49">
        <f>IFERROR(IF(Data_Entry!AE197/Data_Entry!$I197&lt;0,0,Data_Entry!AE197/Data_Entry!$I197),0)</f>
        <v>4.2129452317119877E-2</v>
      </c>
      <c r="AA208" s="49">
        <f>IFERROR(IF(Data_Entry!AF197/Data_Entry!$I197&lt;0,0,Data_Entry!AF197/Data_Entry!$I197),0)</f>
        <v>0</v>
      </c>
      <c r="AB208" s="49">
        <f>IFERROR(IF(Data_Entry!AG197/Data_Entry!$I197&lt;0,0,Data_Entry!AG197/Data_Entry!$I197),0)</f>
        <v>0</v>
      </c>
      <c r="AC208" s="49">
        <f>IFERROR(IF(Data_Entry!AI197/Data_Entry!$I197&lt;0,0,Data_Entry!AI197/Data_Entry!$I197),0)</f>
        <v>0.19149751053236305</v>
      </c>
      <c r="AD208" s="49">
        <f>IFERROR(IF(Data_Entry!AM197/Data_Entry!$H197&lt;0,0,Data_Entry!AM197/Data_Entry!$H197),0)</f>
        <v>0.79013299474671306</v>
      </c>
      <c r="AE208" s="50">
        <f>Data_Entry!AK197</f>
        <v>7.8097499999999798</v>
      </c>
      <c r="AF208" s="50">
        <f>Data_Entry!AL197</f>
        <v>40</v>
      </c>
      <c r="AG208" s="153">
        <f>(Data_Entry!O197-Data_Entry!Q197)/Data_Entry!O197</f>
        <v>8.6363636363636365E-2</v>
      </c>
      <c r="AH208" s="79" t="str">
        <f t="shared" ref="AH208:AH271" si="6">IFERROR(IF(AND(AG208&lt;=10%,J208&gt;=90%),"CAT1",IF(AND(AG208&lt;=10%,J208&lt;90%),"CAT3",IF(AND(AG208&gt;10%,J208&gt;=90%),"CAT2",IF(AND(AG208&gt;10%,J208&lt;90%),"CAT4",)))),"ND")</f>
        <v>CAT1</v>
      </c>
      <c r="AI208" s="51">
        <f>SUBTOTAL(3,Tableau1[[#This Row],[ZS]])</f>
        <v>0</v>
      </c>
      <c r="AJ208" s="51" t="e">
        <f t="shared" ref="AJ208:AJ271" ca="1" si="7">_xlfn.IFS(L208&lt;50%,"&lt;50%",(AND(L208&lt;80%,L208&gt;50%)),"&gt;50%&lt;80%",(AND(L208&gt;=80%,L208&lt;95%)),"&gt;=80%&lt;95%",(AND(L208&gt;=95%,L208&lt;100%)),"95-100%",L208&gt;100%,"&gt;100%")</f>
        <v>#NAME?</v>
      </c>
      <c r="AK208" s="50" t="str">
        <f>IFERROR(IF((Data_Entry!O197-Data_Entry!Q197)/Data_Entry!O197&lt;=10%,"&lt;=10%","&gt;10%"),"&lt;=10%")</f>
        <v>&lt;=10%</v>
      </c>
    </row>
    <row r="209" spans="1:37" s="48" customFormat="1" ht="13" hidden="1" x14ac:dyDescent="0.3">
      <c r="A209" s="31" t="s">
        <v>16</v>
      </c>
      <c r="B209" s="48" t="str">
        <f>Data_Entry!B198</f>
        <v>Butembo</v>
      </c>
      <c r="C209" s="48" t="str">
        <f>Data_Entry!C198</f>
        <v xml:space="preserve"> Kamango</v>
      </c>
      <c r="D209" s="48" t="str">
        <f>Data_Entry!D198</f>
        <v xml:space="preserve"> Ndama</v>
      </c>
      <c r="E209" s="49">
        <f>IFERROR(IF(Data_Entry!J198/Data_Entry!$I198&lt;0,0,Data_Entry!J198/Data_Entry!$I198),0)</f>
        <v>0.9790721498609688</v>
      </c>
      <c r="F209" s="49">
        <f>IFERROR(IF(Data_Entry!K198/Data_Entry!$H198&lt;0,0,Data_Entry!K198/Data_Entry!$H198),0)</f>
        <v>1.2127225159211763</v>
      </c>
      <c r="G209" s="49">
        <f>IFERROR(IF(Data_Entry!L198/Data_Entry!$H198&lt;0,0,Data_Entry!L198/Data_Entry!$H198),0)</f>
        <v>1.3435556504188966</v>
      </c>
      <c r="H209" s="49">
        <f>IFERROR(IF(Data_Entry!M198/Data_Entry!$H198&lt;0,0,Data_Entry!M198/Data_Entry!$H198),0)</f>
        <v>1.237882734093815</v>
      </c>
      <c r="I209" s="49">
        <f>IFERROR(IF(Data_Entry!N198/Data_Entry!$H198&lt;0,0,Data_Entry!N198/Data_Entry!$H198),0)</f>
        <v>1.3636838249570076</v>
      </c>
      <c r="J209" s="49">
        <f>IFERROR(IF(Data_Entry!O198/Data_Entry!$H198&lt;0,0,Data_Entry!O198/Data_Entry!$H198),0)</f>
        <v>1.3485876940534243</v>
      </c>
      <c r="K209" s="49">
        <f>IFERROR(IF(Data_Entry!P198/Data_Entry!$H198&lt;0,0,Data_Entry!P198/Data_Entry!$H198),0)</f>
        <v>1.237882734093815</v>
      </c>
      <c r="L209" s="49">
        <f>IFERROR(IF(Data_Entry!Q198/Data_Entry!$H198&lt;0,0,Data_Entry!Q198/Data_Entry!$H198),0)</f>
        <v>1.3636838249570076</v>
      </c>
      <c r="M209" s="49">
        <f>IFERROR(IF(Data_Entry!R198/Data_Entry!$H198&lt;0,0,Data_Entry!R198/Data_Entry!$H198),0)</f>
        <v>1.1120816432306224</v>
      </c>
      <c r="N209" s="49">
        <f>IFERROR(IF(Data_Entry!S198/Data_Entry!$H198&lt;0,0,Data_Entry!S198/Data_Entry!$H198),0)</f>
        <v>1.0315689450781791</v>
      </c>
      <c r="O209" s="49">
        <f>IFERROR(IF(Data_Entry!T198/Data_Entry!$H198&lt;0,0,Data_Entry!T198/Data_Entry!$H198),0)</f>
        <v>1.1473059486723163</v>
      </c>
      <c r="P209" s="49">
        <f>IFERROR(IF(Data_Entry!U198/Data_Entry!$H198&lt;0,0,Data_Entry!U198/Data_Entry!$H198),0)</f>
        <v>1.3485876940534243</v>
      </c>
      <c r="Q209" s="49">
        <f>IFERROR(IF(Data_Entry!V198/Data_Entry!$H198&lt;0,0,Data_Entry!V198/Data_Entry!$H198),0)</f>
        <v>1.237882734093815</v>
      </c>
      <c r="R209" s="49">
        <f>IFERROR(IF(Data_Entry!W198/Data_Entry!$H198&lt;0,0,Data_Entry!W198/Data_Entry!$H198),0)</f>
        <v>1.3636838249570076</v>
      </c>
      <c r="S209" s="49">
        <f>IFERROR(IF(Data_Entry!X198/Data_Entry!$H198&lt;0,0,Data_Entry!X198/Data_Entry!$H198),0)</f>
        <v>1.1322098177687332</v>
      </c>
      <c r="T209" s="49">
        <f>IFERROR(IF(Data_Entry!Y198/Data_Entry!$H198&lt;0,0,Data_Entry!Y198/Data_Entry!$H198),0)</f>
        <v>0.31701874897524529</v>
      </c>
      <c r="U209" s="49">
        <f>IFERROR(IF(Data_Entry!Z198/Data_Entry!$H198&lt;0,0,Data_Entry!Z198/Data_Entry!$H198),0)</f>
        <v>1.1120816432306224</v>
      </c>
      <c r="V209" s="49">
        <f>IFERROR(IF(Data_Entry!AA198/Data_Entry!$H198&lt;0,0,Data_Entry!AA198/Data_Entry!$H198),0)</f>
        <v>1.2680749959009812</v>
      </c>
      <c r="W209" s="49">
        <f>IFERROR(IF(Data_Entry!AB198/Data_Entry!$H198&lt;0,0,Data_Entry!AB198/Data_Entry!$H198),0)</f>
        <v>0.69945406519935072</v>
      </c>
      <c r="X209" s="49">
        <f>IFERROR(IF(Data_Entry!AC198/Data_Entry!$I198&lt;0,0,Data_Entry!AC198/Data_Entry!$I198),0)</f>
        <v>0.79467291087370107</v>
      </c>
      <c r="Y209" s="49">
        <f>IFERROR(IF(Data_Entry!AD198/Data_Entry!$I198&lt;0,0,Data_Entry!AD198/Data_Entry!$I198),0)</f>
        <v>0.32489389726328111</v>
      </c>
      <c r="Z209" s="49">
        <f>IFERROR(IF(Data_Entry!AE198/Data_Entry!$I198&lt;0,0,Data_Entry!AE198/Data_Entry!$I198),0)</f>
        <v>0.20196107127176935</v>
      </c>
      <c r="AA209" s="49">
        <f>IFERROR(IF(Data_Entry!AF198/Data_Entry!$I198&lt;0,0,Data_Entry!AF198/Data_Entry!$I198),0)</f>
        <v>0.11415190984926094</v>
      </c>
      <c r="AB209" s="49">
        <f>IFERROR(IF(Data_Entry!AG198/Data_Entry!$I198&lt;0,0,Data_Entry!AG198/Data_Entry!$I198),0)</f>
        <v>7.4637787209132153E-2</v>
      </c>
      <c r="AC209" s="49">
        <f>IFERROR(IF(Data_Entry!AI198/Data_Entry!$I198&lt;0,0,Data_Entry!AI198/Data_Entry!$I198),0)</f>
        <v>0.21952290355627102</v>
      </c>
      <c r="AD209" s="49">
        <f>IFERROR(IF(Data_Entry!AM198/Data_Entry!$H198&lt;0,0,Data_Entry!AM198/Data_Entry!$H198),0)</f>
        <v>1.1120816432306224</v>
      </c>
      <c r="AE209" s="50">
        <f>Data_Entry!AK198</f>
        <v>0</v>
      </c>
      <c r="AF209" s="50">
        <f>Data_Entry!AL198</f>
        <v>43</v>
      </c>
      <c r="AG209" s="153">
        <f>(Data_Entry!O198-Data_Entry!Q198)/Data_Entry!O198</f>
        <v>-1.1194029850746268E-2</v>
      </c>
      <c r="AH209" s="79" t="str">
        <f t="shared" si="6"/>
        <v>CAT1</v>
      </c>
      <c r="AI209" s="51">
        <f>SUBTOTAL(3,Tableau1[[#This Row],[ZS]])</f>
        <v>0</v>
      </c>
      <c r="AJ209" s="51" t="e">
        <f t="shared" ca="1" si="7"/>
        <v>#NAME?</v>
      </c>
      <c r="AK209" s="50" t="str">
        <f>IFERROR(IF((Data_Entry!O198-Data_Entry!Q198)/Data_Entry!O198&lt;=10%,"&lt;=10%","&gt;10%"),"&lt;=10%")</f>
        <v>&lt;=10%</v>
      </c>
    </row>
    <row r="210" spans="1:37" s="48" customFormat="1" ht="13" hidden="1" x14ac:dyDescent="0.3">
      <c r="A210" s="31" t="s">
        <v>16</v>
      </c>
      <c r="B210" s="48" t="str">
        <f>Data_Entry!B199</f>
        <v>Butembo</v>
      </c>
      <c r="C210" s="48" t="str">
        <f>Data_Entry!C199</f>
        <v xml:space="preserve"> Kamango</v>
      </c>
      <c r="D210" s="48" t="str">
        <f>Data_Entry!D199</f>
        <v xml:space="preserve"> Njiapanda</v>
      </c>
      <c r="E210" s="49">
        <f>IFERROR(IF(Data_Entry!J199/Data_Entry!$I199&lt;0,0,Data_Entry!J199/Data_Entry!$I199),0)</f>
        <v>1.4815681685196018</v>
      </c>
      <c r="F210" s="49">
        <f>IFERROR(IF(Data_Entry!K199/Data_Entry!$H199&lt;0,0,Data_Entry!K199/Data_Entry!$H199),0)</f>
        <v>1.4324970952701104</v>
      </c>
      <c r="G210" s="49">
        <f>IFERROR(IF(Data_Entry!L199/Data_Entry!$H199&lt;0,0,Data_Entry!L199/Data_Entry!$H199),0)</f>
        <v>1.9032896799515793</v>
      </c>
      <c r="H210" s="49">
        <f>IFERROR(IF(Data_Entry!M199/Data_Entry!$H199&lt;0,0,Data_Entry!M199/Data_Entry!$H199),0)</f>
        <v>1.6115592321788743</v>
      </c>
      <c r="I210" s="49">
        <f>IFERROR(IF(Data_Entry!N199/Data_Entry!$H199&lt;0,0,Data_Entry!N199/Data_Entry!$H199),0)</f>
        <v>1.6397263098948596</v>
      </c>
      <c r="J210" s="49">
        <f>IFERROR(IF(Data_Entry!O199/Data_Entry!$H199&lt;0,0,Data_Entry!O199/Data_Entry!$H199),0)</f>
        <v>1.8912180752161571</v>
      </c>
      <c r="K210" s="49">
        <f>IFERROR(IF(Data_Entry!P199/Data_Entry!$H199&lt;0,0,Data_Entry!P199/Data_Entry!$H199),0)</f>
        <v>1.6115592321788743</v>
      </c>
      <c r="L210" s="49">
        <f>IFERROR(IF(Data_Entry!Q199/Data_Entry!$H199&lt;0,0,Data_Entry!Q199/Data_Entry!$H199),0)</f>
        <v>1.6397263098948596</v>
      </c>
      <c r="M210" s="49">
        <f>IFERROR(IF(Data_Entry!R199/Data_Entry!$H199&lt;0,0,Data_Entry!R199/Data_Entry!$H199),0)</f>
        <v>1.6699053217334152</v>
      </c>
      <c r="N210" s="49">
        <f>IFERROR(IF(Data_Entry!S199/Data_Entry!$H199&lt;0,0,Data_Entry!S199/Data_Entry!$H199),0)</f>
        <v>1.4827954483343699</v>
      </c>
      <c r="O210" s="49">
        <f>IFERROR(IF(Data_Entry!T199/Data_Entry!$H199&lt;0,0,Data_Entry!T199/Data_Entry!$H199),0)</f>
        <v>1.4968789871923627</v>
      </c>
      <c r="P210" s="49">
        <f>IFERROR(IF(Data_Entry!U199/Data_Entry!$H199&lt;0,0,Data_Entry!U199/Data_Entry!$H199),0)</f>
        <v>1.6497859805077115</v>
      </c>
      <c r="Q210" s="49">
        <f>IFERROR(IF(Data_Entry!V199/Data_Entry!$H199&lt;0,0,Data_Entry!V199/Data_Entry!$H199),0)</f>
        <v>1.4827954483343699</v>
      </c>
      <c r="R210" s="49">
        <f>IFERROR(IF(Data_Entry!W199/Data_Entry!$H199&lt;0,0,Data_Entry!W199/Data_Entry!$H199),0)</f>
        <v>1.4968789871923627</v>
      </c>
      <c r="S210" s="49">
        <f>IFERROR(IF(Data_Entry!X199/Data_Entry!$H199&lt;0,0,Data_Entry!X199/Data_Entry!$H199),0)</f>
        <v>1.1548501863553979</v>
      </c>
      <c r="T210" s="49">
        <f>IFERROR(IF(Data_Entry!Y199/Data_Entry!$H199&lt;0,0,Data_Entry!Y199/Data_Entry!$H199),0)</f>
        <v>7.0417694289963292E-2</v>
      </c>
      <c r="U210" s="49">
        <f>IFERROR(IF(Data_Entry!Z199/Data_Entry!$H199&lt;0,0,Data_Entry!Z199/Data_Entry!$H199),0)</f>
        <v>0.86513167270526337</v>
      </c>
      <c r="V210" s="49">
        <f>IFERROR(IF(Data_Entry!AA199/Data_Entry!$H199&lt;0,0,Data_Entry!AA199/Data_Entry!$H199),0)</f>
        <v>1.6397263098948596</v>
      </c>
      <c r="W210" s="49">
        <f>IFERROR(IF(Data_Entry!AB199/Data_Entry!$H199&lt;0,0,Data_Entry!AB199/Data_Entry!$H199),0)</f>
        <v>1.0441938096140271</v>
      </c>
      <c r="X210" s="49">
        <f>IFERROR(IF(Data_Entry!AC199/Data_Entry!$I199&lt;0,0,Data_Entry!AC199/Data_Entry!$I199),0)</f>
        <v>0.49678174370977174</v>
      </c>
      <c r="Y210" s="49">
        <f>IFERROR(IF(Data_Entry!AD199/Data_Entry!$I199&lt;0,0,Data_Entry!AD199/Data_Entry!$I199),0)</f>
        <v>0.37916910473961374</v>
      </c>
      <c r="Z210" s="49">
        <f>IFERROR(IF(Data_Entry!AE199/Data_Entry!$I199&lt;0,0,Data_Entry!AE199/Data_Entry!$I199),0)</f>
        <v>0.26506729081334113</v>
      </c>
      <c r="AA210" s="49">
        <f>IFERROR(IF(Data_Entry!AF199/Data_Entry!$I199&lt;0,0,Data_Entry!AF199/Data_Entry!$I199),0)</f>
        <v>0.24049151550614392</v>
      </c>
      <c r="AB210" s="49">
        <f>IFERROR(IF(Data_Entry!AG199/Data_Entry!$I199&lt;0,0,Data_Entry!AG199/Data_Entry!$I199),0)</f>
        <v>0.18256290228203625</v>
      </c>
      <c r="AC210" s="49">
        <f>IFERROR(IF(Data_Entry!AI199/Data_Entry!$I199&lt;0,0,Data_Entry!AI199/Data_Entry!$I199),0)</f>
        <v>8.777062609713282E-2</v>
      </c>
      <c r="AD210" s="49">
        <f>IFERROR(IF(Data_Entry!AM199/Data_Entry!$H199&lt;0,0,Data_Entry!AM199/Data_Entry!$H199),0)</f>
        <v>0.86513167270526337</v>
      </c>
      <c r="AE210" s="50">
        <f>Data_Entry!AK199</f>
        <v>0</v>
      </c>
      <c r="AF210" s="50">
        <f>Data_Entry!AL199</f>
        <v>366</v>
      </c>
      <c r="AG210" s="153">
        <f>(Data_Entry!O199-Data_Entry!Q199)/Data_Entry!O199</f>
        <v>0.13297872340425532</v>
      </c>
      <c r="AH210" s="79" t="str">
        <f t="shared" si="6"/>
        <v>CAT2</v>
      </c>
      <c r="AI210" s="51">
        <f>SUBTOTAL(3,Tableau1[[#This Row],[ZS]])</f>
        <v>0</v>
      </c>
      <c r="AJ210" s="51" t="e">
        <f t="shared" ca="1" si="7"/>
        <v>#NAME?</v>
      </c>
      <c r="AK210" s="50" t="str">
        <f>IFERROR(IF((Data_Entry!O199-Data_Entry!Q199)/Data_Entry!O199&lt;=10%,"&lt;=10%","&gt;10%"),"&lt;=10%")</f>
        <v>&gt;10%</v>
      </c>
    </row>
    <row r="211" spans="1:37" s="48" customFormat="1" ht="13" hidden="1" x14ac:dyDescent="0.3">
      <c r="A211" s="31" t="s">
        <v>16</v>
      </c>
      <c r="B211" s="48" t="str">
        <f>Data_Entry!B200</f>
        <v>Butembo</v>
      </c>
      <c r="C211" s="48" t="str">
        <f>Data_Entry!C200</f>
        <v xml:space="preserve"> Kamango</v>
      </c>
      <c r="D211" s="48" t="str">
        <f>Data_Entry!D200</f>
        <v xml:space="preserve"> Nsungu</v>
      </c>
      <c r="E211" s="49">
        <f>IFERROR(IF(Data_Entry!J200/Data_Entry!$I200&lt;0,0,Data_Entry!J200/Data_Entry!$I200),0)</f>
        <v>0.70200261210274273</v>
      </c>
      <c r="F211" s="49">
        <f>IFERROR(IF(Data_Entry!K200/Data_Entry!$H200&lt;0,0,Data_Entry!K200/Data_Entry!$H200),0)</f>
        <v>1.1413915996073114</v>
      </c>
      <c r="G211" s="49">
        <f>IFERROR(IF(Data_Entry!L200/Data_Entry!$H200&lt;0,0,Data_Entry!L200/Data_Entry!$H200),0)</f>
        <v>0.8158143236537504</v>
      </c>
      <c r="H211" s="49">
        <f>IFERROR(IF(Data_Entry!M200/Data_Entry!$H200&lt;0,0,Data_Entry!M200/Data_Entry!$H200),0)</f>
        <v>0.72225763516134789</v>
      </c>
      <c r="I211" s="49">
        <f>IFERROR(IF(Data_Entry!N200/Data_Entry!$H200&lt;0,0,Data_Entry!N200/Data_Entry!$H200),0)</f>
        <v>0.7147731000819556</v>
      </c>
      <c r="J211" s="49">
        <f>IFERROR(IF(Data_Entry!O200/Data_Entry!$H200&lt;0,0,Data_Entry!O200/Data_Entry!$H200),0)</f>
        <v>0.99918543309885943</v>
      </c>
      <c r="K211" s="49">
        <f>IFERROR(IF(Data_Entry!P200/Data_Entry!$H200&lt;0,0,Data_Entry!P200/Data_Entry!$H200),0)</f>
        <v>0.74096897285982832</v>
      </c>
      <c r="L211" s="49">
        <f>IFERROR(IF(Data_Entry!Q200/Data_Entry!$H200&lt;0,0,Data_Entry!Q200/Data_Entry!$H200),0)</f>
        <v>0.69980402992317126</v>
      </c>
      <c r="M211" s="49">
        <f>IFERROR(IF(Data_Entry!R200/Data_Entry!$H200&lt;0,0,Data_Entry!R200/Data_Entry!$H200),0)</f>
        <v>0.56508239849411157</v>
      </c>
      <c r="N211" s="49">
        <f>IFERROR(IF(Data_Entry!S200/Data_Entry!$H200&lt;0,0,Data_Entry!S200/Data_Entry!$H200),0)</f>
        <v>0.52017518801775831</v>
      </c>
      <c r="O211" s="49">
        <f>IFERROR(IF(Data_Entry!T200/Data_Entry!$H200&lt;0,0,Data_Entry!T200/Data_Entry!$H200),0)</f>
        <v>0.51269065293836613</v>
      </c>
      <c r="P211" s="49">
        <f>IFERROR(IF(Data_Entry!U200/Data_Entry!$H200&lt;0,0,Data_Entry!U200/Data_Entry!$H200),0)</f>
        <v>0.74845350793922061</v>
      </c>
      <c r="Q211" s="49">
        <f>IFERROR(IF(Data_Entry!V200/Data_Entry!$H200&lt;0,0,Data_Entry!V200/Data_Entry!$H200),0)</f>
        <v>0.69231949484377897</v>
      </c>
      <c r="R211" s="49">
        <f>IFERROR(IF(Data_Entry!W200/Data_Entry!$H200&lt;0,0,Data_Entry!W200/Data_Entry!$H200),0)</f>
        <v>0.66238135452621016</v>
      </c>
      <c r="S211" s="49">
        <f>IFERROR(IF(Data_Entry!X200/Data_Entry!$H200&lt;0,0,Data_Entry!X200/Data_Entry!$H200),0)</f>
        <v>0.7147731000819556</v>
      </c>
      <c r="T211" s="49">
        <f>IFERROR(IF(Data_Entry!Y200/Data_Entry!$H200&lt;0,0,Data_Entry!Y200/Data_Entry!$H200),0)</f>
        <v>0.34428861365204144</v>
      </c>
      <c r="U211" s="49">
        <f>IFERROR(IF(Data_Entry!Z200/Data_Entry!$H200&lt;0,0,Data_Entry!Z200/Data_Entry!$H200),0)</f>
        <v>0.62870094666894527</v>
      </c>
      <c r="V211" s="49">
        <f>IFERROR(IF(Data_Entry!AA200/Data_Entry!$H200&lt;0,0,Data_Entry!AA200/Data_Entry!$H200),0)</f>
        <v>0.7147731000819556</v>
      </c>
      <c r="W211" s="49">
        <f>IFERROR(IF(Data_Entry!AB200/Data_Entry!$H200&lt;0,0,Data_Entry!AB200/Data_Entry!$H200),0)</f>
        <v>0.29563913563599215</v>
      </c>
      <c r="X211" s="49">
        <f>IFERROR(IF(Data_Entry!AC200/Data_Entry!$I200&lt;0,0,Data_Entry!AC200/Data_Entry!$I200),0)</f>
        <v>0.1240748802786243</v>
      </c>
      <c r="Y211" s="49">
        <f>IFERROR(IF(Data_Entry!AD200/Data_Entry!$I200&lt;0,0,Data_Entry!AD200/Data_Entry!$I200),0)</f>
        <v>0.10121898127993034</v>
      </c>
      <c r="Z211" s="49">
        <f>IFERROR(IF(Data_Entry!AE200/Data_Entry!$I200&lt;0,0,Data_Entry!AE200/Data_Entry!$I200),0)</f>
        <v>0.10121898127993034</v>
      </c>
      <c r="AA211" s="49">
        <f>IFERROR(IF(Data_Entry!AF200/Data_Entry!$I200&lt;0,0,Data_Entry!AF200/Data_Entry!$I200),0)</f>
        <v>6.2037440139312151E-2</v>
      </c>
      <c r="AB211" s="49">
        <f>IFERROR(IF(Data_Entry!AG200/Data_Entry!$I200&lt;0,0,Data_Entry!AG200/Data_Entry!$I200),0)</f>
        <v>2.6121027427078801E-2</v>
      </c>
      <c r="AC211" s="49">
        <f>IFERROR(IF(Data_Entry!AI200/Data_Entry!$I200&lt;0,0,Data_Entry!AI200/Data_Entry!$I200),0)</f>
        <v>0.10872877666521549</v>
      </c>
      <c r="AD211" s="49">
        <f>IFERROR(IF(Data_Entry!AM200/Data_Entry!$H200&lt;0,0,Data_Entry!AM200/Data_Entry!$H200),0)</f>
        <v>0.62870094666894527</v>
      </c>
      <c r="AE211" s="50">
        <f>Data_Entry!AK200</f>
        <v>0.21766666666667334</v>
      </c>
      <c r="AF211" s="50">
        <f>Data_Entry!AL200</f>
        <v>76</v>
      </c>
      <c r="AG211" s="153">
        <f>(Data_Entry!O200-Data_Entry!Q200)/Data_Entry!O200</f>
        <v>0.29962546816479402</v>
      </c>
      <c r="AH211" s="79" t="str">
        <f t="shared" si="6"/>
        <v>CAT2</v>
      </c>
      <c r="AI211" s="51">
        <f>SUBTOTAL(3,Tableau1[[#This Row],[ZS]])</f>
        <v>0</v>
      </c>
      <c r="AJ211" s="51" t="e">
        <f t="shared" ca="1" si="7"/>
        <v>#NAME?</v>
      </c>
      <c r="AK211" s="50" t="str">
        <f>IFERROR(IF((Data_Entry!O200-Data_Entry!Q200)/Data_Entry!O200&lt;=10%,"&lt;=10%","&gt;10%"),"&lt;=10%")</f>
        <v>&gt;10%</v>
      </c>
    </row>
    <row r="212" spans="1:37" s="48" customFormat="1" ht="13" hidden="1" x14ac:dyDescent="0.3">
      <c r="A212" s="31" t="s">
        <v>16</v>
      </c>
      <c r="B212" s="48" t="str">
        <f>Data_Entry!B201</f>
        <v>Goma</v>
      </c>
      <c r="C212" s="48" t="str">
        <f>Data_Entry!C201</f>
        <v xml:space="preserve"> Karisimbi</v>
      </c>
      <c r="D212" s="48" t="str">
        <f>Data_Entry!D201</f>
        <v xml:space="preserve"> Albert Barthel</v>
      </c>
      <c r="E212" s="49">
        <f>IFERROR(IF(Data_Entry!J201/Data_Entry!$I201&lt;0,0,Data_Entry!J201/Data_Entry!$I201),0)</f>
        <v>0.72445915774886438</v>
      </c>
      <c r="F212" s="49">
        <f>IFERROR(IF(Data_Entry!K201/Data_Entry!$H201&lt;0,0,Data_Entry!K201/Data_Entry!$H201),0)</f>
        <v>0.32207106696629573</v>
      </c>
      <c r="G212" s="49">
        <f>IFERROR(IF(Data_Entry!L201/Data_Entry!$H201&lt;0,0,Data_Entry!L201/Data_Entry!$H201),0)</f>
        <v>0.71120350678036803</v>
      </c>
      <c r="H212" s="49">
        <f>IFERROR(IF(Data_Entry!M201/Data_Entry!$H201&lt;0,0,Data_Entry!M201/Data_Entry!$H201),0)</f>
        <v>0.67149611496260553</v>
      </c>
      <c r="I212" s="49">
        <f>IFERROR(IF(Data_Entry!N201/Data_Entry!$H201&lt;0,0,Data_Entry!N201/Data_Entry!$H201),0)</f>
        <v>0.65826031769001803</v>
      </c>
      <c r="J212" s="49">
        <f>IFERROR(IF(Data_Entry!O201/Data_Entry!$H201&lt;0,0,Data_Entry!O201/Data_Entry!$H201),0)</f>
        <v>0.71914498514392056</v>
      </c>
      <c r="K212" s="49">
        <f>IFERROR(IF(Data_Entry!P201/Data_Entry!$H201&lt;0,0,Data_Entry!P201/Data_Entry!$H201),0)</f>
        <v>0.67590804738680144</v>
      </c>
      <c r="L212" s="49">
        <f>IFERROR(IF(Data_Entry!Q201/Data_Entry!$H201&lt;0,0,Data_Entry!Q201/Data_Entry!$H201),0)</f>
        <v>0.66443702308389219</v>
      </c>
      <c r="M212" s="49">
        <f>IFERROR(IF(Data_Entry!R201/Data_Entry!$H201&lt;0,0,Data_Entry!R201/Data_Entry!$H201),0)</f>
        <v>0.7129682797500464</v>
      </c>
      <c r="N212" s="49">
        <f>IFERROR(IF(Data_Entry!S201/Data_Entry!$H201&lt;0,0,Data_Entry!S201/Data_Entry!$H201),0)</f>
        <v>0.67590804738680144</v>
      </c>
      <c r="O212" s="49">
        <f>IFERROR(IF(Data_Entry!T201/Data_Entry!$H201&lt;0,0,Data_Entry!T201/Data_Entry!$H201),0)</f>
        <v>0.66531940956873137</v>
      </c>
      <c r="P212" s="49">
        <f>IFERROR(IF(Data_Entry!U201/Data_Entry!$H201&lt;0,0,Data_Entry!U201/Data_Entry!$H201),0)</f>
        <v>0.65208361229614387</v>
      </c>
      <c r="Q212" s="49">
        <f>IFERROR(IF(Data_Entry!V201/Data_Entry!$H201&lt;0,0,Data_Entry!V201/Data_Entry!$H201),0)</f>
        <v>0.64678929338710889</v>
      </c>
      <c r="R212" s="49">
        <f>IFERROR(IF(Data_Entry!W201/Data_Entry!$H201&lt;0,0,Data_Entry!W201/Data_Entry!$H201),0)</f>
        <v>0.62031769884193388</v>
      </c>
      <c r="S212" s="49">
        <f>IFERROR(IF(Data_Entry!X201/Data_Entry!$H201&lt;0,0,Data_Entry!X201/Data_Entry!$H201),0)</f>
        <v>0.57355121514545815</v>
      </c>
      <c r="T212" s="49">
        <f>IFERROR(IF(Data_Entry!Y201/Data_Entry!$H201&lt;0,0,Data_Entry!Y201/Data_Entry!$H201),0)</f>
        <v>0.14824092945297992</v>
      </c>
      <c r="U212" s="49">
        <f>IFERROR(IF(Data_Entry!Z201/Data_Entry!$H201&lt;0,0,Data_Entry!Z201/Data_Entry!$H201),0)</f>
        <v>0.5620801908425489</v>
      </c>
      <c r="V212" s="49">
        <f>IFERROR(IF(Data_Entry!AA201/Data_Entry!$H201&lt;0,0,Data_Entry!AA201/Data_Entry!$H201),0)</f>
        <v>0.66620179605357055</v>
      </c>
      <c r="W212" s="49">
        <f>IFERROR(IF(Data_Entry!AB201/Data_Entry!$H201&lt;0,0,Data_Entry!AB201/Data_Entry!$H201),0)</f>
        <v>0.32295345345113485</v>
      </c>
      <c r="X212" s="49">
        <f>IFERROR(IF(Data_Entry!AC201/Data_Entry!$I201&lt;0,0,Data_Entry!AC201/Data_Entry!$I201),0)</f>
        <v>0.11394256678728154</v>
      </c>
      <c r="Y212" s="49">
        <f>IFERROR(IF(Data_Entry!AD201/Data_Entry!$I201&lt;0,0,Data_Entry!AD201/Data_Entry!$I201),0)</f>
        <v>8.4687042882438987E-2</v>
      </c>
      <c r="Z212" s="49">
        <f>IFERROR(IF(Data_Entry!AE201/Data_Entry!$I201&lt;0,0,Data_Entry!AE201/Data_Entry!$I201),0)</f>
        <v>6.8519516513973353E-2</v>
      </c>
      <c r="AA212" s="49">
        <f>IFERROR(IF(Data_Entry!AF201/Data_Entry!$I201&lt;0,0,Data_Entry!AF201/Data_Entry!$I201),0)</f>
        <v>5.5431518977596426E-2</v>
      </c>
      <c r="AB212" s="49">
        <f>IFERROR(IF(Data_Entry!AG201/Data_Entry!$I201&lt;0,0,Data_Entry!AG201/Data_Entry!$I201),0)</f>
        <v>5.3121872353529907E-2</v>
      </c>
      <c r="AC212" s="49">
        <f>IFERROR(IF(Data_Entry!AI201/Data_Entry!$I201&lt;0,0,Data_Entry!AI201/Data_Entry!$I201),0)</f>
        <v>4.1727615674801752E-2</v>
      </c>
      <c r="AD212" s="49">
        <f>IFERROR(IF(Data_Entry!AM201/Data_Entry!$H201&lt;0,0,Data_Entry!AM201/Data_Entry!$H201),0)</f>
        <v>0.5620801908425489</v>
      </c>
      <c r="AE212" s="50">
        <f>Data_Entry!AK201</f>
        <v>318.29025000000001</v>
      </c>
      <c r="AF212" s="50">
        <f>Data_Entry!AL201</f>
        <v>165</v>
      </c>
      <c r="AG212" s="153">
        <f>(Data_Entry!O201-Data_Entry!Q201)/Data_Entry!O201</f>
        <v>7.6073619631901845E-2</v>
      </c>
      <c r="AH212" s="79" t="str">
        <f t="shared" si="6"/>
        <v>CAT3</v>
      </c>
      <c r="AI212" s="51">
        <f>SUBTOTAL(3,Tableau1[[#This Row],[ZS]])</f>
        <v>0</v>
      </c>
      <c r="AJ212" s="51" t="e">
        <f t="shared" ca="1" si="7"/>
        <v>#NAME?</v>
      </c>
      <c r="AK212" s="50" t="str">
        <f>IFERROR(IF((Data_Entry!O201-Data_Entry!Q201)/Data_Entry!O201&lt;=10%,"&lt;=10%","&gt;10%"),"&lt;=10%")</f>
        <v>&lt;=10%</v>
      </c>
    </row>
    <row r="213" spans="1:37" s="48" customFormat="1" ht="13" hidden="1" x14ac:dyDescent="0.3">
      <c r="A213" s="31" t="s">
        <v>16</v>
      </c>
      <c r="B213" s="48" t="str">
        <f>Data_Entry!B202</f>
        <v>Goma</v>
      </c>
      <c r="C213" s="48" t="str">
        <f>Data_Entry!C202</f>
        <v xml:space="preserve"> Karisimbi</v>
      </c>
      <c r="D213" s="48" t="str">
        <f>Data_Entry!D202</f>
        <v xml:space="preserve"> Amani</v>
      </c>
      <c r="E213" s="49">
        <f>IFERROR(IF(Data_Entry!J202/Data_Entry!$I202&lt;0,0,Data_Entry!J202/Data_Entry!$I202),0)</f>
        <v>0.68051240583904327</v>
      </c>
      <c r="F213" s="49">
        <f>IFERROR(IF(Data_Entry!K202/Data_Entry!$H202&lt;0,0,Data_Entry!K202/Data_Entry!$H202),0)</f>
        <v>4.9753348991817894E-2</v>
      </c>
      <c r="G213" s="49">
        <f>IFERROR(IF(Data_Entry!L202/Data_Entry!$H202&lt;0,0,Data_Entry!L202/Data_Entry!$H202),0)</f>
        <v>0.95116696602004791</v>
      </c>
      <c r="H213" s="49">
        <f>IFERROR(IF(Data_Entry!M202/Data_Entry!$H202&lt;0,0,Data_Entry!M202/Data_Entry!$H202),0)</f>
        <v>0.87653694253232106</v>
      </c>
      <c r="I213" s="49">
        <f>IFERROR(IF(Data_Entry!N202/Data_Entry!$H202&lt;0,0,Data_Entry!N202/Data_Entry!$H202),0)</f>
        <v>0.90287695082210706</v>
      </c>
      <c r="J213" s="49">
        <f>IFERROR(IF(Data_Entry!O202/Data_Entry!$H202&lt;0,0,Data_Entry!O202/Data_Entry!$H202),0)</f>
        <v>0.95116696602004791</v>
      </c>
      <c r="K213" s="49">
        <f>IFERROR(IF(Data_Entry!P202/Data_Entry!$H202&lt;0,0,Data_Entry!P202/Data_Entry!$H202),0)</f>
        <v>0.87653694253232106</v>
      </c>
      <c r="L213" s="49">
        <f>IFERROR(IF(Data_Entry!Q202/Data_Entry!$H202&lt;0,0,Data_Entry!Q202/Data_Entry!$H202),0)</f>
        <v>0.90287695082210706</v>
      </c>
      <c r="M213" s="49">
        <f>IFERROR(IF(Data_Entry!R202/Data_Entry!$H202&lt;0,0,Data_Entry!R202/Data_Entry!$H202),0)</f>
        <v>0.95116696602004791</v>
      </c>
      <c r="N213" s="49">
        <f>IFERROR(IF(Data_Entry!S202/Data_Entry!$H202&lt;0,0,Data_Entry!S202/Data_Entry!$H202),0)</f>
        <v>0.87653694253232106</v>
      </c>
      <c r="O213" s="49">
        <f>IFERROR(IF(Data_Entry!T202/Data_Entry!$H202&lt;0,0,Data_Entry!T202/Data_Entry!$H202),0)</f>
        <v>0.90287695082210706</v>
      </c>
      <c r="P213" s="49">
        <f>IFERROR(IF(Data_Entry!U202/Data_Entry!$H202&lt;0,0,Data_Entry!U202/Data_Entry!$H202),0)</f>
        <v>0.85751360321192016</v>
      </c>
      <c r="Q213" s="49">
        <f>IFERROR(IF(Data_Entry!V202/Data_Entry!$H202&lt;0,0,Data_Entry!V202/Data_Entry!$H202),0)</f>
        <v>0.7902002486935783</v>
      </c>
      <c r="R213" s="49">
        <f>IFERROR(IF(Data_Entry!W202/Data_Entry!$H202&lt;0,0,Data_Entry!W202/Data_Entry!$H202),0)</f>
        <v>0.8092235880139792</v>
      </c>
      <c r="S213" s="49">
        <f>IFERROR(IF(Data_Entry!X202/Data_Entry!$H202&lt;0,0,Data_Entry!X202/Data_Entry!$H202),0)</f>
        <v>1.0770136722934696</v>
      </c>
      <c r="T213" s="49">
        <f>IFERROR(IF(Data_Entry!Y202/Data_Entry!$H202&lt;0,0,Data_Entry!Y202/Data_Entry!$H202),0)</f>
        <v>0.16974672008973163</v>
      </c>
      <c r="U213" s="49">
        <f>IFERROR(IF(Data_Entry!Z202/Data_Entry!$H202&lt;0,0,Data_Entry!Z202/Data_Entry!$H202),0)</f>
        <v>0.98921364466084982</v>
      </c>
      <c r="V213" s="49">
        <f>IFERROR(IF(Data_Entry!AA202/Data_Entry!$H202&lt;0,0,Data_Entry!AA202/Data_Entry!$H202),0)</f>
        <v>0.90287695082210706</v>
      </c>
      <c r="W213" s="49">
        <f>IFERROR(IF(Data_Entry!AB202/Data_Entry!$H202&lt;0,0,Data_Entry!AB202/Data_Entry!$H202),0)</f>
        <v>0.92336362393638494</v>
      </c>
      <c r="X213" s="49">
        <f>IFERROR(IF(Data_Entry!AC202/Data_Entry!$I202&lt;0,0,Data_Entry!AC202/Data_Entry!$I202),0)</f>
        <v>0.12767587351576798</v>
      </c>
      <c r="Y213" s="49">
        <f>IFERROR(IF(Data_Entry!AD202/Data_Entry!$I202&lt;0,0,Data_Entry!AD202/Data_Entry!$I202),0)</f>
        <v>8.5542835255564539E-2</v>
      </c>
      <c r="Z213" s="49">
        <f>IFERROR(IF(Data_Entry!AE202/Data_Entry!$I202&lt;0,0,Data_Entry!AE202/Data_Entry!$I202),0)</f>
        <v>7.7882282844618456E-2</v>
      </c>
      <c r="AA213" s="49">
        <f>IFERROR(IF(Data_Entry!AF202/Data_Entry!$I202&lt;0,0,Data_Entry!AF202/Data_Entry!$I202),0)</f>
        <v>8.4266076520406866E-2</v>
      </c>
      <c r="AB213" s="49">
        <f>IFERROR(IF(Data_Entry!AG202/Data_Entry!$I202&lt;0,0,Data_Entry!AG202/Data_Entry!$I202),0)</f>
        <v>7.5328765374303094E-2</v>
      </c>
      <c r="AC213" s="49">
        <f>IFERROR(IF(Data_Entry!AI202/Data_Entry!$I202&lt;0,0,Data_Entry!AI202/Data_Entry!$I202),0)</f>
        <v>6.9200323445546247E-2</v>
      </c>
      <c r="AD213" s="49">
        <f>IFERROR(IF(Data_Entry!AM202/Data_Entry!$H202&lt;0,0,Data_Entry!AM202/Data_Entry!$H202),0)</f>
        <v>0.98921364466084982</v>
      </c>
      <c r="AE213" s="50">
        <f>Data_Entry!AK202</f>
        <v>33.371083333333331</v>
      </c>
      <c r="AF213" s="50">
        <f>Data_Entry!AL202</f>
        <v>0</v>
      </c>
      <c r="AG213" s="153">
        <f>(Data_Entry!O202-Data_Entry!Q202)/Data_Entry!O202</f>
        <v>5.0769230769230768E-2</v>
      </c>
      <c r="AH213" s="79" t="str">
        <f t="shared" si="6"/>
        <v>CAT1</v>
      </c>
      <c r="AI213" s="51">
        <f>SUBTOTAL(3,Tableau1[[#This Row],[ZS]])</f>
        <v>0</v>
      </c>
      <c r="AJ213" s="51" t="e">
        <f t="shared" ca="1" si="7"/>
        <v>#NAME?</v>
      </c>
      <c r="AK213" s="50" t="str">
        <f>IFERROR(IF((Data_Entry!O202-Data_Entry!Q202)/Data_Entry!O202&lt;=10%,"&lt;=10%","&gt;10%"),"&lt;=10%")</f>
        <v>&lt;=10%</v>
      </c>
    </row>
    <row r="214" spans="1:37" s="48" customFormat="1" ht="13" hidden="1" x14ac:dyDescent="0.3">
      <c r="A214" s="31" t="s">
        <v>16</v>
      </c>
      <c r="B214" s="48" t="str">
        <f>Data_Entry!B203</f>
        <v>Goma</v>
      </c>
      <c r="C214" s="48" t="str">
        <f>Data_Entry!C203</f>
        <v xml:space="preserve"> Karisimbi</v>
      </c>
      <c r="D214" s="48" t="str">
        <f>Data_Entry!D203</f>
        <v xml:space="preserve"> Baraka</v>
      </c>
      <c r="E214" s="49">
        <f>IFERROR(IF(Data_Entry!J203/Data_Entry!$I203&lt;0,0,Data_Entry!J203/Data_Entry!$I203),0)</f>
        <v>1.0973327952452581</v>
      </c>
      <c r="F214" s="49">
        <f>IFERROR(IF(Data_Entry!K203/Data_Entry!$H203&lt;0,0,Data_Entry!K203/Data_Entry!$H203),0)</f>
        <v>1.2236282617340852</v>
      </c>
      <c r="G214" s="49">
        <f>IFERROR(IF(Data_Entry!L203/Data_Entry!$H203&lt;0,0,Data_Entry!L203/Data_Entry!$H203),0)</f>
        <v>1.1567702226908825</v>
      </c>
      <c r="H214" s="49">
        <f>IFERROR(IF(Data_Entry!M203/Data_Entry!$H203&lt;0,0,Data_Entry!M203/Data_Entry!$H203),0)</f>
        <v>1.3371607808640518</v>
      </c>
      <c r="I214" s="49">
        <f>IFERROR(IF(Data_Entry!N203/Data_Entry!$H203&lt;0,0,Data_Entry!N203/Data_Entry!$H203),0)</f>
        <v>1.111357215038896</v>
      </c>
      <c r="J214" s="49">
        <f>IFERROR(IF(Data_Entry!O203/Data_Entry!$H203&lt;0,0,Data_Entry!O203/Data_Entry!$H203),0)</f>
        <v>1.2110135373863111</v>
      </c>
      <c r="K214" s="49">
        <f>IFERROR(IF(Data_Entry!P203/Data_Entry!$H203&lt;0,0,Data_Entry!P203/Data_Entry!$H203),0)</f>
        <v>1.0255770894740321</v>
      </c>
      <c r="L214" s="49">
        <f>IFERROR(IF(Data_Entry!Q203/Data_Entry!$H203&lt;0,0,Data_Entry!Q203/Data_Entry!$H203),0)</f>
        <v>1.1567702226908825</v>
      </c>
      <c r="M214" s="49">
        <f>IFERROR(IF(Data_Entry!R203/Data_Entry!$H203&lt;0,0,Data_Entry!R203/Data_Entry!$H203),0)</f>
        <v>1.2110135373863111</v>
      </c>
      <c r="N214" s="49">
        <f>IFERROR(IF(Data_Entry!S203/Data_Entry!$H203&lt;0,0,Data_Entry!S203/Data_Entry!$H203),0)</f>
        <v>1.0255770894740321</v>
      </c>
      <c r="O214" s="49">
        <f>IFERROR(IF(Data_Entry!T203/Data_Entry!$H203&lt;0,0,Data_Entry!T203/Data_Entry!$H203),0)</f>
        <v>1.034407396517474</v>
      </c>
      <c r="P214" s="49">
        <f>IFERROR(IF(Data_Entry!U203/Data_Entry!$H203&lt;0,0,Data_Entry!U203/Data_Entry!$H203),0)</f>
        <v>0.87672334217029813</v>
      </c>
      <c r="Q214" s="49">
        <f>IFERROR(IF(Data_Entry!V203/Data_Entry!$H203&lt;0,0,Data_Entry!V203/Data_Entry!$H203),0)</f>
        <v>0.72913106730134147</v>
      </c>
      <c r="R214" s="49">
        <f>IFERROR(IF(Data_Entry!W203/Data_Entry!$H203&lt;0,0,Data_Entry!W203/Data_Entry!$H203),0)</f>
        <v>0.86410861782252402</v>
      </c>
      <c r="S214" s="49">
        <f>IFERROR(IF(Data_Entry!X203/Data_Entry!$H203&lt;0,0,Data_Entry!X203/Data_Entry!$H203),0)</f>
        <v>1.0369303413870288</v>
      </c>
      <c r="T214" s="49">
        <f>IFERROR(IF(Data_Entry!Y203/Data_Entry!$H203&lt;0,0,Data_Entry!Y203/Data_Entry!$H203),0)</f>
        <v>0.15263816460806628</v>
      </c>
      <c r="U214" s="49">
        <f>IFERROR(IF(Data_Entry!Z203/Data_Entry!$H203&lt;0,0,Data_Entry!Z203/Data_Entry!$H203),0)</f>
        <v>0.93096665686572666</v>
      </c>
      <c r="V214" s="49">
        <f>IFERROR(IF(Data_Entry!AA203/Data_Entry!$H203&lt;0,0,Data_Entry!AA203/Data_Entry!$H203),0)</f>
        <v>1.2627339072121848</v>
      </c>
      <c r="W214" s="49">
        <f>IFERROR(IF(Data_Entry!AB203/Data_Entry!$H203&lt;0,0,Data_Entry!AB203/Data_Entry!$H203),0)</f>
        <v>0.93853549147439108</v>
      </c>
      <c r="X214" s="49">
        <f>IFERROR(IF(Data_Entry!AC203/Data_Entry!$I203&lt;0,0,Data_Entry!AC203/Data_Entry!$I203),0)</f>
        <v>0.51839894339068859</v>
      </c>
      <c r="Y214" s="49">
        <f>IFERROR(IF(Data_Entry!AD203/Data_Entry!$I203&lt;0,0,Data_Entry!AD203/Data_Entry!$I203),0)</f>
        <v>0.34119675679641925</v>
      </c>
      <c r="Z214" s="49">
        <f>IFERROR(IF(Data_Entry!AE203/Data_Entry!$I203&lt;0,0,Data_Entry!AE203/Data_Entry!$I203),0)</f>
        <v>0.26305169314304583</v>
      </c>
      <c r="AA214" s="49">
        <f>IFERROR(IF(Data_Entry!AF203/Data_Entry!$I203&lt;0,0,Data_Entry!AF203/Data_Entry!$I203),0)</f>
        <v>0.24103899915618004</v>
      </c>
      <c r="AB214" s="49">
        <f>IFERROR(IF(Data_Entry!AG203/Data_Entry!$I203&lt;0,0,Data_Entry!AG203/Data_Entry!$I203),0)</f>
        <v>0.39732912646292695</v>
      </c>
      <c r="AC214" s="49">
        <f>IFERROR(IF(Data_Entry!AI203/Data_Entry!$I203&lt;0,0,Data_Entry!AI203/Data_Entry!$I203),0)</f>
        <v>6.119528928348681E-2</v>
      </c>
      <c r="AD214" s="49">
        <f>IFERROR(IF(Data_Entry!AM203/Data_Entry!$H203&lt;0,0,Data_Entry!AM203/Data_Entry!$H203),0)</f>
        <v>0.93096665686572666</v>
      </c>
      <c r="AE214" s="50">
        <f>Data_Entry!AK203</f>
        <v>0</v>
      </c>
      <c r="AF214" s="50">
        <f>Data_Entry!AL203</f>
        <v>138</v>
      </c>
      <c r="AG214" s="153">
        <f>(Data_Entry!O203-Data_Entry!Q203)/Data_Entry!O203</f>
        <v>4.4791666666666667E-2</v>
      </c>
      <c r="AH214" s="79" t="str">
        <f t="shared" si="6"/>
        <v>CAT1</v>
      </c>
      <c r="AI214" s="51">
        <f>SUBTOTAL(3,Tableau1[[#This Row],[ZS]])</f>
        <v>0</v>
      </c>
      <c r="AJ214" s="51" t="e">
        <f t="shared" ca="1" si="7"/>
        <v>#NAME?</v>
      </c>
      <c r="AK214" s="50" t="str">
        <f>IFERROR(IF((Data_Entry!O203-Data_Entry!Q203)/Data_Entry!O203&lt;=10%,"&lt;=10%","&gt;10%"),"&lt;=10%")</f>
        <v>&lt;=10%</v>
      </c>
    </row>
    <row r="215" spans="1:37" s="48" customFormat="1" ht="13" hidden="1" x14ac:dyDescent="0.3">
      <c r="A215" s="31" t="s">
        <v>16</v>
      </c>
      <c r="B215" s="48" t="str">
        <f>Data_Entry!B204</f>
        <v>Goma</v>
      </c>
      <c r="C215" s="48" t="str">
        <f>Data_Entry!C204</f>
        <v xml:space="preserve"> Karisimbi</v>
      </c>
      <c r="D215" s="48" t="str">
        <f>Data_Entry!D204</f>
        <v xml:space="preserve"> Bujovu</v>
      </c>
      <c r="E215" s="49">
        <f>IFERROR(IF(Data_Entry!J204/Data_Entry!$I204&lt;0,0,Data_Entry!J204/Data_Entry!$I204),0)</f>
        <v>1.2845756037386724</v>
      </c>
      <c r="F215" s="49">
        <f>IFERROR(IF(Data_Entry!K204/Data_Entry!$H204&lt;0,0,Data_Entry!K204/Data_Entry!$H204),0)</f>
        <v>0.36379094636353837</v>
      </c>
      <c r="G215" s="49">
        <f>IFERROR(IF(Data_Entry!L204/Data_Entry!$H204&lt;0,0,Data_Entry!L204/Data_Entry!$H204),0)</f>
        <v>1.3458633665915656</v>
      </c>
      <c r="H215" s="49">
        <f>IFERROR(IF(Data_Entry!M204/Data_Entry!$H204&lt;0,0,Data_Entry!M204/Data_Entry!$H204),0)</f>
        <v>1.2569548169197593</v>
      </c>
      <c r="I215" s="49">
        <f>IFERROR(IF(Data_Entry!N204/Data_Entry!$H204&lt;0,0,Data_Entry!N204/Data_Entry!$H204),0)</f>
        <v>1.1696776167832152</v>
      </c>
      <c r="J215" s="49">
        <f>IFERROR(IF(Data_Entry!O204/Data_Entry!$H204&lt;0,0,Data_Entry!O204/Data_Entry!$H204),0)</f>
        <v>1.4682145817362535</v>
      </c>
      <c r="K215" s="49">
        <f>IFERROR(IF(Data_Entry!P204/Data_Entry!$H204&lt;0,0,Data_Entry!P204/Data_Entry!$H204),0)</f>
        <v>1.3491260656620907</v>
      </c>
      <c r="L215" s="49">
        <f>IFERROR(IF(Data_Entry!Q204/Data_Entry!$H204&lt;0,0,Data_Entry!Q204/Data_Entry!$H204),0)</f>
        <v>1.2724526375047529</v>
      </c>
      <c r="M215" s="49">
        <f>IFERROR(IF(Data_Entry!R204/Data_Entry!$H204&lt;0,0,Data_Entry!R204/Data_Entry!$H204),0)</f>
        <v>1.4608735088275722</v>
      </c>
      <c r="N215" s="49">
        <f>IFERROR(IF(Data_Entry!S204/Data_Entry!$H204&lt;0,0,Data_Entry!S204/Data_Entry!$H204),0)</f>
        <v>1.3564671385707718</v>
      </c>
      <c r="O215" s="49">
        <f>IFERROR(IF(Data_Entry!T204/Data_Entry!$H204&lt;0,0,Data_Entry!T204/Data_Entry!$H204),0)</f>
        <v>1.2724526375047529</v>
      </c>
      <c r="P215" s="49">
        <f>IFERROR(IF(Data_Entry!U204/Data_Entry!$H204&lt;0,0,Data_Entry!U204/Data_Entry!$H204),0)</f>
        <v>1.402144925558122</v>
      </c>
      <c r="Q215" s="49">
        <f>IFERROR(IF(Data_Entry!V204/Data_Entry!$H204&lt;0,0,Data_Entry!V204/Data_Entry!$H204),0)</f>
        <v>1.2838720842515905</v>
      </c>
      <c r="R215" s="49">
        <f>IFERROR(IF(Data_Entry!W204/Data_Entry!$H204&lt;0,0,Data_Entry!W204/Data_Entry!$H204),0)</f>
        <v>1.1957792093474153</v>
      </c>
      <c r="S215" s="49">
        <f>IFERROR(IF(Data_Entry!X204/Data_Entry!$H204&lt;0,0,Data_Entry!X204/Data_Entry!$H204),0)</f>
        <v>1.1770186896918966</v>
      </c>
      <c r="T215" s="49">
        <f>IFERROR(IF(Data_Entry!Y204/Data_Entry!$H204&lt;0,0,Data_Entry!Y204/Data_Entry!$H204),0)</f>
        <v>3.6705364543406338E-2</v>
      </c>
      <c r="U215" s="49">
        <f>IFERROR(IF(Data_Entry!Z204/Data_Entry!$H204&lt;0,0,Data_Entry!Z204/Data_Entry!$H204),0)</f>
        <v>1.1704932915508466</v>
      </c>
      <c r="V215" s="49">
        <f>IFERROR(IF(Data_Entry!AA204/Data_Entry!$H204&lt;0,0,Data_Entry!AA204/Data_Entry!$H204),0)</f>
        <v>1.5367312622172786</v>
      </c>
      <c r="W215" s="49">
        <f>IFERROR(IF(Data_Entry!AB204/Data_Entry!$H204&lt;0,0,Data_Entry!AB204/Data_Entry!$H204),0)</f>
        <v>0.77733805355258312</v>
      </c>
      <c r="X215" s="49">
        <f>IFERROR(IF(Data_Entry!AC204/Data_Entry!$I204&lt;0,0,Data_Entry!AC204/Data_Entry!$I204),0)</f>
        <v>0.32665939175404468</v>
      </c>
      <c r="Y215" s="49">
        <f>IFERROR(IF(Data_Entry!AD204/Data_Entry!$I204&lt;0,0,Data_Entry!AD204/Data_Entry!$I204),0)</f>
        <v>0.22346633771409591</v>
      </c>
      <c r="Z215" s="49">
        <f>IFERROR(IF(Data_Entry!AE204/Data_Entry!$I204&lt;0,0,Data_Entry!AE204/Data_Entry!$I204),0)</f>
        <v>0.25976182568676753</v>
      </c>
      <c r="AA215" s="49">
        <f>IFERROR(IF(Data_Entry!AF204/Data_Entry!$I204&lt;0,0,Data_Entry!AF204/Data_Entry!$I204),0)</f>
        <v>0.19072923091521563</v>
      </c>
      <c r="AB215" s="49">
        <f>IFERROR(IF(Data_Entry!AG204/Data_Entry!$I204&lt;0,0,Data_Entry!AG204/Data_Entry!$I204),0)</f>
        <v>0.18361246856763294</v>
      </c>
      <c r="AC215" s="49">
        <f>IFERROR(IF(Data_Entry!AI204/Data_Entry!$I204&lt;0,0,Data_Entry!AI204/Data_Entry!$I204),0)</f>
        <v>3.3591118280590214E-2</v>
      </c>
      <c r="AD215" s="49">
        <f>IFERROR(IF(Data_Entry!AM204/Data_Entry!$H204&lt;0,0,Data_Entry!AM204/Data_Entry!$H204),0)</f>
        <v>1.1704932915508466</v>
      </c>
      <c r="AE215" s="50">
        <f>Data_Entry!AK204</f>
        <v>0</v>
      </c>
      <c r="AF215" s="50">
        <f>Data_Entry!AL204</f>
        <v>357</v>
      </c>
      <c r="AG215" s="153">
        <f>(Data_Entry!O204-Data_Entry!Q204)/Data_Entry!O204</f>
        <v>0.13333333333333333</v>
      </c>
      <c r="AH215" s="79" t="str">
        <f t="shared" si="6"/>
        <v>CAT2</v>
      </c>
      <c r="AI215" s="51">
        <f>SUBTOTAL(3,Tableau1[[#This Row],[ZS]])</f>
        <v>0</v>
      </c>
      <c r="AJ215" s="51" t="e">
        <f t="shared" ca="1" si="7"/>
        <v>#NAME?</v>
      </c>
      <c r="AK215" s="50" t="str">
        <f>IFERROR(IF((Data_Entry!O204-Data_Entry!Q204)/Data_Entry!O204&lt;=10%,"&lt;=10%","&gt;10%"),"&lt;=10%")</f>
        <v>&gt;10%</v>
      </c>
    </row>
    <row r="216" spans="1:37" s="48" customFormat="1" ht="13" hidden="1" x14ac:dyDescent="0.3">
      <c r="A216" s="31" t="s">
        <v>16</v>
      </c>
      <c r="B216" s="48" t="str">
        <f>Data_Entry!B205</f>
        <v>Goma</v>
      </c>
      <c r="C216" s="48" t="str">
        <f>Data_Entry!C205</f>
        <v xml:space="preserve"> Karisimbi</v>
      </c>
      <c r="D216" s="48" t="str">
        <f>Data_Entry!D205</f>
        <v xml:space="preserve"> Hebron</v>
      </c>
      <c r="E216" s="49">
        <f>IFERROR(IF(Data_Entry!J205/Data_Entry!$I205&lt;0,0,Data_Entry!J205/Data_Entry!$I205),0)</f>
        <v>0.87715397443023913</v>
      </c>
      <c r="F216" s="49">
        <f>IFERROR(IF(Data_Entry!K205/Data_Entry!$H205&lt;0,0,Data_Entry!K205/Data_Entry!$H205),0)</f>
        <v>0.18839774769127435</v>
      </c>
      <c r="G216" s="49">
        <f>IFERROR(IF(Data_Entry!L205/Data_Entry!$H205&lt;0,0,Data_Entry!L205/Data_Entry!$H205),0)</f>
        <v>0.62908465316042905</v>
      </c>
      <c r="H216" s="49">
        <f>IFERROR(IF(Data_Entry!M205/Data_Entry!$H205&lt;0,0,Data_Entry!M205/Data_Entry!$H205),0)</f>
        <v>0.61324832074580027</v>
      </c>
      <c r="I216" s="49">
        <f>IFERROR(IF(Data_Entry!N205/Data_Entry!$H205&lt;0,0,Data_Entry!N205/Data_Entry!$H205),0)</f>
        <v>0.64109842257842342</v>
      </c>
      <c r="J216" s="49">
        <f>IFERROR(IF(Data_Entry!O205/Data_Entry!$H205&lt;0,0,Data_Entry!O205/Data_Entry!$H205),0)</f>
        <v>0.59686590790308069</v>
      </c>
      <c r="K216" s="49">
        <f>IFERROR(IF(Data_Entry!P205/Data_Entry!$H205&lt;0,0,Data_Entry!P205/Data_Entry!$H205),0)</f>
        <v>0.58048349506036123</v>
      </c>
      <c r="L216" s="49">
        <f>IFERROR(IF(Data_Entry!Q205/Data_Entry!$H205&lt;0,0,Data_Entry!Q205/Data_Entry!$H205),0)</f>
        <v>0.64492098557505795</v>
      </c>
      <c r="M216" s="49">
        <f>IFERROR(IF(Data_Entry!R205/Data_Entry!$H205&lt;0,0,Data_Entry!R205/Data_Entry!$H205),0)</f>
        <v>0.63072289444470109</v>
      </c>
      <c r="N216" s="49">
        <f>IFERROR(IF(Data_Entry!S205/Data_Entry!$H205&lt;0,0,Data_Entry!S205/Data_Entry!$H205),0)</f>
        <v>0.61379440117389095</v>
      </c>
      <c r="O216" s="49">
        <f>IFERROR(IF(Data_Entry!T205/Data_Entry!$H205&lt;0,0,Data_Entry!T205/Data_Entry!$H205),0)</f>
        <v>0.66403380055823069</v>
      </c>
      <c r="P216" s="49">
        <f>IFERROR(IF(Data_Entry!U205/Data_Entry!$H205&lt;0,0,Data_Entry!U205/Data_Entry!$H205),0)</f>
        <v>0.61761696417052547</v>
      </c>
      <c r="Q216" s="49">
        <f>IFERROR(IF(Data_Entry!V205/Data_Entry!$H205&lt;0,0,Data_Entry!V205/Data_Entry!$H205),0)</f>
        <v>0.58321389720081451</v>
      </c>
      <c r="R216" s="49">
        <f>IFERROR(IF(Data_Entry!W205/Data_Entry!$H205&lt;0,0,Data_Entry!W205/Data_Entry!$H205),0)</f>
        <v>0.64928962899978315</v>
      </c>
      <c r="S216" s="49">
        <f>IFERROR(IF(Data_Entry!X205/Data_Entry!$H205&lt;0,0,Data_Entry!X205/Data_Entry!$H205),0)</f>
        <v>0.59140510362217424</v>
      </c>
      <c r="T216" s="49">
        <f>IFERROR(IF(Data_Entry!Y205/Data_Entry!$H205&lt;0,0,Data_Entry!Y205/Data_Entry!$H205),0)</f>
        <v>0.14525739387211298</v>
      </c>
      <c r="U216" s="49">
        <f>IFERROR(IF(Data_Entry!Z205/Data_Entry!$H205&lt;0,0,Data_Entry!Z205/Data_Entry!$H205),0)</f>
        <v>0.59741198833117137</v>
      </c>
      <c r="V216" s="49">
        <f>IFERROR(IF(Data_Entry!AA205/Data_Entry!$H205&lt;0,0,Data_Entry!AA205/Data_Entry!$H205),0)</f>
        <v>0.63181505530088233</v>
      </c>
      <c r="W216" s="49">
        <f>IFERROR(IF(Data_Entry!AB205/Data_Entry!$H205&lt;0,0,Data_Entry!AB205/Data_Entry!$H205),0)</f>
        <v>0.28887654645995398</v>
      </c>
      <c r="X216" s="49">
        <f>IFERROR(IF(Data_Entry!AC205/Data_Entry!$I205&lt;0,0,Data_Entry!AC205/Data_Entry!$I205),0)</f>
        <v>0.16723576590169145</v>
      </c>
      <c r="Y216" s="49">
        <f>IFERROR(IF(Data_Entry!AD205/Data_Entry!$I205&lt;0,0,Data_Entry!AD205/Data_Entry!$I205),0)</f>
        <v>7.5279917414436598E-2</v>
      </c>
      <c r="Z216" s="49">
        <f>IFERROR(IF(Data_Entry!AE205/Data_Entry!$I205&lt;0,0,Data_Entry!AE205/Data_Entry!$I205),0)</f>
        <v>9.290875883427302E-2</v>
      </c>
      <c r="AA216" s="49">
        <f>IFERROR(IF(Data_Entry!AF205/Data_Entry!$I205&lt;0,0,Data_Entry!AF205/Data_Entry!$I205),0)</f>
        <v>6.479790359723657E-2</v>
      </c>
      <c r="AB216" s="49">
        <f>IFERROR(IF(Data_Entry!AG205/Data_Entry!$I205&lt;0,0,Data_Entry!AG205/Data_Entry!$I205),0)</f>
        <v>4.955133804494561E-2</v>
      </c>
      <c r="AC216" s="49">
        <f>IFERROR(IF(Data_Entry!AI205/Data_Entry!$I205&lt;0,0,Data_Entry!AI205/Data_Entry!$I205),0)</f>
        <v>2.7777336615580087E-2</v>
      </c>
      <c r="AD216" s="49">
        <f>IFERROR(IF(Data_Entry!AM205/Data_Entry!$H205&lt;0,0,Data_Entry!AM205/Data_Entry!$H205),0)</f>
        <v>0.59140510362217424</v>
      </c>
      <c r="AE216" s="50">
        <f>Data_Entry!AK205</f>
        <v>738.23208333333332</v>
      </c>
      <c r="AF216" s="50">
        <f>Data_Entry!AL205</f>
        <v>10</v>
      </c>
      <c r="AG216" s="153">
        <f>(Data_Entry!O205-Data_Entry!Q205)/Data_Entry!O205</f>
        <v>-8.0512351326623974E-2</v>
      </c>
      <c r="AH216" s="79" t="str">
        <f t="shared" si="6"/>
        <v>CAT3</v>
      </c>
      <c r="AI216" s="51">
        <f>SUBTOTAL(3,Tableau1[[#This Row],[ZS]])</f>
        <v>0</v>
      </c>
      <c r="AJ216" s="51" t="e">
        <f t="shared" ca="1" si="7"/>
        <v>#NAME?</v>
      </c>
      <c r="AK216" s="50" t="str">
        <f>IFERROR(IF((Data_Entry!O205-Data_Entry!Q205)/Data_Entry!O205&lt;=10%,"&lt;=10%","&gt;10%"),"&lt;=10%")</f>
        <v>&lt;=10%</v>
      </c>
    </row>
    <row r="217" spans="1:37" s="48" customFormat="1" ht="13" hidden="1" x14ac:dyDescent="0.3">
      <c r="A217" s="31" t="s">
        <v>16</v>
      </c>
      <c r="B217" s="48" t="str">
        <f>Data_Entry!B206</f>
        <v>Goma</v>
      </c>
      <c r="C217" s="48" t="str">
        <f>Data_Entry!C206</f>
        <v xml:space="preserve"> Karisimbi</v>
      </c>
      <c r="D217" s="48" t="str">
        <f>Data_Entry!D206</f>
        <v xml:space="preserve"> Kahembe</v>
      </c>
      <c r="E217" s="49">
        <f>IFERROR(IF(Data_Entry!J206/Data_Entry!$I206&lt;0,0,Data_Entry!J206/Data_Entry!$I206),0)</f>
        <v>0.83765112262521579</v>
      </c>
      <c r="F217" s="49">
        <f>IFERROR(IF(Data_Entry!K206/Data_Entry!$H206&lt;0,0,Data_Entry!K206/Data_Entry!$H206),0)</f>
        <v>0.69942412980256119</v>
      </c>
      <c r="G217" s="49">
        <f>IFERROR(IF(Data_Entry!L206/Data_Entry!$H206&lt;0,0,Data_Entry!L206/Data_Entry!$H206),0)</f>
        <v>1.0491361947038418</v>
      </c>
      <c r="H217" s="49">
        <f>IFERROR(IF(Data_Entry!M206/Data_Entry!$H206&lt;0,0,Data_Entry!M206/Data_Entry!$H206),0)</f>
        <v>1.0821278989398115</v>
      </c>
      <c r="I217" s="49">
        <f>IFERROR(IF(Data_Entry!N206/Data_Entry!$H206&lt;0,0,Data_Entry!N206/Data_Entry!$H206),0)</f>
        <v>1.0326403425858568</v>
      </c>
      <c r="J217" s="49">
        <f>IFERROR(IF(Data_Entry!O206/Data_Entry!$H206&lt;0,0,Data_Entry!O206/Data_Entry!$H206),0)</f>
        <v>1.0425378538566479</v>
      </c>
      <c r="K217" s="49">
        <f>IFERROR(IF(Data_Entry!P206/Data_Entry!$H206&lt;0,0,Data_Entry!P206/Data_Entry!$H206),0)</f>
        <v>1.0854270693634087</v>
      </c>
      <c r="L217" s="49">
        <f>IFERROR(IF(Data_Entry!Q206/Data_Entry!$H206&lt;0,0,Data_Entry!Q206/Data_Entry!$H206),0)</f>
        <v>1.0359395130094537</v>
      </c>
      <c r="M217" s="49">
        <f>IFERROR(IF(Data_Entry!R206/Data_Entry!$H206&lt;0,0,Data_Entry!R206/Data_Entry!$H206),0)</f>
        <v>1.0425378538566479</v>
      </c>
      <c r="N217" s="49">
        <f>IFERROR(IF(Data_Entry!S206/Data_Entry!$H206&lt;0,0,Data_Entry!S206/Data_Entry!$H206),0)</f>
        <v>1.0854270693634087</v>
      </c>
      <c r="O217" s="49">
        <f>IFERROR(IF(Data_Entry!T206/Data_Entry!$H206&lt;0,0,Data_Entry!T206/Data_Entry!$H206),0)</f>
        <v>1.0359395130094537</v>
      </c>
      <c r="P217" s="49">
        <f>IFERROR(IF(Data_Entry!U206/Data_Entry!$H206&lt;0,0,Data_Entry!U206/Data_Entry!$H206),0)</f>
        <v>2.0520840034773258</v>
      </c>
      <c r="Q217" s="49">
        <f>IFERROR(IF(Data_Entry!V206/Data_Entry!$H206&lt;0,0,Data_Entry!V206/Data_Entry!$H206),0)</f>
        <v>1.0854270693634087</v>
      </c>
      <c r="R217" s="49">
        <f>IFERROR(IF(Data_Entry!W206/Data_Entry!$H206&lt;0,0,Data_Entry!W206/Data_Entry!$H206),0)</f>
        <v>1.0062469791970809</v>
      </c>
      <c r="S217" s="49">
        <f>IFERROR(IF(Data_Entry!X206/Data_Entry!$H206&lt;0,0,Data_Entry!X206/Data_Entry!$H206),0)</f>
        <v>1.1349146257173635</v>
      </c>
      <c r="T217" s="49">
        <f>IFERROR(IF(Data_Entry!Y206/Data_Entry!$H206&lt;0,0,Data_Entry!Y206/Data_Entry!$H206),0)</f>
        <v>0.26723280431135593</v>
      </c>
      <c r="U217" s="49">
        <f>IFERROR(IF(Data_Entry!Z206/Data_Entry!$H206&lt;0,0,Data_Entry!Z206/Data_Entry!$H206),0)</f>
        <v>1.1481113074117513</v>
      </c>
      <c r="V217" s="49">
        <f>IFERROR(IF(Data_Entry!AA206/Data_Entry!$H206&lt;0,0,Data_Entry!AA206/Data_Entry!$H206),0)</f>
        <v>2.0124939583941619</v>
      </c>
      <c r="W217" s="49">
        <f>IFERROR(IF(Data_Entry!AB206/Data_Entry!$H206&lt;0,0,Data_Entry!AB206/Data_Entry!$H206),0)</f>
        <v>1.1184187735993785</v>
      </c>
      <c r="X217" s="49">
        <f>IFERROR(IF(Data_Entry!AC206/Data_Entry!$I206&lt;0,0,Data_Entry!AC206/Data_Entry!$I206),0)</f>
        <v>0.35981577432354633</v>
      </c>
      <c r="Y217" s="49">
        <f>IFERROR(IF(Data_Entry!AD206/Data_Entry!$I206&lt;0,0,Data_Entry!AD206/Data_Entry!$I206),0)</f>
        <v>0.27058146229130681</v>
      </c>
      <c r="Z217" s="49">
        <f>IFERROR(IF(Data_Entry!AE206/Data_Entry!$I206&lt;0,0,Data_Entry!AE206/Data_Entry!$I206),0)</f>
        <v>0.22740356937248127</v>
      </c>
      <c r="AA217" s="49">
        <f>IFERROR(IF(Data_Entry!AF206/Data_Entry!$I206&lt;0,0,Data_Entry!AF206/Data_Entry!$I206),0)</f>
        <v>0.15544041450777202</v>
      </c>
      <c r="AB217" s="49">
        <f>IFERROR(IF(Data_Entry!AG206/Data_Entry!$I206&lt;0,0,Data_Entry!AG206/Data_Entry!$I206),0)</f>
        <v>8.9234312032239485E-2</v>
      </c>
      <c r="AC217" s="49">
        <f>IFERROR(IF(Data_Entry!AI206/Data_Entry!$I206&lt;0,0,Data_Entry!AI206/Data_Entry!$I206),0)</f>
        <v>0.14392630972941853</v>
      </c>
      <c r="AD217" s="49">
        <f>IFERROR(IF(Data_Entry!AM206/Data_Entry!$H206&lt;0,0,Data_Entry!AM206/Data_Entry!$H206),0)</f>
        <v>1.1349146257173635</v>
      </c>
      <c r="AE217" s="50">
        <f>Data_Entry!AK206</f>
        <v>0</v>
      </c>
      <c r="AF217" s="50">
        <f>Data_Entry!AL206</f>
        <v>0</v>
      </c>
      <c r="AG217" s="153">
        <f>(Data_Entry!O206-Data_Entry!Q206)/Data_Entry!O206</f>
        <v>6.3291139240506328E-3</v>
      </c>
      <c r="AH217" s="79" t="str">
        <f t="shared" si="6"/>
        <v>CAT1</v>
      </c>
      <c r="AI217" s="51">
        <f>SUBTOTAL(3,Tableau1[[#This Row],[ZS]])</f>
        <v>0</v>
      </c>
      <c r="AJ217" s="51" t="e">
        <f t="shared" ca="1" si="7"/>
        <v>#NAME?</v>
      </c>
      <c r="AK217" s="50" t="str">
        <f>IFERROR(IF((Data_Entry!O206-Data_Entry!Q206)/Data_Entry!O206&lt;=10%,"&lt;=10%","&gt;10%"),"&lt;=10%")</f>
        <v>&lt;=10%</v>
      </c>
    </row>
    <row r="218" spans="1:37" s="48" customFormat="1" ht="13" hidden="1" x14ac:dyDescent="0.3">
      <c r="A218" s="31" t="s">
        <v>16</v>
      </c>
      <c r="B218" s="48" t="str">
        <f>Data_Entry!B207</f>
        <v>Goma</v>
      </c>
      <c r="C218" s="48" t="str">
        <f>Data_Entry!C207</f>
        <v xml:space="preserve"> Karisimbi</v>
      </c>
      <c r="D218" s="48" t="str">
        <f>Data_Entry!D207</f>
        <v xml:space="preserve"> Kasika</v>
      </c>
      <c r="E218" s="49">
        <f>IFERROR(IF(Data_Entry!J207/Data_Entry!$I207&lt;0,0,Data_Entry!J207/Data_Entry!$I207),0)</f>
        <v>0.75567056159786516</v>
      </c>
      <c r="F218" s="49">
        <f>IFERROR(IF(Data_Entry!K207/Data_Entry!$H207&lt;0,0,Data_Entry!K207/Data_Entry!$H207),0)</f>
        <v>0.45320701307731615</v>
      </c>
      <c r="G218" s="49">
        <f>IFERROR(IF(Data_Entry!L207/Data_Entry!$H207&lt;0,0,Data_Entry!L207/Data_Entry!$H207),0)</f>
        <v>0.97453409867238849</v>
      </c>
      <c r="H218" s="49">
        <f>IFERROR(IF(Data_Entry!M207/Data_Entry!$H207&lt;0,0,Data_Entry!M207/Data_Entry!$H207),0)</f>
        <v>0.94255937075589069</v>
      </c>
      <c r="I218" s="49">
        <f>IFERROR(IF(Data_Entry!N207/Data_Entry!$H207&lt;0,0,Data_Entry!N207/Data_Entry!$H207),0)</f>
        <v>1.0774093102298161</v>
      </c>
      <c r="J218" s="49">
        <f>IFERROR(IF(Data_Entry!O207/Data_Entry!$H207&lt;0,0,Data_Entry!O207/Data_Entry!$H207),0)</f>
        <v>0.97453409867238849</v>
      </c>
      <c r="K218" s="49">
        <f>IFERROR(IF(Data_Entry!P207/Data_Entry!$H207&lt;0,0,Data_Entry!P207/Data_Entry!$H207),0)</f>
        <v>0.94255937075589069</v>
      </c>
      <c r="L218" s="49">
        <f>IFERROR(IF(Data_Entry!Q207/Data_Entry!$H207&lt;0,0,Data_Entry!Q207/Data_Entry!$H207),0)</f>
        <v>1.0774093102298161</v>
      </c>
      <c r="M218" s="49">
        <f>IFERROR(IF(Data_Entry!R207/Data_Entry!$H207&lt;0,0,Data_Entry!R207/Data_Entry!$H207),0)</f>
        <v>0.97453409867238849</v>
      </c>
      <c r="N218" s="49">
        <f>IFERROR(IF(Data_Entry!S207/Data_Entry!$H207&lt;0,0,Data_Entry!S207/Data_Entry!$H207),0)</f>
        <v>0.94255937075589069</v>
      </c>
      <c r="O218" s="49">
        <f>IFERROR(IF(Data_Entry!T207/Data_Entry!$H207&lt;0,0,Data_Entry!T207/Data_Entry!$H207),0)</f>
        <v>1.0774093102298161</v>
      </c>
      <c r="P218" s="49">
        <f>IFERROR(IF(Data_Entry!U207/Data_Entry!$H207&lt;0,0,Data_Entry!U207/Data_Entry!$H207),0)</f>
        <v>0.8341233369521156</v>
      </c>
      <c r="Q218" s="49">
        <f>IFERROR(IF(Data_Entry!V207/Data_Entry!$H207&lt;0,0,Data_Entry!V207/Data_Entry!$H207),0)</f>
        <v>0.82161148689783392</v>
      </c>
      <c r="R218" s="49">
        <f>IFERROR(IF(Data_Entry!W207/Data_Entry!$H207&lt;0,0,Data_Entry!W207/Data_Entry!$H207),0)</f>
        <v>0.94394957631747756</v>
      </c>
      <c r="S218" s="49">
        <f>IFERROR(IF(Data_Entry!X207/Data_Entry!$H207&lt;0,0,Data_Entry!X207/Data_Entry!$H207),0)</f>
        <v>0.98565574316508331</v>
      </c>
      <c r="T218" s="49">
        <f>IFERROR(IF(Data_Entry!Y207/Data_Entry!$H207&lt;0,0,Data_Entry!Y207/Data_Entry!$H207),0)</f>
        <v>0.11677726717329619</v>
      </c>
      <c r="U218" s="49">
        <f>IFERROR(IF(Data_Entry!Z207/Data_Entry!$H207&lt;0,0,Data_Entry!Z207/Data_Entry!$H207),0)</f>
        <v>0.98565574316508331</v>
      </c>
      <c r="V218" s="49">
        <f>IFERROR(IF(Data_Entry!AA207/Data_Entry!$H207&lt;0,0,Data_Entry!AA207/Data_Entry!$H207),0)</f>
        <v>1.0774093102298161</v>
      </c>
      <c r="W218" s="49">
        <f>IFERROR(IF(Data_Entry!AB207/Data_Entry!$H207&lt;0,0,Data_Entry!AB207/Data_Entry!$H207),0)</f>
        <v>0.57693530805854665</v>
      </c>
      <c r="X218" s="49">
        <f>IFERROR(IF(Data_Entry!AC207/Data_Entry!$I207&lt;0,0,Data_Entry!AC207/Data_Entry!$I207),0)</f>
        <v>0.27534063801398939</v>
      </c>
      <c r="Y218" s="49">
        <f>IFERROR(IF(Data_Entry!AD207/Data_Entry!$I207&lt;0,0,Data_Entry!AD207/Data_Entry!$I207),0)</f>
        <v>0.21711882909473171</v>
      </c>
      <c r="Z218" s="49">
        <f>IFERROR(IF(Data_Entry!AE207/Data_Entry!$I207&lt;0,0,Data_Entry!AE207/Data_Entry!$I207),0)</f>
        <v>0.18315610722516473</v>
      </c>
      <c r="AA218" s="49">
        <f>IFERROR(IF(Data_Entry!AF207/Data_Entry!$I207&lt;0,0,Data_Entry!AF207/Data_Entry!$I207),0)</f>
        <v>0.15161929406056684</v>
      </c>
      <c r="AB218" s="49">
        <f>IFERROR(IF(Data_Entry!AG207/Data_Entry!$I207&lt;0,0,Data_Entry!AG207/Data_Entry!$I207),0)</f>
        <v>6.1860671976711273E-2</v>
      </c>
      <c r="AC218" s="49">
        <f>IFERROR(IF(Data_Entry!AI207/Data_Entry!$I207&lt;0,0,Data_Entry!AI207/Data_Entry!$I207),0)</f>
        <v>6.5742125904661788E-2</v>
      </c>
      <c r="AD218" s="49">
        <f>IFERROR(IF(Data_Entry!AM207/Data_Entry!$H207&lt;0,0,Data_Entry!AM207/Data_Entry!$H207),0)</f>
        <v>0.98565574316508331</v>
      </c>
      <c r="AE218" s="50">
        <f>Data_Entry!AK207</f>
        <v>18.318083333333334</v>
      </c>
      <c r="AF218" s="50">
        <f>Data_Entry!AL207</f>
        <v>0</v>
      </c>
      <c r="AG218" s="153">
        <f>(Data_Entry!O207-Data_Entry!Q207)/Data_Entry!O207</f>
        <v>-0.10556348074179743</v>
      </c>
      <c r="AH218" s="79" t="str">
        <f t="shared" si="6"/>
        <v>CAT1</v>
      </c>
      <c r="AI218" s="51">
        <f>SUBTOTAL(3,Tableau1[[#This Row],[ZS]])</f>
        <v>0</v>
      </c>
      <c r="AJ218" s="51" t="e">
        <f t="shared" ca="1" si="7"/>
        <v>#NAME?</v>
      </c>
      <c r="AK218" s="50" t="str">
        <f>IFERROR(IF((Data_Entry!O207-Data_Entry!Q207)/Data_Entry!O207&lt;=10%,"&lt;=10%","&gt;10%"),"&lt;=10%")</f>
        <v>&lt;=10%</v>
      </c>
    </row>
    <row r="219" spans="1:37" s="48" customFormat="1" ht="13" hidden="1" x14ac:dyDescent="0.3">
      <c r="A219" s="31" t="s">
        <v>16</v>
      </c>
      <c r="B219" s="48" t="str">
        <f>Data_Entry!B208</f>
        <v>Goma</v>
      </c>
      <c r="C219" s="48" t="str">
        <f>Data_Entry!C208</f>
        <v xml:space="preserve"> Karisimbi</v>
      </c>
      <c r="D219" s="48" t="str">
        <f>Data_Entry!D208</f>
        <v xml:space="preserve"> Katoyi</v>
      </c>
      <c r="E219" s="49">
        <f>IFERROR(IF(Data_Entry!J208/Data_Entry!$I208&lt;0,0,Data_Entry!J208/Data_Entry!$I208),0)</f>
        <v>0.58093845968163704</v>
      </c>
      <c r="F219" s="49">
        <f>IFERROR(IF(Data_Entry!K208/Data_Entry!$H208&lt;0,0,Data_Entry!K208/Data_Entry!$H208),0)</f>
        <v>0.29049459047967002</v>
      </c>
      <c r="G219" s="49">
        <f>IFERROR(IF(Data_Entry!L208/Data_Entry!$H208&lt;0,0,Data_Entry!L208/Data_Entry!$H208),0)</f>
        <v>0.42513652765437421</v>
      </c>
      <c r="H219" s="49">
        <f>IFERROR(IF(Data_Entry!M208/Data_Entry!$H208&lt;0,0,Data_Entry!M208/Data_Entry!$H208),0)</f>
        <v>0.39055383831155632</v>
      </c>
      <c r="I219" s="49">
        <f>IFERROR(IF(Data_Entry!N208/Data_Entry!$H208&lt;0,0,Data_Entry!N208/Data_Entry!$H208),0)</f>
        <v>0.38087068529556733</v>
      </c>
      <c r="J219" s="49">
        <f>IFERROR(IF(Data_Entry!O208/Data_Entry!$H208&lt;0,0,Data_Entry!O208/Data_Entry!$H208),0)</f>
        <v>0.43574188571950501</v>
      </c>
      <c r="K219" s="49">
        <f>IFERROR(IF(Data_Entry!P208/Data_Entry!$H208&lt;0,0,Data_Entry!P208/Data_Entry!$H208),0)</f>
        <v>0.38917053073784363</v>
      </c>
      <c r="L219" s="49">
        <f>IFERROR(IF(Data_Entry!Q208/Data_Entry!$H208&lt;0,0,Data_Entry!Q208/Data_Entry!$H208),0)</f>
        <v>0.38179289034470915</v>
      </c>
      <c r="M219" s="49">
        <f>IFERROR(IF(Data_Entry!R208/Data_Entry!$H208&lt;0,0,Data_Entry!R208/Data_Entry!$H208),0)</f>
        <v>0.42513652765437421</v>
      </c>
      <c r="N219" s="49">
        <f>IFERROR(IF(Data_Entry!S208/Data_Entry!$H208&lt;0,0,Data_Entry!S208/Data_Entry!$H208),0)</f>
        <v>0.39055383831155632</v>
      </c>
      <c r="O219" s="49">
        <f>IFERROR(IF(Data_Entry!T208/Data_Entry!$H208&lt;0,0,Data_Entry!T208/Data_Entry!$H208),0)</f>
        <v>0.36795981460758204</v>
      </c>
      <c r="P219" s="49">
        <f>IFERROR(IF(Data_Entry!U208/Data_Entry!$H208&lt;0,0,Data_Entry!U208/Data_Entry!$H208),0)</f>
        <v>0.43389747562122138</v>
      </c>
      <c r="Q219" s="49">
        <f>IFERROR(IF(Data_Entry!V208/Data_Entry!$H208&lt;0,0,Data_Entry!V208/Data_Entry!$H208),0)</f>
        <v>0.40484801657325442</v>
      </c>
      <c r="R219" s="49">
        <f>IFERROR(IF(Data_Entry!W208/Data_Entry!$H208&lt;0,0,Data_Entry!W208/Data_Entry!$H208),0)</f>
        <v>0.39885368375383262</v>
      </c>
      <c r="S219" s="49">
        <f>IFERROR(IF(Data_Entry!X208/Data_Entry!$H208&lt;0,0,Data_Entry!X208/Data_Entry!$H208),0)</f>
        <v>0.47309119020974832</v>
      </c>
      <c r="T219" s="49">
        <f>IFERROR(IF(Data_Entry!Y208/Data_Entry!$H208&lt;0,0,Data_Entry!Y208/Data_Entry!$H208),0)</f>
        <v>8.4381761996475568E-2</v>
      </c>
      <c r="U219" s="49">
        <f>IFERROR(IF(Data_Entry!Z208/Data_Entry!$H208&lt;0,0,Data_Entry!Z208/Data_Entry!$H208),0)</f>
        <v>0.41222565696638885</v>
      </c>
      <c r="V219" s="49">
        <f>IFERROR(IF(Data_Entry!AA208/Data_Entry!$H208&lt;0,0,Data_Entry!AA208/Data_Entry!$H208),0)</f>
        <v>0.35089902119845856</v>
      </c>
      <c r="W219" s="49">
        <f>IFERROR(IF(Data_Entry!AB208/Data_Entry!$H208&lt;0,0,Data_Entry!AB208/Data_Entry!$H208),0)</f>
        <v>0.29971664097108808</v>
      </c>
      <c r="X219" s="49">
        <f>IFERROR(IF(Data_Entry!AC208/Data_Entry!$I208&lt;0,0,Data_Entry!AC208/Data_Entry!$I208),0)</f>
        <v>0.30052702865802139</v>
      </c>
      <c r="Y219" s="49">
        <f>IFERROR(IF(Data_Entry!AD208/Data_Entry!$I208&lt;0,0,Data_Entry!AD208/Data_Entry!$I208),0)</f>
        <v>0.17460338746664161</v>
      </c>
      <c r="Z219" s="49">
        <f>IFERROR(IF(Data_Entry!AE208/Data_Entry!$I208&lt;0,0,Data_Entry!AE208/Data_Entry!$I208),0)</f>
        <v>0.19431667314835921</v>
      </c>
      <c r="AA219" s="49">
        <f>IFERROR(IF(Data_Entry!AF208/Data_Entry!$I208&lt;0,0,Data_Entry!AF208/Data_Entry!$I208),0)</f>
        <v>0.14764848663653796</v>
      </c>
      <c r="AB219" s="49">
        <f>IFERROR(IF(Data_Entry!AG208/Data_Entry!$I208&lt;0,0,Data_Entry!AG208/Data_Entry!$I208),0)</f>
        <v>9.6152556692459326E-2</v>
      </c>
      <c r="AC219" s="49">
        <f>IFERROR(IF(Data_Entry!AI208/Data_Entry!$I208&lt;0,0,Data_Entry!AI208/Data_Entry!$I208),0)</f>
        <v>2.0115597634405714E-2</v>
      </c>
      <c r="AD219" s="49">
        <f>IFERROR(IF(Data_Entry!AM208/Data_Entry!$H208&lt;0,0,Data_Entry!AM208/Data_Entry!$H208),0)</f>
        <v>0.41222565696638885</v>
      </c>
      <c r="AE219" s="50">
        <f>Data_Entry!AK208</f>
        <v>1223.715083333333</v>
      </c>
      <c r="AF219" s="50">
        <f>Data_Entry!AL208</f>
        <v>0</v>
      </c>
      <c r="AG219" s="153">
        <f>(Data_Entry!O208-Data_Entry!Q208)/Data_Entry!O208</f>
        <v>0.12380952380952381</v>
      </c>
      <c r="AH219" s="79" t="str">
        <f t="shared" si="6"/>
        <v>CAT4</v>
      </c>
      <c r="AI219" s="51">
        <f>SUBTOTAL(3,Tableau1[[#This Row],[ZS]])</f>
        <v>0</v>
      </c>
      <c r="AJ219" s="51" t="e">
        <f t="shared" ca="1" si="7"/>
        <v>#NAME?</v>
      </c>
      <c r="AK219" s="50" t="str">
        <f>IFERROR(IF((Data_Entry!O208-Data_Entry!Q208)/Data_Entry!O208&lt;=10%,"&lt;=10%","&gt;10%"),"&lt;=10%")</f>
        <v>&gt;10%</v>
      </c>
    </row>
    <row r="220" spans="1:37" s="48" customFormat="1" ht="13" hidden="1" x14ac:dyDescent="0.3">
      <c r="A220" s="31" t="s">
        <v>16</v>
      </c>
      <c r="B220" s="48" t="str">
        <f>Data_Entry!B209</f>
        <v>Goma</v>
      </c>
      <c r="C220" s="48" t="str">
        <f>Data_Entry!C209</f>
        <v xml:space="preserve"> Karisimbi</v>
      </c>
      <c r="D220" s="48" t="str">
        <f>Data_Entry!D209</f>
        <v xml:space="preserve"> Lubango</v>
      </c>
      <c r="E220" s="49">
        <f>IFERROR(IF(Data_Entry!J209/Data_Entry!$I209&lt;0,0,Data_Entry!J209/Data_Entry!$I209),0)</f>
        <v>0.75227233539424077</v>
      </c>
      <c r="F220" s="49">
        <f>IFERROR(IF(Data_Entry!K209/Data_Entry!$H209&lt;0,0,Data_Entry!K209/Data_Entry!$H209),0)</f>
        <v>0.40653984270437082</v>
      </c>
      <c r="G220" s="49">
        <f>IFERROR(IF(Data_Entry!L209/Data_Entry!$H209&lt;0,0,Data_Entry!L209/Data_Entry!$H209),0)</f>
        <v>0.91217377206793204</v>
      </c>
      <c r="H220" s="49">
        <f>IFERROR(IF(Data_Entry!M209/Data_Entry!$H209&lt;0,0,Data_Entry!M209/Data_Entry!$H209),0)</f>
        <v>0.89015286392144521</v>
      </c>
      <c r="I220" s="49">
        <f>IFERROR(IF(Data_Entry!N209/Data_Entry!$H209&lt;0,0,Data_Entry!N209/Data_Entry!$H209),0)</f>
        <v>0.89777548597215218</v>
      </c>
      <c r="J220" s="49">
        <f>IFERROR(IF(Data_Entry!O209/Data_Entry!$H209&lt;0,0,Data_Entry!O209/Data_Entry!$H209),0)</f>
        <v>0.94181730226512572</v>
      </c>
      <c r="K220" s="49">
        <f>IFERROR(IF(Data_Entry!P209/Data_Entry!$H209&lt;0,0,Data_Entry!P209/Data_Entry!$H209),0)</f>
        <v>0.91894943611300484</v>
      </c>
      <c r="L220" s="49">
        <f>IFERROR(IF(Data_Entry!Q209/Data_Entry!$H209&lt;0,0,Data_Entry!Q209/Data_Entry!$H209),0)</f>
        <v>0.92149031012990723</v>
      </c>
      <c r="M220" s="49">
        <f>IFERROR(IF(Data_Entry!R209/Data_Entry!$H209&lt;0,0,Data_Entry!R209/Data_Entry!$H209),0)</f>
        <v>0.94181730226512572</v>
      </c>
      <c r="N220" s="49">
        <f>IFERROR(IF(Data_Entry!S209/Data_Entry!$H209&lt;0,0,Data_Entry!S209/Data_Entry!$H209),0)</f>
        <v>0.91894943611300484</v>
      </c>
      <c r="O220" s="49">
        <f>IFERROR(IF(Data_Entry!T209/Data_Entry!$H209&lt;0,0,Data_Entry!T209/Data_Entry!$H209),0)</f>
        <v>0.92149031012990723</v>
      </c>
      <c r="P220" s="49">
        <f>IFERROR(IF(Data_Entry!U209/Data_Entry!$H209&lt;0,0,Data_Entry!U209/Data_Entry!$H209),0)</f>
        <v>0.83255971953832608</v>
      </c>
      <c r="Q220" s="49">
        <f>IFERROR(IF(Data_Entry!V209/Data_Entry!$H209&lt;0,0,Data_Entry!V209/Data_Entry!$H209),0)</f>
        <v>0.81138576939747342</v>
      </c>
      <c r="R220" s="49">
        <f>IFERROR(IF(Data_Entry!W209/Data_Entry!$H209&lt;0,0,Data_Entry!W209/Data_Entry!$H209),0)</f>
        <v>0.80799793737493697</v>
      </c>
      <c r="S220" s="49">
        <f>IFERROR(IF(Data_Entry!X209/Data_Entry!$H209&lt;0,0,Data_Entry!X209/Data_Entry!$H209),0)</f>
        <v>0.87914240984820191</v>
      </c>
      <c r="T220" s="49">
        <f>IFERROR(IF(Data_Entry!Y209/Data_Entry!$H209&lt;0,0,Data_Entry!Y209/Data_Entry!$H209),0)</f>
        <v>0.16176897907611423</v>
      </c>
      <c r="U220" s="49">
        <f>IFERROR(IF(Data_Entry!Z209/Data_Entry!$H209&lt;0,0,Data_Entry!Z209/Data_Entry!$H209),0)</f>
        <v>0.86643803976369027</v>
      </c>
      <c r="V220" s="49">
        <f>IFERROR(IF(Data_Entry!AA209/Data_Entry!$H209&lt;0,0,Data_Entry!AA209/Data_Entry!$H209),0)</f>
        <v>0.91471464608483433</v>
      </c>
      <c r="W220" s="49">
        <f>IFERROR(IF(Data_Entry!AB209/Data_Entry!$H209&lt;0,0,Data_Entry!AB209/Data_Entry!$H209),0)</f>
        <v>0.77581353316084101</v>
      </c>
      <c r="X220" s="49">
        <f>IFERROR(IF(Data_Entry!AC209/Data_Entry!$I209&lt;0,0,Data_Entry!AC209/Data_Entry!$I209),0)</f>
        <v>0.13597063822449931</v>
      </c>
      <c r="Y220" s="49">
        <f>IFERROR(IF(Data_Entry!AD209/Data_Entry!$I209&lt;0,0,Data_Entry!AD209/Data_Entry!$I209),0)</f>
        <v>9.1632386629553891E-2</v>
      </c>
      <c r="Z220" s="49">
        <f>IFERROR(IF(Data_Entry!AE209/Data_Entry!$I209&lt;0,0,Data_Entry!AE209/Data_Entry!$I209),0)</f>
        <v>9.9761066088627226E-2</v>
      </c>
      <c r="AA220" s="49">
        <f>IFERROR(IF(Data_Entry!AF209/Data_Entry!$I209&lt;0,0,Data_Entry!AF209/Data_Entry!$I209),0)</f>
        <v>9.2371357489469647E-2</v>
      </c>
      <c r="AB220" s="49">
        <f>IFERROR(IF(Data_Entry!AG209/Data_Entry!$I209&lt;0,0,Data_Entry!AG209/Data_Entry!$I209),0)</f>
        <v>3.6948542995787863E-2</v>
      </c>
      <c r="AC220" s="49">
        <f>IFERROR(IF(Data_Entry!AI209/Data_Entry!$I209&lt;0,0,Data_Entry!AI209/Data_Entry!$I209),0)</f>
        <v>4.005222060743404E-2</v>
      </c>
      <c r="AD220" s="49">
        <f>IFERROR(IF(Data_Entry!AM209/Data_Entry!$H209&lt;0,0,Data_Entry!AM209/Data_Entry!$H209),0)</f>
        <v>0.86643803976369027</v>
      </c>
      <c r="AE220" s="50">
        <f>Data_Entry!AK209</f>
        <v>68.696083333333263</v>
      </c>
      <c r="AF220" s="50">
        <f>Data_Entry!AL209</f>
        <v>74</v>
      </c>
      <c r="AG220" s="153">
        <f>(Data_Entry!O209-Data_Entry!Q209)/Data_Entry!O209</f>
        <v>2.1582733812949641E-2</v>
      </c>
      <c r="AH220" s="79" t="str">
        <f t="shared" si="6"/>
        <v>CAT1</v>
      </c>
      <c r="AI220" s="51">
        <f>SUBTOTAL(3,Tableau1[[#This Row],[ZS]])</f>
        <v>0</v>
      </c>
      <c r="AJ220" s="51" t="e">
        <f t="shared" ca="1" si="7"/>
        <v>#NAME?</v>
      </c>
      <c r="AK220" s="50" t="str">
        <f>IFERROR(IF((Data_Entry!O209-Data_Entry!Q209)/Data_Entry!O209&lt;=10%,"&lt;=10%","&gt;10%"),"&lt;=10%")</f>
        <v>&lt;=10%</v>
      </c>
    </row>
    <row r="221" spans="1:37" s="48" customFormat="1" ht="13" hidden="1" x14ac:dyDescent="0.3">
      <c r="A221" s="31" t="s">
        <v>16</v>
      </c>
      <c r="B221" s="48" t="str">
        <f>Data_Entry!B210</f>
        <v>Goma</v>
      </c>
      <c r="C221" s="48" t="str">
        <f>Data_Entry!C210</f>
        <v xml:space="preserve"> Karisimbi</v>
      </c>
      <c r="D221" s="48" t="str">
        <f>Data_Entry!D210</f>
        <v xml:space="preserve"> Mabanga</v>
      </c>
      <c r="E221" s="49">
        <f>IFERROR(IF(Data_Entry!J210/Data_Entry!$I210&lt;0,0,Data_Entry!J210/Data_Entry!$I210),0)</f>
        <v>0.73867595818815335</v>
      </c>
      <c r="F221" s="49">
        <f>IFERROR(IF(Data_Entry!K210/Data_Entry!$H210&lt;0,0,Data_Entry!K210/Data_Entry!$H210),0)</f>
        <v>0.36854213346530867</v>
      </c>
      <c r="G221" s="49">
        <f>IFERROR(IF(Data_Entry!L210/Data_Entry!$H210&lt;0,0,Data_Entry!L210/Data_Entry!$H210),0)</f>
        <v>0.47009089469878379</v>
      </c>
      <c r="H221" s="49">
        <f>IFERROR(IF(Data_Entry!M210/Data_Entry!$H210&lt;0,0,Data_Entry!M210/Data_Entry!$H210),0)</f>
        <v>0.48035987055385432</v>
      </c>
      <c r="I221" s="49">
        <f>IFERROR(IF(Data_Entry!N210/Data_Entry!$H210&lt;0,0,Data_Entry!N210/Data_Entry!$H210),0)</f>
        <v>0.44612995103695258</v>
      </c>
      <c r="J221" s="49">
        <f>IFERROR(IF(Data_Entry!O210/Data_Entry!$H210&lt;0,0,Data_Entry!O210/Data_Entry!$H210),0)</f>
        <v>0.46666790274709363</v>
      </c>
      <c r="K221" s="49">
        <f>IFERROR(IF(Data_Entry!P210/Data_Entry!$H210&lt;0,0,Data_Entry!P210/Data_Entry!$H210),0)</f>
        <v>0.46324491079540342</v>
      </c>
      <c r="L221" s="49">
        <f>IFERROR(IF(Data_Entry!Q210/Data_Entry!$H210&lt;0,0,Data_Entry!Q210/Data_Entry!$H210),0)</f>
        <v>0.44841194567141268</v>
      </c>
      <c r="M221" s="49">
        <f>IFERROR(IF(Data_Entry!R210/Data_Entry!$H210&lt;0,0,Data_Entry!R210/Data_Entry!$H210),0)</f>
        <v>0.46552690542986358</v>
      </c>
      <c r="N221" s="49">
        <f>IFERROR(IF(Data_Entry!S210/Data_Entry!$H210&lt;0,0,Data_Entry!S210/Data_Entry!$H210),0)</f>
        <v>0.46210391347817337</v>
      </c>
      <c r="O221" s="49">
        <f>IFERROR(IF(Data_Entry!T210/Data_Entry!$H210&lt;0,0,Data_Entry!T210/Data_Entry!$H210),0)</f>
        <v>0.44498895371972252</v>
      </c>
      <c r="P221" s="49">
        <f>IFERROR(IF(Data_Entry!U210/Data_Entry!$H210&lt;0,0,Data_Entry!U210/Data_Entry!$H210),0)</f>
        <v>0.434719977864652</v>
      </c>
      <c r="Q221" s="49">
        <f>IFERROR(IF(Data_Entry!V210/Data_Entry!$H210&lt;0,0,Data_Entry!V210/Data_Entry!$H210),0)</f>
        <v>0.42445100200958147</v>
      </c>
      <c r="R221" s="49">
        <f>IFERROR(IF(Data_Entry!W210/Data_Entry!$H210&lt;0,0,Data_Entry!W210/Data_Entry!$H210),0)</f>
        <v>0.42901499127850173</v>
      </c>
      <c r="S221" s="49">
        <f>IFERROR(IF(Data_Entry!X210/Data_Entry!$H210&lt;0,0,Data_Entry!X210/Data_Entry!$H210),0)</f>
        <v>0.56479367202887854</v>
      </c>
      <c r="T221" s="49">
        <f>IFERROR(IF(Data_Entry!Y210/Data_Entry!$H210&lt;0,0,Data_Entry!Y210/Data_Entry!$H210),0)</f>
        <v>4.9062884640892486E-2</v>
      </c>
      <c r="U221" s="49">
        <f>IFERROR(IF(Data_Entry!Z210/Data_Entry!$H210&lt;0,0,Data_Entry!Z210/Data_Entry!$H210),0)</f>
        <v>0.53855073373258722</v>
      </c>
      <c r="V221" s="49">
        <f>IFERROR(IF(Data_Entry!AA210/Data_Entry!$H210&lt;0,0,Data_Entry!AA210/Data_Entry!$H210),0)</f>
        <v>0.45868092152648321</v>
      </c>
      <c r="W221" s="49">
        <f>IFERROR(IF(Data_Entry!AB210/Data_Entry!$H210&lt;0,0,Data_Entry!AB210/Data_Entry!$H210),0)</f>
        <v>6.2754852447653178E-2</v>
      </c>
      <c r="X221" s="49">
        <f>IFERROR(IF(Data_Entry!AC210/Data_Entry!$I210&lt;0,0,Data_Entry!AC210/Data_Entry!$I210),0)</f>
        <v>0.15729218516674962</v>
      </c>
      <c r="Y221" s="49">
        <f>IFERROR(IF(Data_Entry!AD210/Data_Entry!$I210&lt;0,0,Data_Entry!AD210/Data_Entry!$I210),0)</f>
        <v>0.13240418118466898</v>
      </c>
      <c r="Z221" s="49">
        <f>IFERROR(IF(Data_Entry!AE210/Data_Entry!$I210&lt;0,0,Data_Entry!AE210/Data_Entry!$I210),0)</f>
        <v>9.158785465405675E-2</v>
      </c>
      <c r="AA221" s="49">
        <f>IFERROR(IF(Data_Entry!AF210/Data_Entry!$I210&lt;0,0,Data_Entry!AF210/Data_Entry!$I210),0)</f>
        <v>8.1632653061224483E-2</v>
      </c>
      <c r="AB221" s="49">
        <f>IFERROR(IF(Data_Entry!AG210/Data_Entry!$I210&lt;0,0,Data_Entry!AG210/Data_Entry!$I210),0)</f>
        <v>4.0816326530612242E-2</v>
      </c>
      <c r="AC221" s="49">
        <f>IFERROR(IF(Data_Entry!AI210/Data_Entry!$I210&lt;0,0,Data_Entry!AI210/Data_Entry!$I210),0)</f>
        <v>4.9776007964161276E-2</v>
      </c>
      <c r="AD221" s="49">
        <f>IFERROR(IF(Data_Entry!AM210/Data_Entry!$H210&lt;0,0,Data_Entry!AM210/Data_Entry!$H210),0)</f>
        <v>0.53855073373258722</v>
      </c>
      <c r="AE221" s="50">
        <f>Data_Entry!AK210</f>
        <v>467.4262500000001</v>
      </c>
      <c r="AF221" s="50">
        <f>Data_Entry!AL210</f>
        <v>0</v>
      </c>
      <c r="AG221" s="153">
        <f>(Data_Entry!O210-Data_Entry!Q210)/Data_Entry!O210</f>
        <v>3.9119804400977995E-2</v>
      </c>
      <c r="AH221" s="79" t="str">
        <f t="shared" si="6"/>
        <v>CAT3</v>
      </c>
      <c r="AI221" s="51">
        <f>SUBTOTAL(3,Tableau1[[#This Row],[ZS]])</f>
        <v>0</v>
      </c>
      <c r="AJ221" s="51" t="e">
        <f t="shared" ca="1" si="7"/>
        <v>#NAME?</v>
      </c>
      <c r="AK221" s="50" t="str">
        <f>IFERROR(IF((Data_Entry!O210-Data_Entry!Q210)/Data_Entry!O210&lt;=10%,"&lt;=10%","&gt;10%"),"&lt;=10%")</f>
        <v>&lt;=10%</v>
      </c>
    </row>
    <row r="222" spans="1:37" s="48" customFormat="1" ht="13" hidden="1" x14ac:dyDescent="0.3">
      <c r="A222" s="31" t="s">
        <v>16</v>
      </c>
      <c r="B222" s="48" t="str">
        <f>Data_Entry!B211</f>
        <v>Goma</v>
      </c>
      <c r="C222" s="48" t="str">
        <f>Data_Entry!C211</f>
        <v xml:space="preserve"> Karisimbi</v>
      </c>
      <c r="D222" s="48" t="str">
        <f>Data_Entry!D211</f>
        <v xml:space="preserve"> Majengo</v>
      </c>
      <c r="E222" s="49">
        <f>IFERROR(IF(Data_Entry!J211/Data_Entry!$I211&lt;0,0,Data_Entry!J211/Data_Entry!$I211),0)</f>
        <v>0.9363545484838387</v>
      </c>
      <c r="F222" s="49">
        <f>IFERROR(IF(Data_Entry!K211/Data_Entry!$H211&lt;0,0,Data_Entry!K211/Data_Entry!$H211),0)</f>
        <v>0.56218127863777978</v>
      </c>
      <c r="G222" s="49">
        <f>IFERROR(IF(Data_Entry!L211/Data_Entry!$H211&lt;0,0,Data_Entry!L211/Data_Entry!$H211),0)</f>
        <v>0.9609022398455529</v>
      </c>
      <c r="H222" s="49">
        <f>IFERROR(IF(Data_Entry!M211/Data_Entry!$H211&lt;0,0,Data_Entry!M211/Data_Entry!$H211),0)</f>
        <v>0.87993591438956831</v>
      </c>
      <c r="I222" s="49">
        <f>IFERROR(IF(Data_Entry!N211/Data_Entry!$H211&lt;0,0,Data_Entry!N211/Data_Entry!$H211),0)</f>
        <v>0.89139341327484922</v>
      </c>
      <c r="J222" s="49">
        <f>IFERROR(IF(Data_Entry!O211/Data_Entry!$H211&lt;0,0,Data_Entry!O211/Data_Entry!$H211),0)</f>
        <v>0.96166607310457164</v>
      </c>
      <c r="K222" s="49">
        <f>IFERROR(IF(Data_Entry!P211/Data_Entry!$H211&lt;0,0,Data_Entry!P211/Data_Entry!$H211),0)</f>
        <v>0.88375508068466191</v>
      </c>
      <c r="L222" s="49">
        <f>IFERROR(IF(Data_Entry!Q211/Data_Entry!$H211&lt;0,0,Data_Entry!Q211/Data_Entry!$H211),0)</f>
        <v>0.89597641282896157</v>
      </c>
      <c r="M222" s="49">
        <f>IFERROR(IF(Data_Entry!R211/Data_Entry!$H211&lt;0,0,Data_Entry!R211/Data_Entry!$H211),0)</f>
        <v>0.9609022398455529</v>
      </c>
      <c r="N222" s="49">
        <f>IFERROR(IF(Data_Entry!S211/Data_Entry!$H211&lt;0,0,Data_Entry!S211/Data_Entry!$H211),0)</f>
        <v>0.88375508068466191</v>
      </c>
      <c r="O222" s="49">
        <f>IFERROR(IF(Data_Entry!T211/Data_Entry!$H211&lt;0,0,Data_Entry!T211/Data_Entry!$H211),0)</f>
        <v>0.89062958001583048</v>
      </c>
      <c r="P222" s="49">
        <f>IFERROR(IF(Data_Entry!U211/Data_Entry!$H211&lt;0,0,Data_Entry!U211/Data_Entry!$H211),0)</f>
        <v>0.84174425143863219</v>
      </c>
      <c r="Q222" s="49">
        <f>IFERROR(IF(Data_Entry!V211/Data_Entry!$H211&lt;0,0,Data_Entry!V211/Data_Entry!$H211),0)</f>
        <v>0.78369292375320931</v>
      </c>
      <c r="R222" s="49">
        <f>IFERROR(IF(Data_Entry!W211/Data_Entry!$H211&lt;0,0,Data_Entry!W211/Data_Entry!$H211),0)</f>
        <v>0.75925025946461022</v>
      </c>
      <c r="S222" s="49">
        <f>IFERROR(IF(Data_Entry!X211/Data_Entry!$H211&lt;0,0,Data_Entry!X211/Data_Entry!$H211),0)</f>
        <v>0.99527473650139542</v>
      </c>
      <c r="T222" s="49">
        <f>IFERROR(IF(Data_Entry!Y211/Data_Entry!$H211&lt;0,0,Data_Entry!Y211/Data_Entry!$H211),0)</f>
        <v>3.2844830137805071E-2</v>
      </c>
      <c r="U222" s="49">
        <f>IFERROR(IF(Data_Entry!Z211/Data_Entry!$H211&lt;0,0,Data_Entry!Z211/Data_Entry!$H211),0)</f>
        <v>0.91430841104541083</v>
      </c>
      <c r="V222" s="49">
        <f>IFERROR(IF(Data_Entry!AA211/Data_Entry!$H211&lt;0,0,Data_Entry!AA211/Data_Entry!$H211),0)</f>
        <v>0.89597641282896157</v>
      </c>
      <c r="W222" s="49">
        <f>IFERROR(IF(Data_Entry!AB211/Data_Entry!$H211&lt;0,0,Data_Entry!AB211/Data_Entry!$H211),0)</f>
        <v>0.95631924029144055</v>
      </c>
      <c r="X222" s="49">
        <f>IFERROR(IF(Data_Entry!AC211/Data_Entry!$I211&lt;0,0,Data_Entry!AC211/Data_Entry!$I211),0)</f>
        <v>0.25124958347217596</v>
      </c>
      <c r="Y222" s="49">
        <f>IFERROR(IF(Data_Entry!AD211/Data_Entry!$I211&lt;0,0,Data_Entry!AD211/Data_Entry!$I211),0)</f>
        <v>0.22059313562145952</v>
      </c>
      <c r="Z222" s="49">
        <f>IFERROR(IF(Data_Entry!AE211/Data_Entry!$I211&lt;0,0,Data_Entry!AE211/Data_Entry!$I211),0)</f>
        <v>0.1432855714761746</v>
      </c>
      <c r="AA222" s="49">
        <f>IFERROR(IF(Data_Entry!AF211/Data_Entry!$I211&lt;0,0,Data_Entry!AF211/Data_Entry!$I211),0)</f>
        <v>0.11462845718093968</v>
      </c>
      <c r="AB222" s="49">
        <f>IFERROR(IF(Data_Entry!AG211/Data_Entry!$I211&lt;0,0,Data_Entry!AG211/Data_Entry!$I211),0)</f>
        <v>7.5308230589803404E-2</v>
      </c>
      <c r="AC222" s="49">
        <f>IFERROR(IF(Data_Entry!AI211/Data_Entry!$I211&lt;0,0,Data_Entry!AI211/Data_Entry!$I211),0)</f>
        <v>3.7520826391202931E-2</v>
      </c>
      <c r="AD222" s="49">
        <f>IFERROR(IF(Data_Entry!AM211/Data_Entry!$H211&lt;0,0,Data_Entry!AM211/Data_Entry!$H211),0)</f>
        <v>0.91430841104541083</v>
      </c>
      <c r="AE222" s="50">
        <f>Data_Entry!AK211</f>
        <v>50.186249999999973</v>
      </c>
      <c r="AF222" s="50">
        <f>Data_Entry!AL211</f>
        <v>0</v>
      </c>
      <c r="AG222" s="153">
        <f>(Data_Entry!O211-Data_Entry!Q211)/Data_Entry!O211</f>
        <v>6.830818109610802E-2</v>
      </c>
      <c r="AH222" s="79" t="str">
        <f t="shared" si="6"/>
        <v>CAT1</v>
      </c>
      <c r="AI222" s="51">
        <f>SUBTOTAL(3,Tableau1[[#This Row],[ZS]])</f>
        <v>0</v>
      </c>
      <c r="AJ222" s="51" t="e">
        <f t="shared" ca="1" si="7"/>
        <v>#NAME?</v>
      </c>
      <c r="AK222" s="50" t="str">
        <f>IFERROR(IF((Data_Entry!O211-Data_Entry!Q211)/Data_Entry!O211&lt;=10%,"&lt;=10%","&gt;10%"),"&lt;=10%")</f>
        <v>&lt;=10%</v>
      </c>
    </row>
    <row r="223" spans="1:37" s="48" customFormat="1" ht="13" hidden="1" x14ac:dyDescent="0.3">
      <c r="A223" s="31" t="s">
        <v>16</v>
      </c>
      <c r="B223" s="48" t="str">
        <f>Data_Entry!B212</f>
        <v>Goma</v>
      </c>
      <c r="C223" s="48" t="str">
        <f>Data_Entry!C212</f>
        <v xml:space="preserve"> Karisimbi</v>
      </c>
      <c r="D223" s="48" t="str">
        <f>Data_Entry!D212</f>
        <v xml:space="preserve"> Mugunga 3</v>
      </c>
      <c r="E223" s="49">
        <f>IFERROR(IF(Data_Entry!J212/Data_Entry!$I212&lt;0,0,Data_Entry!J212/Data_Entry!$I212),0)</f>
        <v>0.70595717617129539</v>
      </c>
      <c r="F223" s="49">
        <f>IFERROR(IF(Data_Entry!K212/Data_Entry!$H212&lt;0,0,Data_Entry!K212/Data_Entry!$H212),0)</f>
        <v>0.15890824688850244</v>
      </c>
      <c r="G223" s="49">
        <f>IFERROR(IF(Data_Entry!L212/Data_Entry!$H212&lt;0,0,Data_Entry!L212/Data_Entry!$H212),0)</f>
        <v>0.57586016074273816</v>
      </c>
      <c r="H223" s="49">
        <f>IFERROR(IF(Data_Entry!M212/Data_Entry!$H212&lt;0,0,Data_Entry!M212/Data_Entry!$H212),0)</f>
        <v>0.47235111919151185</v>
      </c>
      <c r="I223" s="49">
        <f>IFERROR(IF(Data_Entry!N212/Data_Entry!$H212&lt;0,0,Data_Entry!N212/Data_Entry!$H212),0)</f>
        <v>0.55982354867142148</v>
      </c>
      <c r="J223" s="49">
        <f>IFERROR(IF(Data_Entry!O212/Data_Entry!$H212&lt;0,0,Data_Entry!O212/Data_Entry!$H212),0)</f>
        <v>0.5627392963207517</v>
      </c>
      <c r="K223" s="49">
        <f>IFERROR(IF(Data_Entry!P212/Data_Entry!$H212&lt;0,0,Data_Entry!P212/Data_Entry!$H212),0)</f>
        <v>0.4810983621395028</v>
      </c>
      <c r="L223" s="49">
        <f>IFERROR(IF(Data_Entry!Q212/Data_Entry!$H212&lt;0,0,Data_Entry!Q212/Data_Entry!$H212),0)</f>
        <v>0.55982354867142148</v>
      </c>
      <c r="M223" s="49">
        <f>IFERROR(IF(Data_Entry!R212/Data_Entry!$H212&lt;0,0,Data_Entry!R212/Data_Entry!$H212),0)</f>
        <v>0.57877590839206849</v>
      </c>
      <c r="N223" s="49">
        <f>IFERROR(IF(Data_Entry!S212/Data_Entry!$H212&lt;0,0,Data_Entry!S212/Data_Entry!$H212),0)</f>
        <v>0.46943537154218151</v>
      </c>
      <c r="O223" s="49">
        <f>IFERROR(IF(Data_Entry!T212/Data_Entry!$H212&lt;0,0,Data_Entry!T212/Data_Entry!$H212),0)</f>
        <v>0.55982354867142148</v>
      </c>
      <c r="P223" s="49">
        <f>IFERROR(IF(Data_Entry!U212/Data_Entry!$H212&lt;0,0,Data_Entry!U212/Data_Entry!$H212),0)</f>
        <v>0.57586016074273816</v>
      </c>
      <c r="Q223" s="49">
        <f>IFERROR(IF(Data_Entry!V212/Data_Entry!$H212&lt;0,0,Data_Entry!V212/Data_Entry!$H212),0)</f>
        <v>0.47235111919151185</v>
      </c>
      <c r="R223" s="49">
        <f>IFERROR(IF(Data_Entry!W212/Data_Entry!$H212&lt;0,0,Data_Entry!W212/Data_Entry!$H212),0)</f>
        <v>0.55982354867142148</v>
      </c>
      <c r="S223" s="49">
        <f>IFERROR(IF(Data_Entry!X212/Data_Entry!$H212&lt;0,0,Data_Entry!X212/Data_Entry!$H212),0)</f>
        <v>0.79016761296851667</v>
      </c>
      <c r="T223" s="49">
        <f>IFERROR(IF(Data_Entry!Y212/Data_Entry!$H212&lt;0,0,Data_Entry!Y212/Data_Entry!$H212),0)</f>
        <v>0.10350904155122635</v>
      </c>
      <c r="U223" s="49">
        <f>IFERROR(IF(Data_Entry!Z212/Data_Entry!$H212&lt;0,0,Data_Entry!Z212/Data_Entry!$H212),0)</f>
        <v>0.79016761296851667</v>
      </c>
      <c r="V223" s="49">
        <f>IFERROR(IF(Data_Entry!AA212/Data_Entry!$H212&lt;0,0,Data_Entry!AA212/Data_Entry!$H212),0)</f>
        <v>0.55544992719742592</v>
      </c>
      <c r="W223" s="49">
        <f>IFERROR(IF(Data_Entry!AB212/Data_Entry!$H212&lt;0,0,Data_Entry!AB212/Data_Entry!$H212),0)</f>
        <v>0.29157476493303197</v>
      </c>
      <c r="X223" s="49">
        <f>IFERROR(IF(Data_Entry!AC212/Data_Entry!$I212&lt;0,0,Data_Entry!AC212/Data_Entry!$I212),0)</f>
        <v>0.2009751960992156</v>
      </c>
      <c r="Y223" s="49">
        <f>IFERROR(IF(Data_Entry!AD212/Data_Entry!$I212&lt;0,0,Data_Entry!AD212/Data_Entry!$I212),0)</f>
        <v>0.14755140979436082</v>
      </c>
      <c r="Z223" s="49">
        <f>IFERROR(IF(Data_Entry!AE212/Data_Entry!$I212&lt;0,0,Data_Entry!AE212/Data_Entry!$I212),0)</f>
        <v>0.13864744541021837</v>
      </c>
      <c r="AA223" s="49">
        <f>IFERROR(IF(Data_Entry!AF212/Data_Entry!$I212&lt;0,0,Data_Entry!AF212/Data_Entry!$I212),0)</f>
        <v>9.7943608225567108E-2</v>
      </c>
      <c r="AB223" s="49">
        <f>IFERROR(IF(Data_Entry!AG212/Data_Entry!$I212&lt;0,0,Data_Entry!AG212/Data_Entry!$I212),0)</f>
        <v>9.1583633665465347E-2</v>
      </c>
      <c r="AC223" s="49">
        <f>IFERROR(IF(Data_Entry!AI212/Data_Entry!$I212&lt;0,0,Data_Entry!AI212/Data_Entry!$I212),0)</f>
        <v>6.3599745601017596E-2</v>
      </c>
      <c r="AD223" s="49">
        <f>IFERROR(IF(Data_Entry!AM212/Data_Entry!$H212&lt;0,0,Data_Entry!AM212/Data_Entry!$H212),0)</f>
        <v>0.79016761296851667</v>
      </c>
      <c r="AE223" s="50">
        <f>Data_Entry!AK212</f>
        <v>299.93041666666659</v>
      </c>
      <c r="AF223" s="50">
        <f>Data_Entry!AL212</f>
        <v>0</v>
      </c>
      <c r="AG223" s="153">
        <f>(Data_Entry!O212-Data_Entry!Q212)/Data_Entry!O212</f>
        <v>5.1813471502590676E-3</v>
      </c>
      <c r="AH223" s="79" t="str">
        <f t="shared" si="6"/>
        <v>CAT3</v>
      </c>
      <c r="AI223" s="51">
        <f>SUBTOTAL(3,Tableau1[[#This Row],[ZS]])</f>
        <v>0</v>
      </c>
      <c r="AJ223" s="51" t="e">
        <f t="shared" ca="1" si="7"/>
        <v>#NAME?</v>
      </c>
      <c r="AK223" s="50" t="str">
        <f>IFERROR(IF((Data_Entry!O212-Data_Entry!Q212)/Data_Entry!O212&lt;=10%,"&lt;=10%","&gt;10%"),"&lt;=10%")</f>
        <v>&lt;=10%</v>
      </c>
    </row>
    <row r="224" spans="1:37" s="48" customFormat="1" ht="13" hidden="1" x14ac:dyDescent="0.3">
      <c r="A224" s="31" t="s">
        <v>16</v>
      </c>
      <c r="B224" s="48" t="str">
        <f>Data_Entry!B213</f>
        <v>Goma</v>
      </c>
      <c r="C224" s="48" t="str">
        <f>Data_Entry!C213</f>
        <v xml:space="preserve"> Karisimbi</v>
      </c>
      <c r="D224" s="48" t="str">
        <f>Data_Entry!D213</f>
        <v xml:space="preserve"> Mugunga</v>
      </c>
      <c r="E224" s="49">
        <f>IFERROR(IF(Data_Entry!J213/Data_Entry!$I213&lt;0,0,Data_Entry!J213/Data_Entry!$I213),0)</f>
        <v>6.0625398851308239</v>
      </c>
      <c r="F224" s="49">
        <f>IFERROR(IF(Data_Entry!K213/Data_Entry!$H213&lt;0,0,Data_Entry!K213/Data_Entry!$H213),0)</f>
        <v>1.565234245716177</v>
      </c>
      <c r="G224" s="49">
        <f>IFERROR(IF(Data_Entry!L213/Data_Entry!$H213&lt;0,0,Data_Entry!L213/Data_Entry!$H213),0)</f>
        <v>7.2312846928258274</v>
      </c>
      <c r="H224" s="49">
        <f>IFERROR(IF(Data_Entry!M213/Data_Entry!$H213&lt;0,0,Data_Entry!M213/Data_Entry!$H213),0)</f>
        <v>5.073601970927359</v>
      </c>
      <c r="I224" s="49">
        <f>IFERROR(IF(Data_Entry!N213/Data_Entry!$H213&lt;0,0,Data_Entry!N213/Data_Entry!$H213),0)</f>
        <v>5.2832750941852895</v>
      </c>
      <c r="J224" s="49">
        <f>IFERROR(IF(Data_Entry!O213/Data_Entry!$H213&lt;0,0,Data_Entry!O213/Data_Entry!$H213),0)</f>
        <v>7.1995899183798615</v>
      </c>
      <c r="K224" s="49">
        <f>IFERROR(IF(Data_Entry!P213/Data_Entry!$H213&lt;0,0,Data_Entry!P213/Data_Entry!$H213),0)</f>
        <v>4.7895680307000461</v>
      </c>
      <c r="L224" s="49">
        <f>IFERROR(IF(Data_Entry!Q213/Data_Entry!$H213&lt;0,0,Data_Entry!Q213/Data_Entry!$H213),0)</f>
        <v>5.0796971198592757</v>
      </c>
      <c r="M224" s="49">
        <f>IFERROR(IF(Data_Entry!R213/Data_Entry!$H213&lt;0,0,Data_Entry!R213/Data_Entry!$H213),0)</f>
        <v>7.2105611864573111</v>
      </c>
      <c r="N224" s="49">
        <f>IFERROR(IF(Data_Entry!S213/Data_Entry!$H213&lt;0,0,Data_Entry!S213/Data_Entry!$H213),0)</f>
        <v>4.9004997412609281</v>
      </c>
      <c r="O224" s="49">
        <f>IFERROR(IF(Data_Entry!T213/Data_Entry!$H213&lt;0,0,Data_Entry!T213/Data_Entry!$H213),0)</f>
        <v>5.2601135282440064</v>
      </c>
      <c r="P224" s="49">
        <f>IFERROR(IF(Data_Entry!U213/Data_Entry!$H213&lt;0,0,Data_Entry!U213/Data_Entry!$H213),0)</f>
        <v>6.4450104806085893</v>
      </c>
      <c r="Q224" s="49">
        <f>IFERROR(IF(Data_Entry!V213/Data_Entry!$H213&lt;0,0,Data_Entry!V213/Data_Entry!$H213),0)</f>
        <v>4.6128087116744654</v>
      </c>
      <c r="R224" s="49">
        <f>IFERROR(IF(Data_Entry!W213/Data_Entry!$H213&lt;0,0,Data_Entry!W213/Data_Entry!$H213),0)</f>
        <v>4.904156830620078</v>
      </c>
      <c r="S224" s="49">
        <f>IFERROR(IF(Data_Entry!X213/Data_Entry!$H213&lt;0,0,Data_Entry!X213/Data_Entry!$H213),0)</f>
        <v>5.9366750596867464</v>
      </c>
      <c r="T224" s="49">
        <f>IFERROR(IF(Data_Entry!Y213/Data_Entry!$H213&lt;0,0,Data_Entry!Y213/Data_Entry!$H213),0)</f>
        <v>5.9573985660552626</v>
      </c>
      <c r="U224" s="49">
        <f>IFERROR(IF(Data_Entry!Z213/Data_Entry!$H213&lt;0,0,Data_Entry!Z213/Data_Entry!$H213),0)</f>
        <v>1.6176525265306596</v>
      </c>
      <c r="V224" s="49">
        <f>IFERROR(IF(Data_Entry!AA213/Data_Entry!$H213&lt;0,0,Data_Entry!AA213/Data_Entry!$H213),0)</f>
        <v>5.7209067874968991</v>
      </c>
      <c r="W224" s="49">
        <f>IFERROR(IF(Data_Entry!AB213/Data_Entry!$H213&lt;0,0,Data_Entry!AB213/Data_Entry!$H213),0)</f>
        <v>3.4254736997371165</v>
      </c>
      <c r="X224" s="49">
        <f>IFERROR(IF(Data_Entry!AC213/Data_Entry!$I213&lt;0,0,Data_Entry!AC213/Data_Entry!$I213),0)</f>
        <v>1.5283982131461393</v>
      </c>
      <c r="Y224" s="49">
        <f>IFERROR(IF(Data_Entry!AD213/Data_Entry!$I213&lt;0,0,Data_Entry!AD213/Data_Entry!$I213),0)</f>
        <v>0.93278025951925125</v>
      </c>
      <c r="Z224" s="49">
        <f>IFERROR(IF(Data_Entry!AE213/Data_Entry!$I213&lt;0,0,Data_Entry!AE213/Data_Entry!$I213),0)</f>
        <v>0.80940225483939598</v>
      </c>
      <c r="AA224" s="49">
        <f>IFERROR(IF(Data_Entry!AF213/Data_Entry!$I213&lt;0,0,Data_Entry!AF213/Data_Entry!$I213),0)</f>
        <v>0.60199957455860464</v>
      </c>
      <c r="AB224" s="49">
        <f>IFERROR(IF(Data_Entry!AG213/Data_Entry!$I213&lt;0,0,Data_Entry!AG213/Data_Entry!$I213),0)</f>
        <v>0.47117634545841314</v>
      </c>
      <c r="AC224" s="49">
        <f>IFERROR(IF(Data_Entry!AI213/Data_Entry!$I213&lt;0,0,Data_Entry!AI213/Data_Entry!$I213),0)</f>
        <v>6.2008083386513507E-2</v>
      </c>
      <c r="AD224" s="49">
        <f>IFERROR(IF(Data_Entry!AM213/Data_Entry!$H213&lt;0,0,Data_Entry!AM213/Data_Entry!$H213),0)</f>
        <v>1.6176525265306596</v>
      </c>
      <c r="AE224" s="50">
        <f>Data_Entry!AK213</f>
        <v>0</v>
      </c>
      <c r="AF224" s="50">
        <f>Data_Entry!AL213</f>
        <v>1036</v>
      </c>
      <c r="AG224" s="153">
        <f>(Data_Entry!O213-Data_Entry!Q213)/Data_Entry!O213</f>
        <v>0.29444632577040297</v>
      </c>
      <c r="AH224" s="79" t="str">
        <f t="shared" si="6"/>
        <v>CAT2</v>
      </c>
      <c r="AI224" s="51">
        <f>SUBTOTAL(3,Tableau1[[#This Row],[ZS]])</f>
        <v>0</v>
      </c>
      <c r="AJ224" s="51" t="e">
        <f t="shared" ca="1" si="7"/>
        <v>#NAME?</v>
      </c>
      <c r="AK224" s="50" t="str">
        <f>IFERROR(IF((Data_Entry!O213-Data_Entry!Q213)/Data_Entry!O213&lt;=10%,"&lt;=10%","&gt;10%"),"&lt;=10%")</f>
        <v>&gt;10%</v>
      </c>
    </row>
    <row r="225" spans="1:37" s="48" customFormat="1" ht="13" hidden="1" x14ac:dyDescent="0.3">
      <c r="A225" s="31" t="s">
        <v>16</v>
      </c>
      <c r="B225" s="48" t="str">
        <f>Data_Entry!B214</f>
        <v>Goma</v>
      </c>
      <c r="C225" s="48" t="str">
        <f>Data_Entry!C214</f>
        <v xml:space="preserve"> Karisimbi</v>
      </c>
      <c r="D225" s="48" t="str">
        <f>Data_Entry!D214</f>
        <v xml:space="preserve"> Murara</v>
      </c>
      <c r="E225" s="49">
        <f>IFERROR(IF(Data_Entry!J214/Data_Entry!$I214&lt;0,0,Data_Entry!J214/Data_Entry!$I214),0)</f>
        <v>0.91936448846639618</v>
      </c>
      <c r="F225" s="49">
        <f>IFERROR(IF(Data_Entry!K214/Data_Entry!$H214&lt;0,0,Data_Entry!K214/Data_Entry!$H214),0)</f>
        <v>0.62628487923920861</v>
      </c>
      <c r="G225" s="49">
        <f>IFERROR(IF(Data_Entry!L214/Data_Entry!$H214&lt;0,0,Data_Entry!L214/Data_Entry!$H214),0)</f>
        <v>1.0582843032399767</v>
      </c>
      <c r="H225" s="49">
        <f>IFERROR(IF(Data_Entry!M214/Data_Entry!$H214&lt;0,0,Data_Entry!M214/Data_Entry!$H214),0)</f>
        <v>1.0102843672398913</v>
      </c>
      <c r="I225" s="49">
        <f>IFERROR(IF(Data_Entry!N214/Data_Entry!$H214&lt;0,0,Data_Entry!N214/Data_Entry!$H214),0)</f>
        <v>0.962284431239806</v>
      </c>
      <c r="J225" s="49">
        <f>IFERROR(IF(Data_Entry!O214/Data_Entry!$H214&lt;0,0,Data_Entry!O214/Data_Entry!$H214),0)</f>
        <v>1.0445700358113807</v>
      </c>
      <c r="K225" s="49">
        <f>IFERROR(IF(Data_Entry!P214/Data_Entry!$H214&lt;0,0,Data_Entry!P214/Data_Entry!$H214),0)</f>
        <v>1.0102843672398913</v>
      </c>
      <c r="L225" s="49">
        <f>IFERROR(IF(Data_Entry!Q214/Data_Entry!$H214&lt;0,0,Data_Entry!Q214/Data_Entry!$H214),0)</f>
        <v>0.95542729752550803</v>
      </c>
      <c r="M225" s="49">
        <f>IFERROR(IF(Data_Entry!R214/Data_Entry!$H214&lt;0,0,Data_Entry!R214/Data_Entry!$H214),0)</f>
        <v>1.0514271695256787</v>
      </c>
      <c r="N225" s="49">
        <f>IFERROR(IF(Data_Entry!S214/Data_Entry!$H214&lt;0,0,Data_Entry!S214/Data_Entry!$H214),0)</f>
        <v>1.0079986560017919</v>
      </c>
      <c r="O225" s="49">
        <f>IFERROR(IF(Data_Entry!T214/Data_Entry!$H214&lt;0,0,Data_Entry!T214/Data_Entry!$H214),0)</f>
        <v>0.95542729752550803</v>
      </c>
      <c r="P225" s="49">
        <f>IFERROR(IF(Data_Entry!U214/Data_Entry!$H214&lt;0,0,Data_Entry!U214/Data_Entry!$H214),0)</f>
        <v>1.0948556830495655</v>
      </c>
      <c r="Q225" s="49">
        <f>IFERROR(IF(Data_Entry!V214/Data_Entry!$H214&lt;0,0,Data_Entry!V214/Data_Entry!$H214),0)</f>
        <v>1.0239986346684871</v>
      </c>
      <c r="R225" s="49">
        <f>IFERROR(IF(Data_Entry!W214/Data_Entry!$H214&lt;0,0,Data_Entry!W214/Data_Entry!$H214),0)</f>
        <v>0.9805701211446004</v>
      </c>
      <c r="S225" s="49">
        <f>IFERROR(IF(Data_Entry!X214/Data_Entry!$H214&lt;0,0,Data_Entry!X214/Data_Entry!$H214),0)</f>
        <v>0.91885591771591923</v>
      </c>
      <c r="T225" s="49">
        <f>IFERROR(IF(Data_Entry!Y214/Data_Entry!$H214&lt;0,0,Data_Entry!Y214/Data_Entry!$H214),0)</f>
        <v>0.28114248228621408</v>
      </c>
      <c r="U225" s="49">
        <f>IFERROR(IF(Data_Entry!Z214/Data_Entry!$H214&lt;0,0,Data_Entry!Z214/Data_Entry!$H214),0)</f>
        <v>0.90742736152542269</v>
      </c>
      <c r="V225" s="49">
        <f>IFERROR(IF(Data_Entry!AA214/Data_Entry!$H214&lt;0,0,Data_Entry!AA214/Data_Entry!$H214),0)</f>
        <v>0.962284431239806</v>
      </c>
      <c r="W225" s="49">
        <f>IFERROR(IF(Data_Entry!AB214/Data_Entry!$H214&lt;0,0,Data_Entry!AB214/Data_Entry!$H214),0)</f>
        <v>0.62171345676301004</v>
      </c>
      <c r="X225" s="49">
        <f>IFERROR(IF(Data_Entry!AC214/Data_Entry!$I214&lt;0,0,Data_Entry!AC214/Data_Entry!$I214),0)</f>
        <v>0.3709366482749451</v>
      </c>
      <c r="Y225" s="49">
        <f>IFERROR(IF(Data_Entry!AD214/Data_Entry!$I214&lt;0,0,Data_Entry!AD214/Data_Entry!$I214),0)</f>
        <v>0.22335970218706372</v>
      </c>
      <c r="Z225" s="49">
        <f>IFERROR(IF(Data_Entry!AE214/Data_Entry!$I214&lt;0,0,Data_Entry!AE214/Data_Entry!$I214),0)</f>
        <v>0.2811939107890713</v>
      </c>
      <c r="AA225" s="49">
        <f>IFERROR(IF(Data_Entry!AF214/Data_Entry!$I214&lt;0,0,Data_Entry!AF214/Data_Entry!$I214),0)</f>
        <v>0.18945689024795584</v>
      </c>
      <c r="AB225" s="49">
        <f>IFERROR(IF(Data_Entry!AG214/Data_Entry!$I214&lt;0,0,Data_Entry!AG214/Data_Entry!$I214),0)</f>
        <v>0.14558266303263975</v>
      </c>
      <c r="AC225" s="49">
        <f>IFERROR(IF(Data_Entry!AI214/Data_Entry!$I214&lt;0,0,Data_Entry!AI214/Data_Entry!$I214),0)</f>
        <v>0.11626670212058762</v>
      </c>
      <c r="AD225" s="49">
        <f>IFERROR(IF(Data_Entry!AM214/Data_Entry!$H214&lt;0,0,Data_Entry!AM214/Data_Entry!$H214),0)</f>
        <v>0.90742736152542269</v>
      </c>
      <c r="AE225" s="50">
        <f>Data_Entry!AK214</f>
        <v>0</v>
      </c>
      <c r="AF225" s="50">
        <f>Data_Entry!AL214</f>
        <v>55</v>
      </c>
      <c r="AG225" s="153">
        <f>(Data_Entry!O214-Data_Entry!Q214)/Data_Entry!O214</f>
        <v>8.5339168490153175E-2</v>
      </c>
      <c r="AH225" s="79" t="str">
        <f t="shared" si="6"/>
        <v>CAT1</v>
      </c>
      <c r="AI225" s="51">
        <f>SUBTOTAL(3,Tableau1[[#This Row],[ZS]])</f>
        <v>0</v>
      </c>
      <c r="AJ225" s="51" t="e">
        <f t="shared" ca="1" si="7"/>
        <v>#NAME?</v>
      </c>
      <c r="AK225" s="50" t="str">
        <f>IFERROR(IF((Data_Entry!O214-Data_Entry!Q214)/Data_Entry!O214&lt;=10%,"&lt;=10%","&gt;10%"),"&lt;=10%")</f>
        <v>&lt;=10%</v>
      </c>
    </row>
    <row r="226" spans="1:37" s="48" customFormat="1" ht="13" hidden="1" x14ac:dyDescent="0.3">
      <c r="A226" s="31" t="s">
        <v>16</v>
      </c>
      <c r="B226" s="48" t="str">
        <f>Data_Entry!B215</f>
        <v>Goma</v>
      </c>
      <c r="C226" s="48" t="str">
        <f>Data_Entry!C215</f>
        <v xml:space="preserve"> Karisimbi</v>
      </c>
      <c r="D226" s="48" t="str">
        <f>Data_Entry!D215</f>
        <v xml:space="preserve"> Muungano Resurrection</v>
      </c>
      <c r="E226" s="49">
        <f>IFERROR(IF(Data_Entry!J215/Data_Entry!$I215&lt;0,0,Data_Entry!J215/Data_Entry!$I215),0)</f>
        <v>1.3809360014568115</v>
      </c>
      <c r="F226" s="49">
        <f>IFERROR(IF(Data_Entry!K215/Data_Entry!$H215&lt;0,0,Data_Entry!K215/Data_Entry!$H215),0)</f>
        <v>0.81536924649132936</v>
      </c>
      <c r="G226" s="49">
        <f>IFERROR(IF(Data_Entry!L215/Data_Entry!$H215&lt;0,0,Data_Entry!L215/Data_Entry!$H215),0)</f>
        <v>1.2341851905082066</v>
      </c>
      <c r="H226" s="49">
        <f>IFERROR(IF(Data_Entry!M215/Data_Entry!$H215&lt;0,0,Data_Entry!M215/Data_Entry!$H215),0)</f>
        <v>1.1785285866521433</v>
      </c>
      <c r="I226" s="49">
        <f>IFERROR(IF(Data_Entry!N215/Data_Entry!$H215&lt;0,0,Data_Entry!N215/Data_Entry!$H215),0)</f>
        <v>1.230010945219002</v>
      </c>
      <c r="J226" s="49">
        <f>IFERROR(IF(Data_Entry!O215/Data_Entry!$H215&lt;0,0,Data_Entry!O215/Data_Entry!$H215),0)</f>
        <v>1.1319161809226901</v>
      </c>
      <c r="K226" s="49">
        <f>IFERROR(IF(Data_Entry!P215/Data_Entry!$H215&lt;0,0,Data_Entry!P215/Data_Entry!$H215),0)</f>
        <v>1.0539969355242014</v>
      </c>
      <c r="L226" s="49">
        <f>IFERROR(IF(Data_Entry!Q215/Data_Entry!$H215&lt;0,0,Data_Entry!Q215/Data_Entry!$H215),0)</f>
        <v>1.1736586338147377</v>
      </c>
      <c r="M226" s="49">
        <f>IFERROR(IF(Data_Entry!R215/Data_Entry!$H215&lt;0,0,Data_Entry!R215/Data_Entry!$H215),0)</f>
        <v>1.1402646715010998</v>
      </c>
      <c r="N226" s="49">
        <f>IFERROR(IF(Data_Entry!S215/Data_Entry!$H215&lt;0,0,Data_Entry!S215/Data_Entry!$H215),0)</f>
        <v>1.0630411336508117</v>
      </c>
      <c r="O226" s="49">
        <f>IFERROR(IF(Data_Entry!T215/Data_Entry!$H215&lt;0,0,Data_Entry!T215/Data_Entry!$H215),0)</f>
        <v>1.1500045771759109</v>
      </c>
      <c r="P226" s="49">
        <f>IFERROR(IF(Data_Entry!U215/Data_Entry!$H215&lt;0,0,Data_Entry!U215/Data_Entry!$H215),0)</f>
        <v>1.0623454261026108</v>
      </c>
      <c r="Q226" s="49">
        <f>IFERROR(IF(Data_Entry!V215/Data_Entry!$H215&lt;0,0,Data_Entry!V215/Data_Entry!$H215),0)</f>
        <v>0.98303476560772052</v>
      </c>
      <c r="R226" s="49">
        <f>IFERROR(IF(Data_Entry!W215/Data_Entry!$H215&lt;0,0,Data_Entry!W215/Data_Entry!$H215),0)</f>
        <v>1.1333075960190917</v>
      </c>
      <c r="S226" s="49">
        <f>IFERROR(IF(Data_Entry!X215/Data_Entry!$H215&lt;0,0,Data_Entry!X215/Data_Entry!$H215),0)</f>
        <v>1.4122863228476097</v>
      </c>
      <c r="T226" s="49">
        <f>IFERROR(IF(Data_Entry!Y215/Data_Entry!$H215&lt;0,0,Data_Entry!Y215/Data_Entry!$H215),0)</f>
        <v>0.64144235944113115</v>
      </c>
      <c r="U226" s="49">
        <f>IFERROR(IF(Data_Entry!Z215/Data_Entry!$H215&lt;0,0,Data_Entry!Z215/Data_Entry!$H215),0)</f>
        <v>1.7225718893451634</v>
      </c>
      <c r="V226" s="49">
        <f>IFERROR(IF(Data_Entry!AA215/Data_Entry!$H215&lt;0,0,Data_Entry!AA215/Data_Entry!$H215),0)</f>
        <v>1.5716033513855914</v>
      </c>
      <c r="W226" s="49">
        <f>IFERROR(IF(Data_Entry!AB215/Data_Entry!$H215&lt;0,0,Data_Entry!AB215/Data_Entry!$H215),0)</f>
        <v>0.73397146335183661</v>
      </c>
      <c r="X226" s="49">
        <f>IFERROR(IF(Data_Entry!AC215/Data_Entry!$I215&lt;0,0,Data_Entry!AC215/Data_Entry!$I215),0)</f>
        <v>0.48256884446512754</v>
      </c>
      <c r="Y226" s="49">
        <f>IFERROR(IF(Data_Entry!AD215/Data_Entry!$I215&lt;0,0,Data_Entry!AD215/Data_Entry!$I215),0)</f>
        <v>0.30957246626064788</v>
      </c>
      <c r="Z226" s="49">
        <f>IFERROR(IF(Data_Entry!AE215/Data_Entry!$I215&lt;0,0,Data_Entry!AE215/Data_Entry!$I215),0)</f>
        <v>0.28893430184327135</v>
      </c>
      <c r="AA226" s="49">
        <f>IFERROR(IF(Data_Entry!AF215/Data_Entry!$I215&lt;0,0,Data_Entry!AF215/Data_Entry!$I215),0)</f>
        <v>0.16510531533901218</v>
      </c>
      <c r="AB226" s="49">
        <f>IFERROR(IF(Data_Entry!AG215/Data_Entry!$I215&lt;0,0,Data_Entry!AG215/Data_Entry!$I215),0)</f>
        <v>0.15357222345871355</v>
      </c>
      <c r="AC226" s="49">
        <f>IFERROR(IF(Data_Entry!AI215/Data_Entry!$I215&lt;0,0,Data_Entry!AI215/Data_Entry!$I215),0)</f>
        <v>3.1624951945450501E-2</v>
      </c>
      <c r="AD226" s="49">
        <f>IFERROR(IF(Data_Entry!AM215/Data_Entry!$H215&lt;0,0,Data_Entry!AM215/Data_Entry!$H215),0)</f>
        <v>1.4122863228476097</v>
      </c>
      <c r="AE226" s="50">
        <f>Data_Entry!AK215</f>
        <v>0</v>
      </c>
      <c r="AF226" s="50">
        <f>Data_Entry!AL215</f>
        <v>0</v>
      </c>
      <c r="AG226" s="153">
        <f>(Data_Entry!O215-Data_Entry!Q215)/Data_Entry!O215</f>
        <v>-3.6877688998156119E-2</v>
      </c>
      <c r="AH226" s="79" t="str">
        <f t="shared" si="6"/>
        <v>CAT1</v>
      </c>
      <c r="AI226" s="51">
        <f>SUBTOTAL(3,Tableau1[[#This Row],[ZS]])</f>
        <v>0</v>
      </c>
      <c r="AJ226" s="51" t="e">
        <f t="shared" ca="1" si="7"/>
        <v>#NAME?</v>
      </c>
      <c r="AK226" s="50" t="str">
        <f>IFERROR(IF((Data_Entry!O215-Data_Entry!Q215)/Data_Entry!O215&lt;=10%,"&lt;=10%","&gt;10%"),"&lt;=10%")</f>
        <v>&lt;=10%</v>
      </c>
    </row>
    <row r="227" spans="1:37" s="48" customFormat="1" ht="13" hidden="1" x14ac:dyDescent="0.3">
      <c r="A227" s="31" t="s">
        <v>16</v>
      </c>
      <c r="B227" s="48" t="str">
        <f>Data_Entry!B216</f>
        <v>Goma</v>
      </c>
      <c r="C227" s="48" t="str">
        <f>Data_Entry!C216</f>
        <v xml:space="preserve"> Karisimbi</v>
      </c>
      <c r="D227" s="48" t="str">
        <f>Data_Entry!D216</f>
        <v xml:space="preserve"> Muungano Solidarité</v>
      </c>
      <c r="E227" s="49">
        <f>IFERROR(IF(Data_Entry!J216/Data_Entry!$I216&lt;0,0,Data_Entry!J216/Data_Entry!$I216),0)</f>
        <v>1.5163344976371484</v>
      </c>
      <c r="F227" s="49">
        <f>IFERROR(IF(Data_Entry!K216/Data_Entry!$H216&lt;0,0,Data_Entry!K216/Data_Entry!$H216),0)</f>
        <v>1.5000738851148281</v>
      </c>
      <c r="G227" s="49">
        <f>IFERROR(IF(Data_Entry!L216/Data_Entry!$H216&lt;0,0,Data_Entry!L216/Data_Entry!$H216),0)</f>
        <v>1.0290930734618207</v>
      </c>
      <c r="H227" s="49">
        <f>IFERROR(IF(Data_Entry!M216/Data_Entry!$H216&lt;0,0,Data_Entry!M216/Data_Entry!$H216),0)</f>
        <v>0.90899296649030392</v>
      </c>
      <c r="I227" s="49">
        <f>IFERROR(IF(Data_Entry!N216/Data_Entry!$H216&lt;0,0,Data_Entry!N216/Data_Entry!$H216),0)</f>
        <v>0.93489691113121931</v>
      </c>
      <c r="J227" s="49">
        <f>IFERROR(IF(Data_Entry!O216/Data_Entry!$H216&lt;0,0,Data_Entry!O216/Data_Entry!$H216),0)</f>
        <v>0.98905970447131519</v>
      </c>
      <c r="K227" s="49">
        <f>IFERROR(IF(Data_Entry!P216/Data_Entry!$H216&lt;0,0,Data_Entry!P216/Data_Entry!$H216),0)</f>
        <v>0.93725181518948442</v>
      </c>
      <c r="L227" s="49">
        <f>IFERROR(IF(Data_Entry!Q216/Data_Entry!$H216&lt;0,0,Data_Entry!Q216/Data_Entry!$H216),0)</f>
        <v>0.97964008823825499</v>
      </c>
      <c r="M227" s="49">
        <f>IFERROR(IF(Data_Entry!R216/Data_Entry!$H216&lt;0,0,Data_Entry!R216/Data_Entry!$H216),0)</f>
        <v>0.90663806243203893</v>
      </c>
      <c r="N227" s="49">
        <f>IFERROR(IF(Data_Entry!S216/Data_Entry!$H216&lt;0,0,Data_Entry!S216/Data_Entry!$H216),0)</f>
        <v>0.92312239083989411</v>
      </c>
      <c r="O227" s="49">
        <f>IFERROR(IF(Data_Entry!T216/Data_Entry!$H216&lt;0,0,Data_Entry!T216/Data_Entry!$H216),0)</f>
        <v>0.93725181518948442</v>
      </c>
      <c r="P227" s="49">
        <f>IFERROR(IF(Data_Entry!U216/Data_Entry!$H216&lt;0,0,Data_Entry!U216/Data_Entry!$H216),0)</f>
        <v>1.0479323059279411</v>
      </c>
      <c r="Q227" s="49">
        <f>IFERROR(IF(Data_Entry!V216/Data_Entry!$H216&lt;0,0,Data_Entry!V216/Data_Entry!$H216),0)</f>
        <v>0.93725181518948442</v>
      </c>
      <c r="R227" s="49">
        <f>IFERROR(IF(Data_Entry!W216/Data_Entry!$H216&lt;0,0,Data_Entry!W216/Data_Entry!$H216),0)</f>
        <v>1.0008342247626403</v>
      </c>
      <c r="S227" s="49">
        <f>IFERROR(IF(Data_Entry!X216/Data_Entry!$H216&lt;0,0,Data_Entry!X216/Data_Entry!$H216),0)</f>
        <v>1.0385126896948809</v>
      </c>
      <c r="T227" s="49">
        <f>IFERROR(IF(Data_Entry!Y216/Data_Entry!$H216&lt;0,0,Data_Entry!Y216/Data_Entry!$H216),0)</f>
        <v>0.16484328407855253</v>
      </c>
      <c r="U227" s="49">
        <f>IFERROR(IF(Data_Entry!Z216/Data_Entry!$H216&lt;0,0,Data_Entry!Z216/Data_Entry!$H216),0)</f>
        <v>1.0196734572287607</v>
      </c>
      <c r="V227" s="49">
        <f>IFERROR(IF(Data_Entry!AA216/Data_Entry!$H216&lt;0,0,Data_Entry!AA216/Data_Entry!$H216),0)</f>
        <v>0.93254200707295432</v>
      </c>
      <c r="W227" s="49">
        <f>IFERROR(IF(Data_Entry!AB216/Data_Entry!$H216&lt;0,0,Data_Entry!AB216/Data_Entry!$H216),0)</f>
        <v>0.39091407367199599</v>
      </c>
      <c r="X227" s="49">
        <f>IFERROR(IF(Data_Entry!AC216/Data_Entry!$I216&lt;0,0,Data_Entry!AC216/Data_Entry!$I216),0)</f>
        <v>0.38627491267721392</v>
      </c>
      <c r="Y227" s="49">
        <f>IFERROR(IF(Data_Entry!AD216/Data_Entry!$I216&lt;0,0,Data_Entry!AD216/Data_Entry!$I216),0)</f>
        <v>0.28354222313540173</v>
      </c>
      <c r="Z227" s="49">
        <f>IFERROR(IF(Data_Entry!AE216/Data_Entry!$I216&lt;0,0,Data_Entry!AE216/Data_Entry!$I216),0)</f>
        <v>0.26299568522703926</v>
      </c>
      <c r="AA227" s="49">
        <f>IFERROR(IF(Data_Entry!AF216/Data_Entry!$I216&lt;0,0,Data_Entry!AF216/Data_Entry!$I216),0)</f>
        <v>0.20957468666529694</v>
      </c>
      <c r="AB227" s="49">
        <f>IFERROR(IF(Data_Entry!AG216/Data_Entry!$I216&lt;0,0,Data_Entry!AG216/Data_Entry!$I216),0)</f>
        <v>0.2321758783644956</v>
      </c>
      <c r="AC227" s="49">
        <f>IFERROR(IF(Data_Entry!AI216/Data_Entry!$I216&lt;0,0,Data_Entry!AI216/Data_Entry!$I216),0)</f>
        <v>0.11978631600575304</v>
      </c>
      <c r="AD227" s="49">
        <f>IFERROR(IF(Data_Entry!AM216/Data_Entry!$H216&lt;0,0,Data_Entry!AM216/Data_Entry!$H216),0)</f>
        <v>1.0196734572287607</v>
      </c>
      <c r="AE227" s="50">
        <f>Data_Entry!AK216</f>
        <v>4.6457500000000209</v>
      </c>
      <c r="AF227" s="50">
        <f>Data_Entry!AL216</f>
        <v>0</v>
      </c>
      <c r="AG227" s="153">
        <f>(Data_Entry!O216-Data_Entry!Q216)/Data_Entry!O216</f>
        <v>9.5238095238095247E-3</v>
      </c>
      <c r="AH227" s="79" t="str">
        <f t="shared" si="6"/>
        <v>CAT1</v>
      </c>
      <c r="AI227" s="51">
        <f>SUBTOTAL(3,Tableau1[[#This Row],[ZS]])</f>
        <v>0</v>
      </c>
      <c r="AJ227" s="51" t="e">
        <f t="shared" ca="1" si="7"/>
        <v>#NAME?</v>
      </c>
      <c r="AK227" s="50" t="str">
        <f>IFERROR(IF((Data_Entry!O216-Data_Entry!Q216)/Data_Entry!O216&lt;=10%,"&lt;=10%","&gt;10%"),"&lt;=10%")</f>
        <v>&lt;=10%</v>
      </c>
    </row>
    <row r="228" spans="1:37" s="48" customFormat="1" ht="13" hidden="1" x14ac:dyDescent="0.3">
      <c r="A228" s="31" t="s">
        <v>16</v>
      </c>
      <c r="B228" s="48" t="str">
        <f>Data_Entry!B217</f>
        <v>Goma</v>
      </c>
      <c r="C228" s="48" t="str">
        <f>Data_Entry!C217</f>
        <v xml:space="preserve"> Karisimbi</v>
      </c>
      <c r="D228" s="48" t="str">
        <f>Data_Entry!D217</f>
        <v xml:space="preserve"> Méthodiste Unis de Majengo</v>
      </c>
      <c r="E228" s="49">
        <f>IFERROR(IF(Data_Entry!J217/Data_Entry!$I217&lt;0,0,Data_Entry!J217/Data_Entry!$I217),0)</f>
        <v>2.1355228662976988</v>
      </c>
      <c r="F228" s="49">
        <f>IFERROR(IF(Data_Entry!K217/Data_Entry!$H217&lt;0,0,Data_Entry!K217/Data_Entry!$H217),0)</f>
        <v>0.90767429224357898</v>
      </c>
      <c r="G228" s="49">
        <f>IFERROR(IF(Data_Entry!L217/Data_Entry!$H217&lt;0,0,Data_Entry!L217/Data_Entry!$H217),0)</f>
        <v>2.0081511238051042</v>
      </c>
      <c r="H228" s="49">
        <f>IFERROR(IF(Data_Entry!M217/Data_Entry!$H217&lt;0,0,Data_Entry!M217/Data_Entry!$H217),0)</f>
        <v>1.8854585987845929</v>
      </c>
      <c r="I228" s="49">
        <f>IFERROR(IF(Data_Entry!N217/Data_Entry!$H217&lt;0,0,Data_Entry!N217/Data_Entry!$H217),0)</f>
        <v>1.4785701229512644</v>
      </c>
      <c r="J228" s="49">
        <f>IFERROR(IF(Data_Entry!O217/Data_Entry!$H217&lt;0,0,Data_Entry!O217/Data_Entry!$H217),0)</f>
        <v>1.9217655704743362</v>
      </c>
      <c r="K228" s="49">
        <f>IFERROR(IF(Data_Entry!P217/Data_Entry!$H217&lt;0,0,Data_Entry!P217/Data_Entry!$H217),0)</f>
        <v>1.8867105633256187</v>
      </c>
      <c r="L228" s="49">
        <f>IFERROR(IF(Data_Entry!Q217/Data_Entry!$H217&lt;0,0,Data_Entry!Q217/Data_Entry!$H217),0)</f>
        <v>1.4848299456563927</v>
      </c>
      <c r="M228" s="49">
        <f>IFERROR(IF(Data_Entry!R217/Data_Entry!$H217&lt;0,0,Data_Entry!R217/Data_Entry!$H217),0)</f>
        <v>2.0081511238051042</v>
      </c>
      <c r="N228" s="49">
        <f>IFERROR(IF(Data_Entry!S217/Data_Entry!$H217&lt;0,0,Data_Entry!S217/Data_Entry!$H217),0)</f>
        <v>2.1108122161692058</v>
      </c>
      <c r="O228" s="49">
        <f>IFERROR(IF(Data_Entry!T217/Data_Entry!$H217&lt;0,0,Data_Entry!T217/Data_Entry!$H217),0)</f>
        <v>2.2297488475666403</v>
      </c>
      <c r="P228" s="49">
        <f>IFERROR(IF(Data_Entry!U217/Data_Entry!$H217&lt;0,0,Data_Entry!U217/Data_Entry!$H217),0)</f>
        <v>2.0081511238051042</v>
      </c>
      <c r="Q228" s="49">
        <f>IFERROR(IF(Data_Entry!V217/Data_Entry!$H217&lt;0,0,Data_Entry!V217/Data_Entry!$H217),0)</f>
        <v>1.7827975064204917</v>
      </c>
      <c r="R228" s="49">
        <f>IFERROR(IF(Data_Entry!W217/Data_Entry!$H217&lt;0,0,Data_Entry!W217/Data_Entry!$H217),0)</f>
        <v>1.1054846897256279</v>
      </c>
      <c r="S228" s="49">
        <f>IFERROR(IF(Data_Entry!X217/Data_Entry!$H217&lt;0,0,Data_Entry!X217/Data_Entry!$H217),0)</f>
        <v>2.9158254160486834</v>
      </c>
      <c r="T228" s="49">
        <f>IFERROR(IF(Data_Entry!Y217/Data_Entry!$H217&lt;0,0,Data_Entry!Y217/Data_Entry!$H217),0)</f>
        <v>0</v>
      </c>
      <c r="U228" s="49">
        <f>IFERROR(IF(Data_Entry!Z217/Data_Entry!$H217&lt;0,0,Data_Entry!Z217/Data_Entry!$H217),0)</f>
        <v>2.9008018415563757</v>
      </c>
      <c r="V228" s="49">
        <f>IFERROR(IF(Data_Entry!AA217/Data_Entry!$H217&lt;0,0,Data_Entry!AA217/Data_Entry!$H217),0)</f>
        <v>1.5637037117410071</v>
      </c>
      <c r="W228" s="49">
        <f>IFERROR(IF(Data_Entry!AB217/Data_Entry!$H217&lt;0,0,Data_Entry!AB217/Data_Entry!$H217),0)</f>
        <v>0.79499748355127264</v>
      </c>
      <c r="X228" s="49">
        <f>IFERROR(IF(Data_Entry!AC217/Data_Entry!$I217&lt;0,0,Data_Entry!AC217/Data_Entry!$I217),0)</f>
        <v>2.0830905913195457</v>
      </c>
      <c r="Y228" s="49">
        <f>IFERROR(IF(Data_Entry!AD217/Data_Entry!$I217&lt;0,0,Data_Entry!AD217/Data_Entry!$I217),0)</f>
        <v>1.7575735508301775</v>
      </c>
      <c r="Z228" s="49">
        <f>IFERROR(IF(Data_Entry!AE217/Data_Entry!$I217&lt;0,0,Data_Entry!AE217/Data_Entry!$I217),0)</f>
        <v>1.5467521118555199</v>
      </c>
      <c r="AA228" s="49">
        <f>IFERROR(IF(Data_Entry!AF217/Data_Entry!$I217&lt;0,0,Data_Entry!AF217/Data_Entry!$I217),0)</f>
        <v>1.3643314884940285</v>
      </c>
      <c r="AB228" s="49">
        <f>IFERROR(IF(Data_Entry!AG217/Data_Entry!$I217&lt;0,0,Data_Entry!AG217/Data_Entry!$I217),0)</f>
        <v>0.17586658898922225</v>
      </c>
      <c r="AC228" s="49">
        <f>IFERROR(IF(Data_Entry!AI217/Data_Entry!$I217&lt;0,0,Data_Entry!AI217/Data_Entry!$I217),0)</f>
        <v>5.4616953102242932E-2</v>
      </c>
      <c r="AD228" s="49">
        <f>IFERROR(IF(Data_Entry!AM217/Data_Entry!$H217&lt;0,0,Data_Entry!AM217/Data_Entry!$H217),0)</f>
        <v>2.9008018415563757</v>
      </c>
      <c r="AE228" s="50">
        <f>Data_Entry!AK217</f>
        <v>0</v>
      </c>
      <c r="AF228" s="50">
        <f>Data_Entry!AL217</f>
        <v>0</v>
      </c>
      <c r="AG228" s="153">
        <f>(Data_Entry!O217-Data_Entry!Q217)/Data_Entry!O217</f>
        <v>0.22736156351791531</v>
      </c>
      <c r="AH228" s="79" t="str">
        <f t="shared" si="6"/>
        <v>CAT2</v>
      </c>
      <c r="AI228" s="51">
        <f>SUBTOTAL(3,Tableau1[[#This Row],[ZS]])</f>
        <v>0</v>
      </c>
      <c r="AJ228" s="51" t="e">
        <f t="shared" ca="1" si="7"/>
        <v>#NAME?</v>
      </c>
      <c r="AK228" s="50" t="str">
        <f>IFERROR(IF((Data_Entry!O217-Data_Entry!Q217)/Data_Entry!O217&lt;=10%,"&lt;=10%","&gt;10%"),"&lt;=10%")</f>
        <v>&gt;10%</v>
      </c>
    </row>
    <row r="229" spans="1:37" s="48" customFormat="1" ht="13" hidden="1" x14ac:dyDescent="0.3">
      <c r="A229" s="31" t="s">
        <v>16</v>
      </c>
      <c r="B229" s="48" t="str">
        <f>Data_Entry!B218</f>
        <v>Goma</v>
      </c>
      <c r="C229" s="48" t="str">
        <f>Data_Entry!C218</f>
        <v xml:space="preserve"> Karisimbi</v>
      </c>
      <c r="D229" s="48" t="str">
        <f>Data_Entry!D218</f>
        <v xml:space="preserve"> Ndosho</v>
      </c>
      <c r="E229" s="49">
        <f>IFERROR(IF(Data_Entry!J218/Data_Entry!$I218&lt;0,0,Data_Entry!J218/Data_Entry!$I218),0)</f>
        <v>1.0940935628174993</v>
      </c>
      <c r="F229" s="49">
        <f>IFERROR(IF(Data_Entry!K218/Data_Entry!$H218&lt;0,0,Data_Entry!K218/Data_Entry!$H218),0)</f>
        <v>0.90854560792498551</v>
      </c>
      <c r="G229" s="49">
        <f>IFERROR(IF(Data_Entry!L218/Data_Entry!$H218&lt;0,0,Data_Entry!L218/Data_Entry!$H218),0)</f>
        <v>1.4690543760853065</v>
      </c>
      <c r="H229" s="49">
        <f>IFERROR(IF(Data_Entry!M218/Data_Entry!$H218&lt;0,0,Data_Entry!M218/Data_Entry!$H218),0)</f>
        <v>1.3712912188480413</v>
      </c>
      <c r="I229" s="49">
        <f>IFERROR(IF(Data_Entry!N218/Data_Entry!$H218&lt;0,0,Data_Entry!N218/Data_Entry!$H218),0)</f>
        <v>1.3230613946109904</v>
      </c>
      <c r="J229" s="49">
        <f>IFERROR(IF(Data_Entry!O218/Data_Entry!$H218&lt;0,0,Data_Entry!O218/Data_Entry!$H218),0)</f>
        <v>1.4612333235063253</v>
      </c>
      <c r="K229" s="49">
        <f>IFERROR(IF(Data_Entry!P218/Data_Entry!$H218&lt;0,0,Data_Entry!P218/Data_Entry!$H218),0)</f>
        <v>1.3712912188480413</v>
      </c>
      <c r="L229" s="49">
        <f>IFERROR(IF(Data_Entry!Q218/Data_Entry!$H218&lt;0,0,Data_Entry!Q218/Data_Entry!$H218),0)</f>
        <v>1.3230613946109904</v>
      </c>
      <c r="M229" s="49">
        <f>IFERROR(IF(Data_Entry!R218/Data_Entry!$H218&lt;0,0,Data_Entry!R218/Data_Entry!$H218),0)</f>
        <v>1.4690543760853065</v>
      </c>
      <c r="N229" s="49">
        <f>IFERROR(IF(Data_Entry!S218/Data_Entry!$H218&lt;0,0,Data_Entry!S218/Data_Entry!$H218),0)</f>
        <v>1.3686842013217142</v>
      </c>
      <c r="O229" s="49">
        <f>IFERROR(IF(Data_Entry!T218/Data_Entry!$H218&lt;0,0,Data_Entry!T218/Data_Entry!$H218),0)</f>
        <v>1.3230613946109904</v>
      </c>
      <c r="P229" s="49">
        <f>IFERROR(IF(Data_Entry!U218/Data_Entry!$H218&lt;0,0,Data_Entry!U218/Data_Entry!$H218),0)</f>
        <v>1.4690543760853065</v>
      </c>
      <c r="Q229" s="49">
        <f>IFERROR(IF(Data_Entry!V218/Data_Entry!$H218&lt;0,0,Data_Entry!V218/Data_Entry!$H218),0)</f>
        <v>1.3712912188480413</v>
      </c>
      <c r="R229" s="49">
        <f>IFERROR(IF(Data_Entry!W218/Data_Entry!$H218&lt;0,0,Data_Entry!W218/Data_Entry!$H218),0)</f>
        <v>1.3269719209004811</v>
      </c>
      <c r="S229" s="49">
        <f>IFERROR(IF(Data_Entry!X218/Data_Entry!$H218&lt;0,0,Data_Entry!X218/Data_Entry!$H218),0)</f>
        <v>1.273528061610776</v>
      </c>
      <c r="T229" s="49">
        <f>IFERROR(IF(Data_Entry!Y218/Data_Entry!$H218&lt;0,0,Data_Entry!Y218/Data_Entry!$H218),0)</f>
        <v>0.24245262994841796</v>
      </c>
      <c r="U229" s="49">
        <f>IFERROR(IF(Data_Entry!Z218/Data_Entry!$H218&lt;0,0,Data_Entry!Z218/Data_Entry!$H218),0)</f>
        <v>1.3009017456372103</v>
      </c>
      <c r="V229" s="49">
        <f>IFERROR(IF(Data_Entry!AA218/Data_Entry!$H218&lt;0,0,Data_Entry!AA218/Data_Entry!$H218),0)</f>
        <v>1.312633324505682</v>
      </c>
      <c r="W229" s="49">
        <f>IFERROR(IF(Data_Entry!AB218/Data_Entry!$H218&lt;0,0,Data_Entry!AB218/Data_Entry!$H218),0)</f>
        <v>0.64262982023962389</v>
      </c>
      <c r="X229" s="49">
        <f>IFERROR(IF(Data_Entry!AC218/Data_Entry!$I218&lt;0,0,Data_Entry!AC218/Data_Entry!$I218),0)</f>
        <v>0.58571536886799602</v>
      </c>
      <c r="Y229" s="49">
        <f>IFERROR(IF(Data_Entry!AD218/Data_Entry!$I218&lt;0,0,Data_Entry!AD218/Data_Entry!$I218),0)</f>
        <v>0.39692167715520504</v>
      </c>
      <c r="Z229" s="49">
        <f>IFERROR(IF(Data_Entry!AE218/Data_Entry!$I218&lt;0,0,Data_Entry!AE218/Data_Entry!$I218),0)</f>
        <v>0.29228902873606788</v>
      </c>
      <c r="AA229" s="49">
        <f>IFERROR(IF(Data_Entry!AF218/Data_Entry!$I218&lt;0,0,Data_Entry!AF218/Data_Entry!$I218),0)</f>
        <v>0.24111001592235951</v>
      </c>
      <c r="AB229" s="49">
        <f>IFERROR(IF(Data_Entry!AG218/Data_Entry!$I218&lt;0,0,Data_Entry!AG218/Data_Entry!$I218),0)</f>
        <v>0.15239972704526497</v>
      </c>
      <c r="AC229" s="49">
        <f>IFERROR(IF(Data_Entry!AI218/Data_Entry!$I218&lt;0,0,Data_Entry!AI218/Data_Entry!$I218),0)</f>
        <v>5.6865569793009323E-2</v>
      </c>
      <c r="AD229" s="49">
        <f>IFERROR(IF(Data_Entry!AM218/Data_Entry!$H218&lt;0,0,Data_Entry!AM218/Data_Entry!$H218),0)</f>
        <v>1.273528061610776</v>
      </c>
      <c r="AE229" s="50">
        <f>Data_Entry!AK218</f>
        <v>0</v>
      </c>
      <c r="AF229" s="50">
        <f>Data_Entry!AL218</f>
        <v>144</v>
      </c>
      <c r="AG229" s="153">
        <f>(Data_Entry!O218-Data_Entry!Q218)/Data_Entry!O218</f>
        <v>9.4558429973238184E-2</v>
      </c>
      <c r="AH229" s="79" t="str">
        <f t="shared" si="6"/>
        <v>CAT1</v>
      </c>
      <c r="AI229" s="51">
        <f>SUBTOTAL(3,Tableau1[[#This Row],[ZS]])</f>
        <v>0</v>
      </c>
      <c r="AJ229" s="51" t="e">
        <f t="shared" ca="1" si="7"/>
        <v>#NAME?</v>
      </c>
      <c r="AK229" s="50" t="str">
        <f>IFERROR(IF((Data_Entry!O218-Data_Entry!Q218)/Data_Entry!O218&lt;=10%,"&lt;=10%","&gt;10%"),"&lt;=10%")</f>
        <v>&lt;=10%</v>
      </c>
    </row>
    <row r="230" spans="1:37" s="48" customFormat="1" ht="13" hidden="1" x14ac:dyDescent="0.3">
      <c r="A230" s="31" t="s">
        <v>16</v>
      </c>
      <c r="B230" s="48" t="str">
        <f>Data_Entry!B219</f>
        <v>Goma</v>
      </c>
      <c r="C230" s="48" t="str">
        <f>Data_Entry!C219</f>
        <v xml:space="preserve"> Karisimbi</v>
      </c>
      <c r="D230" s="48" t="str">
        <f>Data_Entry!D219</f>
        <v xml:space="preserve"> Rapha</v>
      </c>
      <c r="E230" s="49">
        <f>IFERROR(IF(Data_Entry!J219/Data_Entry!$I219&lt;0,0,Data_Entry!J219/Data_Entry!$I219),0)</f>
        <v>0.69084834745257129</v>
      </c>
      <c r="F230" s="49">
        <f>IFERROR(IF(Data_Entry!K219/Data_Entry!$H219&lt;0,0,Data_Entry!K219/Data_Entry!$H219),0)</f>
        <v>0.43692770760989263</v>
      </c>
      <c r="G230" s="49">
        <f>IFERROR(IF(Data_Entry!L219/Data_Entry!$H219&lt;0,0,Data_Entry!L219/Data_Entry!$H219),0)</f>
        <v>0.48410769481659466</v>
      </c>
      <c r="H230" s="49">
        <f>IFERROR(IF(Data_Entry!M219/Data_Entry!$H219&lt;0,0,Data_Entry!M219/Data_Entry!$H219),0)</f>
        <v>0.49846682135776482</v>
      </c>
      <c r="I230" s="49">
        <f>IFERROR(IF(Data_Entry!N219/Data_Entry!$H219&lt;0,0,Data_Entry!N219/Data_Entry!$H219),0)</f>
        <v>0.53026203012749884</v>
      </c>
      <c r="J230" s="49">
        <f>IFERROR(IF(Data_Entry!O219/Data_Entry!$H219&lt;0,0,Data_Entry!O219/Data_Entry!$H219),0)</f>
        <v>0.51692855548212646</v>
      </c>
      <c r="K230" s="49">
        <f>IFERROR(IF(Data_Entry!P219/Data_Entry!$H219&lt;0,0,Data_Entry!P219/Data_Entry!$H219),0)</f>
        <v>0.50564638462834999</v>
      </c>
      <c r="L230" s="49">
        <f>IFERROR(IF(Data_Entry!Q219/Data_Entry!$H219&lt;0,0,Data_Entry!Q219/Data_Entry!$H219),0)</f>
        <v>0.49538986567037124</v>
      </c>
      <c r="M230" s="49">
        <f>IFERROR(IF(Data_Entry!R219/Data_Entry!$H219&lt;0,0,Data_Entry!R219/Data_Entry!$H219),0)</f>
        <v>0.46256900500483938</v>
      </c>
      <c r="N230" s="49">
        <f>IFERROR(IF(Data_Entry!S219/Data_Entry!$H219&lt;0,0,Data_Entry!S219/Data_Entry!$H219),0)</f>
        <v>0.47282552396281807</v>
      </c>
      <c r="O230" s="49">
        <f>IFERROR(IF(Data_Entry!T219/Data_Entry!$H219&lt;0,0,Data_Entry!T219/Data_Entry!$H219),0)</f>
        <v>0.47897943533760534</v>
      </c>
      <c r="P230" s="49">
        <f>IFERROR(IF(Data_Entry!U219/Data_Entry!$H219&lt;0,0,Data_Entry!U219/Data_Entry!$H219),0)</f>
        <v>0.46667161258803086</v>
      </c>
      <c r="Q230" s="49">
        <f>IFERROR(IF(Data_Entry!V219/Data_Entry!$H219&lt;0,0,Data_Entry!V219/Data_Entry!$H219),0)</f>
        <v>0.46667161258803086</v>
      </c>
      <c r="R230" s="49">
        <f>IFERROR(IF(Data_Entry!W219/Data_Entry!$H219&lt;0,0,Data_Entry!W219/Data_Entry!$H219),0)</f>
        <v>0.46769726448382876</v>
      </c>
      <c r="S230" s="49">
        <f>IFERROR(IF(Data_Entry!X219/Data_Entry!$H219&lt;0,0,Data_Entry!X219/Data_Entry!$H219),0)</f>
        <v>0.68308416260138149</v>
      </c>
      <c r="T230" s="49">
        <f>IFERROR(IF(Data_Entry!Y219/Data_Entry!$H219&lt;0,0,Data_Entry!Y219/Data_Entry!$H219),0)</f>
        <v>6.9744328914255166E-2</v>
      </c>
      <c r="U230" s="49">
        <f>IFERROR(IF(Data_Entry!Z219/Data_Entry!$H219&lt;0,0,Data_Entry!Z219/Data_Entry!$H219),0)</f>
        <v>0.59590375145856245</v>
      </c>
      <c r="V230" s="49">
        <f>IFERROR(IF(Data_Entry!AA219/Data_Entry!$H219&lt;0,0,Data_Entry!AA219/Data_Entry!$H219),0)</f>
        <v>0.6482119981442539</v>
      </c>
      <c r="W230" s="49">
        <f>IFERROR(IF(Data_Entry!AB219/Data_Entry!$H219&lt;0,0,Data_Entry!AB219/Data_Entry!$H219),0)</f>
        <v>0.1538477843696805</v>
      </c>
      <c r="X230" s="49">
        <f>IFERROR(IF(Data_Entry!AC219/Data_Entry!$I219&lt;0,0,Data_Entry!AC219/Data_Entry!$I219),0)</f>
        <v>0.22998448872449587</v>
      </c>
      <c r="Y230" s="49">
        <f>IFERROR(IF(Data_Entry!AD219/Data_Entry!$I219&lt;0,0,Data_Entry!AD219/Data_Entry!$I219),0)</f>
        <v>0.14765541104880087</v>
      </c>
      <c r="Z230" s="49">
        <f>IFERROR(IF(Data_Entry!AE219/Data_Entry!$I219&lt;0,0,Data_Entry!AE219/Data_Entry!$I219),0)</f>
        <v>0.15749910511872092</v>
      </c>
      <c r="AA230" s="49">
        <f>IFERROR(IF(Data_Entry!AF219/Data_Entry!$I219&lt;0,0,Data_Entry!AF219/Data_Entry!$I219),0)</f>
        <v>9.0383009187447794E-2</v>
      </c>
      <c r="AB230" s="49">
        <f>IFERROR(IF(Data_Entry!AG219/Data_Entry!$I219&lt;0,0,Data_Entry!AG219/Data_Entry!$I219),0)</f>
        <v>7.7854671280276816E-2</v>
      </c>
      <c r="AC230" s="49">
        <f>IFERROR(IF(Data_Entry!AI219/Data_Entry!$I219&lt;0,0,Data_Entry!AI219/Data_Entry!$I219),0)</f>
        <v>4.724973153561627E-2</v>
      </c>
      <c r="AD230" s="49">
        <f>IFERROR(IF(Data_Entry!AM219/Data_Entry!$H219&lt;0,0,Data_Entry!AM219/Data_Entry!$H219),0)</f>
        <v>0.59590375145856245</v>
      </c>
      <c r="AE230" s="50">
        <f>Data_Entry!AK219</f>
        <v>470.98966666666661</v>
      </c>
      <c r="AF230" s="50">
        <f>Data_Entry!AL219</f>
        <v>0</v>
      </c>
      <c r="AG230" s="153">
        <f>(Data_Entry!O219-Data_Entry!Q219)/Data_Entry!O219</f>
        <v>4.1666666666666664E-2</v>
      </c>
      <c r="AH230" s="79" t="str">
        <f t="shared" si="6"/>
        <v>CAT3</v>
      </c>
      <c r="AI230" s="51">
        <f>SUBTOTAL(3,Tableau1[[#This Row],[ZS]])</f>
        <v>0</v>
      </c>
      <c r="AJ230" s="51" t="e">
        <f t="shared" ca="1" si="7"/>
        <v>#NAME?</v>
      </c>
      <c r="AK230" s="50" t="str">
        <f>IFERROR(IF((Data_Entry!O219-Data_Entry!Q219)/Data_Entry!O219&lt;=10%,"&lt;=10%","&gt;10%"),"&lt;=10%")</f>
        <v>&lt;=10%</v>
      </c>
    </row>
    <row r="231" spans="1:37" s="48" customFormat="1" ht="13" hidden="1" x14ac:dyDescent="0.3">
      <c r="A231" s="31" t="s">
        <v>16</v>
      </c>
      <c r="B231" s="48" t="str">
        <f>Data_Entry!B220</f>
        <v>Goma</v>
      </c>
      <c r="C231" s="48" t="str">
        <f>Data_Entry!C220</f>
        <v xml:space="preserve"> Karisimbi</v>
      </c>
      <c r="D231" s="48" t="str">
        <f>Data_Entry!D220</f>
        <v xml:space="preserve"> Virunga</v>
      </c>
      <c r="E231" s="49">
        <f>IFERROR(IF(Data_Entry!J220/Data_Entry!$I220&lt;0,0,Data_Entry!J220/Data_Entry!$I220),0)</f>
        <v>1.3114263258355479</v>
      </c>
      <c r="F231" s="49">
        <f>IFERROR(IF(Data_Entry!K220/Data_Entry!$H220&lt;0,0,Data_Entry!K220/Data_Entry!$H220),0)</f>
        <v>1.1800623511316062</v>
      </c>
      <c r="G231" s="49">
        <f>IFERROR(IF(Data_Entry!L220/Data_Entry!$H220&lt;0,0,Data_Entry!L220/Data_Entry!$H220),0)</f>
        <v>0.80686924117722691</v>
      </c>
      <c r="H231" s="49">
        <f>IFERROR(IF(Data_Entry!M220/Data_Entry!$H220&lt;0,0,Data_Entry!M220/Data_Entry!$H220),0)</f>
        <v>0.66273948836725971</v>
      </c>
      <c r="I231" s="49">
        <f>IFERROR(IF(Data_Entry!N220/Data_Entry!$H220&lt;0,0,Data_Entry!N220/Data_Entry!$H220),0)</f>
        <v>0.83904106100088027</v>
      </c>
      <c r="J231" s="49">
        <f>IFERROR(IF(Data_Entry!O220/Data_Entry!$H220&lt;0,0,Data_Entry!O220/Data_Entry!$H220),0)</f>
        <v>0.85834415289507238</v>
      </c>
      <c r="K231" s="49">
        <f>IFERROR(IF(Data_Entry!P220/Data_Entry!$H220&lt;0,0,Data_Entry!P220/Data_Entry!$H220),0)</f>
        <v>0.66273948836725971</v>
      </c>
      <c r="L231" s="49">
        <f>IFERROR(IF(Data_Entry!Q220/Data_Entry!$H220&lt;0,0,Data_Entry!Q220/Data_Entry!$H220),0)</f>
        <v>0.83904106100088027</v>
      </c>
      <c r="M231" s="49">
        <f>IFERROR(IF(Data_Entry!R220/Data_Entry!$H220&lt;0,0,Data_Entry!R220/Data_Entry!$H220),0)</f>
        <v>1.6652133940722993</v>
      </c>
      <c r="N231" s="49">
        <f>IFERROR(IF(Data_Entry!S220/Data_Entry!$H220&lt;0,0,Data_Entry!S220/Data_Entry!$H220),0)</f>
        <v>0.64987076043779846</v>
      </c>
      <c r="O231" s="49">
        <f>IFERROR(IF(Data_Entry!T220/Data_Entry!$H220&lt;0,0,Data_Entry!T220/Data_Entry!$H220),0)</f>
        <v>0.83389356982909579</v>
      </c>
      <c r="P231" s="49">
        <f>IFERROR(IF(Data_Entry!U220/Data_Entry!$H220&lt;0,0,Data_Entry!U220/Data_Entry!$H220),0)</f>
        <v>0.75282058387348927</v>
      </c>
      <c r="Q231" s="49">
        <f>IFERROR(IF(Data_Entry!V220/Data_Entry!$H220&lt;0,0,Data_Entry!V220/Data_Entry!$H220),0)</f>
        <v>0.55078155538094598</v>
      </c>
      <c r="R231" s="49">
        <f>IFERROR(IF(Data_Entry!W220/Data_Entry!$H220&lt;0,0,Data_Entry!W220/Data_Entry!$H220),0)</f>
        <v>0.71807501846394362</v>
      </c>
      <c r="S231" s="49">
        <f>IFERROR(IF(Data_Entry!X220/Data_Entry!$H220&lt;0,0,Data_Entry!X220/Data_Entry!$H220),0)</f>
        <v>0.91625342857764847</v>
      </c>
      <c r="T231" s="49">
        <f>IFERROR(IF(Data_Entry!Y220/Data_Entry!$H220&lt;0,0,Data_Entry!Y220/Data_Entry!$H220),0)</f>
        <v>0.10166295064274471</v>
      </c>
      <c r="U231" s="49">
        <f>IFERROR(IF(Data_Entry!Z220/Data_Entry!$H220&lt;0,0,Data_Entry!Z220/Data_Entry!$H220),0)</f>
        <v>0.91367968299175617</v>
      </c>
      <c r="V231" s="49">
        <f>IFERROR(IF(Data_Entry!AA220/Data_Entry!$H220&lt;0,0,Data_Entry!AA220/Data_Entry!$H220),0)</f>
        <v>0.89695033668345647</v>
      </c>
      <c r="W231" s="49">
        <f>IFERROR(IF(Data_Entry!AB220/Data_Entry!$H220&lt;0,0,Data_Entry!AB220/Data_Entry!$H220),0)</f>
        <v>0.50316726204193896</v>
      </c>
      <c r="X231" s="49">
        <f>IFERROR(IF(Data_Entry!AC220/Data_Entry!$I220&lt;0,0,Data_Entry!AC220/Data_Entry!$I220),0)</f>
        <v>0.40757513379991767</v>
      </c>
      <c r="Y231" s="49">
        <f>IFERROR(IF(Data_Entry!AD220/Data_Entry!$I220&lt;0,0,Data_Entry!AD220/Data_Entry!$I220),0)</f>
        <v>0.23803286051124667</v>
      </c>
      <c r="Z231" s="49">
        <f>IFERROR(IF(Data_Entry!AE220/Data_Entry!$I220&lt;0,0,Data_Entry!AE220/Data_Entry!$I220),0)</f>
        <v>0.23915565702309219</v>
      </c>
      <c r="AA231" s="49">
        <f>IFERROR(IF(Data_Entry!AF220/Data_Entry!$I220&lt;0,0,Data_Entry!AF220/Data_Entry!$I220),0)</f>
        <v>0.169542273288671</v>
      </c>
      <c r="AB231" s="49">
        <f>IFERROR(IF(Data_Entry!AG220/Data_Entry!$I220&lt;0,0,Data_Entry!AG220/Data_Entry!$I220),0)</f>
        <v>0.15719151165837045</v>
      </c>
      <c r="AC231" s="49">
        <f>IFERROR(IF(Data_Entry!AI220/Data_Entry!$I220&lt;0,0,Data_Entry!AI220/Data_Entry!$I220),0)</f>
        <v>5.6139825592275164E-2</v>
      </c>
      <c r="AD231" s="49">
        <f>IFERROR(IF(Data_Entry!AM220/Data_Entry!$H220&lt;0,0,Data_Entry!AM220/Data_Entry!$H220),0)</f>
        <v>0.91367968299175617</v>
      </c>
      <c r="AE231" s="50">
        <f>Data_Entry!AK220</f>
        <v>110.07758333333334</v>
      </c>
      <c r="AF231" s="50">
        <f>Data_Entry!AL220</f>
        <v>0</v>
      </c>
      <c r="AG231" s="153">
        <f>(Data_Entry!O220-Data_Entry!Q220)/Data_Entry!O220</f>
        <v>2.2488755622188907E-2</v>
      </c>
      <c r="AH231" s="79" t="str">
        <f t="shared" si="6"/>
        <v>CAT3</v>
      </c>
      <c r="AI231" s="51">
        <f>SUBTOTAL(3,Tableau1[[#This Row],[ZS]])</f>
        <v>0</v>
      </c>
      <c r="AJ231" s="51" t="e">
        <f t="shared" ca="1" si="7"/>
        <v>#NAME?</v>
      </c>
      <c r="AK231" s="50" t="str">
        <f>IFERROR(IF((Data_Entry!O220-Data_Entry!Q220)/Data_Entry!O220&lt;=10%,"&lt;=10%","&gt;10%"),"&lt;=10%")</f>
        <v>&lt;=10%</v>
      </c>
    </row>
    <row r="232" spans="1:37" s="48" customFormat="1" ht="13" hidden="1" x14ac:dyDescent="0.3">
      <c r="A232" s="31" t="s">
        <v>16</v>
      </c>
      <c r="B232" s="48" t="str">
        <f>Data_Entry!B221</f>
        <v>Goma</v>
      </c>
      <c r="C232" s="48" t="str">
        <f>Data_Entry!C221</f>
        <v xml:space="preserve"> Katoyi</v>
      </c>
      <c r="D232" s="48" t="str">
        <f>Data_Entry!D221</f>
        <v xml:space="preserve"> Bihambwe</v>
      </c>
      <c r="E232" s="49">
        <f>IFERROR(IF(Data_Entry!J221/Data_Entry!$I221&lt;0,0,Data_Entry!J221/Data_Entry!$I221),0)</f>
        <v>0.88974339450239848</v>
      </c>
      <c r="F232" s="49">
        <f>IFERROR(IF(Data_Entry!K221/Data_Entry!$H221&lt;0,0,Data_Entry!K221/Data_Entry!$H221),0)</f>
        <v>0.31286701602756195</v>
      </c>
      <c r="G232" s="49">
        <f>IFERROR(IF(Data_Entry!L221/Data_Entry!$H221&lt;0,0,Data_Entry!L221/Data_Entry!$H221),0)</f>
        <v>1.1244885638814885</v>
      </c>
      <c r="H232" s="49">
        <f>IFERROR(IF(Data_Entry!M221/Data_Entry!$H221&lt;0,0,Data_Entry!M221/Data_Entry!$H221),0)</f>
        <v>0.95692798626003261</v>
      </c>
      <c r="I232" s="49">
        <f>IFERROR(IF(Data_Entry!N221/Data_Entry!$H221&lt;0,0,Data_Entry!N221/Data_Entry!$H221),0)</f>
        <v>1.066889615324113</v>
      </c>
      <c r="J232" s="49">
        <f>IFERROR(IF(Data_Entry!O221/Data_Entry!$H221&lt;0,0,Data_Entry!O221/Data_Entry!$H221),0)</f>
        <v>1.3575024921363255</v>
      </c>
      <c r="K232" s="49">
        <f>IFERROR(IF(Data_Entry!P221/Data_Entry!$H221&lt;0,0,Data_Entry!P221/Data_Entry!$H221),0)</f>
        <v>1.230522991907566</v>
      </c>
      <c r="L232" s="49">
        <f>IFERROR(IF(Data_Entry!Q221/Data_Entry!$H221&lt;0,0,Data_Entry!Q221/Data_Entry!$H221),0)</f>
        <v>1.2645587342369242</v>
      </c>
      <c r="M232" s="49">
        <f>IFERROR(IF(Data_Entry!R221/Data_Entry!$H221&lt;0,0,Data_Entry!R221/Data_Entry!$H221),0)</f>
        <v>1.3575024921363255</v>
      </c>
      <c r="N232" s="49">
        <f>IFERROR(IF(Data_Entry!S221/Data_Entry!$H221&lt;0,0,Data_Entry!S221/Data_Entry!$H221),0)</f>
        <v>1.199105383603543</v>
      </c>
      <c r="O232" s="49">
        <f>IFERROR(IF(Data_Entry!T221/Data_Entry!$H221&lt;0,0,Data_Entry!T221/Data_Entry!$H221),0)</f>
        <v>1.2645587342369242</v>
      </c>
      <c r="P232" s="49">
        <f>IFERROR(IF(Data_Entry!U221/Data_Entry!$H221&lt;0,0,Data_Entry!U221/Data_Entry!$H221),0)</f>
        <v>1.2828856724142708</v>
      </c>
      <c r="Q232" s="49">
        <f>IFERROR(IF(Data_Entry!V221/Data_Entry!$H221&lt;0,0,Data_Entry!V221/Data_Entry!$H221),0)</f>
        <v>1.1951781825655401</v>
      </c>
      <c r="R232" s="49">
        <f>IFERROR(IF(Data_Entry!W221/Data_Entry!$H221&lt;0,0,Data_Entry!W221/Data_Entry!$H221),0)</f>
        <v>1.285503806439606</v>
      </c>
      <c r="S232" s="49">
        <f>IFERROR(IF(Data_Entry!X221/Data_Entry!$H221&lt;0,0,Data_Entry!X221/Data_Entry!$H221),0)</f>
        <v>1.1899419145148695</v>
      </c>
      <c r="T232" s="49">
        <f>IFERROR(IF(Data_Entry!Y221/Data_Entry!$H221&lt;0,0,Data_Entry!Y221/Data_Entry!$H221),0)</f>
        <v>0.94776451717135934</v>
      </c>
      <c r="U232" s="49">
        <f>IFERROR(IF(Data_Entry!Z221/Data_Entry!$H221&lt;0,0,Data_Entry!Z221/Data_Entry!$H221),0)</f>
        <v>0.98834559456405557</v>
      </c>
      <c r="V232" s="49">
        <f>IFERROR(IF(Data_Entry!AA221/Data_Entry!$H221&lt;0,0,Data_Entry!AA221/Data_Entry!$H221),0)</f>
        <v>0.8940927696519867</v>
      </c>
      <c r="W232" s="49">
        <f>IFERROR(IF(Data_Entry!AB221/Data_Entry!$H221&lt;0,0,Data_Entry!AB221/Data_Entry!$H221),0)</f>
        <v>0.99096372858939086</v>
      </c>
      <c r="X232" s="49">
        <f>IFERROR(IF(Data_Entry!AC221/Data_Entry!$I221&lt;0,0,Data_Entry!AC221/Data_Entry!$I221),0)</f>
        <v>0.21701058402497522</v>
      </c>
      <c r="Y232" s="49">
        <f>IFERROR(IF(Data_Entry!AD221/Data_Entry!$I221&lt;0,0,Data_Entry!AD221/Data_Entry!$I221),0)</f>
        <v>0.13591715525774764</v>
      </c>
      <c r="Z232" s="49">
        <f>IFERROR(IF(Data_Entry!AE221/Data_Entry!$I221&lt;0,0,Data_Entry!AE221/Data_Entry!$I221),0)</f>
        <v>9.9368004264067611E-2</v>
      </c>
      <c r="AA232" s="49">
        <f>IFERROR(IF(Data_Entry!AF221/Data_Entry!$I221&lt;0,0,Data_Entry!AF221/Data_Entry!$I221),0)</f>
        <v>9.9368004264067611E-2</v>
      </c>
      <c r="AB232" s="49">
        <f>IFERROR(IF(Data_Entry!AG221/Data_Entry!$I221&lt;0,0,Data_Entry!AG221/Data_Entry!$I221),0)</f>
        <v>9.1372877484200102E-2</v>
      </c>
      <c r="AC232" s="49">
        <f>IFERROR(IF(Data_Entry!AI221/Data_Entry!$I221&lt;0,0,Data_Entry!AI221/Data_Entry!$I221),0)</f>
        <v>6.6587984466610822E-2</v>
      </c>
      <c r="AD232" s="49">
        <f>IFERROR(IF(Data_Entry!AM221/Data_Entry!$H221&lt;0,0,Data_Entry!AM221/Data_Entry!$H221),0)</f>
        <v>0.98834559456405557</v>
      </c>
      <c r="AE232" s="50">
        <f>Data_Entry!AK221</f>
        <v>0</v>
      </c>
      <c r="AF232" s="50">
        <f>Data_Entry!AL221</f>
        <v>128</v>
      </c>
      <c r="AG232" s="153">
        <f>(Data_Entry!O221-Data_Entry!Q221)/Data_Entry!O221</f>
        <v>6.8466730954676952E-2</v>
      </c>
      <c r="AH232" s="79" t="str">
        <f t="shared" si="6"/>
        <v>CAT1</v>
      </c>
      <c r="AI232" s="51">
        <f>SUBTOTAL(3,Tableau1[[#This Row],[ZS]])</f>
        <v>0</v>
      </c>
      <c r="AJ232" s="51" t="e">
        <f t="shared" ca="1" si="7"/>
        <v>#NAME?</v>
      </c>
      <c r="AK232" s="50" t="str">
        <f>IFERROR(IF((Data_Entry!O221-Data_Entry!Q221)/Data_Entry!O221&lt;=10%,"&lt;=10%","&gt;10%"),"&lt;=10%")</f>
        <v>&lt;=10%</v>
      </c>
    </row>
    <row r="233" spans="1:37" s="48" customFormat="1" ht="13" hidden="1" x14ac:dyDescent="0.3">
      <c r="A233" s="31" t="s">
        <v>16</v>
      </c>
      <c r="B233" s="48" t="str">
        <f>Data_Entry!B222</f>
        <v>Goma</v>
      </c>
      <c r="C233" s="48" t="str">
        <f>Data_Entry!C222</f>
        <v xml:space="preserve"> Katoyi</v>
      </c>
      <c r="D233" s="48" t="str">
        <f>Data_Entry!D222</f>
        <v xml:space="preserve"> Biolo</v>
      </c>
      <c r="E233" s="49">
        <f>IFERROR(IF(Data_Entry!J222/Data_Entry!$I222&lt;0,0,Data_Entry!J222/Data_Entry!$I222),0)</f>
        <v>1.0276905509563232</v>
      </c>
      <c r="F233" s="49">
        <f>IFERROR(IF(Data_Entry!K222/Data_Entry!$H222&lt;0,0,Data_Entry!K222/Data_Entry!$H222),0)</f>
        <v>0.87031418832977381</v>
      </c>
      <c r="G233" s="49">
        <f>IFERROR(IF(Data_Entry!L222/Data_Entry!$H222&lt;0,0,Data_Entry!L222/Data_Entry!$H222),0)</f>
        <v>1.0993442378902405</v>
      </c>
      <c r="H233" s="49">
        <f>IFERROR(IF(Data_Entry!M222/Data_Entry!$H222&lt;0,0,Data_Entry!M222/Data_Entry!$H222),0)</f>
        <v>1.056810085829011</v>
      </c>
      <c r="I233" s="49">
        <f>IFERROR(IF(Data_Entry!N222/Data_Entry!$H222&lt;0,0,Data_Entry!N222/Data_Entry!$H222),0)</f>
        <v>1.0698975172324663</v>
      </c>
      <c r="J233" s="49">
        <f>IFERROR(IF(Data_Entry!O222/Data_Entry!$H222&lt;0,0,Data_Entry!O222/Data_Entry!$H222),0)</f>
        <v>1.2236748362230654</v>
      </c>
      <c r="K233" s="49">
        <f>IFERROR(IF(Data_Entry!P222/Data_Entry!$H222&lt;0,0,Data_Entry!P222/Data_Entry!$H222),0)</f>
        <v>1.1745969684601083</v>
      </c>
      <c r="L233" s="49">
        <f>IFERROR(IF(Data_Entry!Q222/Data_Entry!$H222&lt;0,0,Data_Entry!Q222/Data_Entry!$H222),0)</f>
        <v>1.1942281155652912</v>
      </c>
      <c r="M233" s="49">
        <f>IFERROR(IF(Data_Entry!R222/Data_Entry!$H222&lt;0,0,Data_Entry!R222/Data_Entry!$H222),0)</f>
        <v>1.2269466940739293</v>
      </c>
      <c r="N233" s="49">
        <f>IFERROR(IF(Data_Entry!S222/Data_Entry!$H222&lt;0,0,Data_Entry!S222/Data_Entry!$H222),0)</f>
        <v>1.1745969684601083</v>
      </c>
      <c r="O233" s="49">
        <f>IFERROR(IF(Data_Entry!T222/Data_Entry!$H222&lt;0,0,Data_Entry!T222/Data_Entry!$H222),0)</f>
        <v>1.1942281155652912</v>
      </c>
      <c r="P233" s="49">
        <f>IFERROR(IF(Data_Entry!U222/Data_Entry!$H222&lt;0,0,Data_Entry!U222/Data_Entry!$H222),0)</f>
        <v>1.1844125420126996</v>
      </c>
      <c r="Q233" s="49">
        <f>IFERROR(IF(Data_Entry!V222/Data_Entry!$H222&lt;0,0,Data_Entry!V222/Data_Entry!$H222),0)</f>
        <v>1.1516939635040615</v>
      </c>
      <c r="R233" s="49">
        <f>IFERROR(IF(Data_Entry!W222/Data_Entry!$H222&lt;0,0,Data_Entry!W222/Data_Entry!$H222),0)</f>
        <v>1.1582376792057891</v>
      </c>
      <c r="S233" s="49">
        <f>IFERROR(IF(Data_Entry!X222/Data_Entry!$H222&lt;0,0,Data_Entry!X222/Data_Entry!$H222),0)</f>
        <v>1.0371789387238282</v>
      </c>
      <c r="T233" s="49">
        <f>IFERROR(IF(Data_Entry!Y222/Data_Entry!$H222&lt;0,0,Data_Entry!Y222/Data_Entry!$H222),0)</f>
        <v>1.9925614311760611</v>
      </c>
      <c r="U233" s="49">
        <f>IFERROR(IF(Data_Entry!Z222/Data_Entry!$H222&lt;0,0,Data_Entry!Z222/Data_Entry!$H222),0)</f>
        <v>1.0633538015307387</v>
      </c>
      <c r="V233" s="49">
        <f>IFERROR(IF(Data_Entry!AA222/Data_Entry!$H222&lt;0,0,Data_Entry!AA222/Data_Entry!$H222),0)</f>
        <v>1.0437226544255558</v>
      </c>
      <c r="W233" s="49">
        <f>IFERROR(IF(Data_Entry!AB222/Data_Entry!$H222&lt;0,0,Data_Entry!AB222/Data_Entry!$H222),0)</f>
        <v>1.5999384890724038</v>
      </c>
      <c r="X233" s="49">
        <f>IFERROR(IF(Data_Entry!AC222/Data_Entry!$I222&lt;0,0,Data_Entry!AC222/Data_Entry!$I222),0)</f>
        <v>0.69083642592063943</v>
      </c>
      <c r="Y233" s="49">
        <f>IFERROR(IF(Data_Entry!AD222/Data_Entry!$I222&lt;0,0,Data_Entry!AD222/Data_Entry!$I222),0)</f>
        <v>0.58806737082500715</v>
      </c>
      <c r="Z233" s="49">
        <f>IFERROR(IF(Data_Entry!AE222/Data_Entry!$I222&lt;0,0,Data_Entry!AE222/Data_Entry!$I222),0)</f>
        <v>0.50528118755352558</v>
      </c>
      <c r="AA233" s="49">
        <f>IFERROR(IF(Data_Entry!AF222/Data_Entry!$I222&lt;0,0,Data_Entry!AF222/Data_Entry!$I222),0)</f>
        <v>0.42534970025692265</v>
      </c>
      <c r="AB233" s="49">
        <f>IFERROR(IF(Data_Entry!AG222/Data_Entry!$I222&lt;0,0,Data_Entry!AG222/Data_Entry!$I222),0)</f>
        <v>0.36825578075934912</v>
      </c>
      <c r="AC233" s="49">
        <f>IFERROR(IF(Data_Entry!AI222/Data_Entry!$I222&lt;0,0,Data_Entry!AI222/Data_Entry!$I222),0)</f>
        <v>0.16642877533542677</v>
      </c>
      <c r="AD233" s="49">
        <f>IFERROR(IF(Data_Entry!AM222/Data_Entry!$H222&lt;0,0,Data_Entry!AM222/Data_Entry!$H222),0)</f>
        <v>1.0371789387238282</v>
      </c>
      <c r="AE233" s="50">
        <f>Data_Entry!AK222</f>
        <v>0</v>
      </c>
      <c r="AF233" s="50">
        <f>Data_Entry!AL222</f>
        <v>57</v>
      </c>
      <c r="AG233" s="153">
        <f>(Data_Entry!O222-Data_Entry!Q222)/Data_Entry!O222</f>
        <v>2.4064171122994651E-2</v>
      </c>
      <c r="AH233" s="79" t="str">
        <f t="shared" si="6"/>
        <v>CAT1</v>
      </c>
      <c r="AI233" s="51">
        <f>SUBTOTAL(3,Tableau1[[#This Row],[ZS]])</f>
        <v>0</v>
      </c>
      <c r="AJ233" s="51" t="e">
        <f t="shared" ca="1" si="7"/>
        <v>#NAME?</v>
      </c>
      <c r="AK233" s="50" t="str">
        <f>IFERROR(IF((Data_Entry!O222-Data_Entry!Q222)/Data_Entry!O222&lt;=10%,"&lt;=10%","&gt;10%"),"&lt;=10%")</f>
        <v>&lt;=10%</v>
      </c>
    </row>
    <row r="234" spans="1:37" s="48" customFormat="1" ht="13" hidden="1" x14ac:dyDescent="0.3">
      <c r="A234" s="31" t="s">
        <v>16</v>
      </c>
      <c r="B234" s="48" t="str">
        <f>Data_Entry!B223</f>
        <v>Goma</v>
      </c>
      <c r="C234" s="48" t="str">
        <f>Data_Entry!C223</f>
        <v xml:space="preserve"> Katoyi</v>
      </c>
      <c r="D234" s="48" t="str">
        <f>Data_Entry!D223</f>
        <v xml:space="preserve"> Bitoyi</v>
      </c>
      <c r="E234" s="49">
        <f>IFERROR(IF(Data_Entry!J223/Data_Entry!$I223&lt;0,0,Data_Entry!J223/Data_Entry!$I223),0)</f>
        <v>1.1291998614478698</v>
      </c>
      <c r="F234" s="49">
        <f>IFERROR(IF(Data_Entry!K223/Data_Entry!$H223&lt;0,0,Data_Entry!K223/Data_Entry!$H223),0)</f>
        <v>0.67489576334184553</v>
      </c>
      <c r="G234" s="49">
        <f>IFERROR(IF(Data_Entry!L223/Data_Entry!$H223&lt;0,0,Data_Entry!L223/Data_Entry!$H223),0)</f>
        <v>1.0163136200912497</v>
      </c>
      <c r="H234" s="49">
        <f>IFERROR(IF(Data_Entry!M223/Data_Entry!$H223&lt;0,0,Data_Entry!M223/Data_Entry!$H223),0)</f>
        <v>0.8336947664811033</v>
      </c>
      <c r="I234" s="49">
        <f>IFERROR(IF(Data_Entry!N223/Data_Entry!$H223&lt;0,0,Data_Entry!N223/Data_Entry!$H223),0)</f>
        <v>0.92500419328617656</v>
      </c>
      <c r="J234" s="49">
        <f>IFERROR(IF(Data_Entry!O223/Data_Entry!$H223&lt;0,0,Data_Entry!O223/Data_Entry!$H223),0)</f>
        <v>1.0957131216608786</v>
      </c>
      <c r="K234" s="49">
        <f>IFERROR(IF(Data_Entry!P223/Data_Entry!$H223&lt;0,0,Data_Entry!P223/Data_Entry!$H223),0)</f>
        <v>0.91706424312921364</v>
      </c>
      <c r="L234" s="49">
        <f>IFERROR(IF(Data_Entry!Q223/Data_Entry!$H223&lt;0,0,Data_Entry!Q223/Data_Entry!$H223),0)</f>
        <v>1.0044036948558055</v>
      </c>
      <c r="M234" s="49">
        <f>IFERROR(IF(Data_Entry!R223/Data_Entry!$H223&lt;0,0,Data_Entry!R223/Data_Entry!$H223),0)</f>
        <v>1.0123436450127683</v>
      </c>
      <c r="N234" s="49">
        <f>IFERROR(IF(Data_Entry!S223/Data_Entry!$H223&lt;0,0,Data_Entry!S223/Data_Entry!$H223),0)</f>
        <v>0.85354464187351053</v>
      </c>
      <c r="O234" s="49">
        <f>IFERROR(IF(Data_Entry!T223/Data_Entry!$H223&lt;0,0,Data_Entry!T223/Data_Entry!$H223),0)</f>
        <v>0.92103421820769515</v>
      </c>
      <c r="P234" s="49">
        <f>IFERROR(IF(Data_Entry!U223/Data_Entry!$H223&lt;0,0,Data_Entry!U223/Data_Entry!$H223),0)</f>
        <v>1.04410344564062</v>
      </c>
      <c r="Q234" s="49">
        <f>IFERROR(IF(Data_Entry!V223/Data_Entry!$H223&lt;0,0,Data_Entry!V223/Data_Entry!$H223),0)</f>
        <v>0.95279401883554671</v>
      </c>
      <c r="R234" s="49">
        <f>IFERROR(IF(Data_Entry!W223/Data_Entry!$H223&lt;0,0,Data_Entry!W223/Data_Entry!$H223),0)</f>
        <v>1.04410344564062</v>
      </c>
      <c r="S234" s="49">
        <f>IFERROR(IF(Data_Entry!X223/Data_Entry!$H223&lt;0,0,Data_Entry!X223/Data_Entry!$H223),0)</f>
        <v>1.0560133708760642</v>
      </c>
      <c r="T234" s="49">
        <f>IFERROR(IF(Data_Entry!Y223/Data_Entry!$H223&lt;0,0,Data_Entry!Y223/Data_Entry!$H223),0)</f>
        <v>0.57961636145829087</v>
      </c>
      <c r="U234" s="49">
        <f>IFERROR(IF(Data_Entry!Z223/Data_Entry!$H223&lt;0,0,Data_Entry!Z223/Data_Entry!$H223),0)</f>
        <v>1.2584820998786179</v>
      </c>
      <c r="V234" s="49">
        <f>IFERROR(IF(Data_Entry!AA223/Data_Entry!$H223&lt;0,0,Data_Entry!AA223/Data_Entry!$H223),0)</f>
        <v>0.96470394407099103</v>
      </c>
      <c r="W234" s="49">
        <f>IFERROR(IF(Data_Entry!AB223/Data_Entry!$H223&lt;0,0,Data_Entry!AB223/Data_Entry!$H223),0)</f>
        <v>0.71856548920514141</v>
      </c>
      <c r="X234" s="49">
        <f>IFERROR(IF(Data_Entry!AC223/Data_Entry!$I223&lt;0,0,Data_Entry!AC223/Data_Entry!$I223),0)</f>
        <v>0.80013855213023899</v>
      </c>
      <c r="Y234" s="49">
        <f>IFERROR(IF(Data_Entry!AD223/Data_Entry!$I223&lt;0,0,Data_Entry!AD223/Data_Entry!$I223),0)</f>
        <v>0.59231035677173538</v>
      </c>
      <c r="Z234" s="49">
        <f>IFERROR(IF(Data_Entry!AE223/Data_Entry!$I223&lt;0,0,Data_Entry!AE223/Data_Entry!$I223),0)</f>
        <v>0.48839625909248358</v>
      </c>
      <c r="AA234" s="49">
        <f>IFERROR(IF(Data_Entry!AF223/Data_Entry!$I223&lt;0,0,Data_Entry!AF223/Data_Entry!$I223),0)</f>
        <v>0.39140976792518184</v>
      </c>
      <c r="AB234" s="49">
        <f>IFERROR(IF(Data_Entry!AG223/Data_Entry!$I223&lt;0,0,Data_Entry!AG223/Data_Entry!$I223),0)</f>
        <v>0.27710426047800485</v>
      </c>
      <c r="AC234" s="49">
        <f>IFERROR(IF(Data_Entry!AI223/Data_Entry!$I223&lt;0,0,Data_Entry!AI223/Data_Entry!$I223),0)</f>
        <v>0.20193972982334604</v>
      </c>
      <c r="AD234" s="49">
        <f>IFERROR(IF(Data_Entry!AM223/Data_Entry!$H223&lt;0,0,Data_Entry!AM223/Data_Entry!$H223),0)</f>
        <v>1.0560133708760642</v>
      </c>
      <c r="AE234" s="50">
        <f>Data_Entry!AK223</f>
        <v>0</v>
      </c>
      <c r="AF234" s="50">
        <f>Data_Entry!AL223</f>
        <v>10</v>
      </c>
      <c r="AG234" s="153">
        <f>(Data_Entry!O223-Data_Entry!Q223)/Data_Entry!O223</f>
        <v>8.3333333333333329E-2</v>
      </c>
      <c r="AH234" s="79" t="str">
        <f t="shared" si="6"/>
        <v>CAT1</v>
      </c>
      <c r="AI234" s="51">
        <f>SUBTOTAL(3,Tableau1[[#This Row],[ZS]])</f>
        <v>0</v>
      </c>
      <c r="AJ234" s="51" t="e">
        <f t="shared" ca="1" si="7"/>
        <v>#NAME?</v>
      </c>
      <c r="AK234" s="50" t="str">
        <f>IFERROR(IF((Data_Entry!O223-Data_Entry!Q223)/Data_Entry!O223&lt;=10%,"&lt;=10%","&gt;10%"),"&lt;=10%")</f>
        <v>&lt;=10%</v>
      </c>
    </row>
    <row r="235" spans="1:37" s="48" customFormat="1" ht="13" hidden="1" x14ac:dyDescent="0.3">
      <c r="A235" s="31" t="s">
        <v>16</v>
      </c>
      <c r="B235" s="48" t="str">
        <f>Data_Entry!B224</f>
        <v>Goma</v>
      </c>
      <c r="C235" s="48" t="str">
        <f>Data_Entry!C224</f>
        <v xml:space="preserve"> Katoyi</v>
      </c>
      <c r="D235" s="48" t="str">
        <f>Data_Entry!D224</f>
        <v xml:space="preserve"> Bukuba</v>
      </c>
      <c r="E235" s="49">
        <f>IFERROR(IF(Data_Entry!J224/Data_Entry!$I224&lt;0,0,Data_Entry!J224/Data_Entry!$I224),0)</f>
        <v>0.9280012281240404</v>
      </c>
      <c r="F235" s="49">
        <f>IFERROR(IF(Data_Entry!K224/Data_Entry!$H224&lt;0,0,Data_Entry!K224/Data_Entry!$H224),0)</f>
        <v>0.77857433801386999</v>
      </c>
      <c r="G235" s="49">
        <f>IFERROR(IF(Data_Entry!L224/Data_Entry!$H224&lt;0,0,Data_Entry!L224/Data_Entry!$H224),0)</f>
        <v>1.0200643445503754</v>
      </c>
      <c r="H235" s="49">
        <f>IFERROR(IF(Data_Entry!M224/Data_Entry!$H224&lt;0,0,Data_Entry!M224/Data_Entry!$H224),0)</f>
        <v>0.98971314154305512</v>
      </c>
      <c r="I235" s="49">
        <f>IFERROR(IF(Data_Entry!N224/Data_Entry!$H224&lt;0,0,Data_Entry!N224/Data_Entry!$H224),0)</f>
        <v>0.93560882313870142</v>
      </c>
      <c r="J235" s="49">
        <f>IFERROR(IF(Data_Entry!O224/Data_Entry!$H224&lt;0,0,Data_Entry!O224/Data_Entry!$H224),0)</f>
        <v>1.0068681693298014</v>
      </c>
      <c r="K235" s="49">
        <f>IFERROR(IF(Data_Entry!P224/Data_Entry!$H224&lt;0,0,Data_Entry!P224/Data_Entry!$H224),0)</f>
        <v>1.0306212847268348</v>
      </c>
      <c r="L235" s="49">
        <f>IFERROR(IF(Data_Entry!Q224/Data_Entry!$H224&lt;0,0,Data_Entry!Q224/Data_Entry!$H224),0)</f>
        <v>1.012146639418031</v>
      </c>
      <c r="M235" s="49">
        <f>IFERROR(IF(Data_Entry!R224/Data_Entry!$H224&lt;0,0,Data_Entry!R224/Data_Entry!$H224),0)</f>
        <v>1.0583332526900402</v>
      </c>
      <c r="N235" s="49">
        <f>IFERROR(IF(Data_Entry!S224/Data_Entry!$H224&lt;0,0,Data_Entry!S224/Data_Entry!$H224),0)</f>
        <v>1.0227035795944903</v>
      </c>
      <c r="O235" s="49">
        <f>IFERROR(IF(Data_Entry!T224/Data_Entry!$H224&lt;0,0,Data_Entry!T224/Data_Entry!$H224),0)</f>
        <v>1.0873648381753032</v>
      </c>
      <c r="P235" s="49">
        <f>IFERROR(IF(Data_Entry!U224/Data_Entry!$H224&lt;0,0,Data_Entry!U224/Data_Entry!$H224),0)</f>
        <v>1.1177160411826237</v>
      </c>
      <c r="Q235" s="49">
        <f>IFERROR(IF(Data_Entry!V224/Data_Entry!$H224&lt;0,0,Data_Entry!V224/Data_Entry!$H224),0)</f>
        <v>1.012146639418031</v>
      </c>
      <c r="R235" s="49">
        <f>IFERROR(IF(Data_Entry!W224/Data_Entry!$H224&lt;0,0,Data_Entry!W224/Data_Entry!$H224),0)</f>
        <v>0.97783658384453842</v>
      </c>
      <c r="S235" s="49">
        <f>IFERROR(IF(Data_Entry!X224/Data_Entry!$H224&lt;0,0,Data_Entry!X224/Data_Entry!$H224),0)</f>
        <v>1.1705007420649198</v>
      </c>
      <c r="T235" s="49">
        <f>IFERROR(IF(Data_Entry!Y224/Data_Entry!$H224&lt;0,0,Data_Entry!Y224/Data_Entry!$H224),0)</f>
        <v>1.1573045668443458</v>
      </c>
      <c r="U235" s="49">
        <f>IFERROR(IF(Data_Entry!Z224/Data_Entry!$H224&lt;0,0,Data_Entry!Z224/Data_Entry!$H224),0)</f>
        <v>1.1111179535723366</v>
      </c>
      <c r="V235" s="49">
        <f>IFERROR(IF(Data_Entry!AA224/Data_Entry!$H224&lt;0,0,Data_Entry!AA224/Data_Entry!$H224),0)</f>
        <v>1.0715294279106145</v>
      </c>
      <c r="W235" s="49">
        <f>IFERROR(IF(Data_Entry!AB224/Data_Entry!$H224&lt;0,0,Data_Entry!AB224/Data_Entry!$H224),0)</f>
        <v>1.0622921052562124</v>
      </c>
      <c r="X235" s="49">
        <f>IFERROR(IF(Data_Entry!AC224/Data_Entry!$I224&lt;0,0,Data_Entry!AC224/Data_Entry!$I224),0)</f>
        <v>0.13125575683143997</v>
      </c>
      <c r="Y235" s="49">
        <f>IFERROR(IF(Data_Entry!AD224/Data_Entry!$I224&lt;0,0,Data_Entry!AD224/Data_Entry!$I224),0)</f>
        <v>0.17385630948725819</v>
      </c>
      <c r="Z235" s="49">
        <f>IFERROR(IF(Data_Entry!AE224/Data_Entry!$I224&lt;0,0,Data_Entry!AE224/Data_Entry!$I224),0)</f>
        <v>0.16234264660730732</v>
      </c>
      <c r="AA235" s="49">
        <f>IFERROR(IF(Data_Entry!AF224/Data_Entry!$I224&lt;0,0,Data_Entry!AF224/Data_Entry!$I224),0)</f>
        <v>0.13010439054344489</v>
      </c>
      <c r="AB235" s="49">
        <f>IFERROR(IF(Data_Entry!AG224/Data_Entry!$I224&lt;0,0,Data_Entry!AG224/Data_Entry!$I224),0)</f>
        <v>0.13701258827141541</v>
      </c>
      <c r="AC235" s="49">
        <f>IFERROR(IF(Data_Entry!AI224/Data_Entry!$I224&lt;0,0,Data_Entry!AI224/Data_Entry!$I224),0)</f>
        <v>5.7568314399754371E-2</v>
      </c>
      <c r="AD235" s="49">
        <f>IFERROR(IF(Data_Entry!AM224/Data_Entry!$H224&lt;0,0,Data_Entry!AM224/Data_Entry!$H224),0)</f>
        <v>1.1111179535723366</v>
      </c>
      <c r="AE235" s="50">
        <f>Data_Entry!AK224</f>
        <v>0</v>
      </c>
      <c r="AF235" s="50">
        <f>Data_Entry!AL224</f>
        <v>0</v>
      </c>
      <c r="AG235" s="153">
        <f>(Data_Entry!O224-Data_Entry!Q224)/Data_Entry!O224</f>
        <v>-5.2424639580602884E-3</v>
      </c>
      <c r="AH235" s="79" t="str">
        <f t="shared" si="6"/>
        <v>CAT1</v>
      </c>
      <c r="AI235" s="51">
        <f>SUBTOTAL(3,Tableau1[[#This Row],[ZS]])</f>
        <v>0</v>
      </c>
      <c r="AJ235" s="51" t="e">
        <f t="shared" ca="1" si="7"/>
        <v>#NAME?</v>
      </c>
      <c r="AK235" s="50" t="str">
        <f>IFERROR(IF((Data_Entry!O224-Data_Entry!Q224)/Data_Entry!O224&lt;=10%,"&lt;=10%","&gt;10%"),"&lt;=10%")</f>
        <v>&lt;=10%</v>
      </c>
    </row>
    <row r="236" spans="1:37" s="48" customFormat="1" ht="13" hidden="1" x14ac:dyDescent="0.3">
      <c r="A236" s="31" t="s">
        <v>16</v>
      </c>
      <c r="B236" s="48" t="str">
        <f>Data_Entry!B225</f>
        <v>Goma</v>
      </c>
      <c r="C236" s="48" t="str">
        <f>Data_Entry!C225</f>
        <v xml:space="preserve"> Katoyi</v>
      </c>
      <c r="D236" s="48" t="str">
        <f>Data_Entry!D225</f>
        <v xml:space="preserve"> Bukumbirire</v>
      </c>
      <c r="E236" s="49">
        <f>IFERROR(IF(Data_Entry!J225/Data_Entry!$I225&lt;0,0,Data_Entry!J225/Data_Entry!$I225),0)</f>
        <v>1.0687002652519892</v>
      </c>
      <c r="F236" s="49">
        <f>IFERROR(IF(Data_Entry!K225/Data_Entry!$H225&lt;0,0,Data_Entry!K225/Data_Entry!$H225),0)</f>
        <v>0.47608551906546176</v>
      </c>
      <c r="G236" s="49">
        <f>IFERROR(IF(Data_Entry!L225/Data_Entry!$H225&lt;0,0,Data_Entry!L225/Data_Entry!$H225),0)</f>
        <v>1.0342547483146238</v>
      </c>
      <c r="H236" s="49">
        <f>IFERROR(IF(Data_Entry!M225/Data_Entry!$H225&lt;0,0,Data_Entry!M225/Data_Entry!$H225),0)</f>
        <v>1.0333427070903605</v>
      </c>
      <c r="I236" s="49">
        <f>IFERROR(IF(Data_Entry!N225/Data_Entry!$H225&lt;0,0,Data_Entry!N225/Data_Entry!$H225),0)</f>
        <v>1.0524955727998906</v>
      </c>
      <c r="J236" s="49">
        <f>IFERROR(IF(Data_Entry!O225/Data_Entry!$H225&lt;0,0,Data_Entry!O225/Data_Entry!$H225),0)</f>
        <v>1.0342547483146238</v>
      </c>
      <c r="K236" s="49">
        <f>IFERROR(IF(Data_Entry!P225/Data_Entry!$H225&lt;0,0,Data_Entry!P225/Data_Entry!$H225),0)</f>
        <v>1.0333427070903605</v>
      </c>
      <c r="L236" s="49">
        <f>IFERROR(IF(Data_Entry!Q225/Data_Entry!$H225&lt;0,0,Data_Entry!Q225/Data_Entry!$H225),0)</f>
        <v>1.0524955727998906</v>
      </c>
      <c r="M236" s="49">
        <f>IFERROR(IF(Data_Entry!R225/Data_Entry!$H225&lt;0,0,Data_Entry!R225/Data_Entry!$H225),0)</f>
        <v>1.0342547483146238</v>
      </c>
      <c r="N236" s="49">
        <f>IFERROR(IF(Data_Entry!S225/Data_Entry!$H225&lt;0,0,Data_Entry!S225/Data_Entry!$H225),0)</f>
        <v>1.0333427070903605</v>
      </c>
      <c r="O236" s="49">
        <f>IFERROR(IF(Data_Entry!T225/Data_Entry!$H225&lt;0,0,Data_Entry!T225/Data_Entry!$H225),0)</f>
        <v>1.0524955727998906</v>
      </c>
      <c r="P236" s="49">
        <f>IFERROR(IF(Data_Entry!U225/Data_Entry!$H225&lt;0,0,Data_Entry!U225/Data_Entry!$H225),0)</f>
        <v>1.0342547483146238</v>
      </c>
      <c r="Q236" s="49">
        <f>IFERROR(IF(Data_Entry!V225/Data_Entry!$H225&lt;0,0,Data_Entry!V225/Data_Entry!$H225),0)</f>
        <v>1.0151018826050937</v>
      </c>
      <c r="R236" s="49">
        <f>IFERROR(IF(Data_Entry!W225/Data_Entry!$H225&lt;0,0,Data_Entry!W225/Data_Entry!$H225),0)</f>
        <v>1.0223982123992006</v>
      </c>
      <c r="S236" s="49">
        <f>IFERROR(IF(Data_Entry!X225/Data_Entry!$H225&lt;0,0,Data_Entry!X225/Data_Entry!$H225),0)</f>
        <v>0.99503697567130045</v>
      </c>
      <c r="T236" s="49">
        <f>IFERROR(IF(Data_Entry!Y225/Data_Entry!$H225&lt;0,0,Data_Entry!Y225/Data_Entry!$H225),0)</f>
        <v>0.70409582513129598</v>
      </c>
      <c r="U236" s="49">
        <f>IFERROR(IF(Data_Entry!Z225/Data_Entry!$H225&lt;0,0,Data_Entry!Z225/Data_Entry!$H225),0)</f>
        <v>0.99503697567130045</v>
      </c>
      <c r="V236" s="49">
        <f>IFERROR(IF(Data_Entry!AA225/Data_Entry!$H225&lt;0,0,Data_Entry!AA225/Data_Entry!$H225),0)</f>
        <v>0.67217438228207915</v>
      </c>
      <c r="W236" s="49">
        <f>IFERROR(IF(Data_Entry!AB225/Data_Entry!$H225&lt;0,0,Data_Entry!AB225/Data_Entry!$H225),0)</f>
        <v>0.9612914503735569</v>
      </c>
      <c r="X236" s="49">
        <f>IFERROR(IF(Data_Entry!AC225/Data_Entry!$I225&lt;0,0,Data_Entry!AC225/Data_Entry!$I225),0)</f>
        <v>0.59602122015915115</v>
      </c>
      <c r="Y236" s="49">
        <f>IFERROR(IF(Data_Entry!AD225/Data_Entry!$I225&lt;0,0,Data_Entry!AD225/Data_Entry!$I225),0)</f>
        <v>0.45915119363395224</v>
      </c>
      <c r="Z236" s="49">
        <f>IFERROR(IF(Data_Entry!AE225/Data_Entry!$I225&lt;0,0,Data_Entry!AE225/Data_Entry!$I225),0)</f>
        <v>0.23872679045092837</v>
      </c>
      <c r="AA236" s="49">
        <f>IFERROR(IF(Data_Entry!AF225/Data_Entry!$I225&lt;0,0,Data_Entry!AF225/Data_Entry!$I225),0)</f>
        <v>0.18222811671087533</v>
      </c>
      <c r="AB236" s="49">
        <f>IFERROR(IF(Data_Entry!AG225/Data_Entry!$I225&lt;0,0,Data_Entry!AG225/Data_Entry!$I225),0)</f>
        <v>0.14801061007957558</v>
      </c>
      <c r="AC236" s="49">
        <f>IFERROR(IF(Data_Entry!AI225/Data_Entry!$I225&lt;0,0,Data_Entry!AI225/Data_Entry!$I225),0)</f>
        <v>4.6392572944297078E-2</v>
      </c>
      <c r="AD236" s="49">
        <f>IFERROR(IF(Data_Entry!AM225/Data_Entry!$H225&lt;0,0,Data_Entry!AM225/Data_Entry!$H225),0)</f>
        <v>0.99503697567130045</v>
      </c>
      <c r="AE236" s="50">
        <f>Data_Entry!AK225</f>
        <v>0</v>
      </c>
      <c r="AF236" s="50">
        <f>Data_Entry!AL225</f>
        <v>43</v>
      </c>
      <c r="AG236" s="153">
        <f>(Data_Entry!O225-Data_Entry!Q225)/Data_Entry!O225</f>
        <v>-1.7636684303350969E-2</v>
      </c>
      <c r="AH236" s="79" t="str">
        <f t="shared" si="6"/>
        <v>CAT1</v>
      </c>
      <c r="AI236" s="51">
        <f>SUBTOTAL(3,Tableau1[[#This Row],[ZS]])</f>
        <v>0</v>
      </c>
      <c r="AJ236" s="51" t="e">
        <f t="shared" ca="1" si="7"/>
        <v>#NAME?</v>
      </c>
      <c r="AK236" s="50" t="str">
        <f>IFERROR(IF((Data_Entry!O225-Data_Entry!Q225)/Data_Entry!O225&lt;=10%,"&lt;=10%","&gt;10%"),"&lt;=10%")</f>
        <v>&lt;=10%</v>
      </c>
    </row>
    <row r="237" spans="1:37" s="48" customFormat="1" ht="13" hidden="1" x14ac:dyDescent="0.3">
      <c r="A237" s="31" t="s">
        <v>16</v>
      </c>
      <c r="B237" s="48" t="str">
        <f>Data_Entry!B226</f>
        <v>Goma</v>
      </c>
      <c r="C237" s="48" t="str">
        <f>Data_Entry!C226</f>
        <v xml:space="preserve"> Katoyi</v>
      </c>
      <c r="D237" s="48" t="str">
        <f>Data_Entry!D226</f>
        <v xml:space="preserve"> Kachihembe</v>
      </c>
      <c r="E237" s="49">
        <f>IFERROR(IF(Data_Entry!J226/Data_Entry!$I226&lt;0,0,Data_Entry!J226/Data_Entry!$I226),0)</f>
        <v>0.98601598173515992</v>
      </c>
      <c r="F237" s="49">
        <f>IFERROR(IF(Data_Entry!K226/Data_Entry!$H226&lt;0,0,Data_Entry!K226/Data_Entry!$H226),0)</f>
        <v>0.59203726236736398</v>
      </c>
      <c r="G237" s="49">
        <f>IFERROR(IF(Data_Entry!L226/Data_Entry!$H226&lt;0,0,Data_Entry!L226/Data_Entry!$H226),0)</f>
        <v>1.4490193769543769</v>
      </c>
      <c r="H237" s="49">
        <f>IFERROR(IF(Data_Entry!M226/Data_Entry!$H226&lt;0,0,Data_Entry!M226/Data_Entry!$H226),0)</f>
        <v>1.5226151692376129</v>
      </c>
      <c r="I237" s="49">
        <f>IFERROR(IF(Data_Entry!N226/Data_Entry!$H226&lt;0,0,Data_Entry!N226/Data_Entry!$H226),0)</f>
        <v>1.3165469508445524</v>
      </c>
      <c r="J237" s="49">
        <f>IFERROR(IF(Data_Entry!O226/Data_Entry!$H226&lt;0,0,Data_Entry!O226/Data_Entry!$H226),0)</f>
        <v>1.3279951851997225</v>
      </c>
      <c r="K237" s="49">
        <f>IFERROR(IF(Data_Entry!P226/Data_Entry!$H226&lt;0,0,Data_Entry!P226/Data_Entry!$H226),0)</f>
        <v>1.5356988656435213</v>
      </c>
      <c r="L237" s="49">
        <f>IFERROR(IF(Data_Entry!Q226/Data_Entry!$H226&lt;0,0,Data_Entry!Q226/Data_Entry!$H226),0)</f>
        <v>1.2674830893223952</v>
      </c>
      <c r="M237" s="49">
        <f>IFERROR(IF(Data_Entry!R226/Data_Entry!$H226&lt;0,0,Data_Entry!R226/Data_Entry!$H226),0)</f>
        <v>1.5602307964046001</v>
      </c>
      <c r="N237" s="49">
        <f>IFERROR(IF(Data_Entry!S226/Data_Entry!$H226&lt;0,0,Data_Entry!S226/Data_Entry!$H226),0)</f>
        <v>1.5684081066582929</v>
      </c>
      <c r="O237" s="49">
        <f>IFERROR(IF(Data_Entry!T226/Data_Entry!$H226&lt;0,0,Data_Entry!T226/Data_Entry!$H226),0)</f>
        <v>1.5684081066582929</v>
      </c>
      <c r="P237" s="49">
        <f>IFERROR(IF(Data_Entry!U226/Data_Entry!$H226&lt;0,0,Data_Entry!U226/Data_Entry!$H226),0)</f>
        <v>2.0590467218798651</v>
      </c>
      <c r="Q237" s="49">
        <f>IFERROR(IF(Data_Entry!V226/Data_Entry!$H226&lt;0,0,Data_Entry!V226/Data_Entry!$H226),0)</f>
        <v>2.0835786526409437</v>
      </c>
      <c r="R237" s="49">
        <f>IFERROR(IF(Data_Entry!W226/Data_Entry!$H226&lt;0,0,Data_Entry!W226/Data_Entry!$H226),0)</f>
        <v>1.9609189988355507</v>
      </c>
      <c r="S237" s="49">
        <f>IFERROR(IF(Data_Entry!X226/Data_Entry!$H226&lt;0,0,Data_Entry!X226/Data_Entry!$H226),0)</f>
        <v>1.4424775287514227</v>
      </c>
      <c r="T237" s="49">
        <f>IFERROR(IF(Data_Entry!Y226/Data_Entry!$H226&lt;0,0,Data_Entry!Y226/Data_Entry!$H226),0)</f>
        <v>1.395049129280004</v>
      </c>
      <c r="U237" s="49">
        <f>IFERROR(IF(Data_Entry!Z226/Data_Entry!$H226&lt;0,0,Data_Entry!Z226/Data_Entry!$H226),0)</f>
        <v>1.5144378589839198</v>
      </c>
      <c r="V237" s="49">
        <f>IFERROR(IF(Data_Entry!AA226/Data_Entry!$H226&lt;0,0,Data_Entry!AA226/Data_Entry!$H226),0)</f>
        <v>1.5504180241001686</v>
      </c>
      <c r="W237" s="49">
        <f>IFERROR(IF(Data_Entry!AB226/Data_Entry!$H226&lt;0,0,Data_Entry!AB226/Data_Entry!$H226),0)</f>
        <v>1.6534521332966987</v>
      </c>
      <c r="X237" s="49">
        <f>IFERROR(IF(Data_Entry!AC226/Data_Entry!$I226&lt;0,0,Data_Entry!AC226/Data_Entry!$I226),0)</f>
        <v>0.19834474885844749</v>
      </c>
      <c r="Y237" s="49">
        <f>IFERROR(IF(Data_Entry!AD226/Data_Entry!$I226&lt;0,0,Data_Entry!AD226/Data_Entry!$I226),0)</f>
        <v>0.12985159817351599</v>
      </c>
      <c r="Z237" s="49">
        <f>IFERROR(IF(Data_Entry!AE226/Data_Entry!$I226&lt;0,0,Data_Entry!AE226/Data_Entry!$I226),0)</f>
        <v>0.13841324200913244</v>
      </c>
      <c r="AA237" s="49">
        <f>IFERROR(IF(Data_Entry!AF226/Data_Entry!$I226&lt;0,0,Data_Entry!AF226/Data_Entry!$I226),0)</f>
        <v>0.1341324200913242</v>
      </c>
      <c r="AB237" s="49">
        <f>IFERROR(IF(Data_Entry!AG226/Data_Entry!$I226&lt;0,0,Data_Entry!AG226/Data_Entry!$I226),0)</f>
        <v>0.11272831050228312</v>
      </c>
      <c r="AC237" s="49">
        <f>IFERROR(IF(Data_Entry!AI226/Data_Entry!$I226&lt;0,0,Data_Entry!AI226/Data_Entry!$I226),0)</f>
        <v>0.14269406392694065</v>
      </c>
      <c r="AD237" s="49">
        <f>IFERROR(IF(Data_Entry!AM226/Data_Entry!$H226&lt;0,0,Data_Entry!AM226/Data_Entry!$H226),0)</f>
        <v>1.4424775287514227</v>
      </c>
      <c r="AE237" s="50">
        <f>Data_Entry!AK226</f>
        <v>0</v>
      </c>
      <c r="AF237" s="50">
        <f>Data_Entry!AL226</f>
        <v>0</v>
      </c>
      <c r="AG237" s="153">
        <f>(Data_Entry!O226-Data_Entry!Q226)/Data_Entry!O226</f>
        <v>4.5566502463054187E-2</v>
      </c>
      <c r="AH237" s="79" t="str">
        <f t="shared" si="6"/>
        <v>CAT1</v>
      </c>
      <c r="AI237" s="51">
        <f>SUBTOTAL(3,Tableau1[[#This Row],[ZS]])</f>
        <v>0</v>
      </c>
      <c r="AJ237" s="51" t="e">
        <f t="shared" ca="1" si="7"/>
        <v>#NAME?</v>
      </c>
      <c r="AK237" s="50" t="str">
        <f>IFERROR(IF((Data_Entry!O226-Data_Entry!Q226)/Data_Entry!O226&lt;=10%,"&lt;=10%","&gt;10%"),"&lt;=10%")</f>
        <v>&lt;=10%</v>
      </c>
    </row>
    <row r="238" spans="1:37" s="48" customFormat="1" ht="13" hidden="1" x14ac:dyDescent="0.3">
      <c r="A238" s="31" t="s">
        <v>16</v>
      </c>
      <c r="B238" s="48" t="str">
        <f>Data_Entry!B227</f>
        <v>Goma</v>
      </c>
      <c r="C238" s="48" t="str">
        <f>Data_Entry!C227</f>
        <v xml:space="preserve"> Katoyi</v>
      </c>
      <c r="D238" s="48" t="str">
        <f>Data_Entry!D227</f>
        <v xml:space="preserve"> Kasake</v>
      </c>
      <c r="E238" s="49">
        <f>IFERROR(IF(Data_Entry!J227/Data_Entry!$I227&lt;0,0,Data_Entry!J227/Data_Entry!$I227),0)</f>
        <v>0.97725490196078435</v>
      </c>
      <c r="F238" s="49">
        <f>IFERROR(IF(Data_Entry!K227/Data_Entry!$H227&lt;0,0,Data_Entry!K227/Data_Entry!$H227),0)</f>
        <v>0.36496432383841787</v>
      </c>
      <c r="G238" s="49">
        <f>IFERROR(IF(Data_Entry!L227/Data_Entry!$H227&lt;0,0,Data_Entry!L227/Data_Entry!$H227),0)</f>
        <v>0.93668183605820554</v>
      </c>
      <c r="H238" s="49">
        <f>IFERROR(IF(Data_Entry!M227/Data_Entry!$H227&lt;0,0,Data_Entry!M227/Data_Entry!$H227),0)</f>
        <v>0.69936513287263324</v>
      </c>
      <c r="I238" s="49">
        <f>IFERROR(IF(Data_Entry!N227/Data_Entry!$H227&lt;0,0,Data_Entry!N227/Data_Entry!$H227),0)</f>
        <v>0.7568964548570144</v>
      </c>
      <c r="J238" s="49">
        <f>IFERROR(IF(Data_Entry!O227/Data_Entry!$H227&lt;0,0,Data_Entry!O227/Data_Entry!$H227),0)</f>
        <v>1.2728804989044329</v>
      </c>
      <c r="K238" s="49">
        <f>IFERROR(IF(Data_Entry!P227/Data_Entry!$H227&lt;0,0,Data_Entry!P227/Data_Entry!$H227),0)</f>
        <v>1.0697230181470869</v>
      </c>
      <c r="L238" s="49">
        <f>IFERROR(IF(Data_Entry!Q227/Data_Entry!$H227&lt;0,0,Data_Entry!Q227/Data_Entry!$H227),0)</f>
        <v>1.1883813697398731</v>
      </c>
      <c r="M238" s="49">
        <f>IFERROR(IF(Data_Entry!R227/Data_Entry!$H227&lt;0,0,Data_Entry!R227/Data_Entry!$H227),0)</f>
        <v>1.2728804989044329</v>
      </c>
      <c r="N238" s="49">
        <f>IFERROR(IF(Data_Entry!S227/Data_Entry!$H227&lt;0,0,Data_Entry!S227/Data_Entry!$H227),0)</f>
        <v>1.0697230181470869</v>
      </c>
      <c r="O238" s="49">
        <f>IFERROR(IF(Data_Entry!T227/Data_Entry!$H227&lt;0,0,Data_Entry!T227/Data_Entry!$H227),0)</f>
        <v>1.1883813697398731</v>
      </c>
      <c r="P238" s="49">
        <f>IFERROR(IF(Data_Entry!U227/Data_Entry!$H227&lt;0,0,Data_Entry!U227/Data_Entry!$H227),0)</f>
        <v>1.186583515927861</v>
      </c>
      <c r="Q238" s="49">
        <f>IFERROR(IF(Data_Entry!V227/Data_Entry!$H227&lt;0,0,Data_Entry!V227/Data_Entry!$H227),0)</f>
        <v>1.0157874037867296</v>
      </c>
      <c r="R238" s="49">
        <f>IFERROR(IF(Data_Entry!W227/Data_Entry!$H227&lt;0,0,Data_Entry!W227/Data_Entry!$H227),0)</f>
        <v>1.0085959885386819</v>
      </c>
      <c r="S238" s="49">
        <f>IFERROR(IF(Data_Entry!X227/Data_Entry!$H227&lt;0,0,Data_Entry!X227/Data_Entry!$H227),0)</f>
        <v>1.0607337490870274</v>
      </c>
      <c r="T238" s="49">
        <f>IFERROR(IF(Data_Entry!Y227/Data_Entry!$H227&lt;0,0,Data_Entry!Y227/Data_Entry!$H227),0)</f>
        <v>0.8395977302095623</v>
      </c>
      <c r="U238" s="49">
        <f>IFERROR(IF(Data_Entry!Z227/Data_Entry!$H227&lt;0,0,Data_Entry!Z227/Data_Entry!$H227),0)</f>
        <v>1.0319680880948368</v>
      </c>
      <c r="V238" s="49">
        <f>IFERROR(IF(Data_Entry!AA227/Data_Entry!$H227&lt;0,0,Data_Entry!AA227/Data_Entry!$H227),0)</f>
        <v>1.1883813697398731</v>
      </c>
      <c r="W238" s="49">
        <f>IFERROR(IF(Data_Entry!AB227/Data_Entry!$H227&lt;0,0,Data_Entry!AB227/Data_Entry!$H227),0)</f>
        <v>1.0697230181470869</v>
      </c>
      <c r="X238" s="49">
        <f>IFERROR(IF(Data_Entry!AC227/Data_Entry!$I227&lt;0,0,Data_Entry!AC227/Data_Entry!$I227),0)</f>
        <v>0.29960784313725491</v>
      </c>
      <c r="Y238" s="49">
        <f>IFERROR(IF(Data_Entry!AD227/Data_Entry!$I227&lt;0,0,Data_Entry!AD227/Data_Entry!$I227),0)</f>
        <v>0.19137254901960785</v>
      </c>
      <c r="Z238" s="49">
        <f>IFERROR(IF(Data_Entry!AE227/Data_Entry!$I227&lt;0,0,Data_Entry!AE227/Data_Entry!$I227),0)</f>
        <v>0.30117647058823527</v>
      </c>
      <c r="AA238" s="49">
        <f>IFERROR(IF(Data_Entry!AF227/Data_Entry!$I227&lt;0,0,Data_Entry!AF227/Data_Entry!$I227),0)</f>
        <v>0.17411764705882352</v>
      </c>
      <c r="AB238" s="49">
        <f>IFERROR(IF(Data_Entry!AG227/Data_Entry!$I227&lt;0,0,Data_Entry!AG227/Data_Entry!$I227),0)</f>
        <v>0.15529411764705883</v>
      </c>
      <c r="AC238" s="49">
        <f>IFERROR(IF(Data_Entry!AI227/Data_Entry!$I227&lt;0,0,Data_Entry!AI227/Data_Entry!$I227),0)</f>
        <v>9.1450980392156864E-2</v>
      </c>
      <c r="AD238" s="49">
        <f>IFERROR(IF(Data_Entry!AM227/Data_Entry!$H227&lt;0,0,Data_Entry!AM227/Data_Entry!$H227),0)</f>
        <v>1.0319680880948368</v>
      </c>
      <c r="AE238" s="50">
        <f>Data_Entry!AK227</f>
        <v>0</v>
      </c>
      <c r="AF238" s="50">
        <f>Data_Entry!AL227</f>
        <v>118</v>
      </c>
      <c r="AG238" s="153">
        <f>(Data_Entry!O227-Data_Entry!Q227)/Data_Entry!O227</f>
        <v>6.6384180790960451E-2</v>
      </c>
      <c r="AH238" s="79" t="str">
        <f t="shared" si="6"/>
        <v>CAT1</v>
      </c>
      <c r="AI238" s="51">
        <f>SUBTOTAL(3,Tableau1[[#This Row],[ZS]])</f>
        <v>0</v>
      </c>
      <c r="AJ238" s="51" t="e">
        <f t="shared" ca="1" si="7"/>
        <v>#NAME?</v>
      </c>
      <c r="AK238" s="50" t="str">
        <f>IFERROR(IF((Data_Entry!O227-Data_Entry!Q227)/Data_Entry!O227&lt;=10%,"&lt;=10%","&gt;10%"),"&lt;=10%")</f>
        <v>&lt;=10%</v>
      </c>
    </row>
    <row r="239" spans="1:37" s="48" customFormat="1" ht="13" hidden="1" x14ac:dyDescent="0.3">
      <c r="A239" s="31" t="s">
        <v>16</v>
      </c>
      <c r="B239" s="48" t="str">
        <f>Data_Entry!B228</f>
        <v>Goma</v>
      </c>
      <c r="C239" s="48" t="str">
        <f>Data_Entry!C228</f>
        <v xml:space="preserve"> Katoyi</v>
      </c>
      <c r="D239" s="48" t="str">
        <f>Data_Entry!D228</f>
        <v xml:space="preserve"> Kashovu</v>
      </c>
      <c r="E239" s="49">
        <f>IFERROR(IF(Data_Entry!J228/Data_Entry!$I228&lt;0,0,Data_Entry!J228/Data_Entry!$I228),0)</f>
        <v>1.1697530864197532</v>
      </c>
      <c r="F239" s="49">
        <f>IFERROR(IF(Data_Entry!K228/Data_Entry!$H228&lt;0,0,Data_Entry!K228/Data_Entry!$H228),0)</f>
        <v>0.33251972124942519</v>
      </c>
      <c r="G239" s="49">
        <f>IFERROR(IF(Data_Entry!L228/Data_Entry!$H228&lt;0,0,Data_Entry!L228/Data_Entry!$H228),0)</f>
        <v>0.99755916374827547</v>
      </c>
      <c r="H239" s="49">
        <f>IFERROR(IF(Data_Entry!M228/Data_Entry!$H228&lt;0,0,Data_Entry!M228/Data_Entry!$H228),0)</f>
        <v>0.90912306767130069</v>
      </c>
      <c r="I239" s="49">
        <f>IFERROR(IF(Data_Entry!N228/Data_Entry!$H228&lt;0,0,Data_Entry!N228/Data_Entry!$H228),0)</f>
        <v>1.0400084898652233</v>
      </c>
      <c r="J239" s="49">
        <f>IFERROR(IF(Data_Entry!O228/Data_Entry!$H228&lt;0,0,Data_Entry!O228/Data_Entry!$H228),0)</f>
        <v>1.2876295588807527</v>
      </c>
      <c r="K239" s="49">
        <f>IFERROR(IF(Data_Entry!P228/Data_Entry!$H228&lt;0,0,Data_Entry!P228/Data_Entry!$H228),0)</f>
        <v>1.1284445859421981</v>
      </c>
      <c r="L239" s="49">
        <f>IFERROR(IF(Data_Entry!Q228/Data_Entry!$H228&lt;0,0,Data_Entry!Q228/Data_Entry!$H228),0)</f>
        <v>1.1567441366868301</v>
      </c>
      <c r="M239" s="49">
        <f>IFERROR(IF(Data_Entry!R228/Data_Entry!$H228&lt;0,0,Data_Entry!R228/Data_Entry!$H228),0)</f>
        <v>1.2876295588807527</v>
      </c>
      <c r="N239" s="49">
        <f>IFERROR(IF(Data_Entry!S228/Data_Entry!$H228&lt;0,0,Data_Entry!S228/Data_Entry!$H228),0)</f>
        <v>1.0647705967667764</v>
      </c>
      <c r="O239" s="49">
        <f>IFERROR(IF(Data_Entry!T228/Data_Entry!$H228&lt;0,0,Data_Entry!T228/Data_Entry!$H228),0)</f>
        <v>1.1991934628037779</v>
      </c>
      <c r="P239" s="49">
        <f>IFERROR(IF(Data_Entry!U228/Data_Entry!$H228&lt;0,0,Data_Entry!U228/Data_Entry!$H228),0)</f>
        <v>1.0010966075913545</v>
      </c>
      <c r="Q239" s="49">
        <f>IFERROR(IF(Data_Entry!V228/Data_Entry!$H228&lt;0,0,Data_Entry!V228/Data_Entry!$H228),0)</f>
        <v>1.1355194736283563</v>
      </c>
      <c r="R239" s="49">
        <f>IFERROR(IF(Data_Entry!W228/Data_Entry!$H228&lt;0,0,Data_Entry!W228/Data_Entry!$H228),0)</f>
        <v>1.3477661042130957</v>
      </c>
      <c r="S239" s="49">
        <f>IFERROR(IF(Data_Entry!X228/Data_Entry!$H228&lt;0,0,Data_Entry!X228/Data_Entry!$H228),0)</f>
        <v>1.0010966075913545</v>
      </c>
      <c r="T239" s="49">
        <f>IFERROR(IF(Data_Entry!Y228/Data_Entry!$H228&lt;0,0,Data_Entry!Y228/Data_Entry!$H228),0)</f>
        <v>0.49524213803105877</v>
      </c>
      <c r="U239" s="49">
        <f>IFERROR(IF(Data_Entry!Z228/Data_Entry!$H228&lt;0,0,Data_Entry!Z228/Data_Entry!$H228),0)</f>
        <v>0.86313629771127387</v>
      </c>
      <c r="V239" s="49">
        <f>IFERROR(IF(Data_Entry!AA228/Data_Entry!$H228&lt;0,0,Data_Entry!AA228/Data_Entry!$H228),0)</f>
        <v>1.0930701475114082</v>
      </c>
      <c r="W239" s="49">
        <f>IFERROR(IF(Data_Entry!AB228/Data_Entry!$H228&lt;0,0,Data_Entry!AB228/Data_Entry!$H228),0)</f>
        <v>1.4432770879762284</v>
      </c>
      <c r="X239" s="49">
        <f>IFERROR(IF(Data_Entry!AC228/Data_Entry!$I228&lt;0,0,Data_Entry!AC228/Data_Entry!$I228),0)</f>
        <v>0.40740740740740738</v>
      </c>
      <c r="Y239" s="49">
        <f>IFERROR(IF(Data_Entry!AD228/Data_Entry!$I228&lt;0,0,Data_Entry!AD228/Data_Entry!$I228),0)</f>
        <v>0.27160493827160492</v>
      </c>
      <c r="Z239" s="49">
        <f>IFERROR(IF(Data_Entry!AE228/Data_Entry!$I228&lt;0,0,Data_Entry!AE228/Data_Entry!$I228),0)</f>
        <v>0.1728395061728395</v>
      </c>
      <c r="AA239" s="49">
        <f>IFERROR(IF(Data_Entry!AF228/Data_Entry!$I228&lt;0,0,Data_Entry!AF228/Data_Entry!$I228),0)</f>
        <v>0.12345679012345678</v>
      </c>
      <c r="AB239" s="49">
        <f>IFERROR(IF(Data_Entry!AG228/Data_Entry!$I228&lt;0,0,Data_Entry!AG228/Data_Entry!$I228),0)</f>
        <v>6.4814814814814811E-2</v>
      </c>
      <c r="AC239" s="49">
        <f>IFERROR(IF(Data_Entry!AI228/Data_Entry!$I228&lt;0,0,Data_Entry!AI228/Data_Entry!$I228),0)</f>
        <v>0.12870370370370371</v>
      </c>
      <c r="AD239" s="49">
        <f>IFERROR(IF(Data_Entry!AM228/Data_Entry!$H228&lt;0,0,Data_Entry!AM228/Data_Entry!$H228),0)</f>
        <v>0.86313629771127387</v>
      </c>
      <c r="AE239" s="50">
        <f>Data_Entry!AK228</f>
        <v>0</v>
      </c>
      <c r="AF239" s="50">
        <f>Data_Entry!AL228</f>
        <v>81</v>
      </c>
      <c r="AG239" s="153">
        <f>(Data_Entry!O228-Data_Entry!Q228)/Data_Entry!O228</f>
        <v>0.10164835164835165</v>
      </c>
      <c r="AH239" s="79" t="str">
        <f t="shared" si="6"/>
        <v>CAT2</v>
      </c>
      <c r="AI239" s="51">
        <f>SUBTOTAL(3,Tableau1[[#This Row],[ZS]])</f>
        <v>0</v>
      </c>
      <c r="AJ239" s="51" t="e">
        <f t="shared" ca="1" si="7"/>
        <v>#NAME?</v>
      </c>
      <c r="AK239" s="50" t="str">
        <f>IFERROR(IF((Data_Entry!O228-Data_Entry!Q228)/Data_Entry!O228&lt;=10%,"&lt;=10%","&gt;10%"),"&lt;=10%")</f>
        <v>&gt;10%</v>
      </c>
    </row>
    <row r="240" spans="1:37" s="48" customFormat="1" ht="13" hidden="1" x14ac:dyDescent="0.3">
      <c r="A240" s="31" t="s">
        <v>16</v>
      </c>
      <c r="B240" s="48" t="str">
        <f>Data_Entry!B229</f>
        <v>Goma</v>
      </c>
      <c r="C240" s="48" t="str">
        <f>Data_Entry!C229</f>
        <v xml:space="preserve"> Katoyi</v>
      </c>
      <c r="D240" s="48" t="str">
        <f>Data_Entry!D229</f>
        <v xml:space="preserve"> Kasinga</v>
      </c>
      <c r="E240" s="49">
        <f>IFERROR(IF(Data_Entry!J229/Data_Entry!$I229&lt;0,0,Data_Entry!J229/Data_Entry!$I229),0)</f>
        <v>1.2961965305462773</v>
      </c>
      <c r="F240" s="49">
        <f>IFERROR(IF(Data_Entry!K229/Data_Entry!$H229&lt;0,0,Data_Entry!K229/Data_Entry!$H229),0)</f>
        <v>0.81875378388049158</v>
      </c>
      <c r="G240" s="49">
        <f>IFERROR(IF(Data_Entry!L229/Data_Entry!$H229&lt;0,0,Data_Entry!L229/Data_Entry!$H229),0)</f>
        <v>1.1929353774186349</v>
      </c>
      <c r="H240" s="49">
        <f>IFERROR(IF(Data_Entry!M229/Data_Entry!$H229&lt;0,0,Data_Entry!M229/Data_Entry!$H229),0)</f>
        <v>1.1151352441087239</v>
      </c>
      <c r="I240" s="49">
        <f>IFERROR(IF(Data_Entry!N229/Data_Entry!$H229&lt;0,0,Data_Entry!N229/Data_Entry!$H229),0)</f>
        <v>1.0817923298330476</v>
      </c>
      <c r="J240" s="49">
        <f>IFERROR(IF(Data_Entry!O229/Data_Entry!$H229&lt;0,0,Data_Entry!O229/Data_Entry!$H229),0)</f>
        <v>1.4226310090955148</v>
      </c>
      <c r="K240" s="49">
        <f>IFERROR(IF(Data_Entry!P229/Data_Entry!$H229&lt;0,0,Data_Entry!P229/Data_Entry!$H229),0)</f>
        <v>1.3374213392798981</v>
      </c>
      <c r="L240" s="49">
        <f>IFERROR(IF(Data_Entry!Q229/Data_Entry!$H229&lt;0,0,Data_Entry!Q229/Data_Entry!$H229),0)</f>
        <v>1.3003736567513691</v>
      </c>
      <c r="M240" s="49">
        <f>IFERROR(IF(Data_Entry!R229/Data_Entry!$H229&lt;0,0,Data_Entry!R229/Data_Entry!$H229),0)</f>
        <v>1.4226310090955148</v>
      </c>
      <c r="N240" s="49">
        <f>IFERROR(IF(Data_Entry!S229/Data_Entry!$H229&lt;0,0,Data_Entry!S229/Data_Entry!$H229),0)</f>
        <v>1.3374213392798981</v>
      </c>
      <c r="O240" s="49">
        <f>IFERROR(IF(Data_Entry!T229/Data_Entry!$H229&lt;0,0,Data_Entry!T229/Data_Entry!$H229),0)</f>
        <v>1.3003736567513691</v>
      </c>
      <c r="P240" s="49">
        <f>IFERROR(IF(Data_Entry!U229/Data_Entry!$H229&lt;0,0,Data_Entry!U229/Data_Entry!$H229),0)</f>
        <v>1.2262782916943109</v>
      </c>
      <c r="Q240" s="49">
        <f>IFERROR(IF(Data_Entry!V229/Data_Entry!$H229&lt;0,0,Data_Entry!V229/Data_Entry!$H229),0)</f>
        <v>1.152182926637253</v>
      </c>
      <c r="R240" s="49">
        <f>IFERROR(IF(Data_Entry!W229/Data_Entry!$H229&lt;0,0,Data_Entry!W229/Data_Entry!$H229),0)</f>
        <v>1.1225447806144297</v>
      </c>
      <c r="S240" s="49">
        <f>IFERROR(IF(Data_Entry!X229/Data_Entry!$H229&lt;0,0,Data_Entry!X229/Data_Entry!$H229),0)</f>
        <v>1.0854970980859007</v>
      </c>
      <c r="T240" s="49">
        <f>IFERROR(IF(Data_Entry!Y229/Data_Entry!$H229&lt;0,0,Data_Entry!Y229/Data_Entry!$H229),0)</f>
        <v>0.82245855213334451</v>
      </c>
      <c r="U240" s="49">
        <f>IFERROR(IF(Data_Entry!Z229/Data_Entry!$H229&lt;0,0,Data_Entry!Z229/Data_Entry!$H229),0)</f>
        <v>1.1632972313958116</v>
      </c>
      <c r="V240" s="49">
        <f>IFERROR(IF(Data_Entry!AA229/Data_Entry!$H229&lt;0,0,Data_Entry!AA229/Data_Entry!$H229),0)</f>
        <v>0.68538212677778709</v>
      </c>
      <c r="W240" s="49">
        <f>IFERROR(IF(Data_Entry!AB229/Data_Entry!$H229&lt;0,0,Data_Entry!AB229/Data_Entry!$H229),0)</f>
        <v>1.2114592186828994</v>
      </c>
      <c r="X240" s="49">
        <f>IFERROR(IF(Data_Entry!AC229/Data_Entry!$I229&lt;0,0,Data_Entry!AC229/Data_Entry!$I229),0)</f>
        <v>0.51395323779765112</v>
      </c>
      <c r="Y240" s="49">
        <f>IFERROR(IF(Data_Entry!AD229/Data_Entry!$I229&lt;0,0,Data_Entry!AD229/Data_Entry!$I229),0)</f>
        <v>0.50425600689580863</v>
      </c>
      <c r="Z240" s="49">
        <f>IFERROR(IF(Data_Entry!AE229/Data_Entry!$I229&lt;0,0,Data_Entry!AE229/Data_Entry!$I229),0)</f>
        <v>0.29738174765650255</v>
      </c>
      <c r="AA240" s="49">
        <f>IFERROR(IF(Data_Entry!AF229/Data_Entry!$I229&lt;0,0,Data_Entry!AF229/Data_Entry!$I229),0)</f>
        <v>0.14869087382825127</v>
      </c>
      <c r="AB240" s="49">
        <f>IFERROR(IF(Data_Entry!AG229/Data_Entry!$I229&lt;0,0,Data_Entry!AG229/Data_Entry!$I229),0)</f>
        <v>0.13576123262579462</v>
      </c>
      <c r="AC240" s="49">
        <f>IFERROR(IF(Data_Entry!AI229/Data_Entry!$I229&lt;0,0,Data_Entry!AI229/Data_Entry!$I229),0)</f>
        <v>0.18844952052580541</v>
      </c>
      <c r="AD240" s="49">
        <f>IFERROR(IF(Data_Entry!AM229/Data_Entry!$H229&lt;0,0,Data_Entry!AM229/Data_Entry!$H229),0)</f>
        <v>1.0854970980859007</v>
      </c>
      <c r="AE240" s="50">
        <f>Data_Entry!AK229</f>
        <v>0</v>
      </c>
      <c r="AF240" s="50">
        <f>Data_Entry!AL229</f>
        <v>91</v>
      </c>
      <c r="AG240" s="153">
        <f>(Data_Entry!O229-Data_Entry!Q229)/Data_Entry!O229</f>
        <v>8.59375E-2</v>
      </c>
      <c r="AH240" s="79" t="str">
        <f t="shared" si="6"/>
        <v>CAT1</v>
      </c>
      <c r="AI240" s="51">
        <f>SUBTOTAL(3,Tableau1[[#This Row],[ZS]])</f>
        <v>0</v>
      </c>
      <c r="AJ240" s="51" t="e">
        <f t="shared" ca="1" si="7"/>
        <v>#NAME?</v>
      </c>
      <c r="AK240" s="50" t="str">
        <f>IFERROR(IF((Data_Entry!O229-Data_Entry!Q229)/Data_Entry!O229&lt;=10%,"&lt;=10%","&gt;10%"),"&lt;=10%")</f>
        <v>&lt;=10%</v>
      </c>
    </row>
    <row r="241" spans="1:37" s="48" customFormat="1" ht="13" hidden="1" x14ac:dyDescent="0.3">
      <c r="A241" s="31" t="s">
        <v>16</v>
      </c>
      <c r="B241" s="48" t="str">
        <f>Data_Entry!B230</f>
        <v>Goma</v>
      </c>
      <c r="C241" s="48" t="str">
        <f>Data_Entry!C230</f>
        <v xml:space="preserve"> Katoyi</v>
      </c>
      <c r="D241" s="48" t="str">
        <f>Data_Entry!D230</f>
        <v xml:space="preserve"> Katovu</v>
      </c>
      <c r="E241" s="49">
        <f>IFERROR(IF(Data_Entry!J230/Data_Entry!$I230&lt;0,0,Data_Entry!J230/Data_Entry!$I230),0)</f>
        <v>1.0317025010969723</v>
      </c>
      <c r="F241" s="49">
        <f>IFERROR(IF(Data_Entry!K230/Data_Entry!$H230&lt;0,0,Data_Entry!K230/Data_Entry!$H230),0)</f>
        <v>0.61103560476808949</v>
      </c>
      <c r="G241" s="49">
        <f>IFERROR(IF(Data_Entry!L230/Data_Entry!$H230&lt;0,0,Data_Entry!L230/Data_Entry!$H230),0)</f>
        <v>0.71664669695022842</v>
      </c>
      <c r="H241" s="49">
        <f>IFERROR(IF(Data_Entry!M230/Data_Entry!$H230&lt;0,0,Data_Entry!M230/Data_Entry!$H230),0)</f>
        <v>0.69590166098587969</v>
      </c>
      <c r="I241" s="49">
        <f>IFERROR(IF(Data_Entry!N230/Data_Entry!$H230&lt;0,0,Data_Entry!N230/Data_Entry!$H230),0)</f>
        <v>0.68835801154429832</v>
      </c>
      <c r="J241" s="49">
        <f>IFERROR(IF(Data_Entry!O230/Data_Entry!$H230&lt;0,0,Data_Entry!O230/Data_Entry!$H230),0)</f>
        <v>1.0730841330649472</v>
      </c>
      <c r="K241" s="49">
        <f>IFERROR(IF(Data_Entry!P230/Data_Entry!$H230&lt;0,0,Data_Entry!P230/Data_Entry!$H230),0)</f>
        <v>1.0410236229382266</v>
      </c>
      <c r="L241" s="49">
        <f>IFERROR(IF(Data_Entry!Q230/Data_Entry!$H230&lt;0,0,Data_Entry!Q230/Data_Entry!$H230),0)</f>
        <v>1.0202785869738777</v>
      </c>
      <c r="M241" s="49">
        <f>IFERROR(IF(Data_Entry!R230/Data_Entry!$H230&lt;0,0,Data_Entry!R230/Data_Entry!$H230),0)</f>
        <v>1.0429095352986217</v>
      </c>
      <c r="N241" s="49">
        <f>IFERROR(IF(Data_Entry!S230/Data_Entry!$H230&lt;0,0,Data_Entry!S230/Data_Entry!$H230),0)</f>
        <v>1.0014194633699245</v>
      </c>
      <c r="O241" s="49">
        <f>IFERROR(IF(Data_Entry!T230/Data_Entry!$H230&lt;0,0,Data_Entry!T230/Data_Entry!$H230),0)</f>
        <v>0.98256033976597101</v>
      </c>
      <c r="P241" s="49">
        <f>IFERROR(IF(Data_Entry!U230/Data_Entry!$H230&lt;0,0,Data_Entry!U230/Data_Entry!$H230),0)</f>
        <v>1.0523390971005986</v>
      </c>
      <c r="Q241" s="49">
        <f>IFERROR(IF(Data_Entry!V230/Data_Entry!$H230&lt;0,0,Data_Entry!V230/Data_Entry!$H230),0)</f>
        <v>1.2182993848153882</v>
      </c>
      <c r="R241" s="49">
        <f>IFERROR(IF(Data_Entry!W230/Data_Entry!$H230&lt;0,0,Data_Entry!W230/Data_Entry!$H230),0)</f>
        <v>1.4276356568192707</v>
      </c>
      <c r="S241" s="49">
        <f>IFERROR(IF(Data_Entry!X230/Data_Entry!$H230&lt;0,0,Data_Entry!X230/Data_Entry!$H230),0)</f>
        <v>1.0636545712629706</v>
      </c>
      <c r="T241" s="49">
        <f>IFERROR(IF(Data_Entry!Y230/Data_Entry!$H230&lt;0,0,Data_Entry!Y230/Data_Entry!$H230),0)</f>
        <v>0.80339866552841388</v>
      </c>
      <c r="U241" s="49">
        <f>IFERROR(IF(Data_Entry!Z230/Data_Entry!$H230&lt;0,0,Data_Entry!Z230/Data_Entry!$H230),0)</f>
        <v>1.0994869061104819</v>
      </c>
      <c r="V241" s="49">
        <f>IFERROR(IF(Data_Entry!AA230/Data_Entry!$H230&lt;0,0,Data_Entry!AA230/Data_Entry!$H230),0)</f>
        <v>0.93352661839569218</v>
      </c>
      <c r="W241" s="49">
        <f>IFERROR(IF(Data_Entry!AB230/Data_Entry!$H230&lt;0,0,Data_Entry!AB230/Data_Entry!$H230),0)</f>
        <v>1.435179306260852</v>
      </c>
      <c r="X241" s="49">
        <f>IFERROR(IF(Data_Entry!AC230/Data_Entry!$I230&lt;0,0,Data_Entry!AC230/Data_Entry!$I230),0)</f>
        <v>0.35870996050899517</v>
      </c>
      <c r="Y241" s="49">
        <f>IFERROR(IF(Data_Entry!AD230/Data_Entry!$I230&lt;0,0,Data_Entry!AD230/Data_Entry!$I230),0)</f>
        <v>0.25175515577007457</v>
      </c>
      <c r="Z241" s="49">
        <f>IFERROR(IF(Data_Entry!AE230/Data_Entry!$I230&lt;0,0,Data_Entry!AE230/Data_Entry!$I230),0)</f>
        <v>0.18429135585783238</v>
      </c>
      <c r="AA241" s="49">
        <f>IFERROR(IF(Data_Entry!AF230/Data_Entry!$I230&lt;0,0,Data_Entry!AF230/Data_Entry!$I230),0)</f>
        <v>0.169482229047828</v>
      </c>
      <c r="AB241" s="49">
        <f>IFERROR(IF(Data_Entry!AG230/Data_Entry!$I230&lt;0,0,Data_Entry!AG230/Data_Entry!$I230),0)</f>
        <v>0.20568231680561649</v>
      </c>
      <c r="AC241" s="49">
        <f>IFERROR(IF(Data_Entry!AI230/Data_Entry!$I230&lt;0,0,Data_Entry!AI230/Data_Entry!$I230),0)</f>
        <v>9.5930232558139525E-2</v>
      </c>
      <c r="AD241" s="49">
        <f>IFERROR(IF(Data_Entry!AM230/Data_Entry!$H230&lt;0,0,Data_Entry!AM230/Data_Entry!$H230),0)</f>
        <v>1.0636545712629706</v>
      </c>
      <c r="AE241" s="50">
        <f>Data_Entry!AK230</f>
        <v>0</v>
      </c>
      <c r="AF241" s="50">
        <f>Data_Entry!AL230</f>
        <v>5</v>
      </c>
      <c r="AG241" s="153">
        <f>(Data_Entry!O230-Data_Entry!Q230)/Data_Entry!O230</f>
        <v>4.9209138840070298E-2</v>
      </c>
      <c r="AH241" s="79" t="str">
        <f t="shared" si="6"/>
        <v>CAT1</v>
      </c>
      <c r="AI241" s="51">
        <f>SUBTOTAL(3,Tableau1[[#This Row],[ZS]])</f>
        <v>0</v>
      </c>
      <c r="AJ241" s="51" t="e">
        <f t="shared" ca="1" si="7"/>
        <v>#NAME?</v>
      </c>
      <c r="AK241" s="50" t="str">
        <f>IFERROR(IF((Data_Entry!O230-Data_Entry!Q230)/Data_Entry!O230&lt;=10%,"&lt;=10%","&gt;10%"),"&lt;=10%")</f>
        <v>&lt;=10%</v>
      </c>
    </row>
    <row r="242" spans="1:37" s="48" customFormat="1" ht="13" hidden="1" x14ac:dyDescent="0.3">
      <c r="A242" s="31" t="s">
        <v>16</v>
      </c>
      <c r="B242" s="48" t="str">
        <f>Data_Entry!B231</f>
        <v>Goma</v>
      </c>
      <c r="C242" s="48" t="str">
        <f>Data_Entry!C231</f>
        <v xml:space="preserve"> Katoyi</v>
      </c>
      <c r="D242" s="48" t="str">
        <f>Data_Entry!D231</f>
        <v xml:space="preserve"> Katoyi</v>
      </c>
      <c r="E242" s="49">
        <f>IFERROR(IF(Data_Entry!J231/Data_Entry!$I231&lt;0,0,Data_Entry!J231/Data_Entry!$I231),0)</f>
        <v>1.1690140845070423</v>
      </c>
      <c r="F242" s="49">
        <f>IFERROR(IF(Data_Entry!K231/Data_Entry!$H231&lt;0,0,Data_Entry!K231/Data_Entry!$H231),0)</f>
        <v>0.78740510557775167</v>
      </c>
      <c r="G242" s="49">
        <f>IFERROR(IF(Data_Entry!L231/Data_Entry!$H231&lt;0,0,Data_Entry!L231/Data_Entry!$H231),0)</f>
        <v>1.1335763706722985</v>
      </c>
      <c r="H242" s="49">
        <f>IFERROR(IF(Data_Entry!M231/Data_Entry!$H231&lt;0,0,Data_Entry!M231/Data_Entry!$H231),0)</f>
        <v>1.1210209361870043</v>
      </c>
      <c r="I242" s="49">
        <f>IFERROR(IF(Data_Entry!N231/Data_Entry!$H231&lt;0,0,Data_Entry!N231/Data_Entry!$H231),0)</f>
        <v>1.1102591351996089</v>
      </c>
      <c r="J242" s="49">
        <f>IFERROR(IF(Data_Entry!O231/Data_Entry!$H231&lt;0,0,Data_Entry!O231/Data_Entry!$H231),0)</f>
        <v>1.1515127056512906</v>
      </c>
      <c r="K242" s="49">
        <f>IFERROR(IF(Data_Entry!P231/Data_Entry!$H231&lt;0,0,Data_Entry!P231/Data_Entry!$H231),0)</f>
        <v>1.1246082031828026</v>
      </c>
      <c r="L242" s="49">
        <f>IFERROR(IF(Data_Entry!Q231/Data_Entry!$H231&lt;0,0,Data_Entry!Q231/Data_Entry!$H231),0)</f>
        <v>1.1120527686975081</v>
      </c>
      <c r="M242" s="49">
        <f>IFERROR(IF(Data_Entry!R231/Data_Entry!$H231&lt;0,0,Data_Entry!R231/Data_Entry!$H231),0)</f>
        <v>1.1515127056512906</v>
      </c>
      <c r="N242" s="49">
        <f>IFERROR(IF(Data_Entry!S231/Data_Entry!$H231&lt;0,0,Data_Entry!S231/Data_Entry!$H231),0)</f>
        <v>1.128195470178601</v>
      </c>
      <c r="O242" s="49">
        <f>IFERROR(IF(Data_Entry!T231/Data_Entry!$H231&lt;0,0,Data_Entry!T231/Data_Entry!$H231),0)</f>
        <v>1.1138464021954073</v>
      </c>
      <c r="P242" s="49">
        <f>IFERROR(IF(Data_Entry!U231/Data_Entry!$H231&lt;0,0,Data_Entry!U231/Data_Entry!$H231),0)</f>
        <v>1.3506060239181026</v>
      </c>
      <c r="Q242" s="49">
        <f>IFERROR(IF(Data_Entry!V231/Data_Entry!$H231&lt;0,0,Data_Entry!V231/Data_Entry!$H231),0)</f>
        <v>1.2860352179937311</v>
      </c>
      <c r="R242" s="49">
        <f>IFERROR(IF(Data_Entry!W231/Data_Entry!$H231&lt;0,0,Data_Entry!W231/Data_Entry!$H231),0)</f>
        <v>1.2142898780777629</v>
      </c>
      <c r="S242" s="49">
        <f>IFERROR(IF(Data_Entry!X231/Data_Entry!$H231&lt;0,0,Data_Entry!X231/Data_Entry!$H231),0)</f>
        <v>1.2537498150315454</v>
      </c>
      <c r="T242" s="49">
        <f>IFERROR(IF(Data_Entry!Y231/Data_Entry!$H231&lt;0,0,Data_Entry!Y231/Data_Entry!$H231),0)</f>
        <v>1.6734600535399597</v>
      </c>
      <c r="U242" s="49">
        <f>IFERROR(IF(Data_Entry!Z231/Data_Entry!$H231&lt;0,0,Data_Entry!Z231/Data_Entry!$H231),0)</f>
        <v>1.0295456277941446</v>
      </c>
      <c r="V242" s="49">
        <f>IFERROR(IF(Data_Entry!AA231/Data_Entry!$H231&lt;0,0,Data_Entry!AA231/Data_Entry!$H231),0)</f>
        <v>1.1138464021954073</v>
      </c>
      <c r="W242" s="49">
        <f>IFERROR(IF(Data_Entry!AB231/Data_Entry!$H231&lt;0,0,Data_Entry!AB231/Data_Entry!$H231),0)</f>
        <v>1.3308760554412113</v>
      </c>
      <c r="X242" s="49">
        <f>IFERROR(IF(Data_Entry!AC231/Data_Entry!$I231&lt;0,0,Data_Entry!AC231/Data_Entry!$I231),0)</f>
        <v>0.61189358372456959</v>
      </c>
      <c r="Y242" s="49">
        <f>IFERROR(IF(Data_Entry!AD231/Data_Entry!$I231&lt;0,0,Data_Entry!AD231/Data_Entry!$I231),0)</f>
        <v>0.37715179968701096</v>
      </c>
      <c r="Z242" s="49">
        <f>IFERROR(IF(Data_Entry!AE231/Data_Entry!$I231&lt;0,0,Data_Entry!AE231/Data_Entry!$I231),0)</f>
        <v>0.2269170579029734</v>
      </c>
      <c r="AA242" s="49">
        <f>IFERROR(IF(Data_Entry!AF231/Data_Entry!$I231&lt;0,0,Data_Entry!AF231/Data_Entry!$I231),0)</f>
        <v>0.14553990610328638</v>
      </c>
      <c r="AB242" s="49">
        <f>IFERROR(IF(Data_Entry!AG231/Data_Entry!$I231&lt;0,0,Data_Entry!AG231/Data_Entry!$I231),0)</f>
        <v>0.12989045383411579</v>
      </c>
      <c r="AC242" s="49">
        <f>IFERROR(IF(Data_Entry!AI231/Data_Entry!$I231&lt;0,0,Data_Entry!AI231/Data_Entry!$I231),0)</f>
        <v>9.1236306729264471E-2</v>
      </c>
      <c r="AD242" s="49">
        <f>IFERROR(IF(Data_Entry!AM231/Data_Entry!$H231&lt;0,0,Data_Entry!AM231/Data_Entry!$H231),0)</f>
        <v>1.0295456277941446</v>
      </c>
      <c r="AE242" s="50">
        <f>Data_Entry!AK231</f>
        <v>0</v>
      </c>
      <c r="AF242" s="50">
        <f>Data_Entry!AL231</f>
        <v>0</v>
      </c>
      <c r="AG242" s="153">
        <f>(Data_Entry!O231-Data_Entry!Q231)/Data_Entry!O231</f>
        <v>3.4267912772585667E-2</v>
      </c>
      <c r="AH242" s="79" t="str">
        <f t="shared" si="6"/>
        <v>CAT1</v>
      </c>
      <c r="AI242" s="51">
        <f>SUBTOTAL(3,Tableau1[[#This Row],[ZS]])</f>
        <v>0</v>
      </c>
      <c r="AJ242" s="51" t="e">
        <f t="shared" ca="1" si="7"/>
        <v>#NAME?</v>
      </c>
      <c r="AK242" s="50" t="str">
        <f>IFERROR(IF((Data_Entry!O231-Data_Entry!Q231)/Data_Entry!O231&lt;=10%,"&lt;=10%","&gt;10%"),"&lt;=10%")</f>
        <v>&lt;=10%</v>
      </c>
    </row>
    <row r="243" spans="1:37" s="48" customFormat="1" ht="13" hidden="1" x14ac:dyDescent="0.3">
      <c r="A243" s="31" t="s">
        <v>16</v>
      </c>
      <c r="B243" s="48" t="str">
        <f>Data_Entry!B232</f>
        <v>Goma</v>
      </c>
      <c r="C243" s="48" t="str">
        <f>Data_Entry!C232</f>
        <v xml:space="preserve"> Katoyi</v>
      </c>
      <c r="D243" s="48" t="str">
        <f>Data_Entry!D232</f>
        <v xml:space="preserve"> Katuunda</v>
      </c>
      <c r="E243" s="49">
        <f>IFERROR(IF(Data_Entry!J232/Data_Entry!$I232&lt;0,0,Data_Entry!J232/Data_Entry!$I232),0)</f>
        <v>0.8740915340797486</v>
      </c>
      <c r="F243" s="49">
        <f>IFERROR(IF(Data_Entry!K232/Data_Entry!$H232&lt;0,0,Data_Entry!K232/Data_Entry!$H232),0)</f>
        <v>0.44350415560016865</v>
      </c>
      <c r="G243" s="49">
        <f>IFERROR(IF(Data_Entry!L232/Data_Entry!$H232&lt;0,0,Data_Entry!L232/Data_Entry!$H232),0)</f>
        <v>1.3822921397893582</v>
      </c>
      <c r="H243" s="49">
        <f>IFERROR(IF(Data_Entry!M232/Data_Entry!$H232&lt;0,0,Data_Entry!M232/Data_Entry!$H232),0)</f>
        <v>1.141404095884698</v>
      </c>
      <c r="I243" s="49">
        <f>IFERROR(IF(Data_Entry!N232/Data_Entry!$H232&lt;0,0,Data_Entry!N232/Data_Entry!$H232),0)</f>
        <v>1.3170047260208055</v>
      </c>
      <c r="J243" s="49">
        <f>IFERROR(IF(Data_Entry!O232/Data_Entry!$H232&lt;0,0,Data_Entry!O232/Data_Entry!$H232),0)</f>
        <v>1.6952214678524213</v>
      </c>
      <c r="K243" s="49">
        <f>IFERROR(IF(Data_Entry!P232/Data_Entry!$H232&lt;0,0,Data_Entry!P232/Data_Entry!$H232),0)</f>
        <v>1.305748275371055</v>
      </c>
      <c r="L243" s="49">
        <f>IFERROR(IF(Data_Entry!Q232/Data_Entry!$H232&lt;0,0,Data_Entry!Q232/Data_Entry!$H232),0)</f>
        <v>1.4813489055071625</v>
      </c>
      <c r="M243" s="49">
        <f>IFERROR(IF(Data_Entry!R232/Data_Entry!$H232&lt;0,0,Data_Entry!R232/Data_Entry!$H232),0)</f>
        <v>1.6952214678524213</v>
      </c>
      <c r="N243" s="49">
        <f>IFERROR(IF(Data_Entry!S232/Data_Entry!$H232&lt;0,0,Data_Entry!S232/Data_Entry!$H232),0)</f>
        <v>1.307999565501005</v>
      </c>
      <c r="O243" s="49">
        <f>IFERROR(IF(Data_Entry!T232/Data_Entry!$H232&lt;0,0,Data_Entry!T232/Data_Entry!$H232),0)</f>
        <v>1.4790976153772122</v>
      </c>
      <c r="P243" s="49">
        <f>IFERROR(IF(Data_Entry!U232/Data_Entry!$H232&lt;0,0,Data_Entry!U232/Data_Entry!$H232),0)</f>
        <v>1.569149220575216</v>
      </c>
      <c r="Q243" s="49">
        <f>IFERROR(IF(Data_Entry!V232/Data_Entry!$H232&lt;0,0,Data_Entry!V232/Data_Entry!$H232),0)</f>
        <v>1.1819273182237997</v>
      </c>
      <c r="R243" s="49">
        <f>IFERROR(IF(Data_Entry!W232/Data_Entry!$H232&lt;0,0,Data_Entry!W232/Data_Entry!$H232),0)</f>
        <v>1.3552766582299571</v>
      </c>
      <c r="S243" s="49">
        <f>IFERROR(IF(Data_Entry!X232/Data_Entry!$H232&lt;0,0,Data_Entry!X232/Data_Entry!$H232),0)</f>
        <v>1.0130805584775426</v>
      </c>
      <c r="T243" s="49">
        <f>IFERROR(IF(Data_Entry!Y232/Data_Entry!$H232&lt;0,0,Data_Entry!Y232/Data_Entry!$H232),0)</f>
        <v>0.68439219950482877</v>
      </c>
      <c r="U243" s="49">
        <f>IFERROR(IF(Data_Entry!Z232/Data_Entry!$H232&lt;0,0,Data_Entry!Z232/Data_Entry!$H232),0)</f>
        <v>1.114388614325297</v>
      </c>
      <c r="V243" s="49">
        <f>IFERROR(IF(Data_Entry!AA232/Data_Entry!$H232&lt;0,0,Data_Entry!AA232/Data_Entry!$H232),0)</f>
        <v>1.0671115215963449</v>
      </c>
      <c r="W243" s="49">
        <f>IFERROR(IF(Data_Entry!AB232/Data_Entry!$H232&lt;0,0,Data_Entry!AB232/Data_Entry!$H232),0)</f>
        <v>0.70465381067437971</v>
      </c>
      <c r="X243" s="49">
        <f>IFERROR(IF(Data_Entry!AC232/Data_Entry!$I232&lt;0,0,Data_Entry!AC232/Data_Entry!$I232),0)</f>
        <v>1.184443134944019</v>
      </c>
      <c r="Y243" s="49">
        <f>IFERROR(IF(Data_Entry!AD232/Data_Entry!$I232&lt;0,0,Data_Entry!AD232/Data_Entry!$I232),0)</f>
        <v>0.46159890001964254</v>
      </c>
      <c r="Z243" s="49">
        <f>IFERROR(IF(Data_Entry!AE232/Data_Entry!$I232&lt;0,0,Data_Entry!AE232/Data_Entry!$I232),0)</f>
        <v>0.30642309958750741</v>
      </c>
      <c r="AA243" s="49">
        <f>IFERROR(IF(Data_Entry!AF232/Data_Entry!$I232&lt;0,0,Data_Entry!AF232/Data_Entry!$I232),0)</f>
        <v>0.14928304851699079</v>
      </c>
      <c r="AB243" s="49">
        <f>IFERROR(IF(Data_Entry!AG232/Data_Entry!$I232&lt;0,0,Data_Entry!AG232/Data_Entry!$I232),0)</f>
        <v>5.1070516597917899E-2</v>
      </c>
      <c r="AC243" s="49">
        <f>IFERROR(IF(Data_Entry!AI232/Data_Entry!$I232&lt;0,0,Data_Entry!AI232/Data_Entry!$I232),0)</f>
        <v>0.19642506383814576</v>
      </c>
      <c r="AD243" s="49">
        <f>IFERROR(IF(Data_Entry!AM232/Data_Entry!$H232&lt;0,0,Data_Entry!AM232/Data_Entry!$H232),0)</f>
        <v>1.0130805584775426</v>
      </c>
      <c r="AE243" s="50">
        <f>Data_Entry!AK232</f>
        <v>0</v>
      </c>
      <c r="AF243" s="50">
        <f>Data_Entry!AL232</f>
        <v>303</v>
      </c>
      <c r="AG243" s="153">
        <f>(Data_Entry!O232-Data_Entry!Q232)/Data_Entry!O232</f>
        <v>0.12616201859229748</v>
      </c>
      <c r="AH243" s="79" t="str">
        <f t="shared" si="6"/>
        <v>CAT2</v>
      </c>
      <c r="AI243" s="51">
        <f>SUBTOTAL(3,Tableau1[[#This Row],[ZS]])</f>
        <v>0</v>
      </c>
      <c r="AJ243" s="51" t="e">
        <f t="shared" ca="1" si="7"/>
        <v>#NAME?</v>
      </c>
      <c r="AK243" s="50" t="str">
        <f>IFERROR(IF((Data_Entry!O232-Data_Entry!Q232)/Data_Entry!O232&lt;=10%,"&lt;=10%","&gt;10%"),"&lt;=10%")</f>
        <v>&gt;10%</v>
      </c>
    </row>
    <row r="244" spans="1:37" s="48" customFormat="1" ht="13" hidden="1" x14ac:dyDescent="0.3">
      <c r="A244" s="31" t="s">
        <v>16</v>
      </c>
      <c r="B244" s="48" t="str">
        <f>Data_Entry!B233</f>
        <v>Goma</v>
      </c>
      <c r="C244" s="48" t="str">
        <f>Data_Entry!C233</f>
        <v xml:space="preserve"> Katoyi</v>
      </c>
      <c r="D244" s="48" t="str">
        <f>Data_Entry!D233</f>
        <v xml:space="preserve"> Kibabi</v>
      </c>
      <c r="E244" s="49">
        <f>IFERROR(IF(Data_Entry!J233/Data_Entry!$I233&lt;0,0,Data_Entry!J233/Data_Entry!$I233),0)</f>
        <v>0.93030095088716791</v>
      </c>
      <c r="F244" s="49">
        <f>IFERROR(IF(Data_Entry!K233/Data_Entry!$H233&lt;0,0,Data_Entry!K233/Data_Entry!$H233),0)</f>
        <v>0.74041844877840801</v>
      </c>
      <c r="G244" s="49">
        <f>IFERROR(IF(Data_Entry!L233/Data_Entry!$H233&lt;0,0,Data_Entry!L233/Data_Entry!$H233),0)</f>
        <v>0.90445652695996726</v>
      </c>
      <c r="H244" s="49">
        <f>IFERROR(IF(Data_Entry!M233/Data_Entry!$H233&lt;0,0,Data_Entry!M233/Data_Entry!$H233),0)</f>
        <v>0.8920974936723155</v>
      </c>
      <c r="I244" s="49">
        <f>IFERROR(IF(Data_Entry!N233/Data_Entry!$H233&lt;0,0,Data_Entry!N233/Data_Entry!$H233),0)</f>
        <v>0.88647975126883749</v>
      </c>
      <c r="J244" s="49">
        <f>IFERROR(IF(Data_Entry!O233/Data_Entry!$H233&lt;0,0,Data_Entry!O233/Data_Entry!$H233),0)</f>
        <v>0.97299298428239955</v>
      </c>
      <c r="K244" s="49">
        <f>IFERROR(IF(Data_Entry!P233/Data_Entry!$H233&lt;0,0,Data_Entry!P233/Data_Entry!$H233),0)</f>
        <v>0.95838685403335666</v>
      </c>
      <c r="L244" s="49">
        <f>IFERROR(IF(Data_Entry!Q233/Data_Entry!$H233&lt;0,0,Data_Entry!Q233/Data_Entry!$H233),0)</f>
        <v>0.96288104795613905</v>
      </c>
      <c r="M244" s="49">
        <f>IFERROR(IF(Data_Entry!R233/Data_Entry!$H233&lt;0,0,Data_Entry!R233/Data_Entry!$H233),0)</f>
        <v>0.9651281449175303</v>
      </c>
      <c r="N244" s="49">
        <f>IFERROR(IF(Data_Entry!S233/Data_Entry!$H233&lt;0,0,Data_Entry!S233/Data_Entry!$H233),0)</f>
        <v>0.95501620859126979</v>
      </c>
      <c r="O244" s="49">
        <f>IFERROR(IF(Data_Entry!T233/Data_Entry!$H233&lt;0,0,Data_Entry!T233/Data_Entry!$H233),0)</f>
        <v>0.95951040251405229</v>
      </c>
      <c r="P244" s="49">
        <f>IFERROR(IF(Data_Entry!U233/Data_Entry!$H233&lt;0,0,Data_Entry!U233/Data_Entry!$H233),0)</f>
        <v>1.0864713808326563</v>
      </c>
      <c r="Q244" s="49">
        <f>IFERROR(IF(Data_Entry!V233/Data_Entry!$H233&lt;0,0,Data_Entry!V233/Data_Entry!$H233),0)</f>
        <v>0.93479233593874878</v>
      </c>
      <c r="R244" s="49">
        <f>IFERROR(IF(Data_Entry!W233/Data_Entry!$H233&lt;0,0,Data_Entry!W233/Data_Entry!$H233),0)</f>
        <v>0.95389266011057416</v>
      </c>
      <c r="S244" s="49">
        <f>IFERROR(IF(Data_Entry!X233/Data_Entry!$H233&lt;0,0,Data_Entry!X233/Data_Entry!$H233),0)</f>
        <v>1.0977068656396125</v>
      </c>
      <c r="T244" s="49">
        <f>IFERROR(IF(Data_Entry!Y233/Data_Entry!$H233&lt;0,0,Data_Entry!Y233/Data_Entry!$H233),0)</f>
        <v>1.124672029176307</v>
      </c>
      <c r="U244" s="49">
        <f>IFERROR(IF(Data_Entry!Z233/Data_Entry!$H233&lt;0,0,Data_Entry!Z233/Data_Entry!$H233),0)</f>
        <v>1.0134407295874417</v>
      </c>
      <c r="V244" s="49">
        <f>IFERROR(IF(Data_Entry!AA233/Data_Entry!$H233&lt;0,0,Data_Entry!AA233/Data_Entry!$H233),0)</f>
        <v>1.2089381652284781</v>
      </c>
      <c r="W244" s="49">
        <f>IFERROR(IF(Data_Entry!AB233/Data_Entry!$H233&lt;0,0,Data_Entry!AB233/Data_Entry!$H233),0)</f>
        <v>1.4830839945182073</v>
      </c>
      <c r="X244" s="49">
        <f>IFERROR(IF(Data_Entry!AC233/Data_Entry!$I233&lt;0,0,Data_Entry!AC233/Data_Entry!$I233),0)</f>
        <v>0.33035976865013233</v>
      </c>
      <c r="Y244" s="49">
        <f>IFERROR(IF(Data_Entry!AD233/Data_Entry!$I233&lt;0,0,Data_Entry!AD233/Data_Entry!$I233),0)</f>
        <v>0.2960494069208901</v>
      </c>
      <c r="Z244" s="49">
        <f>IFERROR(IF(Data_Entry!AE233/Data_Entry!$I233&lt;0,0,Data_Entry!AE233/Data_Entry!$I233),0)</f>
        <v>0.30683266346436622</v>
      </c>
      <c r="AA244" s="49">
        <f>IFERROR(IF(Data_Entry!AF233/Data_Entry!$I233&lt;0,0,Data_Entry!AF233/Data_Entry!$I233),0)</f>
        <v>0.13626115086756199</v>
      </c>
      <c r="AB244" s="49">
        <f>IFERROR(IF(Data_Entry!AG233/Data_Entry!$I233&lt;0,0,Data_Entry!AG233/Data_Entry!$I233),0)</f>
        <v>0.32447799235369079</v>
      </c>
      <c r="AC244" s="49">
        <f>IFERROR(IF(Data_Entry!AI233/Data_Entry!$I233&lt;0,0,Data_Entry!AI233/Data_Entry!$I233),0)</f>
        <v>9.8029604940692086E-2</v>
      </c>
      <c r="AD244" s="49">
        <f>IFERROR(IF(Data_Entry!AM233/Data_Entry!$H233&lt;0,0,Data_Entry!AM233/Data_Entry!$H233),0)</f>
        <v>1.0134407295874417</v>
      </c>
      <c r="AE244" s="50">
        <f>Data_Entry!AK233</f>
        <v>24.037249999999858</v>
      </c>
      <c r="AF244" s="50">
        <f>Data_Entry!AL233</f>
        <v>0</v>
      </c>
      <c r="AG244" s="153">
        <f>(Data_Entry!O233-Data_Entry!Q233)/Data_Entry!O233</f>
        <v>1.0392609699769052E-2</v>
      </c>
      <c r="AH244" s="79" t="str">
        <f t="shared" si="6"/>
        <v>CAT1</v>
      </c>
      <c r="AI244" s="51">
        <f>SUBTOTAL(3,Tableau1[[#This Row],[ZS]])</f>
        <v>0</v>
      </c>
      <c r="AJ244" s="51" t="e">
        <f t="shared" ca="1" si="7"/>
        <v>#NAME?</v>
      </c>
      <c r="AK244" s="50" t="str">
        <f>IFERROR(IF((Data_Entry!O233-Data_Entry!Q233)/Data_Entry!O233&lt;=10%,"&lt;=10%","&gt;10%"),"&lt;=10%")</f>
        <v>&lt;=10%</v>
      </c>
    </row>
    <row r="245" spans="1:37" s="48" customFormat="1" ht="13" hidden="1" x14ac:dyDescent="0.3">
      <c r="A245" s="31" t="s">
        <v>16</v>
      </c>
      <c r="B245" s="48" t="str">
        <f>Data_Entry!B234</f>
        <v>Goma</v>
      </c>
      <c r="C245" s="48" t="str">
        <f>Data_Entry!C234</f>
        <v xml:space="preserve"> Katoyi</v>
      </c>
      <c r="D245" s="48" t="str">
        <f>Data_Entry!D234</f>
        <v xml:space="preserve"> Kikoma</v>
      </c>
      <c r="E245" s="49">
        <f>IFERROR(IF(Data_Entry!J234/Data_Entry!$I234&lt;0,0,Data_Entry!J234/Data_Entry!$I234),0)</f>
        <v>0.58995581554546017</v>
      </c>
      <c r="F245" s="49">
        <f>IFERROR(IF(Data_Entry!K234/Data_Entry!$H234&lt;0,0,Data_Entry!K234/Data_Entry!$H234),0)</f>
        <v>0.51140488163419906</v>
      </c>
      <c r="G245" s="49">
        <f>IFERROR(IF(Data_Entry!L234/Data_Entry!$H234&lt;0,0,Data_Entry!L234/Data_Entry!$H234),0)</f>
        <v>0.94363829623716222</v>
      </c>
      <c r="H245" s="49">
        <f>IFERROR(IF(Data_Entry!M234/Data_Entry!$H234&lt;0,0,Data_Entry!M234/Data_Entry!$H234),0)</f>
        <v>0.93721898809949444</v>
      </c>
      <c r="I245" s="49">
        <f>IFERROR(IF(Data_Entry!N234/Data_Entry!$H234&lt;0,0,Data_Entry!N234/Data_Entry!$H234),0)</f>
        <v>0.93507921872027178</v>
      </c>
      <c r="J245" s="49">
        <f>IFERROR(IF(Data_Entry!O234/Data_Entry!$H234&lt;0,0,Data_Entry!O234/Data_Entry!$H234),0)</f>
        <v>1.0099711469930626</v>
      </c>
      <c r="K245" s="49">
        <f>IFERROR(IF(Data_Entry!P234/Data_Entry!$H234&lt;0,0,Data_Entry!P234/Data_Entry!$H234),0)</f>
        <v>0.99499276133850434</v>
      </c>
      <c r="L245" s="49">
        <f>IFERROR(IF(Data_Entry!Q234/Data_Entry!$H234&lt;0,0,Data_Entry!Q234/Data_Entry!$H234),0)</f>
        <v>0.99927230009694956</v>
      </c>
      <c r="M245" s="49">
        <f>IFERROR(IF(Data_Entry!R234/Data_Entry!$H234&lt;0,0,Data_Entry!R234/Data_Entry!$H234),0)</f>
        <v>1.0142506857515077</v>
      </c>
      <c r="N245" s="49">
        <f>IFERROR(IF(Data_Entry!S234/Data_Entry!$H234&lt;0,0,Data_Entry!S234/Data_Entry!$H234),0)</f>
        <v>0.99713253071772689</v>
      </c>
      <c r="O245" s="49">
        <f>IFERROR(IF(Data_Entry!T234/Data_Entry!$H234&lt;0,0,Data_Entry!T234/Data_Entry!$H234),0)</f>
        <v>1.0099711469930626</v>
      </c>
      <c r="P245" s="49">
        <f>IFERROR(IF(Data_Entry!U234/Data_Entry!$H234&lt;0,0,Data_Entry!U234/Data_Entry!$H234),0)</f>
        <v>0.89870313927348777</v>
      </c>
      <c r="Q245" s="49">
        <f>IFERROR(IF(Data_Entry!V234/Data_Entry!$H234&lt;0,0,Data_Entry!V234/Data_Entry!$H234),0)</f>
        <v>0.90512244741115555</v>
      </c>
      <c r="R245" s="49">
        <f>IFERROR(IF(Data_Entry!W234/Data_Entry!$H234&lt;0,0,Data_Entry!W234/Data_Entry!$H234),0)</f>
        <v>0.90084290865271044</v>
      </c>
      <c r="S245" s="49">
        <f>IFERROR(IF(Data_Entry!X234/Data_Entry!$H234&lt;0,0,Data_Entry!X234/Data_Entry!$H234),0)</f>
        <v>1.1169596159541919</v>
      </c>
      <c r="T245" s="49">
        <f>IFERROR(IF(Data_Entry!Y234/Data_Entry!$H234&lt;0,0,Data_Entry!Y234/Data_Entry!$H234),0)</f>
        <v>0.86874636796437155</v>
      </c>
      <c r="U245" s="49">
        <f>IFERROR(IF(Data_Entry!Z234/Data_Entry!$H234&lt;0,0,Data_Entry!Z234/Data_Entry!$H234),0)</f>
        <v>1.0506267651982917</v>
      </c>
      <c r="V245" s="49">
        <f>IFERROR(IF(Data_Entry!AA234/Data_Entry!$H234&lt;0,0,Data_Entry!AA234/Data_Entry!$H234),0)</f>
        <v>0.88586452299815222</v>
      </c>
      <c r="W245" s="49">
        <f>IFERROR(IF(Data_Entry!AB234/Data_Entry!$H234&lt;0,0,Data_Entry!AB234/Data_Entry!$H234),0)</f>
        <v>1.048486995819069</v>
      </c>
      <c r="X245" s="49">
        <f>IFERROR(IF(Data_Entry!AC234/Data_Entry!$I234&lt;0,0,Data_Entry!AC234/Data_Entry!$I234),0)</f>
        <v>0.33978467857365113</v>
      </c>
      <c r="Y245" s="49">
        <f>IFERROR(IF(Data_Entry!AD234/Data_Entry!$I234&lt;0,0,Data_Entry!AD234/Data_Entry!$I234),0)</f>
        <v>0.36218806397411163</v>
      </c>
      <c r="Z245" s="49">
        <f>IFERROR(IF(Data_Entry!AE234/Data_Entry!$I234&lt;0,0,Data_Entry!AE234/Data_Entry!$I234),0)</f>
        <v>0.25763893210529593</v>
      </c>
      <c r="AA245" s="49">
        <f>IFERROR(IF(Data_Entry!AF234/Data_Entry!$I234&lt;0,0,Data_Entry!AF234/Data_Entry!$I234),0)</f>
        <v>0.23336859792146369</v>
      </c>
      <c r="AB245" s="49">
        <f>IFERROR(IF(Data_Entry!AG234/Data_Entry!$I234&lt;0,0,Data_Entry!AG234/Data_Entry!$I234),0)</f>
        <v>0.22403385400460515</v>
      </c>
      <c r="AC245" s="49">
        <f>IFERROR(IF(Data_Entry!AI234/Data_Entry!$I234&lt;0,0,Data_Entry!AI234/Data_Entry!$I234),0)</f>
        <v>0.10884311407057067</v>
      </c>
      <c r="AD245" s="49">
        <f>IFERROR(IF(Data_Entry!AM234/Data_Entry!$H234&lt;0,0,Data_Entry!AM234/Data_Entry!$H234),0)</f>
        <v>1.0506267651982917</v>
      </c>
      <c r="AE245" s="50">
        <f>Data_Entry!AK234</f>
        <v>0</v>
      </c>
      <c r="AF245" s="50">
        <f>Data_Entry!AL234</f>
        <v>0</v>
      </c>
      <c r="AG245" s="153">
        <f>(Data_Entry!O234-Data_Entry!Q234)/Data_Entry!O234</f>
        <v>1.059322033898305E-2</v>
      </c>
      <c r="AH245" s="79" t="str">
        <f t="shared" si="6"/>
        <v>CAT1</v>
      </c>
      <c r="AI245" s="51">
        <f>SUBTOTAL(3,Tableau1[[#This Row],[ZS]])</f>
        <v>0</v>
      </c>
      <c r="AJ245" s="51" t="e">
        <f t="shared" ca="1" si="7"/>
        <v>#NAME?</v>
      </c>
      <c r="AK245" s="50" t="str">
        <f>IFERROR(IF((Data_Entry!O234-Data_Entry!Q234)/Data_Entry!O234&lt;=10%,"&lt;=10%","&gt;10%"),"&lt;=10%")</f>
        <v>&lt;=10%</v>
      </c>
    </row>
    <row r="246" spans="1:37" s="48" customFormat="1" ht="13" hidden="1" x14ac:dyDescent="0.3">
      <c r="A246" s="31" t="s">
        <v>16</v>
      </c>
      <c r="B246" s="48" t="str">
        <f>Data_Entry!B235</f>
        <v>Goma</v>
      </c>
      <c r="C246" s="48" t="str">
        <f>Data_Entry!C235</f>
        <v xml:space="preserve"> Katoyi</v>
      </c>
      <c r="D246" s="48" t="str">
        <f>Data_Entry!D235</f>
        <v xml:space="preserve"> Kinigi</v>
      </c>
      <c r="E246" s="49">
        <f>IFERROR(IF(Data_Entry!J235/Data_Entry!$I235&lt;0,0,Data_Entry!J235/Data_Entry!$I235),0)</f>
        <v>1.2587074692973628</v>
      </c>
      <c r="F246" s="49">
        <f>IFERROR(IF(Data_Entry!K235/Data_Entry!$H235&lt;0,0,Data_Entry!K235/Data_Entry!$H235),0)</f>
        <v>0.83208199907354152</v>
      </c>
      <c r="G246" s="49">
        <f>IFERROR(IF(Data_Entry!L235/Data_Entry!$H235&lt;0,0,Data_Entry!L235/Data_Entry!$H235),0)</f>
        <v>1.1172881418508287</v>
      </c>
      <c r="H246" s="49">
        <f>IFERROR(IF(Data_Entry!M235/Data_Entry!$H235&lt;0,0,Data_Entry!M235/Data_Entry!$H235),0)</f>
        <v>1.0895982250763347</v>
      </c>
      <c r="I246" s="49">
        <f>IFERROR(IF(Data_Entry!N235/Data_Entry!$H235&lt;0,0,Data_Entry!N235/Data_Entry!$H235),0)</f>
        <v>1.0646772999792902</v>
      </c>
      <c r="J246" s="49">
        <f>IFERROR(IF(Data_Entry!O235/Data_Entry!$H235&lt;0,0,Data_Entry!O235/Data_Entry!$H235),0)</f>
        <v>1.1214416293670026</v>
      </c>
      <c r="K246" s="49">
        <f>IFERROR(IF(Data_Entry!P235/Data_Entry!$H235&lt;0,0,Data_Entry!P235/Data_Entry!$H235),0)</f>
        <v>1.0785222583665373</v>
      </c>
      <c r="L246" s="49">
        <f>IFERROR(IF(Data_Entry!Q235/Data_Entry!$H235&lt;0,0,Data_Entry!Q235/Data_Entry!$H235),0)</f>
        <v>1.0619083083018408</v>
      </c>
      <c r="M246" s="49">
        <f>IFERROR(IF(Data_Entry!R235/Data_Entry!$H235&lt;0,0,Data_Entry!R235/Data_Entry!$H235),0)</f>
        <v>1.1311331002380756</v>
      </c>
      <c r="N246" s="49">
        <f>IFERROR(IF(Data_Entry!S235/Data_Entry!$H235&lt;0,0,Data_Entry!S235/Data_Entry!$H235),0)</f>
        <v>1.0854447375601606</v>
      </c>
      <c r="O246" s="49">
        <f>IFERROR(IF(Data_Entry!T235/Data_Entry!$H235&lt;0,0,Data_Entry!T235/Data_Entry!$H235),0)</f>
        <v>1.0646772999792902</v>
      </c>
      <c r="P246" s="49">
        <f>IFERROR(IF(Data_Entry!U235/Data_Entry!$H235&lt;0,0,Data_Entry!U235/Data_Entry!$H235),0)</f>
        <v>1.1034431834635816</v>
      </c>
      <c r="Q246" s="49">
        <f>IFERROR(IF(Data_Entry!V235/Data_Entry!$H235&lt;0,0,Data_Entry!V235/Data_Entry!$H235),0)</f>
        <v>1.0715997791729137</v>
      </c>
      <c r="R246" s="49">
        <f>IFERROR(IF(Data_Entry!W235/Data_Entry!$H235&lt;0,0,Data_Entry!W235/Data_Entry!$H235),0)</f>
        <v>1.0508323415920433</v>
      </c>
      <c r="S246" s="49">
        <f>IFERROR(IF(Data_Entry!X235/Data_Entry!$H235&lt;0,0,Data_Entry!X235/Data_Entry!$H235),0)</f>
        <v>1.1422090669478731</v>
      </c>
      <c r="T246" s="49">
        <f>IFERROR(IF(Data_Entry!Y235/Data_Entry!$H235&lt;0,0,Data_Entry!Y235/Data_Entry!$H235),0)</f>
        <v>0.94976414536514064</v>
      </c>
      <c r="U246" s="49">
        <f>IFERROR(IF(Data_Entry!Z235/Data_Entry!$H235&lt;0,0,Data_Entry!Z235/Data_Entry!$H235),0)</f>
        <v>1.0342183915273471</v>
      </c>
      <c r="V246" s="49">
        <f>IFERROR(IF(Data_Entry!AA235/Data_Entry!$H235&lt;0,0,Data_Entry!AA235/Data_Entry!$H235),0)</f>
        <v>0.99822149972050489</v>
      </c>
      <c r="W246" s="49">
        <f>IFERROR(IF(Data_Entry!AB235/Data_Entry!$H235&lt;0,0,Data_Entry!AB235/Data_Entry!$H235),0)</f>
        <v>0.9428416661715171</v>
      </c>
      <c r="X246" s="49">
        <f>IFERROR(IF(Data_Entry!AC235/Data_Entry!$I235&lt;0,0,Data_Entry!AC235/Data_Entry!$I235),0)</f>
        <v>0.32736057982685729</v>
      </c>
      <c r="Y246" s="49">
        <f>IFERROR(IF(Data_Entry!AD235/Data_Entry!$I235&lt;0,0,Data_Entry!AD235/Data_Entry!$I235),0)</f>
        <v>0.27300181195892897</v>
      </c>
      <c r="Z246" s="49">
        <f>IFERROR(IF(Data_Entry!AE235/Data_Entry!$I235&lt;0,0,Data_Entry!AE235/Data_Entry!$I235),0)</f>
        <v>0.24159452385745925</v>
      </c>
      <c r="AA246" s="49">
        <f>IFERROR(IF(Data_Entry!AF235/Data_Entry!$I235&lt;0,0,Data_Entry!AF235/Data_Entry!$I235),0)</f>
        <v>0.21018723575598955</v>
      </c>
      <c r="AB246" s="49">
        <f>IFERROR(IF(Data_Entry!AG235/Data_Entry!$I235&lt;0,0,Data_Entry!AG235/Data_Entry!$I235),0)</f>
        <v>0.19569156432454199</v>
      </c>
      <c r="AC246" s="49">
        <f>IFERROR(IF(Data_Entry!AI235/Data_Entry!$I235&lt;0,0,Data_Entry!AI235/Data_Entry!$I235),0)</f>
        <v>7.0424803704449368E-2</v>
      </c>
      <c r="AD246" s="49">
        <f>IFERROR(IF(Data_Entry!AM235/Data_Entry!$H235&lt;0,0,Data_Entry!AM235/Data_Entry!$H235),0)</f>
        <v>1.0342183915273471</v>
      </c>
      <c r="AE246" s="50">
        <f>Data_Entry!AK235</f>
        <v>0</v>
      </c>
      <c r="AF246" s="50">
        <f>Data_Entry!AL235</f>
        <v>0</v>
      </c>
      <c r="AG246" s="153">
        <f>(Data_Entry!O235-Data_Entry!Q235)/Data_Entry!O235</f>
        <v>5.3086419753086422E-2</v>
      </c>
      <c r="AH246" s="79" t="str">
        <f t="shared" si="6"/>
        <v>CAT1</v>
      </c>
      <c r="AI246" s="51">
        <f>SUBTOTAL(3,Tableau1[[#This Row],[ZS]])</f>
        <v>0</v>
      </c>
      <c r="AJ246" s="51" t="e">
        <f t="shared" ca="1" si="7"/>
        <v>#NAME?</v>
      </c>
      <c r="AK246" s="50" t="str">
        <f>IFERROR(IF((Data_Entry!O235-Data_Entry!Q235)/Data_Entry!O235&lt;=10%,"&lt;=10%","&gt;10%"),"&lt;=10%")</f>
        <v>&lt;=10%</v>
      </c>
    </row>
    <row r="247" spans="1:37" s="48" customFormat="1" ht="13" hidden="1" x14ac:dyDescent="0.3">
      <c r="A247" s="31" t="s">
        <v>16</v>
      </c>
      <c r="B247" s="48" t="str">
        <f>Data_Entry!B236</f>
        <v>Goma</v>
      </c>
      <c r="C247" s="48" t="str">
        <f>Data_Entry!C236</f>
        <v xml:space="preserve"> Katoyi</v>
      </c>
      <c r="D247" s="48" t="str">
        <f>Data_Entry!D236</f>
        <v xml:space="preserve"> Kirambo</v>
      </c>
      <c r="E247" s="49">
        <f>IFERROR(IF(Data_Entry!J236/Data_Entry!$I236&lt;0,0,Data_Entry!J236/Data_Entry!$I236),0)</f>
        <v>0.85670576236613971</v>
      </c>
      <c r="F247" s="49">
        <f>IFERROR(IF(Data_Entry!K236/Data_Entry!$H236&lt;0,0,Data_Entry!K236/Data_Entry!$H236),0)</f>
        <v>0.47925960236064574</v>
      </c>
      <c r="G247" s="49">
        <f>IFERROR(IF(Data_Entry!L236/Data_Entry!$H236&lt;0,0,Data_Entry!L236/Data_Entry!$H236),0)</f>
        <v>0.89422828245340003</v>
      </c>
      <c r="H247" s="49">
        <f>IFERROR(IF(Data_Entry!M236/Data_Entry!$H236&lt;0,0,Data_Entry!M236/Data_Entry!$H236),0)</f>
        <v>0.96144151936983202</v>
      </c>
      <c r="I247" s="49">
        <f>IFERROR(IF(Data_Entry!N236/Data_Entry!$H236&lt;0,0,Data_Entry!N236/Data_Entry!$H236),0)</f>
        <v>0.87669439456215692</v>
      </c>
      <c r="J247" s="49">
        <f>IFERROR(IF(Data_Entry!O236/Data_Entry!$H236&lt;0,0,Data_Entry!O236/Data_Entry!$H236),0)</f>
        <v>1.0987903078512367</v>
      </c>
      <c r="K247" s="49">
        <f>IFERROR(IF(Data_Entry!P236/Data_Entry!$H236&lt;0,0,Data_Entry!P236/Data_Entry!$H236),0)</f>
        <v>1.0374217002318857</v>
      </c>
      <c r="L247" s="49">
        <f>IFERROR(IF(Data_Entry!Q236/Data_Entry!$H236&lt;0,0,Data_Entry!Q236/Data_Entry!$H236),0)</f>
        <v>1.0754117906629124</v>
      </c>
      <c r="M247" s="49">
        <f>IFERROR(IF(Data_Entry!R236/Data_Entry!$H236&lt;0,0,Data_Entry!R236/Data_Entry!$H236),0)</f>
        <v>1.0520332734745883</v>
      </c>
      <c r="N247" s="49">
        <f>IFERROR(IF(Data_Entry!S236/Data_Entry!$H236&lt;0,0,Data_Entry!S236/Data_Entry!$H236),0)</f>
        <v>1.0198878123406425</v>
      </c>
      <c r="O247" s="49">
        <f>IFERROR(IF(Data_Entry!T236/Data_Entry!$H236&lt;0,0,Data_Entry!T236/Data_Entry!$H236),0)</f>
        <v>1.0257324416377236</v>
      </c>
      <c r="P247" s="49">
        <f>IFERROR(IF(Data_Entry!U236/Data_Entry!$H236&lt;0,0,Data_Entry!U236/Data_Entry!$H236),0)</f>
        <v>1.6335738885341524</v>
      </c>
      <c r="Q247" s="49">
        <f>IFERROR(IF(Data_Entry!V236/Data_Entry!$H236&lt;0,0,Data_Entry!V236/Data_Entry!$H236),0)</f>
        <v>1.3179639064917759</v>
      </c>
      <c r="R247" s="49">
        <f>IFERROR(IF(Data_Entry!W236/Data_Entry!$H236&lt;0,0,Data_Entry!W236/Data_Entry!$H236),0)</f>
        <v>1.3880994580567485</v>
      </c>
      <c r="S247" s="49">
        <f>IFERROR(IF(Data_Entry!X236/Data_Entry!$H236&lt;0,0,Data_Entry!X236/Data_Entry!$H236),0)</f>
        <v>0.9848200365581562</v>
      </c>
      <c r="T247" s="49">
        <f>IFERROR(IF(Data_Entry!Y236/Data_Entry!$H236&lt;0,0,Data_Entry!Y236/Data_Entry!$H236),0)</f>
        <v>1.1367803982822635</v>
      </c>
      <c r="U247" s="49">
        <f>IFERROR(IF(Data_Entry!Z236/Data_Entry!$H236&lt;0,0,Data_Entry!Z236/Data_Entry!$H236),0)</f>
        <v>1.1280134543366418</v>
      </c>
      <c r="V247" s="49">
        <f>IFERROR(IF(Data_Entry!AA236/Data_Entry!$H236&lt;0,0,Data_Entry!AA236/Data_Entry!$H236),0)</f>
        <v>1.0403440148804262</v>
      </c>
      <c r="W247" s="49">
        <f>IFERROR(IF(Data_Entry!AB236/Data_Entry!$H236&lt;0,0,Data_Entry!AB236/Data_Entry!$H236),0)</f>
        <v>1.0637225320687504</v>
      </c>
      <c r="X247" s="49">
        <f>IFERROR(IF(Data_Entry!AC236/Data_Entry!$I236&lt;0,0,Data_Entry!AC236/Data_Entry!$I236),0)</f>
        <v>0.18357980622131567</v>
      </c>
      <c r="Y247" s="49">
        <f>IFERROR(IF(Data_Entry!AD236/Data_Entry!$I236&lt;0,0,Data_Entry!AD236/Data_Entry!$I236),0)</f>
        <v>0.18867924528301888</v>
      </c>
      <c r="Z247" s="49">
        <f>IFERROR(IF(Data_Entry!AE236/Data_Entry!$I236&lt;0,0,Data_Entry!AE236/Data_Entry!$I236),0)</f>
        <v>0.17593064762876084</v>
      </c>
      <c r="AA247" s="49">
        <f>IFERROR(IF(Data_Entry!AF236/Data_Entry!$I236&lt;0,0,Data_Entry!AF236/Data_Entry!$I236),0)</f>
        <v>0.18612952575216726</v>
      </c>
      <c r="AB247" s="49">
        <f>IFERROR(IF(Data_Entry!AG236/Data_Entry!$I236&lt;0,0,Data_Entry!AG236/Data_Entry!$I236),0)</f>
        <v>0.14278429372768997</v>
      </c>
      <c r="AC247" s="49">
        <f>IFERROR(IF(Data_Entry!AI236/Data_Entry!$I236&lt;0,0,Data_Entry!AI236/Data_Entry!$I236),0)</f>
        <v>0.14864864864864866</v>
      </c>
      <c r="AD247" s="49">
        <f>IFERROR(IF(Data_Entry!AM236/Data_Entry!$H236&lt;0,0,Data_Entry!AM236/Data_Entry!$H236),0)</f>
        <v>0.9848200365581562</v>
      </c>
      <c r="AE247" s="50">
        <f>Data_Entry!AK236</f>
        <v>0</v>
      </c>
      <c r="AF247" s="50">
        <f>Data_Entry!AL236</f>
        <v>39</v>
      </c>
      <c r="AG247" s="153">
        <f>(Data_Entry!O236-Data_Entry!Q236)/Data_Entry!O236</f>
        <v>2.1276595744680851E-2</v>
      </c>
      <c r="AH247" s="79" t="str">
        <f t="shared" si="6"/>
        <v>CAT1</v>
      </c>
      <c r="AI247" s="51">
        <f>SUBTOTAL(3,Tableau1[[#This Row],[ZS]])</f>
        <v>0</v>
      </c>
      <c r="AJ247" s="51" t="e">
        <f t="shared" ca="1" si="7"/>
        <v>#NAME?</v>
      </c>
      <c r="AK247" s="50" t="str">
        <f>IFERROR(IF((Data_Entry!O236-Data_Entry!Q236)/Data_Entry!O236&lt;=10%,"&lt;=10%","&gt;10%"),"&lt;=10%")</f>
        <v>&lt;=10%</v>
      </c>
    </row>
    <row r="248" spans="1:37" s="48" customFormat="1" ht="13" hidden="1" x14ac:dyDescent="0.3">
      <c r="A248" s="31" t="s">
        <v>16</v>
      </c>
      <c r="B248" s="48" t="str">
        <f>Data_Entry!B237</f>
        <v>Goma</v>
      </c>
      <c r="C248" s="48" t="str">
        <f>Data_Entry!C237</f>
        <v xml:space="preserve"> Katoyi</v>
      </c>
      <c r="D248" s="48" t="str">
        <f>Data_Entry!D237</f>
        <v xml:space="preserve"> Kiruli</v>
      </c>
      <c r="E248" s="49">
        <f>IFERROR(IF(Data_Entry!J237/Data_Entry!$I237&lt;0,0,Data_Entry!J237/Data_Entry!$I237),0)</f>
        <v>0.93830211997338153</v>
      </c>
      <c r="F248" s="49">
        <f>IFERROR(IF(Data_Entry!K237/Data_Entry!$H237&lt;0,0,Data_Entry!K237/Data_Entry!$H237),0)</f>
        <v>0.66028697968010397</v>
      </c>
      <c r="G248" s="49">
        <f>IFERROR(IF(Data_Entry!L237/Data_Entry!$H237&lt;0,0,Data_Entry!L237/Data_Entry!$H237),0)</f>
        <v>0.91524927876450057</v>
      </c>
      <c r="H248" s="49">
        <f>IFERROR(IF(Data_Entry!M237/Data_Entry!$H237&lt;0,0,Data_Entry!M237/Data_Entry!$H237),0)</f>
        <v>0.89563679421954701</v>
      </c>
      <c r="I248" s="49">
        <f>IFERROR(IF(Data_Entry!N237/Data_Entry!$H237&lt;0,0,Data_Entry!N237/Data_Entry!$H237),0)</f>
        <v>0.88909929937122911</v>
      </c>
      <c r="J248" s="49">
        <f>IFERROR(IF(Data_Entry!O237/Data_Entry!$H237&lt;0,0,Data_Entry!O237/Data_Entry!$H237),0)</f>
        <v>0.98062422724767917</v>
      </c>
      <c r="K248" s="49">
        <f>IFERROR(IF(Data_Entry!P237/Data_Entry!$H237&lt;0,0,Data_Entry!P237/Data_Entry!$H237),0)</f>
        <v>0.94466800558193098</v>
      </c>
      <c r="L248" s="49">
        <f>IFERROR(IF(Data_Entry!Q237/Data_Entry!$H237&lt;0,0,Data_Entry!Q237/Data_Entry!$H237),0)</f>
        <v>0.94466800558193098</v>
      </c>
      <c r="M248" s="49">
        <f>IFERROR(IF(Data_Entry!R237/Data_Entry!$H237&lt;0,0,Data_Entry!R237/Data_Entry!$H237),0)</f>
        <v>0.98062422724767917</v>
      </c>
      <c r="N248" s="49">
        <f>IFERROR(IF(Data_Entry!S237/Data_Entry!$H237&lt;0,0,Data_Entry!S237/Data_Entry!$H237),0)</f>
        <v>0.94466800558193098</v>
      </c>
      <c r="O248" s="49">
        <f>IFERROR(IF(Data_Entry!T237/Data_Entry!$H237&lt;0,0,Data_Entry!T237/Data_Entry!$H237),0)</f>
        <v>0.94466800558193098</v>
      </c>
      <c r="P248" s="49">
        <f>IFERROR(IF(Data_Entry!U237/Data_Entry!$H237&lt;0,0,Data_Entry!U237/Data_Entry!$H237),0)</f>
        <v>1.078686649972447</v>
      </c>
      <c r="Q248" s="49">
        <f>IFERROR(IF(Data_Entry!V237/Data_Entry!$H237&lt;0,0,Data_Entry!V237/Data_Entry!$H237),0)</f>
        <v>1.0231179437617453</v>
      </c>
      <c r="R248" s="49">
        <f>IFERROR(IF(Data_Entry!W237/Data_Entry!$H237&lt;0,0,Data_Entry!W237/Data_Entry!$H237),0)</f>
        <v>0.9675492375510435</v>
      </c>
      <c r="S248" s="49">
        <f>IFERROR(IF(Data_Entry!X237/Data_Entry!$H237&lt;0,0,Data_Entry!X237/Data_Entry!$H237),0)</f>
        <v>0.95447424785440771</v>
      </c>
      <c r="T248" s="49">
        <f>IFERROR(IF(Data_Entry!Y237/Data_Entry!$H237&lt;0,0,Data_Entry!Y237/Data_Entry!$H237),0)</f>
        <v>1.1571365881522615</v>
      </c>
      <c r="U248" s="49">
        <f>IFERROR(IF(Data_Entry!Z237/Data_Entry!$H237&lt;0,0,Data_Entry!Z237/Data_Entry!$H237),0)</f>
        <v>0.95447424785440771</v>
      </c>
      <c r="V248" s="49">
        <f>IFERROR(IF(Data_Entry!AA237/Data_Entry!$H237&lt;0,0,Data_Entry!AA237/Data_Entry!$H237),0)</f>
        <v>0.88909929937122911</v>
      </c>
      <c r="W248" s="49">
        <f>IFERROR(IF(Data_Entry!AB237/Data_Entry!$H237&lt;0,0,Data_Entry!AB237/Data_Entry!$H237),0)</f>
        <v>1.1048366293657186</v>
      </c>
      <c r="X248" s="49">
        <f>IFERROR(IF(Data_Entry!AC237/Data_Entry!$I237&lt;0,0,Data_Entry!AC237/Data_Entry!$I237),0)</f>
        <v>0.30801406977849605</v>
      </c>
      <c r="Y248" s="49">
        <f>IFERROR(IF(Data_Entry!AD237/Data_Entry!$I237&lt;0,0,Data_Entry!AD237/Data_Entry!$I237),0)</f>
        <v>0.3023101055233387</v>
      </c>
      <c r="Z248" s="49">
        <f>IFERROR(IF(Data_Entry!AE237/Data_Entry!$I237&lt;0,0,Data_Entry!AE237/Data_Entry!$I237),0)</f>
        <v>0.35934974807491205</v>
      </c>
      <c r="AA248" s="49">
        <f>IFERROR(IF(Data_Entry!AF237/Data_Entry!$I237&lt;0,0,Data_Entry!AF237/Data_Entry!$I237),0)</f>
        <v>0.33082992679912537</v>
      </c>
      <c r="AB248" s="49">
        <f>IFERROR(IF(Data_Entry!AG237/Data_Entry!$I237&lt;0,0,Data_Entry!AG237/Data_Entry!$I237),0)</f>
        <v>0.52476471147447479</v>
      </c>
      <c r="AC248" s="49">
        <f>IFERROR(IF(Data_Entry!AI237/Data_Entry!$I237&lt;0,0,Data_Entry!AI237/Data_Entry!$I237),0)</f>
        <v>0.1662705580378363</v>
      </c>
      <c r="AD248" s="49">
        <f>IFERROR(IF(Data_Entry!AM237/Data_Entry!$H237&lt;0,0,Data_Entry!AM237/Data_Entry!$H237),0)</f>
        <v>0.95447424785440771</v>
      </c>
      <c r="AE248" s="50">
        <f>Data_Entry!AK237</f>
        <v>5.9275833333333594</v>
      </c>
      <c r="AF248" s="50">
        <f>Data_Entry!AL237</f>
        <v>8</v>
      </c>
      <c r="AG248" s="153">
        <f>(Data_Entry!O237-Data_Entry!Q237)/Data_Entry!O237</f>
        <v>3.6666666666666667E-2</v>
      </c>
      <c r="AH248" s="79" t="str">
        <f t="shared" si="6"/>
        <v>CAT1</v>
      </c>
      <c r="AI248" s="51">
        <f>SUBTOTAL(3,Tableau1[[#This Row],[ZS]])</f>
        <v>0</v>
      </c>
      <c r="AJ248" s="51" t="e">
        <f t="shared" ca="1" si="7"/>
        <v>#NAME?</v>
      </c>
      <c r="AK248" s="50" t="str">
        <f>IFERROR(IF((Data_Entry!O237-Data_Entry!Q237)/Data_Entry!O237&lt;=10%,"&lt;=10%","&gt;10%"),"&lt;=10%")</f>
        <v>&lt;=10%</v>
      </c>
    </row>
    <row r="249" spans="1:37" s="48" customFormat="1" ht="13" hidden="1" x14ac:dyDescent="0.3">
      <c r="A249" s="31" t="s">
        <v>16</v>
      </c>
      <c r="B249" s="48" t="str">
        <f>Data_Entry!B238</f>
        <v>Goma</v>
      </c>
      <c r="C249" s="48" t="str">
        <f>Data_Entry!C238</f>
        <v xml:space="preserve"> Katoyi</v>
      </c>
      <c r="D249" s="48" t="str">
        <f>Data_Entry!D238</f>
        <v xml:space="preserve"> Mangere</v>
      </c>
      <c r="E249" s="49">
        <f>IFERROR(IF(Data_Entry!J238/Data_Entry!$I238&lt;0,0,Data_Entry!J238/Data_Entry!$I238),0)</f>
        <v>1.0279286268425136</v>
      </c>
      <c r="F249" s="49">
        <f>IFERROR(IF(Data_Entry!K238/Data_Entry!$H238&lt;0,0,Data_Entry!K238/Data_Entry!$H238),0)</f>
        <v>0.65798102080420395</v>
      </c>
      <c r="G249" s="49">
        <f>IFERROR(IF(Data_Entry!L238/Data_Entry!$H238&lt;0,0,Data_Entry!L238/Data_Entry!$H238),0)</f>
        <v>0.82247627600525497</v>
      </c>
      <c r="H249" s="49">
        <f>IFERROR(IF(Data_Entry!M238/Data_Entry!$H238&lt;0,0,Data_Entry!M238/Data_Entry!$H238),0)</f>
        <v>0.68465592705302303</v>
      </c>
      <c r="I249" s="49">
        <f>IFERROR(IF(Data_Entry!N238/Data_Entry!$H238&lt;0,0,Data_Entry!N238/Data_Entry!$H238),0)</f>
        <v>0.74245155725879775</v>
      </c>
      <c r="J249" s="49">
        <f>IFERROR(IF(Data_Entry!O238/Data_Entry!$H238&lt;0,0,Data_Entry!O238/Data_Entry!$H238),0)</f>
        <v>1.4893489322257321</v>
      </c>
      <c r="K249" s="49">
        <f>IFERROR(IF(Data_Entry!P238/Data_Entry!$H238&lt;0,0,Data_Entry!P238/Data_Entry!$H238),0)</f>
        <v>1.1114544270341284</v>
      </c>
      <c r="L249" s="49">
        <f>IFERROR(IF(Data_Entry!Q238/Data_Entry!$H238&lt;0,0,Data_Entry!Q238/Data_Entry!$H238),0)</f>
        <v>1.4804572968094589</v>
      </c>
      <c r="M249" s="49">
        <f>IFERROR(IF(Data_Entry!R238/Data_Entry!$H238&lt;0,0,Data_Entry!R238/Data_Entry!$H238),0)</f>
        <v>1.4182158488955479</v>
      </c>
      <c r="N249" s="49">
        <f>IFERROR(IF(Data_Entry!S238/Data_Entry!$H238&lt;0,0,Data_Entry!S238/Data_Entry!$H238),0)</f>
        <v>0.99141734891444244</v>
      </c>
      <c r="O249" s="49">
        <f>IFERROR(IF(Data_Entry!T238/Data_Entry!$H238&lt;0,0,Data_Entry!T238/Data_Entry!$H238),0)</f>
        <v>1.471565661393186</v>
      </c>
      <c r="P249" s="49">
        <f>IFERROR(IF(Data_Entry!U238/Data_Entry!$H238&lt;0,0,Data_Entry!U238/Data_Entry!$H238),0)</f>
        <v>1.0269838905795345</v>
      </c>
      <c r="Q249" s="49">
        <f>IFERROR(IF(Data_Entry!V238/Data_Entry!$H238&lt;0,0,Data_Entry!V238/Data_Entry!$H238),0)</f>
        <v>0.7113308333018421</v>
      </c>
      <c r="R249" s="49">
        <f>IFERROR(IF(Data_Entry!W238/Data_Entry!$H238&lt;0,0,Data_Entry!W238/Data_Entry!$H238),0)</f>
        <v>1.040321343703944</v>
      </c>
      <c r="S249" s="49">
        <f>IFERROR(IF(Data_Entry!X238/Data_Entry!$H238&lt;0,0,Data_Entry!X238/Data_Entry!$H238),0)</f>
        <v>1.2715038645270429</v>
      </c>
      <c r="T249" s="49">
        <f>IFERROR(IF(Data_Entry!Y238/Data_Entry!$H238&lt;0,0,Data_Entry!Y238/Data_Entry!$H238),0)</f>
        <v>0.91139263016798522</v>
      </c>
      <c r="U249" s="49">
        <f>IFERROR(IF(Data_Entry!Z238/Data_Entry!$H238&lt;0,0,Data_Entry!Z238/Data_Entry!$H238),0)</f>
        <v>1.471565661393186</v>
      </c>
      <c r="V249" s="49">
        <f>IFERROR(IF(Data_Entry!AA238/Data_Entry!$H238&lt;0,0,Data_Entry!AA238/Data_Entry!$H238),0)</f>
        <v>1.2137082343212682</v>
      </c>
      <c r="W249" s="49">
        <f>IFERROR(IF(Data_Entry!AB238/Data_Entry!$H238&lt;0,0,Data_Entry!AB238/Data_Entry!$H238),0)</f>
        <v>0.93362171870866784</v>
      </c>
      <c r="X249" s="49">
        <f>IFERROR(IF(Data_Entry!AC238/Data_Entry!$I238&lt;0,0,Data_Entry!AC238/Data_Entry!$I238),0)</f>
        <v>0.30643910007757952</v>
      </c>
      <c r="Y249" s="49">
        <f>IFERROR(IF(Data_Entry!AD238/Data_Entry!$I238&lt;0,0,Data_Entry!AD238/Data_Entry!$I238),0)</f>
        <v>0.24049650892164467</v>
      </c>
      <c r="Z249" s="49">
        <f>IFERROR(IF(Data_Entry!AE238/Data_Entry!$I238&lt;0,0,Data_Entry!AE238/Data_Entry!$I238),0)</f>
        <v>0.21334367726920092</v>
      </c>
      <c r="AA249" s="49">
        <f>IFERROR(IF(Data_Entry!AF238/Data_Entry!$I238&lt;0,0,Data_Entry!AF238/Data_Entry!$I238),0)</f>
        <v>0.14352211016291699</v>
      </c>
      <c r="AB249" s="49">
        <f>IFERROR(IF(Data_Entry!AG238/Data_Entry!$I238&lt;0,0,Data_Entry!AG238/Data_Entry!$I238),0)</f>
        <v>7.7579519006982151E-2</v>
      </c>
      <c r="AC249" s="49">
        <f>IFERROR(IF(Data_Entry!AI238/Data_Entry!$I238&lt;0,0,Data_Entry!AI238/Data_Entry!$I238),0)</f>
        <v>0.22614429790535295</v>
      </c>
      <c r="AD249" s="49">
        <f>IFERROR(IF(Data_Entry!AM238/Data_Entry!$H238&lt;0,0,Data_Entry!AM238/Data_Entry!$H238),0)</f>
        <v>1.2715038645270429</v>
      </c>
      <c r="AE249" s="50">
        <f>Data_Entry!AK238</f>
        <v>0</v>
      </c>
      <c r="AF249" s="50">
        <f>Data_Entry!AL238</f>
        <v>49</v>
      </c>
      <c r="AG249" s="153">
        <f>(Data_Entry!O238-Data_Entry!Q238)/Data_Entry!O238</f>
        <v>5.9701492537313433E-3</v>
      </c>
      <c r="AH249" s="79" t="str">
        <f t="shared" si="6"/>
        <v>CAT1</v>
      </c>
      <c r="AI249" s="51">
        <f>SUBTOTAL(3,Tableau1[[#This Row],[ZS]])</f>
        <v>0</v>
      </c>
      <c r="AJ249" s="51" t="e">
        <f t="shared" ca="1" si="7"/>
        <v>#NAME?</v>
      </c>
      <c r="AK249" s="50" t="str">
        <f>IFERROR(IF((Data_Entry!O238-Data_Entry!Q238)/Data_Entry!O238&lt;=10%,"&lt;=10%","&gt;10%"),"&lt;=10%")</f>
        <v>&lt;=10%</v>
      </c>
    </row>
    <row r="250" spans="1:37" s="48" customFormat="1" ht="13" hidden="1" x14ac:dyDescent="0.3">
      <c r="A250" s="31" t="s">
        <v>16</v>
      </c>
      <c r="B250" s="48" t="str">
        <f>Data_Entry!B239</f>
        <v>Goma</v>
      </c>
      <c r="C250" s="48" t="str">
        <f>Data_Entry!C239</f>
        <v xml:space="preserve"> Katoyi</v>
      </c>
      <c r="D250" s="48" t="str">
        <f>Data_Entry!D239</f>
        <v xml:space="preserve"> Nihima</v>
      </c>
      <c r="E250" s="49">
        <f>IFERROR(IF(Data_Entry!J239/Data_Entry!$I239&lt;0,0,Data_Entry!J239/Data_Entry!$I239),0)</f>
        <v>0.67961165048543681</v>
      </c>
      <c r="F250" s="49">
        <f>IFERROR(IF(Data_Entry!K239/Data_Entry!$H239&lt;0,0,Data_Entry!K239/Data_Entry!$H239),0)</f>
        <v>0.79978857762817479</v>
      </c>
      <c r="G250" s="49">
        <f>IFERROR(IF(Data_Entry!L239/Data_Entry!$H239&lt;0,0,Data_Entry!L239/Data_Entry!$H239),0)</f>
        <v>1.0119064177817341</v>
      </c>
      <c r="H250" s="49">
        <f>IFERROR(IF(Data_Entry!M239/Data_Entry!$H239&lt;0,0,Data_Entry!M239/Data_Entry!$H239),0)</f>
        <v>1.0397251509166272</v>
      </c>
      <c r="I250" s="49">
        <f>IFERROR(IF(Data_Entry!N239/Data_Entry!$H239&lt;0,0,Data_Entry!N239/Data_Entry!$H239),0)</f>
        <v>1.0049517344980108</v>
      </c>
      <c r="J250" s="49">
        <f>IFERROR(IF(Data_Entry!O239/Data_Entry!$H239&lt;0,0,Data_Entry!O239/Data_Entry!$H239),0)</f>
        <v>1.0605892007677971</v>
      </c>
      <c r="K250" s="49">
        <f>IFERROR(IF(Data_Entry!P239/Data_Entry!$H239&lt;0,0,Data_Entry!P239/Data_Entry!$H239),0)</f>
        <v>1.022338442707319</v>
      </c>
      <c r="L250" s="49">
        <f>IFERROR(IF(Data_Entry!Q239/Data_Entry!$H239&lt;0,0,Data_Entry!Q239/Data_Entry!$H239),0)</f>
        <v>1.0153837594235957</v>
      </c>
      <c r="M250" s="49">
        <f>IFERROR(IF(Data_Entry!R239/Data_Entry!$H239&lt;0,0,Data_Entry!R239/Data_Entry!$H239),0)</f>
        <v>1.0397251509166272</v>
      </c>
      <c r="N250" s="49">
        <f>IFERROR(IF(Data_Entry!S239/Data_Entry!$H239&lt;0,0,Data_Entry!S239/Data_Entry!$H239),0)</f>
        <v>1.0710212256933818</v>
      </c>
      <c r="O250" s="49">
        <f>IFERROR(IF(Data_Entry!T239/Data_Entry!$H239&lt;0,0,Data_Entry!T239/Data_Entry!$H239),0)</f>
        <v>1.0571118591259354</v>
      </c>
      <c r="P250" s="49">
        <f>IFERROR(IF(Data_Entry!U239/Data_Entry!$H239&lt;0,0,Data_Entry!U239/Data_Entry!$H239),0)</f>
        <v>1.0327704676329039</v>
      </c>
      <c r="Q250" s="49">
        <f>IFERROR(IF(Data_Entry!V239/Data_Entry!$H239&lt;0,0,Data_Entry!V239/Data_Entry!$H239),0)</f>
        <v>1.0014743928561494</v>
      </c>
      <c r="R250" s="49">
        <f>IFERROR(IF(Data_Entry!W239/Data_Entry!$H239&lt;0,0,Data_Entry!W239/Data_Entry!$H239),0)</f>
        <v>1.1857734998748155</v>
      </c>
      <c r="S250" s="49">
        <f>IFERROR(IF(Data_Entry!X239/Data_Entry!$H239&lt;0,0,Data_Entry!X239/Data_Entry!$H239),0)</f>
        <v>1.022338442707319</v>
      </c>
      <c r="T250" s="49">
        <f>IFERROR(IF(Data_Entry!Y239/Data_Entry!$H239&lt;0,0,Data_Entry!Y239/Data_Entry!$H239),0)</f>
        <v>1.6691239880935822</v>
      </c>
      <c r="U250" s="49">
        <f>IFERROR(IF(Data_Entry!Z239/Data_Entry!$H239&lt;0,0,Data_Entry!Z239/Data_Entry!$H239),0)</f>
        <v>1.1266586919631678</v>
      </c>
      <c r="V250" s="49">
        <f>IFERROR(IF(Data_Entry!AA239/Data_Entry!$H239&lt;0,0,Data_Entry!AA239/Data_Entry!$H239),0)</f>
        <v>0.83108465240492946</v>
      </c>
      <c r="W250" s="49">
        <f>IFERROR(IF(Data_Entry!AB239/Data_Entry!$H239&lt;0,0,Data_Entry!AB239/Data_Entry!$H239),0)</f>
        <v>1.7004200628703368</v>
      </c>
      <c r="X250" s="49">
        <f>IFERROR(IF(Data_Entry!AC239/Data_Entry!$I239&lt;0,0,Data_Entry!AC239/Data_Entry!$I239),0)</f>
        <v>0.35800970873786403</v>
      </c>
      <c r="Y250" s="49">
        <f>IFERROR(IF(Data_Entry!AD239/Data_Entry!$I239&lt;0,0,Data_Entry!AD239/Data_Entry!$I239),0)</f>
        <v>0.32160194174757278</v>
      </c>
      <c r="Z250" s="49">
        <f>IFERROR(IF(Data_Entry!AE239/Data_Entry!$I239&lt;0,0,Data_Entry!AE239/Data_Entry!$I239),0)</f>
        <v>0.28216019417475724</v>
      </c>
      <c r="AA250" s="49">
        <f>IFERROR(IF(Data_Entry!AF239/Data_Entry!$I239&lt;0,0,Data_Entry!AF239/Data_Entry!$I239),0)</f>
        <v>0.22754854368932037</v>
      </c>
      <c r="AB250" s="49">
        <f>IFERROR(IF(Data_Entry!AG239/Data_Entry!$I239&lt;0,0,Data_Entry!AG239/Data_Entry!$I239),0)</f>
        <v>0.18507281553398058</v>
      </c>
      <c r="AC250" s="49">
        <f>IFERROR(IF(Data_Entry!AI239/Data_Entry!$I239&lt;0,0,Data_Entry!AI239/Data_Entry!$I239),0)</f>
        <v>0.17688106796116504</v>
      </c>
      <c r="AD250" s="49">
        <f>IFERROR(IF(Data_Entry!AM239/Data_Entry!$H239&lt;0,0,Data_Entry!AM239/Data_Entry!$H239),0)</f>
        <v>1.022338442707319</v>
      </c>
      <c r="AE250" s="50">
        <f>Data_Entry!AK239</f>
        <v>0</v>
      </c>
      <c r="AF250" s="50">
        <f>Data_Entry!AL239</f>
        <v>11</v>
      </c>
      <c r="AG250" s="153">
        <f>(Data_Entry!O239-Data_Entry!Q239)/Data_Entry!O239</f>
        <v>4.2622950819672129E-2</v>
      </c>
      <c r="AH250" s="79" t="str">
        <f t="shared" si="6"/>
        <v>CAT1</v>
      </c>
      <c r="AI250" s="51">
        <f>SUBTOTAL(3,Tableau1[[#This Row],[ZS]])</f>
        <v>0</v>
      </c>
      <c r="AJ250" s="51" t="e">
        <f t="shared" ca="1" si="7"/>
        <v>#NAME?</v>
      </c>
      <c r="AK250" s="50" t="str">
        <f>IFERROR(IF((Data_Entry!O239-Data_Entry!Q239)/Data_Entry!O239&lt;=10%,"&lt;=10%","&gt;10%"),"&lt;=10%")</f>
        <v>&lt;=10%</v>
      </c>
    </row>
    <row r="251" spans="1:37" s="48" customFormat="1" ht="13" hidden="1" x14ac:dyDescent="0.3">
      <c r="A251" s="31" t="s">
        <v>16</v>
      </c>
      <c r="B251" s="48" t="str">
        <f>Data_Entry!B240</f>
        <v>Goma</v>
      </c>
      <c r="C251" s="48" t="str">
        <f>Data_Entry!C240</f>
        <v xml:space="preserve"> Katoyi</v>
      </c>
      <c r="D251" s="48" t="str">
        <f>Data_Entry!D240</f>
        <v xml:space="preserve"> Nyambisi</v>
      </c>
      <c r="E251" s="49">
        <f>IFERROR(IF(Data_Entry!J240/Data_Entry!$I240&lt;0,0,Data_Entry!J240/Data_Entry!$I240),0)</f>
        <v>1.0059212338198844</v>
      </c>
      <c r="F251" s="49">
        <f>IFERROR(IF(Data_Entry!K240/Data_Entry!$H240&lt;0,0,Data_Entry!K240/Data_Entry!$H240),0)</f>
        <v>0.98720110730662969</v>
      </c>
      <c r="G251" s="49">
        <f>IFERROR(IF(Data_Entry!L240/Data_Entry!$H240&lt;0,0,Data_Entry!L240/Data_Entry!$H240),0)</f>
        <v>1.1694900407901081</v>
      </c>
      <c r="H251" s="49">
        <f>IFERROR(IF(Data_Entry!M240/Data_Entry!$H240&lt;0,0,Data_Entry!M240/Data_Entry!$H240),0)</f>
        <v>1.1268770433524118</v>
      </c>
      <c r="I251" s="49">
        <f>IFERROR(IF(Data_Entry!N240/Data_Entry!$H240&lt;0,0,Data_Entry!N240/Data_Entry!$H240),0)</f>
        <v>1.0676923246889447</v>
      </c>
      <c r="J251" s="49">
        <f>IFERROR(IF(Data_Entry!O240/Data_Entry!$H240&lt;0,0,Data_Entry!O240/Data_Entry!$H240),0)</f>
        <v>1.1789595957762629</v>
      </c>
      <c r="K251" s="49">
        <f>IFERROR(IF(Data_Entry!P240/Data_Entry!$H240&lt;0,0,Data_Entry!P240/Data_Entry!$H240),0)</f>
        <v>1.1410813758316438</v>
      </c>
      <c r="L251" s="49">
        <f>IFERROR(IF(Data_Entry!Q240/Data_Entry!$H240&lt;0,0,Data_Entry!Q240/Data_Entry!$H240),0)</f>
        <v>1.0771618796750995</v>
      </c>
      <c r="M251" s="49">
        <f>IFERROR(IF(Data_Entry!R240/Data_Entry!$H240&lt;0,0,Data_Entry!R240/Data_Entry!$H240),0)</f>
        <v>1.1789595957762629</v>
      </c>
      <c r="N251" s="49">
        <f>IFERROR(IF(Data_Entry!S240/Data_Entry!$H240&lt;0,0,Data_Entry!S240/Data_Entry!$H240),0)</f>
        <v>1.1410813758316438</v>
      </c>
      <c r="O251" s="49">
        <f>IFERROR(IF(Data_Entry!T240/Data_Entry!$H240&lt;0,0,Data_Entry!T240/Data_Entry!$H240),0)</f>
        <v>1.0771618796750995</v>
      </c>
      <c r="P251" s="49">
        <f>IFERROR(IF(Data_Entry!U240/Data_Entry!$H240&lt;0,0,Data_Entry!U240/Data_Entry!$H240),0)</f>
        <v>1.1671226520435694</v>
      </c>
      <c r="Q251" s="49">
        <f>IFERROR(IF(Data_Entry!V240/Data_Entry!$H240&lt;0,0,Data_Entry!V240/Data_Entry!$H240),0)</f>
        <v>1.0156097722650939</v>
      </c>
      <c r="R251" s="49">
        <f>IFERROR(IF(Data_Entry!W240/Data_Entry!$H240&lt;0,0,Data_Entry!W240/Data_Entry!$H240),0)</f>
        <v>1.0061402172789391</v>
      </c>
      <c r="S251" s="49">
        <f>IFERROR(IF(Data_Entry!X240/Data_Entry!$H240&lt;0,0,Data_Entry!X240/Data_Entry!$H240),0)</f>
        <v>0.98956849605316832</v>
      </c>
      <c r="T251" s="49">
        <f>IFERROR(IF(Data_Entry!Y240/Data_Entry!$H240&lt;0,0,Data_Entry!Y240/Data_Entry!$H240),0)</f>
        <v>1.1671226520435694</v>
      </c>
      <c r="U251" s="49">
        <f>IFERROR(IF(Data_Entry!Z240/Data_Entry!$H240&lt;0,0,Data_Entry!Z240/Data_Entry!$H240),0)</f>
        <v>1.0747944909285609</v>
      </c>
      <c r="V251" s="49">
        <f>IFERROR(IF(Data_Entry!AA240/Data_Entry!$H240&lt;0,0,Data_Entry!AA240/Data_Entry!$H240),0)</f>
        <v>1.0037728285324004</v>
      </c>
      <c r="W251" s="49">
        <f>IFERROR(IF(Data_Entry!AB240/Data_Entry!$H240&lt;0,0,Data_Entry!AB240/Data_Entry!$H240),0)</f>
        <v>1.0771618796750995</v>
      </c>
      <c r="X251" s="49">
        <f>IFERROR(IF(Data_Entry!AC240/Data_Entry!$I240&lt;0,0,Data_Entry!AC240/Data_Entry!$I240),0)</f>
        <v>0.38212613605067475</v>
      </c>
      <c r="Y251" s="49">
        <f>IFERROR(IF(Data_Entry!AD240/Data_Entry!$I240&lt;0,0,Data_Entry!AD240/Data_Entry!$I240),0)</f>
        <v>0.3036353621591848</v>
      </c>
      <c r="Z251" s="49">
        <f>IFERROR(IF(Data_Entry!AE240/Data_Entry!$I240&lt;0,0,Data_Entry!AE240/Data_Entry!$I240),0)</f>
        <v>0.17970256127788489</v>
      </c>
      <c r="AA251" s="49">
        <f>IFERROR(IF(Data_Entry!AF240/Data_Entry!$I240&lt;0,0,Data_Entry!AF240/Data_Entry!$I240),0)</f>
        <v>0.10327733406774993</v>
      </c>
      <c r="AB251" s="49">
        <f>IFERROR(IF(Data_Entry!AG240/Data_Entry!$I240&lt;0,0,Data_Entry!AG240/Data_Entry!$I240),0)</f>
        <v>2.0655466813549985E-2</v>
      </c>
      <c r="AC251" s="49">
        <f>IFERROR(IF(Data_Entry!AI240/Data_Entry!$I240&lt;0,0,Data_Entry!AI240/Data_Entry!$I240),0)</f>
        <v>0.12042137152299641</v>
      </c>
      <c r="AD251" s="49">
        <f>IFERROR(IF(Data_Entry!AM240/Data_Entry!$H240&lt;0,0,Data_Entry!AM240/Data_Entry!$H240),0)</f>
        <v>0.98956849605316832</v>
      </c>
      <c r="AE251" s="50">
        <f>Data_Entry!AK240</f>
        <v>0</v>
      </c>
      <c r="AF251" s="50">
        <f>Data_Entry!AL240</f>
        <v>80</v>
      </c>
      <c r="AG251" s="153">
        <f>(Data_Entry!O240-Data_Entry!Q240)/Data_Entry!O240</f>
        <v>8.6345381526104423E-2</v>
      </c>
      <c r="AH251" s="79" t="str">
        <f t="shared" si="6"/>
        <v>CAT1</v>
      </c>
      <c r="AI251" s="51">
        <f>SUBTOTAL(3,Tableau1[[#This Row],[ZS]])</f>
        <v>0</v>
      </c>
      <c r="AJ251" s="51" t="e">
        <f t="shared" ca="1" si="7"/>
        <v>#NAME?</v>
      </c>
      <c r="AK251" s="50" t="str">
        <f>IFERROR(IF((Data_Entry!O240-Data_Entry!Q240)/Data_Entry!O240&lt;=10%,"&lt;=10%","&gt;10%"),"&lt;=10%")</f>
        <v>&lt;=10%</v>
      </c>
    </row>
    <row r="252" spans="1:37" s="48" customFormat="1" ht="13" hidden="1" x14ac:dyDescent="0.3">
      <c r="A252" s="31" t="s">
        <v>16</v>
      </c>
      <c r="B252" s="48" t="str">
        <f>Data_Entry!B241</f>
        <v>Goma</v>
      </c>
      <c r="C252" s="48" t="str">
        <f>Data_Entry!C241</f>
        <v xml:space="preserve"> Katoyi</v>
      </c>
      <c r="D252" s="48" t="str">
        <f>Data_Entry!D241</f>
        <v xml:space="preserve"> Nyandeki</v>
      </c>
      <c r="E252" s="49">
        <f>IFERROR(IF(Data_Entry!J241/Data_Entry!$I241&lt;0,0,Data_Entry!J241/Data_Entry!$I241),0)</f>
        <v>1.231532292106374</v>
      </c>
      <c r="F252" s="49">
        <f>IFERROR(IF(Data_Entry!K241/Data_Entry!$H241&lt;0,0,Data_Entry!K241/Data_Entry!$H241),0)</f>
        <v>0.83456199404679121</v>
      </c>
      <c r="G252" s="49">
        <f>IFERROR(IF(Data_Entry!L241/Data_Entry!$H241&lt;0,0,Data_Entry!L241/Data_Entry!$H241),0)</f>
        <v>1.1067017747142232</v>
      </c>
      <c r="H252" s="49">
        <f>IFERROR(IF(Data_Entry!M241/Data_Entry!$H241&lt;0,0,Data_Entry!M241/Data_Entry!$H241),0)</f>
        <v>1.026874105718443</v>
      </c>
      <c r="I252" s="49">
        <f>IFERROR(IF(Data_Entry!N241/Data_Entry!$H241&lt;0,0,Data_Entry!N241/Data_Entry!$H241),0)</f>
        <v>1.0740450010341311</v>
      </c>
      <c r="J252" s="49">
        <f>IFERROR(IF(Data_Entry!O241/Data_Entry!$H241&lt;0,0,Data_Entry!O241/Data_Entry!$H241),0)</f>
        <v>1.1357300179854157</v>
      </c>
      <c r="K252" s="49">
        <f>IFERROR(IF(Data_Entry!P241/Data_Entry!$H241&lt;0,0,Data_Entry!P241/Data_Entry!$H241),0)</f>
        <v>1.3026424167947741</v>
      </c>
      <c r="L252" s="49">
        <f>IFERROR(IF(Data_Entry!Q241/Data_Entry!$H241&lt;0,0,Data_Entry!Q241/Data_Entry!$H241),0)</f>
        <v>1.2663571127057831</v>
      </c>
      <c r="M252" s="49">
        <f>IFERROR(IF(Data_Entry!R241/Data_Entry!$H241&lt;0,0,Data_Entry!R241/Data_Entry!$H241),0)</f>
        <v>0.99784586244725026</v>
      </c>
      <c r="N252" s="49">
        <f>IFERROR(IF(Data_Entry!S241/Data_Entry!$H241&lt;0,0,Data_Entry!S241/Data_Entry!$H241),0)</f>
        <v>1.1030732443053239</v>
      </c>
      <c r="O252" s="49">
        <f>IFERROR(IF(Data_Entry!T241/Data_Entry!$H241&lt;0,0,Data_Entry!T241/Data_Entry!$H241),0)</f>
        <v>1.1030732443053239</v>
      </c>
      <c r="P252" s="49">
        <f>IFERROR(IF(Data_Entry!U241/Data_Entry!$H241&lt;0,0,Data_Entry!U241/Data_Entry!$H241),0)</f>
        <v>1.2591000518879849</v>
      </c>
      <c r="Q252" s="49">
        <f>IFERROR(IF(Data_Entry!V241/Data_Entry!$H241&lt;0,0,Data_Entry!V241/Data_Entry!$H241),0)</f>
        <v>1.3026424167947741</v>
      </c>
      <c r="R252" s="49">
        <f>IFERROR(IF(Data_Entry!W241/Data_Entry!$H241&lt;0,0,Data_Entry!W241/Data_Entry!$H241),0)</f>
        <v>1.1937865045278013</v>
      </c>
      <c r="S252" s="49">
        <f>IFERROR(IF(Data_Entry!X241/Data_Entry!$H241&lt;0,0,Data_Entry!X241/Data_Entry!$H241),0)</f>
        <v>1.0776735314430304</v>
      </c>
      <c r="T252" s="49">
        <f>IFERROR(IF(Data_Entry!Y241/Data_Entry!$H241&lt;0,0,Data_Entry!Y241/Data_Entry!$H241),0)</f>
        <v>1.8614360997652342</v>
      </c>
      <c r="U252" s="49">
        <f>IFERROR(IF(Data_Entry!Z241/Data_Entry!$H241&lt;0,0,Data_Entry!Z241/Data_Entry!$H241),0)</f>
        <v>0.95430349754046118</v>
      </c>
      <c r="V252" s="49">
        <f>IFERROR(IF(Data_Entry!AA241/Data_Entry!$H241&lt;0,0,Data_Entry!AA241/Data_Entry!$H241),0)</f>
        <v>1.0522738185807368</v>
      </c>
      <c r="W252" s="49">
        <f>IFERROR(IF(Data_Entry!AB241/Data_Entry!$H241&lt;0,0,Data_Entry!AB241/Data_Entry!$H241),0)</f>
        <v>1.3897271466083523</v>
      </c>
      <c r="X252" s="49">
        <f>IFERROR(IF(Data_Entry!AC241/Data_Entry!$I241&lt;0,0,Data_Entry!AC241/Data_Entry!$I241),0)</f>
        <v>0.48121570282819753</v>
      </c>
      <c r="Y252" s="49">
        <f>IFERROR(IF(Data_Entry!AD241/Data_Entry!$I241&lt;0,0,Data_Entry!AD241/Data_Entry!$I241),0)</f>
        <v>0.40523427606585055</v>
      </c>
      <c r="Z252" s="49">
        <f>IFERROR(IF(Data_Entry!AE241/Data_Entry!$I241&lt;0,0,Data_Entry!AE241/Data_Entry!$I241),0)</f>
        <v>0.26276910088644995</v>
      </c>
      <c r="AA252" s="49">
        <f>IFERROR(IF(Data_Entry!AF241/Data_Entry!$I241&lt;0,0,Data_Entry!AF241/Data_Entry!$I241),0)</f>
        <v>0.18362178134233853</v>
      </c>
      <c r="AB252" s="49">
        <f>IFERROR(IF(Data_Entry!AG241/Data_Entry!$I241&lt;0,0,Data_Entry!AG241/Data_Entry!$I241),0)</f>
        <v>0.16779231743351625</v>
      </c>
      <c r="AC252" s="49">
        <f>IFERROR(IF(Data_Entry!AI241/Data_Entry!$I241&lt;0,0,Data_Entry!AI241/Data_Entry!$I241),0)</f>
        <v>0.18457154917686786</v>
      </c>
      <c r="AD252" s="49">
        <f>IFERROR(IF(Data_Entry!AM241/Data_Entry!$H241&lt;0,0,Data_Entry!AM241/Data_Entry!$H241),0)</f>
        <v>0.95430349754046118</v>
      </c>
      <c r="AE252" s="50">
        <f>Data_Entry!AK241</f>
        <v>0</v>
      </c>
      <c r="AF252" s="50">
        <f>Data_Entry!AL241</f>
        <v>16</v>
      </c>
      <c r="AG252" s="153">
        <f>(Data_Entry!O241-Data_Entry!Q241)/Data_Entry!O241</f>
        <v>-0.11501597444089456</v>
      </c>
      <c r="AH252" s="79" t="str">
        <f t="shared" si="6"/>
        <v>CAT1</v>
      </c>
      <c r="AI252" s="51">
        <f>SUBTOTAL(3,Tableau1[[#This Row],[ZS]])</f>
        <v>0</v>
      </c>
      <c r="AJ252" s="51" t="e">
        <f t="shared" ca="1" si="7"/>
        <v>#NAME?</v>
      </c>
      <c r="AK252" s="50" t="str">
        <f>IFERROR(IF((Data_Entry!O241-Data_Entry!Q241)/Data_Entry!O241&lt;=10%,"&lt;=10%","&gt;10%"),"&lt;=10%")</f>
        <v>&lt;=10%</v>
      </c>
    </row>
    <row r="253" spans="1:37" s="48" customFormat="1" ht="13" hidden="1" x14ac:dyDescent="0.3">
      <c r="A253" s="31" t="s">
        <v>16</v>
      </c>
      <c r="B253" s="48" t="str">
        <f>Data_Entry!B242</f>
        <v>Goma</v>
      </c>
      <c r="C253" s="48" t="str">
        <f>Data_Entry!C242</f>
        <v xml:space="preserve"> Katoyi</v>
      </c>
      <c r="D253" s="48" t="str">
        <f>Data_Entry!D242</f>
        <v xml:space="preserve"> Ufamandu</v>
      </c>
      <c r="E253" s="49">
        <f>IFERROR(IF(Data_Entry!J242/Data_Entry!$I242&lt;0,0,Data_Entry!J242/Data_Entry!$I242),0)</f>
        <v>0.98936887025529685</v>
      </c>
      <c r="F253" s="49">
        <f>IFERROR(IF(Data_Entry!K242/Data_Entry!$H242&lt;0,0,Data_Entry!K242/Data_Entry!$H242),0)</f>
        <v>0.78127798801825898</v>
      </c>
      <c r="G253" s="49">
        <f>IFERROR(IF(Data_Entry!L242/Data_Entry!$H242&lt;0,0,Data_Entry!L242/Data_Entry!$H242),0)</f>
        <v>0.98850328632293716</v>
      </c>
      <c r="H253" s="49">
        <f>IFERROR(IF(Data_Entry!M242/Data_Entry!$H242&lt;0,0,Data_Entry!M242/Data_Entry!$H242),0)</f>
        <v>0.96147389958754437</v>
      </c>
      <c r="I253" s="49">
        <f>IFERROR(IF(Data_Entry!N242/Data_Entry!$H242&lt;0,0,Data_Entry!N242/Data_Entry!$H242),0)</f>
        <v>0.94474142208468215</v>
      </c>
      <c r="J253" s="49">
        <f>IFERROR(IF(Data_Entry!O242/Data_Entry!$H242&lt;0,0,Data_Entry!O242/Data_Entry!$H242),0)</f>
        <v>1.0683043328750492</v>
      </c>
      <c r="K253" s="49">
        <f>IFERROR(IF(Data_Entry!P242/Data_Entry!$H242&lt;0,0,Data_Entry!P242/Data_Entry!$H242),0)</f>
        <v>1.0657301055669166</v>
      </c>
      <c r="L253" s="49">
        <f>IFERROR(IF(Data_Entry!Q242/Data_Entry!$H242&lt;0,0,Data_Entry!Q242/Data_Entry!$H242),0)</f>
        <v>1.0477105144099881</v>
      </c>
      <c r="M253" s="49">
        <f>IFERROR(IF(Data_Entry!R242/Data_Entry!$H242&lt;0,0,Data_Entry!R242/Data_Entry!$H242),0)</f>
        <v>1.0193940140205289</v>
      </c>
      <c r="N253" s="49">
        <f>IFERROR(IF(Data_Entry!S242/Data_Entry!$H242&lt;0,0,Data_Entry!S242/Data_Entry!$H242),0)</f>
        <v>1.1082048561511053</v>
      </c>
      <c r="O253" s="49">
        <f>IFERROR(IF(Data_Entry!T242/Data_Entry!$H242&lt;0,0,Data_Entry!T242/Data_Entry!$H242),0)</f>
        <v>1.0271166959449269</v>
      </c>
      <c r="P253" s="49">
        <f>IFERROR(IF(Data_Entry!U242/Data_Entry!$H242&lt;0,0,Data_Entry!U242/Data_Entry!$H242),0)</f>
        <v>1.6024564993125741</v>
      </c>
      <c r="Q253" s="49">
        <f>IFERROR(IF(Data_Entry!V242/Data_Entry!$H242&lt;0,0,Data_Entry!V242/Data_Entry!$H242),0)</f>
        <v>1.5355265893011252</v>
      </c>
      <c r="R253" s="49">
        <f>IFERROR(IF(Data_Entry!W242/Data_Entry!$H242&lt;0,0,Data_Entry!W242/Data_Entry!$H242),0)</f>
        <v>1.4415672925542833</v>
      </c>
      <c r="S253" s="49">
        <f>IFERROR(IF(Data_Entry!X242/Data_Entry!$H242&lt;0,0,Data_Entry!X242/Data_Entry!$H242),0)</f>
        <v>1.0129584457501974</v>
      </c>
      <c r="T253" s="49">
        <f>IFERROR(IF(Data_Entry!Y242/Data_Entry!$H242&lt;0,0,Data_Entry!Y242/Data_Entry!$H242),0)</f>
        <v>1.0979079469185749</v>
      </c>
      <c r="U253" s="49">
        <f>IFERROR(IF(Data_Entry!Z242/Data_Entry!$H242&lt;0,0,Data_Entry!Z242/Data_Entry!$H242),0)</f>
        <v>0.99236462728513619</v>
      </c>
      <c r="V253" s="49">
        <f>IFERROR(IF(Data_Entry!AA242/Data_Entry!$H242&lt;0,0,Data_Entry!AA242/Data_Entry!$H242),0)</f>
        <v>1.0580074236425188</v>
      </c>
      <c r="W253" s="49">
        <f>IFERROR(IF(Data_Entry!AB242/Data_Entry!$H242&lt;0,0,Data_Entry!AB242/Data_Entry!$H242),0)</f>
        <v>1.5149327708360638</v>
      </c>
      <c r="X253" s="49">
        <f>IFERROR(IF(Data_Entry!AC242/Data_Entry!$I242&lt;0,0,Data_Entry!AC242/Data_Entry!$I242),0)</f>
        <v>0.29085872576177285</v>
      </c>
      <c r="Y253" s="49">
        <f>IFERROR(IF(Data_Entry!AD242/Data_Entry!$I242&lt;0,0,Data_Entry!AD242/Data_Entry!$I242),0)</f>
        <v>0.24818447256120385</v>
      </c>
      <c r="Z253" s="49">
        <f>IFERROR(IF(Data_Entry!AE242/Data_Entry!$I242&lt;0,0,Data_Entry!AE242/Data_Entry!$I242),0)</f>
        <v>0.23920041925582092</v>
      </c>
      <c r="AA253" s="49">
        <f>IFERROR(IF(Data_Entry!AF242/Data_Entry!$I242&lt;0,0,Data_Entry!AF242/Data_Entry!$I242),0)</f>
        <v>0.21000224601332634</v>
      </c>
      <c r="AB253" s="49">
        <f>IFERROR(IF(Data_Entry!AG242/Data_Entry!$I242&lt;0,0,Data_Entry!AG242/Data_Entry!$I242),0)</f>
        <v>0.25492251254024106</v>
      </c>
      <c r="AC253" s="49">
        <f>IFERROR(IF(Data_Entry!AI242/Data_Entry!$I242&lt;0,0,Data_Entry!AI242/Data_Entry!$I242),0)</f>
        <v>6.5471288462978214E-2</v>
      </c>
      <c r="AD253" s="49">
        <f>IFERROR(IF(Data_Entry!AM242/Data_Entry!$H242&lt;0,0,Data_Entry!AM242/Data_Entry!$H242),0)</f>
        <v>0.99236462728513619</v>
      </c>
      <c r="AE253" s="50">
        <f>Data_Entry!AK242</f>
        <v>0</v>
      </c>
      <c r="AF253" s="50">
        <f>Data_Entry!AL242</f>
        <v>43</v>
      </c>
      <c r="AG253" s="153">
        <f>(Data_Entry!O242-Data_Entry!Q242)/Data_Entry!O242</f>
        <v>1.9277108433734941E-2</v>
      </c>
      <c r="AH253" s="79" t="str">
        <f t="shared" si="6"/>
        <v>CAT1</v>
      </c>
      <c r="AI253" s="51">
        <f>SUBTOTAL(3,Tableau1[[#This Row],[ZS]])</f>
        <v>0</v>
      </c>
      <c r="AJ253" s="51" t="e">
        <f t="shared" ca="1" si="7"/>
        <v>#NAME?</v>
      </c>
      <c r="AK253" s="50" t="str">
        <f>IFERROR(IF((Data_Entry!O242-Data_Entry!Q242)/Data_Entry!O242&lt;=10%,"&lt;=10%","&gt;10%"),"&lt;=10%")</f>
        <v>&lt;=10%</v>
      </c>
    </row>
    <row r="254" spans="1:37" s="48" customFormat="1" ht="13" hidden="1" x14ac:dyDescent="0.3">
      <c r="A254" s="31" t="s">
        <v>16</v>
      </c>
      <c r="B254" s="48" t="str">
        <f>Data_Entry!B243</f>
        <v>Butembo</v>
      </c>
      <c r="C254" s="48" t="str">
        <f>Data_Entry!C243</f>
        <v xml:space="preserve"> Katwa</v>
      </c>
      <c r="D254" s="48" t="str">
        <f>Data_Entry!D243</f>
        <v xml:space="preserve"> Irangya</v>
      </c>
      <c r="E254" s="49">
        <f>IFERROR(IF(Data_Entry!J243/Data_Entry!$I243&lt;0,0,Data_Entry!J243/Data_Entry!$I243),0)</f>
        <v>0.92400690846286704</v>
      </c>
      <c r="F254" s="49">
        <f>IFERROR(IF(Data_Entry!K243/Data_Entry!$H243&lt;0,0,Data_Entry!K243/Data_Entry!$H243),0)</f>
        <v>0.51042879553650522</v>
      </c>
      <c r="G254" s="49">
        <f>IFERROR(IF(Data_Entry!L243/Data_Entry!$H243&lt;0,0,Data_Entry!L243/Data_Entry!$H243),0)</f>
        <v>1.2767789539320338</v>
      </c>
      <c r="H254" s="49">
        <f>IFERROR(IF(Data_Entry!M243/Data_Entry!$H243&lt;0,0,Data_Entry!M243/Data_Entry!$H243),0)</f>
        <v>1.1127630528732122</v>
      </c>
      <c r="I254" s="49">
        <f>IFERROR(IF(Data_Entry!N243/Data_Entry!$H243&lt;0,0,Data_Entry!N243/Data_Entry!$H243),0)</f>
        <v>1.2074963750364971</v>
      </c>
      <c r="J254" s="49">
        <f>IFERROR(IF(Data_Entry!O243/Data_Entry!$H243&lt;0,0,Data_Entry!O243/Data_Entry!$H243),0)</f>
        <v>1.1778038412241241</v>
      </c>
      <c r="K254" s="49">
        <f>IFERROR(IF(Data_Entry!P243/Data_Entry!$H243&lt;0,0,Data_Entry!P243/Data_Entry!$H243),0)</f>
        <v>1.0307551023438013</v>
      </c>
      <c r="L254" s="49">
        <f>IFERROR(IF(Data_Entry!Q243/Data_Entry!$H243&lt;0,0,Data_Entry!Q243/Data_Entry!$H243),0)</f>
        <v>1.1184187735993785</v>
      </c>
      <c r="M254" s="49">
        <f>IFERROR(IF(Data_Entry!R243/Data_Entry!$H243&lt;0,0,Data_Entry!R243/Data_Entry!$H243),0)</f>
        <v>1.1778038412241241</v>
      </c>
      <c r="N254" s="49">
        <f>IFERROR(IF(Data_Entry!S243/Data_Entry!$H243&lt;0,0,Data_Entry!S243/Data_Entry!$H243),0)</f>
        <v>1.0307551023438013</v>
      </c>
      <c r="O254" s="49">
        <f>IFERROR(IF(Data_Entry!T243/Data_Entry!$H243&lt;0,0,Data_Entry!T243/Data_Entry!$H243),0)</f>
        <v>1.1184187735993785</v>
      </c>
      <c r="P254" s="49">
        <f>IFERROR(IF(Data_Entry!U243/Data_Entry!$H243&lt;0,0,Data_Entry!U243/Data_Entry!$H243),0)</f>
        <v>1.1184187735993785</v>
      </c>
      <c r="Q254" s="49">
        <f>IFERROR(IF(Data_Entry!V243/Data_Entry!$H243&lt;0,0,Data_Entry!V243/Data_Entry!$H243),0)</f>
        <v>0.97702575544522186</v>
      </c>
      <c r="R254" s="49">
        <f>IFERROR(IF(Data_Entry!W243/Data_Entry!$H243&lt;0,0,Data_Entry!W243/Data_Entry!$H243),0)</f>
        <v>1.0477222645223001</v>
      </c>
      <c r="S254" s="49">
        <f>IFERROR(IF(Data_Entry!X243/Data_Entry!$H243&lt;0,0,Data_Entry!X243/Data_Entry!$H243),0)</f>
        <v>1.2117381655811217</v>
      </c>
      <c r="T254" s="49">
        <f>IFERROR(IF(Data_Entry!Y243/Data_Entry!$H243&lt;0,0,Data_Entry!Y243/Data_Entry!$H243),0)</f>
        <v>0.58536709515820817</v>
      </c>
      <c r="U254" s="49">
        <f>IFERROR(IF(Data_Entry!Z243/Data_Entry!$H243&lt;0,0,Data_Entry!Z243/Data_Entry!$H243),0)</f>
        <v>1.2117381655811217</v>
      </c>
      <c r="V254" s="49">
        <f>IFERROR(IF(Data_Entry!AA243/Data_Entry!$H243&lt;0,0,Data_Entry!AA243/Data_Entry!$H243),0)</f>
        <v>1.2074963750364971</v>
      </c>
      <c r="W254" s="49">
        <f>IFERROR(IF(Data_Entry!AB243/Data_Entry!$H243&lt;0,0,Data_Entry!AB243/Data_Entry!$H243),0)</f>
        <v>1.1367998659594187</v>
      </c>
      <c r="X254" s="49">
        <f>IFERROR(IF(Data_Entry!AC243/Data_Entry!$I243&lt;0,0,Data_Entry!AC243/Data_Entry!$I243),0)</f>
        <v>0.86972612879348632</v>
      </c>
      <c r="Y254" s="49">
        <f>IFERROR(IF(Data_Entry!AD243/Data_Entry!$I243&lt;0,0,Data_Entry!AD243/Data_Entry!$I243),0)</f>
        <v>0.69084628670120896</v>
      </c>
      <c r="Z254" s="49">
        <f>IFERROR(IF(Data_Entry!AE243/Data_Entry!$I243&lt;0,0,Data_Entry!AE243/Data_Entry!$I243),0)</f>
        <v>0.30101159634838393</v>
      </c>
      <c r="AA254" s="49">
        <f>IFERROR(IF(Data_Entry!AF243/Data_Entry!$I243&lt;0,0,Data_Entry!AF243/Data_Entry!$I243),0)</f>
        <v>0.14187021959042684</v>
      </c>
      <c r="AB254" s="49">
        <f>IFERROR(IF(Data_Entry!AG243/Data_Entry!$I243&lt;0,0,Data_Entry!AG243/Data_Entry!$I243),0)</f>
        <v>6.9084628670120898E-2</v>
      </c>
      <c r="AC254" s="49">
        <f>IFERROR(IF(Data_Entry!AI243/Data_Entry!$I243&lt;0,0,Data_Entry!AI243/Data_Entry!$I243),0)</f>
        <v>7.192203306192943E-2</v>
      </c>
      <c r="AD254" s="49">
        <f>IFERROR(IF(Data_Entry!AM243/Data_Entry!$H243&lt;0,0,Data_Entry!AM243/Data_Entry!$H243),0)</f>
        <v>1.2117381655811217</v>
      </c>
      <c r="AE254" s="50">
        <f>Data_Entry!AK243</f>
        <v>0</v>
      </c>
      <c r="AF254" s="50">
        <f>Data_Entry!AL243</f>
        <v>0</v>
      </c>
      <c r="AG254" s="153">
        <f>(Data_Entry!O243-Data_Entry!Q243)/Data_Entry!O243</f>
        <v>5.0420168067226892E-2</v>
      </c>
      <c r="AH254" s="79" t="str">
        <f t="shared" si="6"/>
        <v>CAT1</v>
      </c>
      <c r="AI254" s="51">
        <f>SUBTOTAL(3,Tableau1[[#This Row],[ZS]])</f>
        <v>0</v>
      </c>
      <c r="AJ254" s="51" t="e">
        <f t="shared" ca="1" si="7"/>
        <v>#NAME?</v>
      </c>
      <c r="AK254" s="50" t="str">
        <f>IFERROR(IF((Data_Entry!O243-Data_Entry!Q243)/Data_Entry!O243&lt;=10%,"&lt;=10%","&gt;10%"),"&lt;=10%")</f>
        <v>&lt;=10%</v>
      </c>
    </row>
    <row r="255" spans="1:37" s="48" customFormat="1" ht="13" hidden="1" x14ac:dyDescent="0.3">
      <c r="A255" s="31" t="s">
        <v>16</v>
      </c>
      <c r="B255" s="48" t="str">
        <f>Data_Entry!B244</f>
        <v>Butembo</v>
      </c>
      <c r="C255" s="48" t="str">
        <f>Data_Entry!C244</f>
        <v xml:space="preserve"> Katwa</v>
      </c>
      <c r="D255" s="48" t="str">
        <f>Data_Entry!D244</f>
        <v xml:space="preserve"> Kambuli</v>
      </c>
      <c r="E255" s="49">
        <f>IFERROR(IF(Data_Entry!J244/Data_Entry!$I244&lt;0,0,Data_Entry!J244/Data_Entry!$I244),0)</f>
        <v>0.77065442700621845</v>
      </c>
      <c r="F255" s="49">
        <f>IFERROR(IF(Data_Entry!K244/Data_Entry!$H244&lt;0,0,Data_Entry!K244/Data_Entry!$H244),0)</f>
        <v>0.32072684509147925</v>
      </c>
      <c r="G255" s="49">
        <f>IFERROR(IF(Data_Entry!L244/Data_Entry!$H244&lt;0,0,Data_Entry!L244/Data_Entry!$H244),0)</f>
        <v>1.3439982080023893</v>
      </c>
      <c r="H255" s="49">
        <f>IFERROR(IF(Data_Entry!M244/Data_Entry!$H244&lt;0,0,Data_Entry!M244/Data_Entry!$H244),0)</f>
        <v>1.1327257624262561</v>
      </c>
      <c r="I255" s="49">
        <f>IFERROR(IF(Data_Entry!N244/Data_Entry!$H244&lt;0,0,Data_Entry!N244/Data_Entry!$H244),0)</f>
        <v>1.2752710269113581</v>
      </c>
      <c r="J255" s="49">
        <f>IFERROR(IF(Data_Entry!O244/Data_Entry!$H244&lt;0,0,Data_Entry!O244/Data_Entry!$H244),0)</f>
        <v>1.2930891849719959</v>
      </c>
      <c r="K255" s="49">
        <f>IFERROR(IF(Data_Entry!P244/Data_Entry!$H244&lt;0,0,Data_Entry!P244/Data_Entry!$H244),0)</f>
        <v>1.1123621532140988</v>
      </c>
      <c r="L255" s="49">
        <f>IFERROR(IF(Data_Entry!Q244/Data_Entry!$H244&lt;0,0,Data_Entry!Q244/Data_Entry!$H244),0)</f>
        <v>1.1479984693353742</v>
      </c>
      <c r="M255" s="49">
        <f>IFERROR(IF(Data_Entry!R244/Data_Entry!$H244&lt;0,0,Data_Entry!R244/Data_Entry!$H244),0)</f>
        <v>1.2803619292143975</v>
      </c>
      <c r="N255" s="49">
        <f>IFERROR(IF(Data_Entry!S244/Data_Entry!$H244&lt;0,0,Data_Entry!S244/Data_Entry!$H244),0)</f>
        <v>1.0436349721230676</v>
      </c>
      <c r="O255" s="49">
        <f>IFERROR(IF(Data_Entry!T244/Data_Entry!$H244&lt;0,0,Data_Entry!T244/Data_Entry!$H244),0)</f>
        <v>1.0818167393958626</v>
      </c>
      <c r="P255" s="49">
        <f>IFERROR(IF(Data_Entry!U244/Data_Entry!$H244&lt;0,0,Data_Entry!U244/Data_Entry!$H244),0)</f>
        <v>1.3847254264267042</v>
      </c>
      <c r="Q255" s="49">
        <f>IFERROR(IF(Data_Entry!V244/Data_Entry!$H244&lt;0,0,Data_Entry!V244/Data_Entry!$H244),0)</f>
        <v>1.1149076043656185</v>
      </c>
      <c r="R255" s="49">
        <f>IFERROR(IF(Data_Entry!W244/Data_Entry!$H244&lt;0,0,Data_Entry!W244/Data_Entry!$H244),0)</f>
        <v>1.2167256504264055</v>
      </c>
      <c r="S255" s="49">
        <f>IFERROR(IF(Data_Entry!X244/Data_Entry!$H244&lt;0,0,Data_Entry!X244/Data_Entry!$H244),0)</f>
        <v>1.1250894089716972</v>
      </c>
      <c r="T255" s="49">
        <f>IFERROR(IF(Data_Entry!Y244/Data_Entry!$H244&lt;0,0,Data_Entry!Y244/Data_Entry!$H244),0)</f>
        <v>0.23672695709132993</v>
      </c>
      <c r="U255" s="49">
        <f>IFERROR(IF(Data_Entry!Z244/Data_Entry!$H244&lt;0,0,Data_Entry!Z244/Data_Entry!$H244),0)</f>
        <v>1.1352712135777758</v>
      </c>
      <c r="V255" s="49">
        <f>IFERROR(IF(Data_Entry!AA244/Data_Entry!$H244&lt;0,0,Data_Entry!AA244/Data_Entry!$H244),0)</f>
        <v>1.4330889983055781</v>
      </c>
      <c r="W255" s="49">
        <f>IFERROR(IF(Data_Entry!AB244/Data_Entry!$H244&lt;0,0,Data_Entry!AB244/Data_Entry!$H244),0)</f>
        <v>1.1098167020625791</v>
      </c>
      <c r="X255" s="49">
        <f>IFERROR(IF(Data_Entry!AC244/Data_Entry!$I244&lt;0,0,Data_Entry!AC244/Data_Entry!$I244),0)</f>
        <v>0.51302931596091206</v>
      </c>
      <c r="Y255" s="49">
        <f>IFERROR(IF(Data_Entry!AD244/Data_Entry!$I244&lt;0,0,Data_Entry!AD244/Data_Entry!$I244),0)</f>
        <v>0.36200769914124958</v>
      </c>
      <c r="Z255" s="49">
        <f>IFERROR(IF(Data_Entry!AE244/Data_Entry!$I244&lt;0,0,Data_Entry!AE244/Data_Entry!$I244),0)</f>
        <v>0.1243707432632514</v>
      </c>
      <c r="AA255" s="49">
        <f>IFERROR(IF(Data_Entry!AF244/Data_Entry!$I244&lt;0,0,Data_Entry!AF244/Data_Entry!$I244),0)</f>
        <v>4.6639028723719271E-2</v>
      </c>
      <c r="AB255" s="49">
        <f>IFERROR(IF(Data_Entry!AG244/Data_Entry!$I244&lt;0,0,Data_Entry!AG244/Data_Entry!$I244),0)</f>
        <v>2.2209061297009176E-2</v>
      </c>
      <c r="AC255" s="49">
        <f>IFERROR(IF(Data_Entry!AI244/Data_Entry!$I244&lt;0,0,Data_Entry!AI244/Data_Entry!$I244),0)</f>
        <v>0.12947882736156349</v>
      </c>
      <c r="AD255" s="49">
        <f>IFERROR(IF(Data_Entry!AM244/Data_Entry!$H244&lt;0,0,Data_Entry!AM244/Data_Entry!$H244),0)</f>
        <v>1.1250894089716972</v>
      </c>
      <c r="AE255" s="50">
        <f>Data_Entry!AK244</f>
        <v>0</v>
      </c>
      <c r="AF255" s="50">
        <f>Data_Entry!AL244</f>
        <v>66</v>
      </c>
      <c r="AG255" s="153">
        <f>(Data_Entry!O244-Data_Entry!Q244)/Data_Entry!O244</f>
        <v>0.11220472440944881</v>
      </c>
      <c r="AH255" s="79" t="str">
        <f t="shared" si="6"/>
        <v>CAT2</v>
      </c>
      <c r="AI255" s="51">
        <f>SUBTOTAL(3,Tableau1[[#This Row],[ZS]])</f>
        <v>0</v>
      </c>
      <c r="AJ255" s="51" t="e">
        <f t="shared" ca="1" si="7"/>
        <v>#NAME?</v>
      </c>
      <c r="AK255" s="50" t="str">
        <f>IFERROR(IF((Data_Entry!O244-Data_Entry!Q244)/Data_Entry!O244&lt;=10%,"&lt;=10%","&gt;10%"),"&lt;=10%")</f>
        <v>&gt;10%</v>
      </c>
    </row>
    <row r="256" spans="1:37" s="48" customFormat="1" ht="13" hidden="1" x14ac:dyDescent="0.3">
      <c r="A256" s="31" t="s">
        <v>16</v>
      </c>
      <c r="B256" s="48" t="str">
        <f>Data_Entry!B245</f>
        <v>Butembo</v>
      </c>
      <c r="C256" s="48" t="str">
        <f>Data_Entry!C245</f>
        <v xml:space="preserve"> Katwa</v>
      </c>
      <c r="D256" s="48" t="str">
        <f>Data_Entry!D245</f>
        <v xml:space="preserve"> Kihinga</v>
      </c>
      <c r="E256" s="49">
        <f>IFERROR(IF(Data_Entry!J245/Data_Entry!$I245&lt;0,0,Data_Entry!J245/Data_Entry!$I245),0)</f>
        <v>0.72399728076138681</v>
      </c>
      <c r="F256" s="49">
        <f>IFERROR(IF(Data_Entry!K245/Data_Entry!$H245&lt;0,0,Data_Entry!K245/Data_Entry!$H245),0)</f>
        <v>0.24309525711024405</v>
      </c>
      <c r="G256" s="49">
        <f>IFERROR(IF(Data_Entry!L245/Data_Entry!$H245&lt;0,0,Data_Entry!L245/Data_Entry!$H245),0)</f>
        <v>1.1313279273207513</v>
      </c>
      <c r="H256" s="49">
        <f>IFERROR(IF(Data_Entry!M245/Data_Entry!$H245&lt;0,0,Data_Entry!M245/Data_Entry!$H245),0)</f>
        <v>0.91861957734928767</v>
      </c>
      <c r="I256" s="49">
        <f>IFERROR(IF(Data_Entry!N245/Data_Entry!$H245&lt;0,0,Data_Entry!N245/Data_Entry!$H245),0)</f>
        <v>0.98874320920801184</v>
      </c>
      <c r="J256" s="49">
        <f>IFERROR(IF(Data_Entry!O245/Data_Entry!$H245&lt;0,0,Data_Entry!O245/Data_Entry!$H245),0)</f>
        <v>0.92563194053516007</v>
      </c>
      <c r="K256" s="49">
        <f>IFERROR(IF(Data_Entry!P245/Data_Entry!$H245&lt;0,0,Data_Entry!P245/Data_Entry!$H245),0)</f>
        <v>0.80174685758474729</v>
      </c>
      <c r="L256" s="49">
        <f>IFERROR(IF(Data_Entry!Q245/Data_Entry!$H245&lt;0,0,Data_Entry!Q245/Data_Entry!$H245),0)</f>
        <v>0.87654539823405309</v>
      </c>
      <c r="M256" s="49">
        <f>IFERROR(IF(Data_Entry!R245/Data_Entry!$H245&lt;0,0,Data_Entry!R245/Data_Entry!$H245),0)</f>
        <v>1.0378297515091188</v>
      </c>
      <c r="N256" s="49">
        <f>IFERROR(IF(Data_Entry!S245/Data_Entry!$H245&lt;0,0,Data_Entry!S245/Data_Entry!$H245),0)</f>
        <v>0.91861957734928767</v>
      </c>
      <c r="O256" s="49">
        <f>IFERROR(IF(Data_Entry!T245/Data_Entry!$H245&lt;0,0,Data_Entry!T245/Data_Entry!$H245),0)</f>
        <v>0.98874320920801184</v>
      </c>
      <c r="P256" s="49">
        <f>IFERROR(IF(Data_Entry!U245/Data_Entry!$H245&lt;0,0,Data_Entry!U245/Data_Entry!$H245),0)</f>
        <v>1.0261424795326648</v>
      </c>
      <c r="Q256" s="49">
        <f>IFERROR(IF(Data_Entry!V245/Data_Entry!$H245&lt;0,0,Data_Entry!V245/Data_Entry!$H245),0)</f>
        <v>0.85784576307172666</v>
      </c>
      <c r="R256" s="49">
        <f>IFERROR(IF(Data_Entry!W245/Data_Entry!$H245&lt;0,0,Data_Entry!W245/Data_Entry!$H245),0)</f>
        <v>0.97238102844097618</v>
      </c>
      <c r="S256" s="49">
        <f>IFERROR(IF(Data_Entry!X245/Data_Entry!$H245&lt;0,0,Data_Entry!X245/Data_Entry!$H245),0)</f>
        <v>1.0565293866714454</v>
      </c>
      <c r="T256" s="49">
        <f>IFERROR(IF(Data_Entry!Y245/Data_Entry!$H245&lt;0,0,Data_Entry!Y245/Data_Entry!$H245),0)</f>
        <v>0.37165524885123852</v>
      </c>
      <c r="U256" s="49">
        <f>IFERROR(IF(Data_Entry!Z245/Data_Entry!$H245&lt;0,0,Data_Entry!Z245/Data_Entry!$H245),0)</f>
        <v>0.99809302678917511</v>
      </c>
      <c r="V256" s="49">
        <f>IFERROR(IF(Data_Entry!AA245/Data_Entry!$H245&lt;0,0,Data_Entry!AA245/Data_Entry!$H245),0)</f>
        <v>0.99575557239388435</v>
      </c>
      <c r="W256" s="49">
        <f>IFERROR(IF(Data_Entry!AB245/Data_Entry!$H245&lt;0,0,Data_Entry!AB245/Data_Entry!$H245),0)</f>
        <v>1.0097802987656292</v>
      </c>
      <c r="X256" s="49">
        <f>IFERROR(IF(Data_Entry!AC245/Data_Entry!$I245&lt;0,0,Data_Entry!AC245/Data_Entry!$I245),0)</f>
        <v>0.52005438477226373</v>
      </c>
      <c r="Y256" s="49">
        <f>IFERROR(IF(Data_Entry!AD245/Data_Entry!$I245&lt;0,0,Data_Entry!AD245/Data_Entry!$I245),0)</f>
        <v>0.25084976206662135</v>
      </c>
      <c r="Z256" s="49">
        <f>IFERROR(IF(Data_Entry!AE245/Data_Entry!$I245&lt;0,0,Data_Entry!AE245/Data_Entry!$I245),0)</f>
        <v>0.17539089055064583</v>
      </c>
      <c r="AA256" s="49">
        <f>IFERROR(IF(Data_Entry!AF245/Data_Entry!$I245&lt;0,0,Data_Entry!AF245/Data_Entry!$I245),0)</f>
        <v>7.9537729435757987E-2</v>
      </c>
      <c r="AB256" s="49">
        <f>IFERROR(IF(Data_Entry!AG245/Data_Entry!$I245&lt;0,0,Data_Entry!AG245/Data_Entry!$I245),0)</f>
        <v>1.6315431679129844E-2</v>
      </c>
      <c r="AC256" s="49">
        <f>IFERROR(IF(Data_Entry!AI245/Data_Entry!$I245&lt;0,0,Data_Entry!AI245/Data_Entry!$I245),0)</f>
        <v>0.11889870836165874</v>
      </c>
      <c r="AD256" s="49">
        <f>IFERROR(IF(Data_Entry!AM245/Data_Entry!$H245&lt;0,0,Data_Entry!AM245/Data_Entry!$H245),0)</f>
        <v>0.99809302678917511</v>
      </c>
      <c r="AE256" s="50">
        <f>Data_Entry!AK245</f>
        <v>31.815833333333387</v>
      </c>
      <c r="AF256" s="50">
        <f>Data_Entry!AL245</f>
        <v>0</v>
      </c>
      <c r="AG256" s="153">
        <f>(Data_Entry!O245-Data_Entry!Q245)/Data_Entry!O245</f>
        <v>5.3030303030303032E-2</v>
      </c>
      <c r="AH256" s="79" t="str">
        <f t="shared" si="6"/>
        <v>CAT1</v>
      </c>
      <c r="AI256" s="51">
        <f>SUBTOTAL(3,Tableau1[[#This Row],[ZS]])</f>
        <v>0</v>
      </c>
      <c r="AJ256" s="51" t="e">
        <f t="shared" ca="1" si="7"/>
        <v>#NAME?</v>
      </c>
      <c r="AK256" s="50" t="str">
        <f>IFERROR(IF((Data_Entry!O245-Data_Entry!Q245)/Data_Entry!O245&lt;=10%,"&lt;=10%","&gt;10%"),"&lt;=10%")</f>
        <v>&lt;=10%</v>
      </c>
    </row>
    <row r="257" spans="1:37" s="48" customFormat="1" ht="13" hidden="1" x14ac:dyDescent="0.3">
      <c r="A257" s="31" t="s">
        <v>16</v>
      </c>
      <c r="B257" s="48" t="str">
        <f>Data_Entry!B246</f>
        <v>Butembo</v>
      </c>
      <c r="C257" s="48" t="str">
        <f>Data_Entry!C246</f>
        <v xml:space="preserve"> Katwa</v>
      </c>
      <c r="D257" s="48" t="str">
        <f>Data_Entry!D246</f>
        <v xml:space="preserve"> Kivika</v>
      </c>
      <c r="E257" s="49">
        <f>IFERROR(IF(Data_Entry!J246/Data_Entry!$I246&lt;0,0,Data_Entry!J246/Data_Entry!$I246),0)</f>
        <v>0.82017504285843179</v>
      </c>
      <c r="F257" s="49">
        <f>IFERROR(IF(Data_Entry!K246/Data_Entry!$H246&lt;0,0,Data_Entry!K246/Data_Entry!$H246),0)</f>
        <v>0.3257525206393953</v>
      </c>
      <c r="G257" s="49">
        <f>IFERROR(IF(Data_Entry!L246/Data_Entry!$H246&lt;0,0,Data_Entry!L246/Data_Entry!$H246),0)</f>
        <v>0.95398952472965781</v>
      </c>
      <c r="H257" s="49">
        <f>IFERROR(IF(Data_Entry!M246/Data_Entry!$H246&lt;0,0,Data_Entry!M246/Data_Entry!$H246),0)</f>
        <v>0.82523971895313486</v>
      </c>
      <c r="I257" s="49">
        <f>IFERROR(IF(Data_Entry!N246/Data_Entry!$H246&lt;0,0,Data_Entry!N246/Data_Entry!$H246),0)</f>
        <v>0.92761908258265913</v>
      </c>
      <c r="J257" s="49">
        <f>IFERROR(IF(Data_Entry!O246/Data_Entry!$H246&lt;0,0,Data_Entry!O246/Data_Entry!$H246),0)</f>
        <v>0.95243832225042258</v>
      </c>
      <c r="K257" s="49">
        <f>IFERROR(IF(Data_Entry!P246/Data_Entry!$H246&lt;0,0,Data_Entry!P246/Data_Entry!$H246),0)</f>
        <v>0.97415515695971555</v>
      </c>
      <c r="L257" s="49">
        <f>IFERROR(IF(Data_Entry!Q246/Data_Entry!$H246&lt;0,0,Data_Entry!Q246/Data_Entry!$H246),0)</f>
        <v>0.92451667762418865</v>
      </c>
      <c r="M257" s="49">
        <f>IFERROR(IF(Data_Entry!R246/Data_Entry!$H246&lt;0,0,Data_Entry!R246/Data_Entry!$H246),0)</f>
        <v>0.93072148754112949</v>
      </c>
      <c r="N257" s="49">
        <f>IFERROR(IF(Data_Entry!S246/Data_Entry!$H246&lt;0,0,Data_Entry!S246/Data_Entry!$H246),0)</f>
        <v>0.92141427266571818</v>
      </c>
      <c r="O257" s="49">
        <f>IFERROR(IF(Data_Entry!T246/Data_Entry!$H246&lt;0,0,Data_Entry!T246/Data_Entry!$H246),0)</f>
        <v>0.89194142556024913</v>
      </c>
      <c r="P257" s="49">
        <f>IFERROR(IF(Data_Entry!U246/Data_Entry!$H246&lt;0,0,Data_Entry!U246/Data_Entry!$H246),0)</f>
        <v>0.87332699580942652</v>
      </c>
      <c r="Q257" s="49">
        <f>IFERROR(IF(Data_Entry!V246/Data_Entry!$H246&lt;0,0,Data_Entry!V246/Data_Entry!$H246),0)</f>
        <v>0.85005895862089831</v>
      </c>
      <c r="R257" s="49">
        <f>IFERROR(IF(Data_Entry!W246/Data_Entry!$H246&lt;0,0,Data_Entry!W246/Data_Entry!$H246),0)</f>
        <v>0.81283009911925308</v>
      </c>
      <c r="S257" s="49">
        <f>IFERROR(IF(Data_Entry!X246/Data_Entry!$H246&lt;0,0,Data_Entry!X246/Data_Entry!$H246),0)</f>
        <v>0.998974396627479</v>
      </c>
      <c r="T257" s="49">
        <f>IFERROR(IF(Data_Entry!Y246/Data_Entry!$H246&lt;0,0,Data_Entry!Y246/Data_Entry!$H246),0)</f>
        <v>0.27921644626233888</v>
      </c>
      <c r="U257" s="49">
        <f>IFERROR(IF(Data_Entry!Z246/Data_Entry!$H246&lt;0,0,Data_Entry!Z246/Data_Entry!$H246),0)</f>
        <v>0.78490845449301927</v>
      </c>
      <c r="V257" s="49">
        <f>IFERROR(IF(Data_Entry!AA246/Data_Entry!$H246&lt;0,0,Data_Entry!AA246/Data_Entry!$H246),0)</f>
        <v>0.8454053511831926</v>
      </c>
      <c r="W257" s="49">
        <f>IFERROR(IF(Data_Entry!AB246/Data_Entry!$H246&lt;0,0,Data_Entry!AB246/Data_Entry!$H246),0)</f>
        <v>0.91055585531107175</v>
      </c>
      <c r="X257" s="49">
        <f>IFERROR(IF(Data_Entry!AC246/Data_Entry!$I246&lt;0,0,Data_Entry!AC246/Data_Entry!$I246),0)</f>
        <v>0.31940810249932328</v>
      </c>
      <c r="Y257" s="49">
        <f>IFERROR(IF(Data_Entry!AD246/Data_Entry!$I246&lt;0,0,Data_Entry!AD246/Data_Entry!$I246),0)</f>
        <v>0.26527113597401425</v>
      </c>
      <c r="Z257" s="49">
        <f>IFERROR(IF(Data_Entry!AE246/Data_Entry!$I246&lt;0,0,Data_Entry!AE246/Data_Entry!$I246),0)</f>
        <v>4.6016421546512677E-2</v>
      </c>
      <c r="AA257" s="49">
        <f>IFERROR(IF(Data_Entry!AF246/Data_Entry!$I246&lt;0,0,Data_Entry!AF246/Data_Entry!$I246),0)</f>
        <v>4.1956149057114499E-2</v>
      </c>
      <c r="AB257" s="49">
        <f>IFERROR(IF(Data_Entry!AG246/Data_Entry!$I246&lt;0,0,Data_Entry!AG246/Data_Entry!$I246),0)</f>
        <v>2.8421907425787242E-2</v>
      </c>
      <c r="AC257" s="49">
        <f>IFERROR(IF(Data_Entry!AI246/Data_Entry!$I246&lt;0,0,Data_Entry!AI246/Data_Entry!$I246),0)</f>
        <v>7.8904628710637914E-2</v>
      </c>
      <c r="AD257" s="49">
        <f>IFERROR(IF(Data_Entry!AM246/Data_Entry!$H246&lt;0,0,Data_Entry!AM246/Data_Entry!$H246),0)</f>
        <v>0.78490845449301927</v>
      </c>
      <c r="AE257" s="50">
        <f>Data_Entry!AK246</f>
        <v>30.661166666666645</v>
      </c>
      <c r="AF257" s="50">
        <f>Data_Entry!AL246</f>
        <v>0</v>
      </c>
      <c r="AG257" s="153">
        <f>(Data_Entry!O246-Data_Entry!Q246)/Data_Entry!O246</f>
        <v>2.9315960912052116E-2</v>
      </c>
      <c r="AH257" s="79" t="str">
        <f t="shared" si="6"/>
        <v>CAT1</v>
      </c>
      <c r="AI257" s="51">
        <f>SUBTOTAL(3,Tableau1[[#This Row],[ZS]])</f>
        <v>0</v>
      </c>
      <c r="AJ257" s="51" t="e">
        <f t="shared" ca="1" si="7"/>
        <v>#NAME?</v>
      </c>
      <c r="AK257" s="50" t="str">
        <f>IFERROR(IF((Data_Entry!O246-Data_Entry!Q246)/Data_Entry!O246&lt;=10%,"&lt;=10%","&gt;10%"),"&lt;=10%")</f>
        <v>&lt;=10%</v>
      </c>
    </row>
    <row r="258" spans="1:37" s="48" customFormat="1" ht="13" hidden="1" x14ac:dyDescent="0.3">
      <c r="A258" s="31" t="s">
        <v>16</v>
      </c>
      <c r="B258" s="48" t="str">
        <f>Data_Entry!B247</f>
        <v>Butembo</v>
      </c>
      <c r="C258" s="48" t="str">
        <f>Data_Entry!C247</f>
        <v xml:space="preserve"> Katwa</v>
      </c>
      <c r="D258" s="48" t="str">
        <f>Data_Entry!D247</f>
        <v xml:space="preserve"> Kyaghala  </v>
      </c>
      <c r="E258" s="49">
        <f>IFERROR(IF(Data_Entry!J247/Data_Entry!$I247&lt;0,0,Data_Entry!J247/Data_Entry!$I247),0)</f>
        <v>1.0712960290297309</v>
      </c>
      <c r="F258" s="49">
        <f>IFERROR(IF(Data_Entry!K247/Data_Entry!$H247&lt;0,0,Data_Entry!K247/Data_Entry!$H247),0)</f>
        <v>0.68197938016675874</v>
      </c>
      <c r="G258" s="49">
        <f>IFERROR(IF(Data_Entry!L247/Data_Entry!$H247&lt;0,0,Data_Entry!L247/Data_Entry!$H247),0)</f>
        <v>1.1300157297149829</v>
      </c>
      <c r="H258" s="49">
        <f>IFERROR(IF(Data_Entry!M247/Data_Entry!$H247&lt;0,0,Data_Entry!M247/Data_Entry!$H247),0)</f>
        <v>1.0137531326803171</v>
      </c>
      <c r="I258" s="49">
        <f>IFERROR(IF(Data_Entry!N247/Data_Entry!$H247&lt;0,0,Data_Entry!N247/Data_Entry!$H247),0)</f>
        <v>1.0491990464103982</v>
      </c>
      <c r="J258" s="49">
        <f>IFERROR(IF(Data_Entry!O247/Data_Entry!$H247&lt;0,0,Data_Entry!O247/Data_Entry!$H247),0)</f>
        <v>1.6716292915106208</v>
      </c>
      <c r="K258" s="49">
        <f>IFERROR(IF(Data_Entry!P247/Data_Entry!$H247&lt;0,0,Data_Entry!P247/Data_Entry!$H247),0)</f>
        <v>1.4277614050476635</v>
      </c>
      <c r="L258" s="49">
        <f>IFERROR(IF(Data_Entry!Q247/Data_Entry!$H247&lt;0,0,Data_Entry!Q247/Data_Entry!$H247),0)</f>
        <v>2.7194105013718159</v>
      </c>
      <c r="M258" s="49">
        <f>IFERROR(IF(Data_Entry!R247/Data_Entry!$H247&lt;0,0,Data_Entry!R247/Data_Entry!$H247),0)</f>
        <v>1.7170000610851246</v>
      </c>
      <c r="N258" s="49">
        <f>IFERROR(IF(Data_Entry!S247/Data_Entry!$H247&lt;0,0,Data_Entry!S247/Data_Entry!$H247),0)</f>
        <v>1.5043245787046384</v>
      </c>
      <c r="O258" s="49">
        <f>IFERROR(IF(Data_Entry!T247/Data_Entry!$H247&lt;0,0,Data_Entry!T247/Data_Entry!$H247),0)</f>
        <v>1.6361833777805399</v>
      </c>
      <c r="P258" s="49">
        <f>IFERROR(IF(Data_Entry!U247/Data_Entry!$H247&lt;0,0,Data_Entry!U247/Data_Entry!$H247),0)</f>
        <v>1.7028216955930922</v>
      </c>
      <c r="Q258" s="49">
        <f>IFERROR(IF(Data_Entry!V247/Data_Entry!$H247&lt;0,0,Data_Entry!V247/Data_Entry!$H247),0)</f>
        <v>1.4674608284253541</v>
      </c>
      <c r="R258" s="49">
        <f>IFERROR(IF(Data_Entry!W247/Data_Entry!$H247&lt;0,0,Data_Entry!W247/Data_Entry!$H247),0)</f>
        <v>1.6092444833456783</v>
      </c>
      <c r="S258" s="49">
        <f>IFERROR(IF(Data_Entry!X247/Data_Entry!$H247&lt;0,0,Data_Entry!X247/Data_Entry!$H247),0)</f>
        <v>1.4362684243428829</v>
      </c>
      <c r="T258" s="49">
        <f>IFERROR(IF(Data_Entry!Y247/Data_Entry!$H247&lt;0,0,Data_Entry!Y247/Data_Entry!$H247),0)</f>
        <v>0.30341702152949351</v>
      </c>
      <c r="U258" s="49">
        <f>IFERROR(IF(Data_Entry!Z247/Data_Entry!$H247&lt;0,0,Data_Entry!Z247/Data_Entry!$H247),0)</f>
        <v>2.2883881904140306</v>
      </c>
      <c r="V258" s="49">
        <f>IFERROR(IF(Data_Entry!AA247/Data_Entry!$H247&lt;0,0,Data_Entry!AA247/Data_Entry!$H247),0)</f>
        <v>1.9509430917036592</v>
      </c>
      <c r="W258" s="49">
        <f>IFERROR(IF(Data_Entry!AB247/Data_Entry!$H247&lt;0,0,Data_Entry!AB247/Data_Entry!$H247),0)</f>
        <v>1.4858927035649963</v>
      </c>
      <c r="X258" s="49">
        <f>IFERROR(IF(Data_Entry!AC247/Data_Entry!$I247&lt;0,0,Data_Entry!AC247/Data_Entry!$I247),0)</f>
        <v>0.24988660261432522</v>
      </c>
      <c r="Y258" s="49">
        <f>IFERROR(IF(Data_Entry!AD247/Data_Entry!$I247&lt;0,0,Data_Entry!AD247/Data_Entry!$I247),0)</f>
        <v>4.5771308399653626E-2</v>
      </c>
      <c r="Z258" s="49">
        <f>IFERROR(IF(Data_Entry!AE247/Data_Entry!$I247&lt;0,0,Data_Entry!AE247/Data_Entry!$I247),0)</f>
        <v>4.5771308399653626E-2</v>
      </c>
      <c r="AA258" s="49">
        <f>IFERROR(IF(Data_Entry!AF247/Data_Entry!$I247&lt;0,0,Data_Entry!AF247/Data_Entry!$I247),0)</f>
        <v>2.3504185394416729E-2</v>
      </c>
      <c r="AB258" s="49">
        <f>IFERROR(IF(Data_Entry!AG247/Data_Entry!$I247&lt;0,0,Data_Entry!AG247/Data_Entry!$I247),0)</f>
        <v>1.3607686280978106E-2</v>
      </c>
      <c r="AC258" s="49">
        <f>IFERROR(IF(Data_Entry!AI247/Data_Entry!$I247&lt;0,0,Data_Entry!AI247/Data_Entry!$I247),0)</f>
        <v>7.2120737289183959E-2</v>
      </c>
      <c r="AD258" s="49">
        <f>IFERROR(IF(Data_Entry!AM247/Data_Entry!$H247&lt;0,0,Data_Entry!AM247/Data_Entry!$H247),0)</f>
        <v>1.4362684243428829</v>
      </c>
      <c r="AE258" s="50">
        <f>Data_Entry!AK247</f>
        <v>0</v>
      </c>
      <c r="AF258" s="50">
        <f>Data_Entry!AL247</f>
        <v>166</v>
      </c>
      <c r="AG258" s="153">
        <f>(Data_Entry!O247-Data_Entry!Q247)/Data_Entry!O247</f>
        <v>-0.62680237489397794</v>
      </c>
      <c r="AH258" s="79" t="str">
        <f t="shared" si="6"/>
        <v>CAT1</v>
      </c>
      <c r="AI258" s="51">
        <f>SUBTOTAL(3,Tableau1[[#This Row],[ZS]])</f>
        <v>0</v>
      </c>
      <c r="AJ258" s="51" t="e">
        <f t="shared" ca="1" si="7"/>
        <v>#NAME?</v>
      </c>
      <c r="AK258" s="50" t="str">
        <f>IFERROR(IF((Data_Entry!O247-Data_Entry!Q247)/Data_Entry!O247&lt;=10%,"&lt;=10%","&gt;10%"),"&lt;=10%")</f>
        <v>&lt;=10%</v>
      </c>
    </row>
    <row r="259" spans="1:37" s="48" customFormat="1" ht="13" hidden="1" x14ac:dyDescent="0.3">
      <c r="A259" s="31" t="s">
        <v>16</v>
      </c>
      <c r="B259" s="48" t="str">
        <f>Data_Entry!B248</f>
        <v>Butembo</v>
      </c>
      <c r="C259" s="48" t="str">
        <f>Data_Entry!C248</f>
        <v xml:space="preserve"> Katwa</v>
      </c>
      <c r="D259" s="48" t="str">
        <f>Data_Entry!D248</f>
        <v xml:space="preserve"> Makangala</v>
      </c>
      <c r="E259" s="49">
        <f>IFERROR(IF(Data_Entry!J248/Data_Entry!$I248&lt;0,0,Data_Entry!J248/Data_Entry!$I248),0)</f>
        <v>0.86177547025278745</v>
      </c>
      <c r="F259" s="49">
        <f>IFERROR(IF(Data_Entry!K248/Data_Entry!$H248&lt;0,0,Data_Entry!K248/Data_Entry!$H248),0)</f>
        <v>0.90869161333245208</v>
      </c>
      <c r="G259" s="49">
        <f>IFERROR(IF(Data_Entry!L248/Data_Entry!$H248&lt;0,0,Data_Entry!L248/Data_Entry!$H248),0)</f>
        <v>0.95990611649933744</v>
      </c>
      <c r="H259" s="49">
        <f>IFERROR(IF(Data_Entry!M248/Data_Entry!$H248&lt;0,0,Data_Entry!M248/Data_Entry!$H248),0)</f>
        <v>0.93942031523258329</v>
      </c>
      <c r="I259" s="49">
        <f>IFERROR(IF(Data_Entry!N248/Data_Entry!$H248&lt;0,0,Data_Entry!N248/Data_Entry!$H248),0)</f>
        <v>0.91454469940866756</v>
      </c>
      <c r="J259" s="49">
        <f>IFERROR(IF(Data_Entry!O248/Data_Entry!$H248&lt;0,0,Data_Entry!O248/Data_Entry!$H248),0)</f>
        <v>0.87064655383705158</v>
      </c>
      <c r="K259" s="49">
        <f>IFERROR(IF(Data_Entry!P248/Data_Entry!$H248&lt;0,0,Data_Entry!P248/Data_Entry!$H248),0)</f>
        <v>0.91308142788961366</v>
      </c>
      <c r="L259" s="49">
        <f>IFERROR(IF(Data_Entry!Q248/Data_Entry!$H248&lt;0,0,Data_Entry!Q248/Data_Entry!$H248),0)</f>
        <v>0.88966908358475183</v>
      </c>
      <c r="M259" s="49">
        <f>IFERROR(IF(Data_Entry!R248/Data_Entry!$H248&lt;0,0,Data_Entry!R248/Data_Entry!$H248),0)</f>
        <v>0.95844284498028365</v>
      </c>
      <c r="N259" s="49">
        <f>IFERROR(IF(Data_Entry!S248/Data_Entry!$H248&lt;0,0,Data_Entry!S248/Data_Entry!$H248),0)</f>
        <v>0.9379570437135295</v>
      </c>
      <c r="O259" s="49">
        <f>IFERROR(IF(Data_Entry!T248/Data_Entry!$H248&lt;0,0,Data_Entry!T248/Data_Entry!$H248),0)</f>
        <v>0.91308142788961366</v>
      </c>
      <c r="P259" s="49">
        <f>IFERROR(IF(Data_Entry!U248/Data_Entry!$H248&lt;0,0,Data_Entry!U248/Data_Entry!$H248),0)</f>
        <v>0.90869161333245208</v>
      </c>
      <c r="Q259" s="49">
        <f>IFERROR(IF(Data_Entry!V248/Data_Entry!$H248&lt;0,0,Data_Entry!V248/Data_Entry!$H248),0)</f>
        <v>3.627450095734539</v>
      </c>
      <c r="R259" s="49">
        <f>IFERROR(IF(Data_Entry!W248/Data_Entry!$H248&lt;0,0,Data_Entry!W248/Data_Entry!$H248),0)</f>
        <v>0.85308729560840513</v>
      </c>
      <c r="S259" s="49">
        <f>IFERROR(IF(Data_Entry!X248/Data_Entry!$H248&lt;0,0,Data_Entry!X248/Data_Entry!$H248),0)</f>
        <v>0.97014901713271462</v>
      </c>
      <c r="T259" s="49">
        <f>IFERROR(IF(Data_Entry!Y248/Data_Entry!$H248&lt;0,0,Data_Entry!Y248/Data_Entry!$H248),0)</f>
        <v>0.13315770823390199</v>
      </c>
      <c r="U259" s="49">
        <f>IFERROR(IF(Data_Entry!Z248/Data_Entry!$H248&lt;0,0,Data_Entry!Z248/Data_Entry!$H248),0)</f>
        <v>0.90576507029434439</v>
      </c>
      <c r="V259" s="49">
        <f>IFERROR(IF(Data_Entry!AA248/Data_Entry!$H248&lt;0,0,Data_Entry!AA248/Data_Entry!$H248),0)</f>
        <v>0.91454469940866756</v>
      </c>
      <c r="W259" s="49">
        <f>IFERROR(IF(Data_Entry!AB248/Data_Entry!$H248&lt;0,0,Data_Entry!AB248/Data_Entry!$H248),0)</f>
        <v>0.96722247409460682</v>
      </c>
      <c r="X259" s="49">
        <f>IFERROR(IF(Data_Entry!AC248/Data_Entry!$I248&lt;0,0,Data_Entry!AC248/Data_Entry!$I248),0)</f>
        <v>0.32683632649587202</v>
      </c>
      <c r="Y259" s="49">
        <f>IFERROR(IF(Data_Entry!AD248/Data_Entry!$I248&lt;0,0,Data_Entry!AD248/Data_Entry!$I248),0)</f>
        <v>0.17746191165205549</v>
      </c>
      <c r="Z259" s="49">
        <f>IFERROR(IF(Data_Entry!AE248/Data_Entry!$I248&lt;0,0,Data_Entry!AE248/Data_Entry!$I248),0)</f>
        <v>6.6388628819473994E-2</v>
      </c>
      <c r="AA259" s="49">
        <f>IFERROR(IF(Data_Entry!AF248/Data_Entry!$I248&lt;0,0,Data_Entry!AF248/Data_Entry!$I248),0)</f>
        <v>7.7878968422844502E-2</v>
      </c>
      <c r="AB259" s="49">
        <f>IFERROR(IF(Data_Entry!AG248/Data_Entry!$I248&lt;0,0,Data_Entry!AG248/Data_Entry!$I248),0)</f>
        <v>7.1495446420971998E-2</v>
      </c>
      <c r="AC259" s="49">
        <f>IFERROR(IF(Data_Entry!AI248/Data_Entry!$I248&lt;0,0,Data_Entry!AI248/Data_Entry!$I248),0)</f>
        <v>6.3835220018725006E-2</v>
      </c>
      <c r="AD259" s="49">
        <f>IFERROR(IF(Data_Entry!AM248/Data_Entry!$H248&lt;0,0,Data_Entry!AM248/Data_Entry!$H248),0)</f>
        <v>0.90576507029434439</v>
      </c>
      <c r="AE259" s="50">
        <f>Data_Entry!AK248</f>
        <v>88.400166666666678</v>
      </c>
      <c r="AF259" s="50">
        <f>Data_Entry!AL248</f>
        <v>0</v>
      </c>
      <c r="AG259" s="153">
        <f>(Data_Entry!O248-Data_Entry!Q248)/Data_Entry!O248</f>
        <v>-2.1848739495798318E-2</v>
      </c>
      <c r="AH259" s="79" t="str">
        <f t="shared" si="6"/>
        <v>CAT3</v>
      </c>
      <c r="AI259" s="51">
        <f>SUBTOTAL(3,Tableau1[[#This Row],[ZS]])</f>
        <v>0</v>
      </c>
      <c r="AJ259" s="51" t="e">
        <f t="shared" ca="1" si="7"/>
        <v>#NAME?</v>
      </c>
      <c r="AK259" s="50" t="str">
        <f>IFERROR(IF((Data_Entry!O248-Data_Entry!Q248)/Data_Entry!O248&lt;=10%,"&lt;=10%","&gt;10%"),"&lt;=10%")</f>
        <v>&lt;=10%</v>
      </c>
    </row>
    <row r="260" spans="1:37" s="48" customFormat="1" ht="13" hidden="1" x14ac:dyDescent="0.3">
      <c r="A260" s="31" t="s">
        <v>16</v>
      </c>
      <c r="B260" s="48" t="str">
        <f>Data_Entry!B249</f>
        <v>Butembo</v>
      </c>
      <c r="C260" s="48" t="str">
        <f>Data_Entry!C249</f>
        <v xml:space="preserve"> Katwa</v>
      </c>
      <c r="D260" s="48" t="str">
        <f>Data_Entry!D249</f>
        <v xml:space="preserve"> Makerere</v>
      </c>
      <c r="E260" s="49">
        <f>IFERROR(IF(Data_Entry!J249/Data_Entry!$I249&lt;0,0,Data_Entry!J249/Data_Entry!$I249),0)</f>
        <v>0.66057692307692317</v>
      </c>
      <c r="F260" s="49">
        <f>IFERROR(IF(Data_Entry!K249/Data_Entry!$H249&lt;0,0,Data_Entry!K249/Data_Entry!$H249),0)</f>
        <v>0.52733083535375802</v>
      </c>
      <c r="G260" s="49">
        <f>IFERROR(IF(Data_Entry!L249/Data_Entry!$H249&lt;0,0,Data_Entry!L249/Data_Entry!$H249),0)</f>
        <v>1.0513555212695616</v>
      </c>
      <c r="H260" s="49">
        <f>IFERROR(IF(Data_Entry!M249/Data_Entry!$H249&lt;0,0,Data_Entry!M249/Data_Entry!$H249),0)</f>
        <v>1.031518624641834</v>
      </c>
      <c r="I260" s="49">
        <f>IFERROR(IF(Data_Entry!N249/Data_Entry!$H249&lt;0,0,Data_Entry!N249/Data_Entry!$H249),0)</f>
        <v>1.0447432223936524</v>
      </c>
      <c r="J260" s="49">
        <f>IFERROR(IF(Data_Entry!O249/Data_Entry!$H249&lt;0,0,Data_Entry!O249/Data_Entry!$H249),0)</f>
        <v>1.153846153846154</v>
      </c>
      <c r="K260" s="49">
        <f>IFERROR(IF(Data_Entry!P249/Data_Entry!$H249&lt;0,0,Data_Entry!P249/Data_Entry!$H249),0)</f>
        <v>1.1059069869958122</v>
      </c>
      <c r="L260" s="49">
        <f>IFERROR(IF(Data_Entry!Q249/Data_Entry!$H249&lt;0,0,Data_Entry!Q249/Data_Entry!$H249),0)</f>
        <v>1.1108662111527443</v>
      </c>
      <c r="M260" s="49">
        <f>IFERROR(IF(Data_Entry!R249/Data_Entry!$H249&lt;0,0,Data_Entry!R249/Data_Entry!$H249),0)</f>
        <v>1.1455807802512674</v>
      </c>
      <c r="N260" s="49">
        <f>IFERROR(IF(Data_Entry!S249/Data_Entry!$H249&lt;0,0,Data_Entry!S249/Data_Entry!$H249),0)</f>
        <v>1.0926823892439939</v>
      </c>
      <c r="O260" s="49">
        <f>IFERROR(IF(Data_Entry!T249/Data_Entry!$H249&lt;0,0,Data_Entry!T249/Data_Entry!$H249),0)</f>
        <v>1.0910293145250167</v>
      </c>
      <c r="P260" s="49">
        <f>IFERROR(IF(Data_Entry!U249/Data_Entry!$H249&lt;0,0,Data_Entry!U249/Data_Entry!$H249),0)</f>
        <v>0.93233414150319605</v>
      </c>
      <c r="Q260" s="49">
        <f>IFERROR(IF(Data_Entry!V249/Data_Entry!$H249&lt;0,0,Data_Entry!V249/Data_Entry!$H249),0)</f>
        <v>0.90753802071853651</v>
      </c>
      <c r="R260" s="49">
        <f>IFERROR(IF(Data_Entry!W249/Data_Entry!$H249&lt;0,0,Data_Entry!W249/Data_Entry!$H249),0)</f>
        <v>0.88770112409080904</v>
      </c>
      <c r="S260" s="49">
        <f>IFERROR(IF(Data_Entry!X249/Data_Entry!$H249&lt;0,0,Data_Entry!X249/Data_Entry!$H249),0)</f>
        <v>0.9951509808243334</v>
      </c>
      <c r="T260" s="49">
        <f>IFERROR(IF(Data_Entry!Y249/Data_Entry!$H249&lt;0,0,Data_Entry!Y249/Data_Entry!$H249),0)</f>
        <v>0.12893982808022925</v>
      </c>
      <c r="U260" s="49">
        <f>IFERROR(IF(Data_Entry!Z249/Data_Entry!$H249&lt;0,0,Data_Entry!Z249/Data_Entry!$H249),0)</f>
        <v>1.010028653295129</v>
      </c>
      <c r="V260" s="49">
        <f>IFERROR(IF(Data_Entry!AA249/Data_Entry!$H249&lt;0,0,Data_Entry!AA249/Data_Entry!$H249),0)</f>
        <v>1.1389684813753582</v>
      </c>
      <c r="W260" s="49">
        <f>IFERROR(IF(Data_Entry!AB249/Data_Entry!$H249&lt;0,0,Data_Entry!AB249/Data_Entry!$H249),0)</f>
        <v>0.79016971567114835</v>
      </c>
      <c r="X260" s="49">
        <f>IFERROR(IF(Data_Entry!AC249/Data_Entry!$I249&lt;0,0,Data_Entry!AC249/Data_Entry!$I249),0)</f>
        <v>0.2495192307692308</v>
      </c>
      <c r="Y260" s="49">
        <f>IFERROR(IF(Data_Entry!AD249/Data_Entry!$I249&lt;0,0,Data_Entry!AD249/Data_Entry!$I249),0)</f>
        <v>0.15721153846153849</v>
      </c>
      <c r="Z260" s="49">
        <f>IFERROR(IF(Data_Entry!AE249/Data_Entry!$I249&lt;0,0,Data_Entry!AE249/Data_Entry!$I249),0)</f>
        <v>0.10384615384615385</v>
      </c>
      <c r="AA260" s="49">
        <f>IFERROR(IF(Data_Entry!AF249/Data_Entry!$I249&lt;0,0,Data_Entry!AF249/Data_Entry!$I249),0)</f>
        <v>6.9230769230769235E-2</v>
      </c>
      <c r="AB260" s="49">
        <f>IFERROR(IF(Data_Entry!AG249/Data_Entry!$I249&lt;0,0,Data_Entry!AG249/Data_Entry!$I249),0)</f>
        <v>4.1826923076923081E-2</v>
      </c>
      <c r="AC260" s="49">
        <f>IFERROR(IF(Data_Entry!AI249/Data_Entry!$I249&lt;0,0,Data_Entry!AI249/Data_Entry!$I249),0)</f>
        <v>8.4086538461538463E-2</v>
      </c>
      <c r="AD260" s="49">
        <f>IFERROR(IF(Data_Entry!AM249/Data_Entry!$H249&lt;0,0,Data_Entry!AM249/Data_Entry!$H249),0)</f>
        <v>0.9951509808243334</v>
      </c>
      <c r="AE260" s="50">
        <f>Data_Entry!AK249</f>
        <v>0</v>
      </c>
      <c r="AF260" s="50">
        <f>Data_Entry!AL249</f>
        <v>96</v>
      </c>
      <c r="AG260" s="153">
        <f>(Data_Entry!O249-Data_Entry!Q249)/Data_Entry!O249</f>
        <v>3.7249283667621778E-2</v>
      </c>
      <c r="AH260" s="79" t="str">
        <f t="shared" si="6"/>
        <v>CAT1</v>
      </c>
      <c r="AI260" s="51">
        <f>SUBTOTAL(3,Tableau1[[#This Row],[ZS]])</f>
        <v>0</v>
      </c>
      <c r="AJ260" s="51" t="e">
        <f t="shared" ca="1" si="7"/>
        <v>#NAME?</v>
      </c>
      <c r="AK260" s="50" t="str">
        <f>IFERROR(IF((Data_Entry!O249-Data_Entry!Q249)/Data_Entry!O249&lt;=10%,"&lt;=10%","&gt;10%"),"&lt;=10%")</f>
        <v>&lt;=10%</v>
      </c>
    </row>
    <row r="261" spans="1:37" s="48" customFormat="1" ht="13" hidden="1" x14ac:dyDescent="0.3">
      <c r="A261" s="31" t="s">
        <v>16</v>
      </c>
      <c r="B261" s="48" t="str">
        <f>Data_Entry!B250</f>
        <v>Butembo</v>
      </c>
      <c r="C261" s="48" t="str">
        <f>Data_Entry!C250</f>
        <v xml:space="preserve"> Katwa</v>
      </c>
      <c r="D261" s="48" t="str">
        <f>Data_Entry!D250</f>
        <v xml:space="preserve"> Masiki</v>
      </c>
      <c r="E261" s="49">
        <f>IFERROR(IF(Data_Entry!J250/Data_Entry!$I250&lt;0,0,Data_Entry!J250/Data_Entry!$I250),0)</f>
        <v>1.0448779157004502</v>
      </c>
      <c r="F261" s="49">
        <f>IFERROR(IF(Data_Entry!K250/Data_Entry!$H250&lt;0,0,Data_Entry!K250/Data_Entry!$H250),0)</f>
        <v>0.38459749566057549</v>
      </c>
      <c r="G261" s="49">
        <f>IFERROR(IF(Data_Entry!L250/Data_Entry!$H250&lt;0,0,Data_Entry!L250/Data_Entry!$H250),0)</f>
        <v>0.98807161486781991</v>
      </c>
      <c r="H261" s="49">
        <f>IFERROR(IF(Data_Entry!M250/Data_Entry!$H250&lt;0,0,Data_Entry!M250/Data_Entry!$H250),0)</f>
        <v>0.96774735696705783</v>
      </c>
      <c r="I261" s="49">
        <f>IFERROR(IF(Data_Entry!N250/Data_Entry!$H250&lt;0,0,Data_Entry!N250/Data_Entry!$H250),0)</f>
        <v>0.94898650352020042</v>
      </c>
      <c r="J261" s="49">
        <f>IFERROR(IF(Data_Entry!O250/Data_Entry!$H250&lt;0,0,Data_Entry!O250/Data_Entry!$H250),0)</f>
        <v>0.98807161486781991</v>
      </c>
      <c r="K261" s="49">
        <f>IFERROR(IF(Data_Entry!P250/Data_Entry!$H250&lt;0,0,Data_Entry!P250/Data_Entry!$H250),0)</f>
        <v>0.96618395251315303</v>
      </c>
      <c r="L261" s="49">
        <f>IFERROR(IF(Data_Entry!Q250/Data_Entry!$H250&lt;0,0,Data_Entry!Q250/Data_Entry!$H250),0)</f>
        <v>0.95680352578972439</v>
      </c>
      <c r="M261" s="49">
        <f>IFERROR(IF(Data_Entry!R250/Data_Entry!$H250&lt;0,0,Data_Entry!R250/Data_Entry!$H250),0)</f>
        <v>0.98494480596001033</v>
      </c>
      <c r="N261" s="49">
        <f>IFERROR(IF(Data_Entry!S250/Data_Entry!$H250&lt;0,0,Data_Entry!S250/Data_Entry!$H250),0)</f>
        <v>0.96462054805924824</v>
      </c>
      <c r="O261" s="49">
        <f>IFERROR(IF(Data_Entry!T250/Data_Entry!$H250&lt;0,0,Data_Entry!T250/Data_Entry!$H250),0)</f>
        <v>0.95211331242801001</v>
      </c>
      <c r="P261" s="49">
        <f>IFERROR(IF(Data_Entry!U250/Data_Entry!$H250&lt;0,0,Data_Entry!U250/Data_Entry!$H250),0)</f>
        <v>0.98494480596001033</v>
      </c>
      <c r="Q261" s="49">
        <f>IFERROR(IF(Data_Entry!V250/Data_Entry!$H250&lt;0,0,Data_Entry!V250/Data_Entry!$H250),0)</f>
        <v>0.96774735696705783</v>
      </c>
      <c r="R261" s="49">
        <f>IFERROR(IF(Data_Entry!W250/Data_Entry!$H250&lt;0,0,Data_Entry!W250/Data_Entry!$H250),0)</f>
        <v>0.95211331242801001</v>
      </c>
      <c r="S261" s="49">
        <f>IFERROR(IF(Data_Entry!X250/Data_Entry!$H250&lt;0,0,Data_Entry!X250/Data_Entry!$H250),0)</f>
        <v>1.1522290825278216</v>
      </c>
      <c r="T261" s="49">
        <f>IFERROR(IF(Data_Entry!Y250/Data_Entry!$H250&lt;0,0,Data_Entry!Y250/Data_Entry!$H250),0)</f>
        <v>0.19229874783028775</v>
      </c>
      <c r="U261" s="49">
        <f>IFERROR(IF(Data_Entry!Z250/Data_Entry!$H250&lt;0,0,Data_Entry!Z250/Data_Entry!$H250),0)</f>
        <v>1.2085116428683937</v>
      </c>
      <c r="V261" s="49">
        <f>IFERROR(IF(Data_Entry!AA250/Data_Entry!$H250&lt;0,0,Data_Entry!AA250/Data_Entry!$H250),0)</f>
        <v>0.94898650352020042</v>
      </c>
      <c r="W261" s="49">
        <f>IFERROR(IF(Data_Entry!AB250/Data_Entry!$H250&lt;0,0,Data_Entry!AB250/Data_Entry!$H250),0)</f>
        <v>0.42993622482381405</v>
      </c>
      <c r="X261" s="49">
        <f>IFERROR(IF(Data_Entry!AC250/Data_Entry!$I250&lt;0,0,Data_Entry!AC250/Data_Entry!$I250),0)</f>
        <v>0.2127949802209794</v>
      </c>
      <c r="Y261" s="49">
        <f>IFERROR(IF(Data_Entry!AD250/Data_Entry!$I250&lt;0,0,Data_Entry!AD250/Data_Entry!$I250),0)</f>
        <v>8.3208293547947065E-2</v>
      </c>
      <c r="Z261" s="49">
        <f>IFERROR(IF(Data_Entry!AE250/Data_Entry!$I250&lt;0,0,Data_Entry!AE250/Data_Entry!$I250),0)</f>
        <v>7.9116082389851308E-2</v>
      </c>
      <c r="AA261" s="49">
        <f>IFERROR(IF(Data_Entry!AF250/Data_Entry!$I250&lt;0,0,Data_Entry!AF250/Data_Entry!$I250),0)</f>
        <v>4.9106533897149092E-2</v>
      </c>
      <c r="AB261" s="49">
        <f>IFERROR(IF(Data_Entry!AG250/Data_Entry!$I250&lt;0,0,Data_Entry!AG250/Data_Entry!$I250),0)</f>
        <v>3.6829900422861821E-2</v>
      </c>
      <c r="AC261" s="49">
        <f>IFERROR(IF(Data_Entry!AI250/Data_Entry!$I250&lt;0,0,Data_Entry!AI250/Data_Entry!$I250),0)</f>
        <v>7.952530350566088E-2</v>
      </c>
      <c r="AD261" s="49">
        <f>IFERROR(IF(Data_Entry!AM250/Data_Entry!$H250&lt;0,0,Data_Entry!AM250/Data_Entry!$H250),0)</f>
        <v>1.1522290825278216</v>
      </c>
      <c r="AE261" s="50">
        <f>Data_Entry!AK250</f>
        <v>7.6297500000000582</v>
      </c>
      <c r="AF261" s="50">
        <f>Data_Entry!AL250</f>
        <v>0</v>
      </c>
      <c r="AG261" s="153">
        <f>(Data_Entry!O250-Data_Entry!Q250)/Data_Entry!O250</f>
        <v>3.1645569620253167E-2</v>
      </c>
      <c r="AH261" s="79" t="str">
        <f t="shared" si="6"/>
        <v>CAT1</v>
      </c>
      <c r="AI261" s="51">
        <f>SUBTOTAL(3,Tableau1[[#This Row],[ZS]])</f>
        <v>0</v>
      </c>
      <c r="AJ261" s="51" t="e">
        <f t="shared" ca="1" si="7"/>
        <v>#NAME?</v>
      </c>
      <c r="AK261" s="50" t="str">
        <f>IFERROR(IF((Data_Entry!O250-Data_Entry!Q250)/Data_Entry!O250&lt;=10%,"&lt;=10%","&gt;10%"),"&lt;=10%")</f>
        <v>&lt;=10%</v>
      </c>
    </row>
    <row r="262" spans="1:37" s="48" customFormat="1" ht="13" hidden="1" x14ac:dyDescent="0.3">
      <c r="A262" s="31" t="s">
        <v>16</v>
      </c>
      <c r="B262" s="48" t="str">
        <f>Data_Entry!B251</f>
        <v>Butembo</v>
      </c>
      <c r="C262" s="48" t="str">
        <f>Data_Entry!C251</f>
        <v xml:space="preserve"> Katwa</v>
      </c>
      <c r="D262" s="48" t="str">
        <f>Data_Entry!D251</f>
        <v xml:space="preserve"> Masuli</v>
      </c>
      <c r="E262" s="49">
        <f>IFERROR(IF(Data_Entry!J251/Data_Entry!$I251&lt;0,0,Data_Entry!J251/Data_Entry!$I251),0)</f>
        <v>1.0962040829490116</v>
      </c>
      <c r="F262" s="49">
        <f>IFERROR(IF(Data_Entry!K251/Data_Entry!$H251&lt;0,0,Data_Entry!K251/Data_Entry!$H251),0)</f>
        <v>1.5779780940490098</v>
      </c>
      <c r="G262" s="49">
        <f>IFERROR(IF(Data_Entry!L251/Data_Entry!$H251&lt;0,0,Data_Entry!L251/Data_Entry!$H251),0)</f>
        <v>1.023523387777397</v>
      </c>
      <c r="H262" s="49">
        <f>IFERROR(IF(Data_Entry!M251/Data_Entry!$H251&lt;0,0,Data_Entry!M251/Data_Entry!$H251),0)</f>
        <v>0.9725135548004088</v>
      </c>
      <c r="I262" s="49">
        <f>IFERROR(IF(Data_Entry!N251/Data_Entry!$H251&lt;0,0,Data_Entry!N251/Data_Entry!$H251),0)</f>
        <v>0.98138483010075461</v>
      </c>
      <c r="J262" s="49">
        <f>IFERROR(IF(Data_Entry!O251/Data_Entry!$H251&lt;0,0,Data_Entry!O251/Data_Entry!$H251),0)</f>
        <v>1.017978840714681</v>
      </c>
      <c r="K262" s="49">
        <f>IFERROR(IF(Data_Entry!P251/Data_Entry!$H251&lt;0,0,Data_Entry!P251/Data_Entry!$H251),0)</f>
        <v>0.96696900773769268</v>
      </c>
      <c r="L262" s="49">
        <f>IFERROR(IF(Data_Entry!Q251/Data_Entry!$H251&lt;0,0,Data_Entry!Q251/Data_Entry!$H251),0)</f>
        <v>0.98582046775092746</v>
      </c>
      <c r="M262" s="49">
        <f>IFERROR(IF(Data_Entry!R251/Data_Entry!$H251&lt;0,0,Data_Entry!R251/Data_Entry!$H251),0)</f>
        <v>1.017978840714681</v>
      </c>
      <c r="N262" s="49">
        <f>IFERROR(IF(Data_Entry!S251/Data_Entry!$H251&lt;0,0,Data_Entry!S251/Data_Entry!$H251),0)</f>
        <v>0.96696900773769268</v>
      </c>
      <c r="O262" s="49">
        <f>IFERROR(IF(Data_Entry!T251/Data_Entry!$H251&lt;0,0,Data_Entry!T251/Data_Entry!$H251),0)</f>
        <v>0.98582046775092746</v>
      </c>
      <c r="P262" s="49">
        <f>IFERROR(IF(Data_Entry!U251/Data_Entry!$H251&lt;0,0,Data_Entry!U251/Data_Entry!$H251),0)</f>
        <v>0.88269189238440748</v>
      </c>
      <c r="Q262" s="49">
        <f>IFERROR(IF(Data_Entry!V251/Data_Entry!$H251&lt;0,0,Data_Entry!V251/Data_Entry!$H251),0)</f>
        <v>0.8638404323711727</v>
      </c>
      <c r="R262" s="49">
        <f>IFERROR(IF(Data_Entry!W251/Data_Entry!$H251&lt;0,0,Data_Entry!W251/Data_Entry!$H251),0)</f>
        <v>0.85496915707082688</v>
      </c>
      <c r="S262" s="49">
        <f>IFERROR(IF(Data_Entry!X251/Data_Entry!$H251&lt;0,0,Data_Entry!X251/Data_Entry!$H251),0)</f>
        <v>0.99025610540110032</v>
      </c>
      <c r="T262" s="49">
        <f>IFERROR(IF(Data_Entry!Y251/Data_Entry!$H251&lt;0,0,Data_Entry!Y251/Data_Entry!$H251),0)</f>
        <v>0.40031629792810441</v>
      </c>
      <c r="U262" s="49">
        <f>IFERROR(IF(Data_Entry!Z251/Data_Entry!$H251&lt;0,0,Data_Entry!Z251/Data_Entry!$H251),0)</f>
        <v>0.99025610540110032</v>
      </c>
      <c r="V262" s="49">
        <f>IFERROR(IF(Data_Entry!AA251/Data_Entry!$H251&lt;0,0,Data_Entry!AA251/Data_Entry!$H251),0)</f>
        <v>0.98027592068821134</v>
      </c>
      <c r="W262" s="49">
        <f>IFERROR(IF(Data_Entry!AB251/Data_Entry!$H251&lt;0,0,Data_Entry!AB251/Data_Entry!$H251),0)</f>
        <v>0.99025610540110032</v>
      </c>
      <c r="X262" s="49">
        <f>IFERROR(IF(Data_Entry!AC251/Data_Entry!$I251&lt;0,0,Data_Entry!AC251/Data_Entry!$I251),0)</f>
        <v>0.75563582416873609</v>
      </c>
      <c r="Y262" s="49">
        <f>IFERROR(IF(Data_Entry!AD251/Data_Entry!$I251&lt;0,0,Data_Entry!AD251/Data_Entry!$I251),0)</f>
        <v>0.49730705969619765</v>
      </c>
      <c r="Z262" s="49">
        <f>IFERROR(IF(Data_Entry!AE251/Data_Entry!$I251&lt;0,0,Data_Entry!AE251/Data_Entry!$I251),0)</f>
        <v>0.30573741413229272</v>
      </c>
      <c r="AA262" s="49">
        <f>IFERROR(IF(Data_Entry!AF251/Data_Entry!$I251&lt;0,0,Data_Entry!AF251/Data_Entry!$I251),0)</f>
        <v>0.10836262779372401</v>
      </c>
      <c r="AB262" s="49">
        <f>IFERROR(IF(Data_Entry!AG251/Data_Entry!$I251&lt;0,0,Data_Entry!AG251/Data_Entry!$I251),0)</f>
        <v>0.12384300319282743</v>
      </c>
      <c r="AC262" s="49">
        <f>IFERROR(IF(Data_Entry!AI251/Data_Entry!$I251&lt;0,0,Data_Entry!AI251/Data_Entry!$I251),0)</f>
        <v>5.6406617860483114E-2</v>
      </c>
      <c r="AD262" s="49">
        <f>IFERROR(IF(Data_Entry!AM251/Data_Entry!$H251&lt;0,0,Data_Entry!AM251/Data_Entry!$H251),0)</f>
        <v>0.99025610540110032</v>
      </c>
      <c r="AE262" s="50">
        <f>Data_Entry!AK251</f>
        <v>0</v>
      </c>
      <c r="AF262" s="50">
        <f>Data_Entry!AL251</f>
        <v>25</v>
      </c>
      <c r="AG262" s="153">
        <f>(Data_Entry!O251-Data_Entry!Q251)/Data_Entry!O251</f>
        <v>3.1590413943355121E-2</v>
      </c>
      <c r="AH262" s="79" t="str">
        <f t="shared" si="6"/>
        <v>CAT1</v>
      </c>
      <c r="AI262" s="51">
        <f>SUBTOTAL(3,Tableau1[[#This Row],[ZS]])</f>
        <v>0</v>
      </c>
      <c r="AJ262" s="51" t="e">
        <f t="shared" ca="1" si="7"/>
        <v>#NAME?</v>
      </c>
      <c r="AK262" s="50" t="str">
        <f>IFERROR(IF((Data_Entry!O251-Data_Entry!Q251)/Data_Entry!O251&lt;=10%,"&lt;=10%","&gt;10%"),"&lt;=10%")</f>
        <v>&lt;=10%</v>
      </c>
    </row>
    <row r="263" spans="1:37" s="48" customFormat="1" ht="13" hidden="1" x14ac:dyDescent="0.3">
      <c r="A263" s="31" t="s">
        <v>16</v>
      </c>
      <c r="B263" s="48" t="str">
        <f>Data_Entry!B252</f>
        <v>Butembo</v>
      </c>
      <c r="C263" s="48" t="str">
        <f>Data_Entry!C252</f>
        <v xml:space="preserve"> Katwa</v>
      </c>
      <c r="D263" s="48" t="str">
        <f>Data_Entry!D252</f>
        <v xml:space="preserve"> Misebere</v>
      </c>
      <c r="E263" s="49">
        <f>IFERROR(IF(Data_Entry!J252/Data_Entry!$I252&lt;0,0,Data_Entry!J252/Data_Entry!$I252),0)</f>
        <v>0.59075436477434939</v>
      </c>
      <c r="F263" s="49">
        <f>IFERROR(IF(Data_Entry!K252/Data_Entry!$H252&lt;0,0,Data_Entry!K252/Data_Entry!$H252),0)</f>
        <v>0.16486578069138541</v>
      </c>
      <c r="G263" s="49">
        <f>IFERROR(IF(Data_Entry!L252/Data_Entry!$H252&lt;0,0,Data_Entry!L252/Data_Entry!$H252),0)</f>
        <v>0.87844515208081686</v>
      </c>
      <c r="H263" s="49">
        <f>IFERROR(IF(Data_Entry!M252/Data_Entry!$H252&lt;0,0,Data_Entry!M252/Data_Entry!$H252),0)</f>
        <v>0.90613253509769076</v>
      </c>
      <c r="I263" s="49">
        <f>IFERROR(IF(Data_Entry!N252/Data_Entry!$H252&lt;0,0,Data_Entry!N252/Data_Entry!$H252),0)</f>
        <v>0.74504230663587911</v>
      </c>
      <c r="J263" s="49">
        <f>IFERROR(IF(Data_Entry!O252/Data_Entry!$H252&lt;0,0,Data_Entry!O252/Data_Entry!$H252),0)</f>
        <v>1.0923931117566605</v>
      </c>
      <c r="K263" s="49">
        <f>IFERROR(IF(Data_Entry!P252/Data_Entry!$H252&lt;0,0,Data_Entry!P252/Data_Entry!$H252),0)</f>
        <v>1.1074953206749554</v>
      </c>
      <c r="L263" s="49">
        <f>IFERROR(IF(Data_Entry!Q252/Data_Entry!$H252&lt;0,0,Data_Entry!Q252/Data_Entry!$H252),0)</f>
        <v>1.0256916890341916</v>
      </c>
      <c r="M263" s="49">
        <f>IFERROR(IF(Data_Entry!R252/Data_Entry!$H252&lt;0,0,Data_Entry!R252/Data_Entry!$H252),0)</f>
        <v>1.1024612510355238</v>
      </c>
      <c r="N263" s="49">
        <f>IFERROR(IF(Data_Entry!S252/Data_Entry!$H252&lt;0,0,Data_Entry!S252/Data_Entry!$H252),0)</f>
        <v>1.0709983157890761</v>
      </c>
      <c r="O263" s="49">
        <f>IFERROR(IF(Data_Entry!T252/Data_Entry!$H252&lt;0,0,Data_Entry!T252/Data_Entry!$H252),0)</f>
        <v>1.0093309627060389</v>
      </c>
      <c r="P263" s="49">
        <f>IFERROR(IF(Data_Entry!U252/Data_Entry!$H252&lt;0,0,Data_Entry!U252/Data_Entry!$H252),0)</f>
        <v>1.1339241862819713</v>
      </c>
      <c r="Q263" s="49">
        <f>IFERROR(IF(Data_Entry!V252/Data_Entry!$H252&lt;0,0,Data_Entry!V252/Data_Entry!$H252),0)</f>
        <v>1.073515350608792</v>
      </c>
      <c r="R263" s="49">
        <f>IFERROR(IF(Data_Entry!W252/Data_Entry!$H252&lt;0,0,Data_Entry!W252/Data_Entry!$H252),0)</f>
        <v>0.8696355302118115</v>
      </c>
      <c r="S263" s="49">
        <f>IFERROR(IF(Data_Entry!X252/Data_Entry!$H252&lt;0,0,Data_Entry!X252/Data_Entry!$H252),0)</f>
        <v>1.0760323854285079</v>
      </c>
      <c r="T263" s="49">
        <f>IFERROR(IF(Data_Entry!Y252/Data_Entry!$H252&lt;0,0,Data_Entry!Y252/Data_Entry!$H252),0)</f>
        <v>0.28064938239831255</v>
      </c>
      <c r="U263" s="49">
        <f>IFERROR(IF(Data_Entry!Z252/Data_Entry!$H252&lt;0,0,Data_Entry!Z252/Data_Entry!$H252),0)</f>
        <v>0.86208442575266409</v>
      </c>
      <c r="V263" s="49">
        <f>IFERROR(IF(Data_Entry!AA252/Data_Entry!$H252&lt;0,0,Data_Entry!AA252/Data_Entry!$H252),0)</f>
        <v>1.2610344446776196</v>
      </c>
      <c r="W263" s="49">
        <f>IFERROR(IF(Data_Entry!AB252/Data_Entry!$H252&lt;0,0,Data_Entry!AB252/Data_Entry!$H252),0)</f>
        <v>0.98541913191873864</v>
      </c>
      <c r="X263" s="49">
        <f>IFERROR(IF(Data_Entry!AC252/Data_Entry!$I252&lt;0,0,Data_Entry!AC252/Data_Entry!$I252),0)</f>
        <v>0.19215987701767873</v>
      </c>
      <c r="Y263" s="49">
        <f>IFERROR(IF(Data_Entry!AD252/Data_Entry!$I252&lt;0,0,Data_Entry!AD252/Data_Entry!$I252),0)</f>
        <v>8.8942571648182728E-2</v>
      </c>
      <c r="Z263" s="49">
        <f>IFERROR(IF(Data_Entry!AE252/Data_Entry!$I252&lt;0,0,Data_Entry!AE252/Data_Entry!$I252),0)</f>
        <v>8.7844515208081703E-2</v>
      </c>
      <c r="AA263" s="49">
        <f>IFERROR(IF(Data_Entry!AF252/Data_Entry!$I252&lt;0,0,Data_Entry!AF252/Data_Entry!$I252),0)</f>
        <v>5.3804765564950043E-2</v>
      </c>
      <c r="AB263" s="49">
        <f>IFERROR(IF(Data_Entry!AG252/Data_Entry!$I252&lt;0,0,Data_Entry!AG252/Data_Entry!$I252),0)</f>
        <v>2.1961128802020424E-3</v>
      </c>
      <c r="AC263" s="49">
        <f>IFERROR(IF(Data_Entry!AI252/Data_Entry!$I252&lt;0,0,Data_Entry!AI252/Data_Entry!$I252),0)</f>
        <v>6.4016690457889533E-2</v>
      </c>
      <c r="AD263" s="49">
        <f>IFERROR(IF(Data_Entry!AM252/Data_Entry!$H252&lt;0,0,Data_Entry!AM252/Data_Entry!$H252),0)</f>
        <v>0.86208442575266409</v>
      </c>
      <c r="AE263" s="50">
        <f>Data_Entry!AK252</f>
        <v>0</v>
      </c>
      <c r="AF263" s="50">
        <f>Data_Entry!AL252</f>
        <v>13</v>
      </c>
      <c r="AG263" s="153">
        <f>(Data_Entry!O252-Data_Entry!Q252)/Data_Entry!O252</f>
        <v>6.1059907834101382E-2</v>
      </c>
      <c r="AH263" s="79" t="str">
        <f t="shared" si="6"/>
        <v>CAT1</v>
      </c>
      <c r="AI263" s="51">
        <f>SUBTOTAL(3,Tableau1[[#This Row],[ZS]])</f>
        <v>0</v>
      </c>
      <c r="AJ263" s="51" t="e">
        <f t="shared" ca="1" si="7"/>
        <v>#NAME?</v>
      </c>
      <c r="AK263" s="50" t="str">
        <f>IFERROR(IF((Data_Entry!O252-Data_Entry!Q252)/Data_Entry!O252&lt;=10%,"&lt;=10%","&gt;10%"),"&lt;=10%")</f>
        <v>&lt;=10%</v>
      </c>
    </row>
    <row r="264" spans="1:37" s="48" customFormat="1" ht="13" hidden="1" x14ac:dyDescent="0.3">
      <c r="A264" s="31" t="s">
        <v>16</v>
      </c>
      <c r="B264" s="48" t="str">
        <f>Data_Entry!B253</f>
        <v>Butembo</v>
      </c>
      <c r="C264" s="48" t="str">
        <f>Data_Entry!C253</f>
        <v xml:space="preserve"> Katwa</v>
      </c>
      <c r="D264" s="48" t="str">
        <f>Data_Entry!D253</f>
        <v xml:space="preserve"> Mitoya</v>
      </c>
      <c r="E264" s="49">
        <f>IFERROR(IF(Data_Entry!J253/Data_Entry!$I253&lt;0,0,Data_Entry!J253/Data_Entry!$I253),0)</f>
        <v>0.93903711432404224</v>
      </c>
      <c r="F264" s="49">
        <f>IFERROR(IF(Data_Entry!K253/Data_Entry!$H253&lt;0,0,Data_Entry!K253/Data_Entry!$H253),0)</f>
        <v>0.64404783208289251</v>
      </c>
      <c r="G264" s="49">
        <f>IFERROR(IF(Data_Entry!L253/Data_Entry!$H253&lt;0,0,Data_Entry!L253/Data_Entry!$H253),0)</f>
        <v>0.94130067765961212</v>
      </c>
      <c r="H264" s="49">
        <f>IFERROR(IF(Data_Entry!M253/Data_Entry!$H253&lt;0,0,Data_Entry!M253/Data_Entry!$H253),0)</f>
        <v>0.79096590518402976</v>
      </c>
      <c r="I264" s="49">
        <f>IFERROR(IF(Data_Entry!N253/Data_Entry!$H253&lt;0,0,Data_Entry!N253/Data_Entry!$H253),0)</f>
        <v>0.86784164110904338</v>
      </c>
      <c r="J264" s="49">
        <f>IFERROR(IF(Data_Entry!O253/Data_Entry!$H253&lt;0,0,Data_Entry!O253/Data_Entry!$H253),0)</f>
        <v>0.90713368391516158</v>
      </c>
      <c r="K264" s="49">
        <f>IFERROR(IF(Data_Entry!P253/Data_Entry!$H253&lt;0,0,Data_Entry!P253/Data_Entry!$H253),0)</f>
        <v>0.76704900956291433</v>
      </c>
      <c r="L264" s="49">
        <f>IFERROR(IF(Data_Entry!Q253/Data_Entry!$H253&lt;0,0,Data_Entry!Q253/Data_Entry!$H253),0)</f>
        <v>0.84392474548792806</v>
      </c>
      <c r="M264" s="49">
        <f>IFERROR(IF(Data_Entry!R253/Data_Entry!$H253&lt;0,0,Data_Entry!R253/Data_Entry!$H253),0)</f>
        <v>0.91738378203849669</v>
      </c>
      <c r="N264" s="49">
        <f>IFERROR(IF(Data_Entry!S253/Data_Entry!$H253&lt;0,0,Data_Entry!S253/Data_Entry!$H253),0)</f>
        <v>0.76363231018846933</v>
      </c>
      <c r="O264" s="49">
        <f>IFERROR(IF(Data_Entry!T253/Data_Entry!$H253&lt;0,0,Data_Entry!T253/Data_Entry!$H253),0)</f>
        <v>0.84221639580070551</v>
      </c>
      <c r="P264" s="49">
        <f>IFERROR(IF(Data_Entry!U253/Data_Entry!$H253&lt;0,0,Data_Entry!U253/Data_Entry!$H253),0)</f>
        <v>0.91738378203849669</v>
      </c>
      <c r="Q264" s="49">
        <f>IFERROR(IF(Data_Entry!V253/Data_Entry!$H253&lt;0,0,Data_Entry!V253/Data_Entry!$H253),0)</f>
        <v>0.76363231018846933</v>
      </c>
      <c r="R264" s="49">
        <f>IFERROR(IF(Data_Entry!W253/Data_Entry!$H253&lt;0,0,Data_Entry!W253/Data_Entry!$H253),0)</f>
        <v>0.83025794799014785</v>
      </c>
      <c r="S264" s="49">
        <f>IFERROR(IF(Data_Entry!X253/Data_Entry!$H253&lt;0,0,Data_Entry!X253/Data_Entry!$H253),0)</f>
        <v>0.96521757328072744</v>
      </c>
      <c r="T264" s="49">
        <f>IFERROR(IF(Data_Entry!Y253/Data_Entry!$H253&lt;0,0,Data_Entry!Y253/Data_Entry!$H253),0)</f>
        <v>0.26821090089393668</v>
      </c>
      <c r="U264" s="49">
        <f>IFERROR(IF(Data_Entry!Z253/Data_Entry!$H253&lt;0,0,Data_Entry!Z253/Data_Entry!$H253),0)</f>
        <v>0.8780917392323786</v>
      </c>
      <c r="V264" s="49">
        <f>IFERROR(IF(Data_Entry!AA253/Data_Entry!$H253&lt;0,0,Data_Entry!AA253/Data_Entry!$H253),0)</f>
        <v>0.87467503985793349</v>
      </c>
      <c r="W264" s="49">
        <f>IFERROR(IF(Data_Entry!AB253/Data_Entry!$H253&lt;0,0,Data_Entry!AB253/Data_Entry!$H253),0)</f>
        <v>0.93275892922349946</v>
      </c>
      <c r="X264" s="49">
        <f>IFERROR(IF(Data_Entry!AC253/Data_Entry!$I253&lt;0,0,Data_Entry!AC253/Data_Entry!$I253),0)</f>
        <v>0.48889551348934263</v>
      </c>
      <c r="Y264" s="49">
        <f>IFERROR(IF(Data_Entry!AD253/Data_Entry!$I253&lt;0,0,Data_Entry!AD253/Data_Entry!$I253),0)</f>
        <v>0.33686093307497389</v>
      </c>
      <c r="Z264" s="49">
        <f>IFERROR(IF(Data_Entry!AE253/Data_Entry!$I253&lt;0,0,Data_Entry!AE253/Data_Entry!$I253),0)</f>
        <v>0.2116559844984349</v>
      </c>
      <c r="AA264" s="49">
        <f>IFERROR(IF(Data_Entry!AF253/Data_Entry!$I253&lt;0,0,Data_Entry!AF253/Data_Entry!$I253),0)</f>
        <v>0.1371292293933522</v>
      </c>
      <c r="AB264" s="49">
        <f>IFERROR(IF(Data_Entry!AG253/Data_Entry!$I253&lt;0,0,Data_Entry!AG253/Data_Entry!$I253),0)</f>
        <v>0.12520494857653897</v>
      </c>
      <c r="AC264" s="49">
        <f>IFERROR(IF(Data_Entry!AI253/Data_Entry!$I253&lt;0,0,Data_Entry!AI253/Data_Entry!$I253),0)</f>
        <v>8.6898196452526444E-2</v>
      </c>
      <c r="AD264" s="49">
        <f>IFERROR(IF(Data_Entry!AM253/Data_Entry!$H253&lt;0,0,Data_Entry!AM253/Data_Entry!$H253),0)</f>
        <v>0.8780917392323786</v>
      </c>
      <c r="AE264" s="50">
        <f>Data_Entry!AK253</f>
        <v>54.360250000000065</v>
      </c>
      <c r="AF264" s="50">
        <f>Data_Entry!AL253</f>
        <v>0</v>
      </c>
      <c r="AG264" s="153">
        <f>(Data_Entry!O253-Data_Entry!Q253)/Data_Entry!O253</f>
        <v>6.9679849340866296E-2</v>
      </c>
      <c r="AH264" s="79" t="str">
        <f t="shared" si="6"/>
        <v>CAT1</v>
      </c>
      <c r="AI264" s="51">
        <f>SUBTOTAL(3,Tableau1[[#This Row],[ZS]])</f>
        <v>0</v>
      </c>
      <c r="AJ264" s="51" t="e">
        <f t="shared" ca="1" si="7"/>
        <v>#NAME?</v>
      </c>
      <c r="AK264" s="50" t="str">
        <f>IFERROR(IF((Data_Entry!O253-Data_Entry!Q253)/Data_Entry!O253&lt;=10%,"&lt;=10%","&gt;10%"),"&lt;=10%")</f>
        <v>&lt;=10%</v>
      </c>
    </row>
    <row r="265" spans="1:37" s="48" customFormat="1" ht="13" hidden="1" x14ac:dyDescent="0.3">
      <c r="A265" s="31" t="s">
        <v>16</v>
      </c>
      <c r="B265" s="48" t="str">
        <f>Data_Entry!B254</f>
        <v>Butembo</v>
      </c>
      <c r="C265" s="48" t="str">
        <f>Data_Entry!C254</f>
        <v xml:space="preserve"> Katwa</v>
      </c>
      <c r="D265" s="48" t="str">
        <f>Data_Entry!D254</f>
        <v xml:space="preserve"> Muchanga</v>
      </c>
      <c r="E265" s="49">
        <f>IFERROR(IF(Data_Entry!J254/Data_Entry!$I254&lt;0,0,Data_Entry!J254/Data_Entry!$I254),0)</f>
        <v>0.74998660738201106</v>
      </c>
      <c r="F265" s="49">
        <f>IFERROR(IF(Data_Entry!K254/Data_Entry!$H254&lt;0,0,Data_Entry!K254/Data_Entry!$H254),0)</f>
        <v>9.7624126544199566E-2</v>
      </c>
      <c r="G265" s="49">
        <f>IFERROR(IF(Data_Entry!L254/Data_Entry!$H254&lt;0,0,Data_Entry!L254/Data_Entry!$H254),0)</f>
        <v>0.98729305335265971</v>
      </c>
      <c r="H265" s="49">
        <f>IFERROR(IF(Data_Entry!M254/Data_Entry!$H254&lt;0,0,Data_Entry!M254/Data_Entry!$H254),0)</f>
        <v>0.97378531257295919</v>
      </c>
      <c r="I265" s="49">
        <f>IFERROR(IF(Data_Entry!N254/Data_Entry!$H254&lt;0,0,Data_Entry!N254/Data_Entry!$H254),0)</f>
        <v>0.96396150109681333</v>
      </c>
      <c r="J265" s="49">
        <f>IFERROR(IF(Data_Entry!O254/Data_Entry!$H254&lt;0,0,Data_Entry!O254/Data_Entry!$H254),0)</f>
        <v>0.88905493859120099</v>
      </c>
      <c r="K265" s="49">
        <f>IFERROR(IF(Data_Entry!P254/Data_Entry!$H254&lt;0,0,Data_Entry!P254/Data_Entry!$H254),0)</f>
        <v>0.83809391655869436</v>
      </c>
      <c r="L265" s="49">
        <f>IFERROR(IF(Data_Entry!Q254/Data_Entry!$H254&lt;0,0,Data_Entry!Q254/Data_Entry!$H254),0)</f>
        <v>0.84423379873128557</v>
      </c>
      <c r="M265" s="49">
        <f>IFERROR(IF(Data_Entry!R254/Data_Entry!$H254&lt;0,0,Data_Entry!R254/Data_Entry!$H254),0)</f>
        <v>0.92896417271304366</v>
      </c>
      <c r="N265" s="49">
        <f>IFERROR(IF(Data_Entry!S254/Data_Entry!$H254&lt;0,0,Data_Entry!S254/Data_Entry!$H254),0)</f>
        <v>0.89212487967749665</v>
      </c>
      <c r="O265" s="49">
        <f>IFERROR(IF(Data_Entry!T254/Data_Entry!$H254&lt;0,0,Data_Entry!T254/Data_Entry!$H254),0)</f>
        <v>1.0720234273344178</v>
      </c>
      <c r="P265" s="49">
        <f>IFERROR(IF(Data_Entry!U254/Data_Entry!$H254&lt;0,0,Data_Entry!U254/Data_Entry!$H254),0)</f>
        <v>0.82949808151706672</v>
      </c>
      <c r="Q265" s="49">
        <f>IFERROR(IF(Data_Entry!V254/Data_Entry!$H254&lt;0,0,Data_Entry!V254/Data_Entry!$H254),0)</f>
        <v>0.78713289452618762</v>
      </c>
      <c r="R265" s="49">
        <f>IFERROR(IF(Data_Entry!W254/Data_Entry!$H254&lt;0,0,Data_Entry!W254/Data_Entry!$H254),0)</f>
        <v>0.7859049180916694</v>
      </c>
      <c r="S265" s="49">
        <f>IFERROR(IF(Data_Entry!X254/Data_Entry!$H254&lt;0,0,Data_Entry!X254/Data_Entry!$H254),0)</f>
        <v>0.96150554822777679</v>
      </c>
      <c r="T265" s="49">
        <f>IFERROR(IF(Data_Entry!Y254/Data_Entry!$H254&lt;0,0,Data_Entry!Y254/Data_Entry!$H254),0)</f>
        <v>0.17805658300514385</v>
      </c>
      <c r="U265" s="49">
        <f>IFERROR(IF(Data_Entry!Z254/Data_Entry!$H254&lt;0,0,Data_Entry!Z254/Data_Entry!$H254),0)</f>
        <v>0.82642814043077117</v>
      </c>
      <c r="V265" s="49">
        <f>IFERROR(IF(Data_Entry!AA254/Data_Entry!$H254&lt;0,0,Data_Entry!AA254/Data_Entry!$H254),0)</f>
        <v>0.962733524662295</v>
      </c>
      <c r="W265" s="49">
        <f>IFERROR(IF(Data_Entry!AB254/Data_Entry!$H254&lt;0,0,Data_Entry!AB254/Data_Entry!$H254),0)</f>
        <v>0.95782161892422213</v>
      </c>
      <c r="X265" s="49">
        <f>IFERROR(IF(Data_Entry!AC254/Data_Entry!$I254&lt;0,0,Data_Entry!AC254/Data_Entry!$I254),0)</f>
        <v>0.17838967161300692</v>
      </c>
      <c r="Y265" s="49">
        <f>IFERROR(IF(Data_Entry!AD254/Data_Entry!$I254&lt;0,0,Data_Entry!AD254/Data_Entry!$I254),0)</f>
        <v>0.26356672202282105</v>
      </c>
      <c r="Z265" s="49">
        <f>IFERROR(IF(Data_Entry!AE254/Data_Entry!$I254&lt;0,0,Data_Entry!AE254/Data_Entry!$I254),0)</f>
        <v>0.14731879787860933</v>
      </c>
      <c r="AA265" s="49">
        <f>IFERROR(IF(Data_Entry!AF254/Data_Entry!$I254&lt;0,0,Data_Entry!AF254/Data_Entry!$I254),0)</f>
        <v>9.8033963679220029E-2</v>
      </c>
      <c r="AB265" s="49">
        <f>IFERROR(IF(Data_Entry!AG254/Data_Entry!$I254&lt;0,0,Data_Entry!AG254/Data_Entry!$I254),0)</f>
        <v>7.3927251299083951E-2</v>
      </c>
      <c r="AC265" s="49">
        <f>IFERROR(IF(Data_Entry!AI254/Data_Entry!$I254&lt;0,0,Data_Entry!AI254/Data_Entry!$I254),0)</f>
        <v>3.1231585150265175E-2</v>
      </c>
      <c r="AD265" s="49">
        <f>IFERROR(IF(Data_Entry!AM254/Data_Entry!$H254&lt;0,0,Data_Entry!AM254/Data_Entry!$H254),0)</f>
        <v>0.82642814043077117</v>
      </c>
      <c r="AE265" s="50">
        <f>Data_Entry!AK254</f>
        <v>180.69574999999986</v>
      </c>
      <c r="AF265" s="50">
        <f>Data_Entry!AL254</f>
        <v>0</v>
      </c>
      <c r="AG265" s="153">
        <f>(Data_Entry!O254-Data_Entry!Q254)/Data_Entry!O254</f>
        <v>5.0414364640883981E-2</v>
      </c>
      <c r="AH265" s="79" t="str">
        <f t="shared" si="6"/>
        <v>CAT3</v>
      </c>
      <c r="AI265" s="51">
        <f>SUBTOTAL(3,Tableau1[[#This Row],[ZS]])</f>
        <v>0</v>
      </c>
      <c r="AJ265" s="51" t="e">
        <f t="shared" ca="1" si="7"/>
        <v>#NAME?</v>
      </c>
      <c r="AK265" s="50" t="str">
        <f>IFERROR(IF((Data_Entry!O254-Data_Entry!Q254)/Data_Entry!O254&lt;=10%,"&lt;=10%","&gt;10%"),"&lt;=10%")</f>
        <v>&lt;=10%</v>
      </c>
    </row>
    <row r="266" spans="1:37" s="48" customFormat="1" ht="13" hidden="1" x14ac:dyDescent="0.3">
      <c r="A266" s="31" t="s">
        <v>16</v>
      </c>
      <c r="B266" s="48" t="str">
        <f>Data_Entry!B255</f>
        <v>Butembo</v>
      </c>
      <c r="C266" s="48" t="str">
        <f>Data_Entry!C255</f>
        <v xml:space="preserve"> Katwa</v>
      </c>
      <c r="D266" s="48" t="str">
        <f>Data_Entry!D255</f>
        <v xml:space="preserve"> Mukuna</v>
      </c>
      <c r="E266" s="49">
        <f>IFERROR(IF(Data_Entry!J255/Data_Entry!$I255&lt;0,0,Data_Entry!J255/Data_Entry!$I255),0)</f>
        <v>1.0926006057983557</v>
      </c>
      <c r="F266" s="49">
        <f>IFERROR(IF(Data_Entry!K255/Data_Entry!$H255&lt;0,0,Data_Entry!K255/Data_Entry!$H255),0)</f>
        <v>0.72408153852448542</v>
      </c>
      <c r="G266" s="49">
        <f>IFERROR(IF(Data_Entry!L255/Data_Entry!$H255&lt;0,0,Data_Entry!L255/Data_Entry!$H255),0)</f>
        <v>0.91254111704455698</v>
      </c>
      <c r="H266" s="49">
        <f>IFERROR(IF(Data_Entry!M255/Data_Entry!$H255&lt;0,0,Data_Entry!M255/Data_Entry!$H255),0)</f>
        <v>0.8666660880626974</v>
      </c>
      <c r="I266" s="49">
        <f>IFERROR(IF(Data_Entry!N255/Data_Entry!$H255&lt;0,0,Data_Entry!N255/Data_Entry!$H255),0)</f>
        <v>0.92617963917429891</v>
      </c>
      <c r="J266" s="49">
        <f>IFERROR(IF(Data_Entry!O255/Data_Entry!$H255&lt;0,0,Data_Entry!O255/Data_Entry!$H255),0)</f>
        <v>0.90510192315560678</v>
      </c>
      <c r="K266" s="49">
        <f>IFERROR(IF(Data_Entry!P255/Data_Entry!$H255&lt;0,0,Data_Entry!P255/Data_Entry!$H255),0)</f>
        <v>0.8592268941737472</v>
      </c>
      <c r="L266" s="49">
        <f>IFERROR(IF(Data_Entry!Q255/Data_Entry!$H255&lt;0,0,Data_Entry!Q255/Data_Entry!$H255),0)</f>
        <v>0.88154447584059781</v>
      </c>
      <c r="M266" s="49">
        <f>IFERROR(IF(Data_Entry!R255/Data_Entry!$H255&lt;0,0,Data_Entry!R255/Data_Entry!$H255),0)</f>
        <v>0.89394313232218148</v>
      </c>
      <c r="N266" s="49">
        <f>IFERROR(IF(Data_Entry!S255/Data_Entry!$H255&lt;0,0,Data_Entry!S255/Data_Entry!$H255),0)</f>
        <v>0.8555072972292721</v>
      </c>
      <c r="O266" s="49">
        <f>IFERROR(IF(Data_Entry!T255/Data_Entry!$H255&lt;0,0,Data_Entry!T255/Data_Entry!$H255),0)</f>
        <v>0.88030461019243944</v>
      </c>
      <c r="P266" s="49">
        <f>IFERROR(IF(Data_Entry!U255/Data_Entry!$H255&lt;0,0,Data_Entry!U255/Data_Entry!$H255),0)</f>
        <v>0.90262219185929005</v>
      </c>
      <c r="Q266" s="49">
        <f>IFERROR(IF(Data_Entry!V255/Data_Entry!$H255&lt;0,0,Data_Entry!V255/Data_Entry!$H255),0)</f>
        <v>0.85426743158111373</v>
      </c>
      <c r="R266" s="49">
        <f>IFERROR(IF(Data_Entry!W255/Data_Entry!$H255&lt;0,0,Data_Entry!W255/Data_Entry!$H255),0)</f>
        <v>0.88030461019243944</v>
      </c>
      <c r="S266" s="49">
        <f>IFERROR(IF(Data_Entry!X255/Data_Entry!$H255&lt;0,0,Data_Entry!X255/Data_Entry!$H255),0)</f>
        <v>0.98445332463774216</v>
      </c>
      <c r="T266" s="49">
        <f>IFERROR(IF(Data_Entry!Y255/Data_Entry!$H255&lt;0,0,Data_Entry!Y255/Data_Entry!$H255),0)</f>
        <v>0.27029071129852367</v>
      </c>
      <c r="U266" s="49">
        <f>IFERROR(IF(Data_Entry!Z255/Data_Entry!$H255&lt;0,0,Data_Entry!Z255/Data_Entry!$H255),0)</f>
        <v>0.8703856850071725</v>
      </c>
      <c r="V266" s="49">
        <f>IFERROR(IF(Data_Entry!AA255/Data_Entry!$H255&lt;0,0,Data_Entry!AA255/Data_Entry!$H255),0)</f>
        <v>0.91378098269271535</v>
      </c>
      <c r="W266" s="49">
        <f>IFERROR(IF(Data_Entry!AB255/Data_Entry!$H255&lt;0,0,Data_Entry!AB255/Data_Entry!$H255),0)</f>
        <v>0.98073372769326705</v>
      </c>
      <c r="X266" s="49">
        <f>IFERROR(IF(Data_Entry!AC255/Data_Entry!$I255&lt;0,0,Data_Entry!AC255/Data_Entry!$I255),0)</f>
        <v>0.78645607961921249</v>
      </c>
      <c r="Y266" s="49">
        <f>IFERROR(IF(Data_Entry!AD255/Data_Entry!$I255&lt;0,0,Data_Entry!AD255/Data_Entry!$I255),0)</f>
        <v>0.27585460839463438</v>
      </c>
      <c r="Z266" s="49">
        <f>IFERROR(IF(Data_Entry!AE255/Data_Entry!$I255&lt;0,0,Data_Entry!AE255/Data_Entry!$I255),0)</f>
        <v>0.52250108178277799</v>
      </c>
      <c r="AA266" s="49">
        <f>IFERROR(IF(Data_Entry!AF255/Data_Entry!$I255&lt;0,0,Data_Entry!AF255/Data_Entry!$I255),0)</f>
        <v>0.21743833838165297</v>
      </c>
      <c r="AB266" s="49">
        <f>IFERROR(IF(Data_Entry!AG255/Data_Entry!$I255&lt;0,0,Data_Entry!AG255/Data_Entry!$I255),0)</f>
        <v>0.19255733448723497</v>
      </c>
      <c r="AC266" s="49">
        <f>IFERROR(IF(Data_Entry!AI255/Data_Entry!$I255&lt;0,0,Data_Entry!AI255/Data_Entry!$I255),0)</f>
        <v>6.3067935958459539E-2</v>
      </c>
      <c r="AD266" s="49">
        <f>IFERROR(IF(Data_Entry!AM255/Data_Entry!$H255&lt;0,0,Data_Entry!AM255/Data_Entry!$H255),0)</f>
        <v>0.8703856850071725</v>
      </c>
      <c r="AE266" s="50">
        <f>Data_Entry!AK255</f>
        <v>76.539000000000101</v>
      </c>
      <c r="AF266" s="50">
        <f>Data_Entry!AL255</f>
        <v>0</v>
      </c>
      <c r="AG266" s="153">
        <f>(Data_Entry!O255-Data_Entry!Q255)/Data_Entry!O255</f>
        <v>2.6027397260273973E-2</v>
      </c>
      <c r="AH266" s="79" t="str">
        <f t="shared" si="6"/>
        <v>CAT1</v>
      </c>
      <c r="AI266" s="51">
        <f>SUBTOTAL(3,Tableau1[[#This Row],[ZS]])</f>
        <v>0</v>
      </c>
      <c r="AJ266" s="51" t="e">
        <f t="shared" ca="1" si="7"/>
        <v>#NAME?</v>
      </c>
      <c r="AK266" s="50" t="str">
        <f>IFERROR(IF((Data_Entry!O255-Data_Entry!Q255)/Data_Entry!O255&lt;=10%,"&lt;=10%","&gt;10%"),"&lt;=10%")</f>
        <v>&lt;=10%</v>
      </c>
    </row>
    <row r="267" spans="1:37" s="48" customFormat="1" ht="13" hidden="1" x14ac:dyDescent="0.3">
      <c r="A267" s="31" t="s">
        <v>16</v>
      </c>
      <c r="B267" s="48" t="str">
        <f>Data_Entry!B256</f>
        <v>Butembo</v>
      </c>
      <c r="C267" s="48" t="str">
        <f>Data_Entry!C256</f>
        <v xml:space="preserve"> Katwa</v>
      </c>
      <c r="D267" s="48" t="str">
        <f>Data_Entry!D256</f>
        <v xml:space="preserve"> Muyisa</v>
      </c>
      <c r="E267" s="49">
        <f>IFERROR(IF(Data_Entry!J256/Data_Entry!$I256&lt;0,0,Data_Entry!J256/Data_Entry!$I256),0)</f>
        <v>0.64760793465577604</v>
      </c>
      <c r="F267" s="49">
        <f>IFERROR(IF(Data_Entry!K256/Data_Entry!$H256&lt;0,0,Data_Entry!K256/Data_Entry!$H256),0)</f>
        <v>5.0923188542591202E-2</v>
      </c>
      <c r="G267" s="49">
        <f>IFERROR(IF(Data_Entry!L256/Data_Entry!$H256&lt;0,0,Data_Entry!L256/Data_Entry!$H256),0)</f>
        <v>0.91970364761770773</v>
      </c>
      <c r="H267" s="49">
        <f>IFERROR(IF(Data_Entry!M256/Data_Entry!$H256&lt;0,0,Data_Entry!M256/Data_Entry!$H256),0)</f>
        <v>0.8857548552559803</v>
      </c>
      <c r="I267" s="49">
        <f>IFERROR(IF(Data_Entry!N256/Data_Entry!$H256&lt;0,0,Data_Entry!N256/Data_Entry!$H256),0)</f>
        <v>0.89347048988364564</v>
      </c>
      <c r="J267" s="49">
        <f>IFERROR(IF(Data_Entry!O256/Data_Entry!$H256&lt;0,0,Data_Entry!O256/Data_Entry!$H256),0)</f>
        <v>0.74224405118140502</v>
      </c>
      <c r="K267" s="49">
        <f>IFERROR(IF(Data_Entry!P256/Data_Entry!$H256&lt;0,0,Data_Entry!P256/Data_Entry!$H256),0)</f>
        <v>0.7052090049686115</v>
      </c>
      <c r="L267" s="49">
        <f>IFERROR(IF(Data_Entry!Q256/Data_Entry!$H256&lt;0,0,Data_Entry!Q256/Data_Entry!$H256),0)</f>
        <v>0.79779662050059541</v>
      </c>
      <c r="M267" s="49">
        <f>IFERROR(IF(Data_Entry!R256/Data_Entry!$H256&lt;0,0,Data_Entry!R256/Data_Entry!$H256),0)</f>
        <v>0.85489231674531896</v>
      </c>
      <c r="N267" s="49">
        <f>IFERROR(IF(Data_Entry!S256/Data_Entry!$H256&lt;0,0,Data_Entry!S256/Data_Entry!$H256),0)</f>
        <v>0.81477101668145924</v>
      </c>
      <c r="O267" s="49">
        <f>IFERROR(IF(Data_Entry!T256/Data_Entry!$H256&lt;0,0,Data_Entry!T256/Data_Entry!$H256),0)</f>
        <v>0.81168476283039304</v>
      </c>
      <c r="P267" s="49">
        <f>IFERROR(IF(Data_Entry!U256/Data_Entry!$H256&lt;0,0,Data_Entry!U256/Data_Entry!$H256),0)</f>
        <v>0.91970364761770773</v>
      </c>
      <c r="Q267" s="49">
        <f>IFERROR(IF(Data_Entry!V256/Data_Entry!$H256&lt;0,0,Data_Entry!V256/Data_Entry!$H256),0)</f>
        <v>0.79316723972399628</v>
      </c>
      <c r="R267" s="49">
        <f>IFERROR(IF(Data_Entry!W256/Data_Entry!$H256&lt;0,0,Data_Entry!W256/Data_Entry!$H256),0)</f>
        <v>0.89347048988364564</v>
      </c>
      <c r="S267" s="49">
        <f>IFERROR(IF(Data_Entry!X256/Data_Entry!$H256&lt;0,0,Data_Entry!X256/Data_Entry!$H256),0)</f>
        <v>0.94902305920283603</v>
      </c>
      <c r="T267" s="49">
        <f>IFERROR(IF(Data_Entry!Y256/Data_Entry!$H256&lt;0,0,Data_Entry!Y256/Data_Entry!$H256),0)</f>
        <v>9.8760123234116259E-2</v>
      </c>
      <c r="U267" s="49">
        <f>IFERROR(IF(Data_Entry!Z256/Data_Entry!$H256&lt;0,0,Data_Entry!Z256/Data_Entry!$H256),0)</f>
        <v>0.80242600127719466</v>
      </c>
      <c r="V267" s="49">
        <f>IFERROR(IF(Data_Entry!AA256/Data_Entry!$H256&lt;0,0,Data_Entry!AA256/Data_Entry!$H256),0)</f>
        <v>0.89347048988364564</v>
      </c>
      <c r="W267" s="49">
        <f>IFERROR(IF(Data_Entry!AB256/Data_Entry!$H256&lt;0,0,Data_Entry!AB256/Data_Entry!$H256),0)</f>
        <v>0.84409042826658742</v>
      </c>
      <c r="X267" s="49">
        <f>IFERROR(IF(Data_Entry!AC256/Data_Entry!$I256&lt;0,0,Data_Entry!AC256/Data_Entry!$I256),0)</f>
        <v>4.308410376088323E-2</v>
      </c>
      <c r="Y267" s="49">
        <f>IFERROR(IF(Data_Entry!AD256/Data_Entry!$I256&lt;0,0,Data_Entry!AD256/Data_Entry!$I256),0)</f>
        <v>2.0195673637914014E-2</v>
      </c>
      <c r="Z267" s="49">
        <f>IFERROR(IF(Data_Entry!AE256/Data_Entry!$I256&lt;0,0,Data_Entry!AE256/Data_Entry!$I256),0)</f>
        <v>2.0195673637914014E-2</v>
      </c>
      <c r="AA267" s="49">
        <f>IFERROR(IF(Data_Entry!AF256/Data_Entry!$I256&lt;0,0,Data_Entry!AF256/Data_Entry!$I256),0)</f>
        <v>1.0771025940220808E-2</v>
      </c>
      <c r="AB267" s="49">
        <f>IFERROR(IF(Data_Entry!AG256/Data_Entry!$I256&lt;0,0,Data_Entry!AG256/Data_Entry!$I256),0)</f>
        <v>4.0391347275828028E-3</v>
      </c>
      <c r="AC267" s="49">
        <f>IFERROR(IF(Data_Entry!AI256/Data_Entry!$I256&lt;0,0,Data_Entry!AI256/Data_Entry!$I256),0)</f>
        <v>7.849385153935913E-2</v>
      </c>
      <c r="AD267" s="49">
        <f>IFERROR(IF(Data_Entry!AM256/Data_Entry!$H256&lt;0,0,Data_Entry!AM256/Data_Entry!$H256),0)</f>
        <v>0.80242600127719466</v>
      </c>
      <c r="AE267" s="50">
        <f>Data_Entry!AK256</f>
        <v>167.03483333333338</v>
      </c>
      <c r="AF267" s="50">
        <f>Data_Entry!AL256</f>
        <v>0</v>
      </c>
      <c r="AG267" s="153">
        <f>(Data_Entry!O256-Data_Entry!Q256)/Data_Entry!O256</f>
        <v>-7.4844074844074848E-2</v>
      </c>
      <c r="AH267" s="79" t="str">
        <f t="shared" si="6"/>
        <v>CAT3</v>
      </c>
      <c r="AI267" s="51">
        <f>SUBTOTAL(3,Tableau1[[#This Row],[ZS]])</f>
        <v>0</v>
      </c>
      <c r="AJ267" s="51" t="e">
        <f t="shared" ca="1" si="7"/>
        <v>#NAME?</v>
      </c>
      <c r="AK267" s="50" t="str">
        <f>IFERROR(IF((Data_Entry!O256-Data_Entry!Q256)/Data_Entry!O256&lt;=10%,"&lt;=10%","&gt;10%"),"&lt;=10%")</f>
        <v>&lt;=10%</v>
      </c>
    </row>
    <row r="268" spans="1:37" s="48" customFormat="1" ht="13" hidden="1" x14ac:dyDescent="0.3">
      <c r="A268" s="31" t="s">
        <v>16</v>
      </c>
      <c r="B268" s="48" t="str">
        <f>Data_Entry!B257</f>
        <v>Butembo</v>
      </c>
      <c r="C268" s="48" t="str">
        <f>Data_Entry!C257</f>
        <v xml:space="preserve"> Katwa</v>
      </c>
      <c r="D268" s="48" t="str">
        <f>Data_Entry!D257</f>
        <v xml:space="preserve"> Rughenda</v>
      </c>
      <c r="E268" s="49">
        <f>IFERROR(IF(Data_Entry!J257/Data_Entry!$I257&lt;0,0,Data_Entry!J257/Data_Entry!$I257),0)</f>
        <v>0.58834770561116023</v>
      </c>
      <c r="F268" s="49">
        <f>IFERROR(IF(Data_Entry!K257/Data_Entry!$H257&lt;0,0,Data_Entry!K257/Data_Entry!$H257),0)</f>
        <v>4.106723616884575E-2</v>
      </c>
      <c r="G268" s="49">
        <f>IFERROR(IF(Data_Entry!L257/Data_Entry!$H257&lt;0,0,Data_Entry!L257/Data_Entry!$H257),0)</f>
        <v>0.79752572639898445</v>
      </c>
      <c r="H268" s="49">
        <f>IFERROR(IF(Data_Entry!M257/Data_Entry!$H257&lt;0,0,Data_Entry!M257/Data_Entry!$H257),0)</f>
        <v>0.72853276963532365</v>
      </c>
      <c r="I268" s="49">
        <f>IFERROR(IF(Data_Entry!N257/Data_Entry!$H257&lt;0,0,Data_Entry!N257/Data_Entry!$H257),0)</f>
        <v>0.68828687818985479</v>
      </c>
      <c r="J268" s="49">
        <f>IFERROR(IF(Data_Entry!O257/Data_Entry!$H257&lt;0,0,Data_Entry!O257/Data_Entry!$H257),0)</f>
        <v>0.92319146907565253</v>
      </c>
      <c r="K268" s="49">
        <f>IFERROR(IF(Data_Entry!P257/Data_Entry!$H257&lt;0,0,Data_Entry!P257/Data_Entry!$H257),0)</f>
        <v>0.85009178869510704</v>
      </c>
      <c r="L268" s="49">
        <f>IFERROR(IF(Data_Entry!Q257/Data_Entry!$H257&lt;0,0,Data_Entry!Q257/Data_Entry!$H257),0)</f>
        <v>0.77945614248469242</v>
      </c>
      <c r="M268" s="49">
        <f>IFERROR(IF(Data_Entry!R257/Data_Entry!$H257&lt;0,0,Data_Entry!R257/Data_Entry!$H257),0)</f>
        <v>0.89444440375746048</v>
      </c>
      <c r="N268" s="49">
        <f>IFERROR(IF(Data_Entry!S257/Data_Entry!$H257&lt;0,0,Data_Entry!S257/Data_Entry!$H257),0)</f>
        <v>0.78274152137820008</v>
      </c>
      <c r="O268" s="49">
        <f>IFERROR(IF(Data_Entry!T257/Data_Entry!$H257&lt;0,0,Data_Entry!T257/Data_Entry!$H257),0)</f>
        <v>0.84927044397173013</v>
      </c>
      <c r="P268" s="49">
        <f>IFERROR(IF(Data_Entry!U257/Data_Entry!$H257&lt;0,0,Data_Entry!U257/Data_Entry!$H257),0)</f>
        <v>0.88048154346005292</v>
      </c>
      <c r="Q268" s="49">
        <f>IFERROR(IF(Data_Entry!V257/Data_Entry!$H257&lt;0,0,Data_Entry!V257/Data_Entry!$H257),0)</f>
        <v>0.78027748720806933</v>
      </c>
      <c r="R268" s="49">
        <f>IFERROR(IF(Data_Entry!W257/Data_Entry!$H257&lt;0,0,Data_Entry!W257/Data_Entry!$H257),0)</f>
        <v>0.8057391736327536</v>
      </c>
      <c r="S268" s="49">
        <f>IFERROR(IF(Data_Entry!X257/Data_Entry!$H257&lt;0,0,Data_Entry!X257/Data_Entry!$H257),0)</f>
        <v>1.0094326650302285</v>
      </c>
      <c r="T268" s="49">
        <f>IFERROR(IF(Data_Entry!Y257/Data_Entry!$H257&lt;0,0,Data_Entry!Y257/Data_Entry!$H257),0)</f>
        <v>0.25790224314035132</v>
      </c>
      <c r="U268" s="49">
        <f>IFERROR(IF(Data_Entry!Z257/Data_Entry!$H257&lt;0,0,Data_Entry!Z257/Data_Entry!$H257),0)</f>
        <v>0.87062540677952993</v>
      </c>
      <c r="V268" s="49">
        <f>IFERROR(IF(Data_Entry!AA257/Data_Entry!$H257&lt;0,0,Data_Entry!AA257/Data_Entry!$H257),0)</f>
        <v>1.0718548640068741</v>
      </c>
      <c r="W268" s="49">
        <f>IFERROR(IF(Data_Entry!AB257/Data_Entry!$H257&lt;0,0,Data_Entry!AB257/Data_Entry!$H257),0)</f>
        <v>1.0266809042211438</v>
      </c>
      <c r="X268" s="49">
        <f>IFERROR(IF(Data_Entry!AC257/Data_Entry!$I257&lt;0,0,Data_Entry!AC257/Data_Entry!$I257),0)</f>
        <v>0.17915581778658962</v>
      </c>
      <c r="Y268" s="49">
        <f>IFERROR(IF(Data_Entry!AD257/Data_Entry!$I257&lt;0,0,Data_Entry!AD257/Data_Entry!$I257),0)</f>
        <v>0.1189594630102955</v>
      </c>
      <c r="Z268" s="49">
        <f>IFERROR(IF(Data_Entry!AE257/Data_Entry!$I257&lt;0,0,Data_Entry!AE257/Data_Entry!$I257),0)</f>
        <v>8.1695052910684865E-2</v>
      </c>
      <c r="AA268" s="49">
        <f>IFERROR(IF(Data_Entry!AF257/Data_Entry!$I257&lt;0,0,Data_Entry!AF257/Data_Entry!$I257),0)</f>
        <v>3.6547786828464282E-2</v>
      </c>
      <c r="AB268" s="49">
        <f>IFERROR(IF(Data_Entry!AG257/Data_Entry!$I257&lt;0,0,Data_Entry!AG257/Data_Entry!$I257),0)</f>
        <v>2.7231684303561619E-2</v>
      </c>
      <c r="AC268" s="49">
        <f>IFERROR(IF(Data_Entry!AI257/Data_Entry!$I257&lt;0,0,Data_Entry!AI257/Data_Entry!$I257),0)</f>
        <v>4.1779136707832697E-2</v>
      </c>
      <c r="AD268" s="49">
        <f>IFERROR(IF(Data_Entry!AM257/Data_Entry!$H257&lt;0,0,Data_Entry!AM257/Data_Entry!$H257),0)</f>
        <v>0.87062540677952993</v>
      </c>
      <c r="AE268" s="50">
        <f>Data_Entry!AK257</f>
        <v>93.515583333333325</v>
      </c>
      <c r="AF268" s="50">
        <f>Data_Entry!AL257</f>
        <v>0</v>
      </c>
      <c r="AG268" s="153">
        <f>(Data_Entry!O257-Data_Entry!Q257)/Data_Entry!O257</f>
        <v>0.15569395017793594</v>
      </c>
      <c r="AH268" s="79" t="str">
        <f t="shared" si="6"/>
        <v>CAT2</v>
      </c>
      <c r="AI268" s="51">
        <f>SUBTOTAL(3,Tableau1[[#This Row],[ZS]])</f>
        <v>0</v>
      </c>
      <c r="AJ268" s="51" t="e">
        <f t="shared" ca="1" si="7"/>
        <v>#NAME?</v>
      </c>
      <c r="AK268" s="50" t="str">
        <f>IFERROR(IF((Data_Entry!O257-Data_Entry!Q257)/Data_Entry!O257&lt;=10%,"&lt;=10%","&gt;10%"),"&lt;=10%")</f>
        <v>&gt;10%</v>
      </c>
    </row>
    <row r="269" spans="1:37" s="48" customFormat="1" ht="13" hidden="1" x14ac:dyDescent="0.3">
      <c r="A269" s="31" t="s">
        <v>16</v>
      </c>
      <c r="B269" s="48" t="str">
        <f>Data_Entry!B258</f>
        <v>Butembo</v>
      </c>
      <c r="C269" s="48" t="str">
        <f>Data_Entry!C258</f>
        <v xml:space="preserve"> Katwa</v>
      </c>
      <c r="D269" s="48" t="str">
        <f>Data_Entry!D258</f>
        <v xml:space="preserve"> Tulizeni</v>
      </c>
      <c r="E269" s="49">
        <f>IFERROR(IF(Data_Entry!J258/Data_Entry!$I258&lt;0,0,Data_Entry!J258/Data_Entry!$I258),0)</f>
        <v>0.85125798461739022</v>
      </c>
      <c r="F269" s="49">
        <f>IFERROR(IF(Data_Entry!K258/Data_Entry!$H258&lt;0,0,Data_Entry!K258/Data_Entry!$H258),0)</f>
        <v>0.67234951417144684</v>
      </c>
      <c r="G269" s="49">
        <f>IFERROR(IF(Data_Entry!L258/Data_Entry!$H258&lt;0,0,Data_Entry!L258/Data_Entry!$H258),0)</f>
        <v>0.91887766936764403</v>
      </c>
      <c r="H269" s="49">
        <f>IFERROR(IF(Data_Entry!M258/Data_Entry!$H258&lt;0,0,Data_Entry!M258/Data_Entry!$H258),0)</f>
        <v>0.85911326810795985</v>
      </c>
      <c r="I269" s="49">
        <f>IFERROR(IF(Data_Entry!N258/Data_Entry!$H258&lt;0,0,Data_Entry!N258/Data_Entry!$H258),0)</f>
        <v>0.89497190886377043</v>
      </c>
      <c r="J269" s="49">
        <f>IFERROR(IF(Data_Entry!O258/Data_Entry!$H258&lt;0,0,Data_Entry!O258/Data_Entry!$H258),0)</f>
        <v>1.0249594816035834</v>
      </c>
      <c r="K269" s="49">
        <f>IFERROR(IF(Data_Entry!P258/Data_Entry!$H258&lt;0,0,Data_Entry!P258/Data_Entry!$H258),0)</f>
        <v>0.96220686028091507</v>
      </c>
      <c r="L269" s="49">
        <f>IFERROR(IF(Data_Entry!Q258/Data_Entry!$H258&lt;0,0,Data_Entry!Q258/Data_Entry!$H258),0)</f>
        <v>0.95623042015494664</v>
      </c>
      <c r="M269" s="49">
        <f>IFERROR(IF(Data_Entry!R258/Data_Entry!$H258&lt;0,0,Data_Entry!R258/Data_Entry!$H258),0)</f>
        <v>1.0219712615405991</v>
      </c>
      <c r="N269" s="49">
        <f>IFERROR(IF(Data_Entry!S258/Data_Entry!$H258&lt;0,0,Data_Entry!S258/Data_Entry!$H258),0)</f>
        <v>0.9681833004068835</v>
      </c>
      <c r="O269" s="49">
        <f>IFERROR(IF(Data_Entry!T258/Data_Entry!$H258&lt;0,0,Data_Entry!T258/Data_Entry!$H258),0)</f>
        <v>1.0010537210997097</v>
      </c>
      <c r="P269" s="49">
        <f>IFERROR(IF(Data_Entry!U258/Data_Entry!$H258&lt;0,0,Data_Entry!U258/Data_Entry!$H258),0)</f>
        <v>1.0279477016665677</v>
      </c>
      <c r="Q269" s="49">
        <f>IFERROR(IF(Data_Entry!V258/Data_Entry!$H258&lt;0,0,Data_Entry!V258/Data_Entry!$H258),0)</f>
        <v>0.96519508034389923</v>
      </c>
      <c r="R269" s="49">
        <f>IFERROR(IF(Data_Entry!W258/Data_Entry!$H258&lt;0,0,Data_Entry!W258/Data_Entry!$H258),0)</f>
        <v>1.004041941162694</v>
      </c>
      <c r="S269" s="49">
        <f>IFERROR(IF(Data_Entry!X258/Data_Entry!$H258&lt;0,0,Data_Entry!X258/Data_Entry!$H258),0)</f>
        <v>1.0294418116980597</v>
      </c>
      <c r="T269" s="49">
        <f>IFERROR(IF(Data_Entry!Y258/Data_Entry!$H258&lt;0,0,Data_Entry!Y258/Data_Entry!$H258),0)</f>
        <v>0.48857398029791804</v>
      </c>
      <c r="U269" s="49">
        <f>IFERROR(IF(Data_Entry!Z258/Data_Entry!$H258&lt;0,0,Data_Entry!Z258/Data_Entry!$H258),0)</f>
        <v>1.0921944330207281</v>
      </c>
      <c r="V269" s="49">
        <f>IFERROR(IF(Data_Entry!AA258/Data_Entry!$H258&lt;0,0,Data_Entry!AA258/Data_Entry!$H258),0)</f>
        <v>1.0145007113831388</v>
      </c>
      <c r="W269" s="49">
        <f>IFERROR(IF(Data_Entry!AB258/Data_Entry!$H258&lt;0,0,Data_Entry!AB258/Data_Entry!$H258),0)</f>
        <v>1.0294418116980597</v>
      </c>
      <c r="X269" s="49">
        <f>IFERROR(IF(Data_Entry!AC258/Data_Entry!$I258&lt;0,0,Data_Entry!AC258/Data_Entry!$I258),0)</f>
        <v>0.18250554034676056</v>
      </c>
      <c r="Y269" s="49">
        <f>IFERROR(IF(Data_Entry!AD258/Data_Entry!$I258&lt;0,0,Data_Entry!AD258/Data_Entry!$I258),0)</f>
        <v>6.2573328118889326E-2</v>
      </c>
      <c r="Z269" s="49">
        <f>IFERROR(IF(Data_Entry!AE258/Data_Entry!$I258&lt;0,0,Data_Entry!AE258/Data_Entry!$I258),0)</f>
        <v>3.1286664059444663E-2</v>
      </c>
      <c r="AA269" s="49">
        <f>IFERROR(IF(Data_Entry!AF258/Data_Entry!$I258&lt;0,0,Data_Entry!AF258/Data_Entry!$I258),0)</f>
        <v>5.2144440099074442E-3</v>
      </c>
      <c r="AB269" s="49">
        <f>IFERROR(IF(Data_Entry!AG258/Data_Entry!$I258&lt;0,0,Data_Entry!AG258/Data_Entry!$I258),0)</f>
        <v>0</v>
      </c>
      <c r="AC269" s="49">
        <f>IFERROR(IF(Data_Entry!AI258/Data_Entry!$I258&lt;0,0,Data_Entry!AI258/Data_Entry!$I258),0)</f>
        <v>7.600052144440099E-2</v>
      </c>
      <c r="AD269" s="49">
        <f>IFERROR(IF(Data_Entry!AM258/Data_Entry!$H258&lt;0,0,Data_Entry!AM258/Data_Entry!$H258),0)</f>
        <v>1.0294418116980597</v>
      </c>
      <c r="AE269" s="50">
        <f>Data_Entry!AK258</f>
        <v>0</v>
      </c>
      <c r="AF269" s="50">
        <f>Data_Entry!AL258</f>
        <v>0</v>
      </c>
      <c r="AG269" s="153">
        <f>(Data_Entry!O258-Data_Entry!Q258)/Data_Entry!O258</f>
        <v>6.7055393586005832E-2</v>
      </c>
      <c r="AH269" s="79" t="str">
        <f t="shared" si="6"/>
        <v>CAT1</v>
      </c>
      <c r="AI269" s="51">
        <f>SUBTOTAL(3,Tableau1[[#This Row],[ZS]])</f>
        <v>0</v>
      </c>
      <c r="AJ269" s="51" t="e">
        <f t="shared" ca="1" si="7"/>
        <v>#NAME?</v>
      </c>
      <c r="AK269" s="50" t="str">
        <f>IFERROR(IF((Data_Entry!O258-Data_Entry!Q258)/Data_Entry!O258&lt;=10%,"&lt;=10%","&gt;10%"),"&lt;=10%")</f>
        <v>&lt;=10%</v>
      </c>
    </row>
    <row r="270" spans="1:37" s="48" customFormat="1" ht="13" hidden="1" x14ac:dyDescent="0.3">
      <c r="A270" s="31" t="s">
        <v>16</v>
      </c>
      <c r="B270" s="48" t="str">
        <f>Data_Entry!B259</f>
        <v>Butembo</v>
      </c>
      <c r="C270" s="48" t="str">
        <f>Data_Entry!C259</f>
        <v xml:space="preserve"> Katwa</v>
      </c>
      <c r="D270" s="48" t="str">
        <f>Data_Entry!D259</f>
        <v xml:space="preserve"> Vighole</v>
      </c>
      <c r="E270" s="49">
        <f>IFERROR(IF(Data_Entry!J259/Data_Entry!$I259&lt;0,0,Data_Entry!J259/Data_Entry!$I259),0)</f>
        <v>0.93928159755755625</v>
      </c>
      <c r="F270" s="49">
        <f>IFERROR(IF(Data_Entry!K259/Data_Entry!$H259&lt;0,0,Data_Entry!K259/Data_Entry!$H259),0)</f>
        <v>9.9620166870920721E-2</v>
      </c>
      <c r="G270" s="49">
        <f>IFERROR(IF(Data_Entry!L259/Data_Entry!$H259&lt;0,0,Data_Entry!L259/Data_Entry!$H259),0)</f>
        <v>1.1633064647507516</v>
      </c>
      <c r="H270" s="49">
        <f>IFERROR(IF(Data_Entry!M259/Data_Entry!$H259&lt;0,0,Data_Entry!M259/Data_Entry!$H259),0)</f>
        <v>1.1525946188506526</v>
      </c>
      <c r="I270" s="49">
        <f>IFERROR(IF(Data_Entry!N259/Data_Entry!$H259&lt;0,0,Data_Entry!N259/Data_Entry!$H259),0)</f>
        <v>1.0401202368996132</v>
      </c>
      <c r="J270" s="49">
        <f>IFERROR(IF(Data_Entry!O259/Data_Entry!$H259&lt;0,0,Data_Entry!O259/Data_Entry!$H259),0)</f>
        <v>1.2340046476914051</v>
      </c>
      <c r="K270" s="49">
        <f>IFERROR(IF(Data_Entry!P259/Data_Entry!$H259&lt;0,0,Data_Entry!P259/Data_Entry!$H259),0)</f>
        <v>1.1729471260608408</v>
      </c>
      <c r="L270" s="49">
        <f>IFERROR(IF(Data_Entry!Q259/Data_Entry!$H259&lt;0,0,Data_Entry!Q259/Data_Entry!$H259),0)</f>
        <v>1.268282554571722</v>
      </c>
      <c r="M270" s="49">
        <f>IFERROR(IF(Data_Entry!R259/Data_Entry!$H259&lt;0,0,Data_Entry!R259/Data_Entry!$H259),0)</f>
        <v>1.2725672929317615</v>
      </c>
      <c r="N270" s="49">
        <f>IFERROR(IF(Data_Entry!S259/Data_Entry!$H259&lt;0,0,Data_Entry!S259/Data_Entry!$H259),0)</f>
        <v>1.1911572640910091</v>
      </c>
      <c r="O270" s="49">
        <f>IFERROR(IF(Data_Entry!T259/Data_Entry!$H259&lt;0,0,Data_Entry!T259/Data_Entry!$H259),0)</f>
        <v>1.1429539575405636</v>
      </c>
      <c r="P270" s="49">
        <f>IFERROR(IF(Data_Entry!U259/Data_Entry!$H259&lt;0,0,Data_Entry!U259/Data_Entry!$H259),0)</f>
        <v>1.2822079542418505</v>
      </c>
      <c r="Q270" s="49">
        <f>IFERROR(IF(Data_Entry!V259/Data_Entry!$H259&lt;0,0,Data_Entry!V259/Data_Entry!$H259),0)</f>
        <v>1.1397404037705339</v>
      </c>
      <c r="R270" s="49">
        <f>IFERROR(IF(Data_Entry!W259/Data_Entry!$H259&lt;0,0,Data_Entry!W259/Data_Entry!$H259),0)</f>
        <v>1.0979642047601477</v>
      </c>
      <c r="S270" s="49">
        <f>IFERROR(IF(Data_Entry!X259/Data_Entry!$H259&lt;0,0,Data_Entry!X259/Data_Entry!$H259),0)</f>
        <v>1.1354556654104944</v>
      </c>
      <c r="T270" s="49">
        <f>IFERROR(IF(Data_Entry!Y259/Data_Entry!$H259&lt;0,0,Data_Entry!Y259/Data_Entry!$H259),0)</f>
        <v>0.11997267408110883</v>
      </c>
      <c r="U270" s="49">
        <f>IFERROR(IF(Data_Entry!Z259/Data_Entry!$H259&lt;0,0,Data_Entry!Z259/Data_Entry!$H259),0)</f>
        <v>0.95442546969882114</v>
      </c>
      <c r="V270" s="49">
        <f>IFERROR(IF(Data_Entry!AA259/Data_Entry!$H259&lt;0,0,Data_Entry!AA259/Data_Entry!$H259),0)</f>
        <v>1.2479300473615338</v>
      </c>
      <c r="W270" s="49">
        <f>IFERROR(IF(Data_Entry!AB259/Data_Entry!$H259&lt;0,0,Data_Entry!AB259/Data_Entry!$H259),0)</f>
        <v>1.1354556654104944</v>
      </c>
      <c r="X270" s="49">
        <f>IFERROR(IF(Data_Entry!AC259/Data_Entry!$I259&lt;0,0,Data_Entry!AC259/Data_Entry!$I259),0)</f>
        <v>0.39907785289261344</v>
      </c>
      <c r="Y270" s="49">
        <f>IFERROR(IF(Data_Entry!AD259/Data_Entry!$I259&lt;0,0,Data_Entry!AD259/Data_Entry!$I259),0)</f>
        <v>0.25514813545593318</v>
      </c>
      <c r="Z270" s="49">
        <f>IFERROR(IF(Data_Entry!AE259/Data_Entry!$I259&lt;0,0,Data_Entry!AE259/Data_Entry!$I259),0)</f>
        <v>7.3834075827907408E-2</v>
      </c>
      <c r="AA270" s="49">
        <f>IFERROR(IF(Data_Entry!AF259/Data_Entry!$I259&lt;0,0,Data_Entry!AF259/Data_Entry!$I259),0)</f>
        <v>1.8692171095672762E-2</v>
      </c>
      <c r="AB270" s="49">
        <f>IFERROR(IF(Data_Entry!AG259/Data_Entry!$I259&lt;0,0,Data_Entry!AG259/Data_Entry!$I259),0)</f>
        <v>3.7384342191345522E-3</v>
      </c>
      <c r="AC270" s="49">
        <f>IFERROR(IF(Data_Entry!AI259/Data_Entry!$I259&lt;0,0,Data_Entry!AI259/Data_Entry!$I259),0)</f>
        <v>5.4487678743886096E-2</v>
      </c>
      <c r="AD270" s="49">
        <f>IFERROR(IF(Data_Entry!AM259/Data_Entry!$H259&lt;0,0,Data_Entry!AM259/Data_Entry!$H259),0)</f>
        <v>0.95442546969882114</v>
      </c>
      <c r="AE270" s="50">
        <f>Data_Entry!AK259</f>
        <v>0</v>
      </c>
      <c r="AF270" s="50">
        <f>Data_Entry!AL259</f>
        <v>92</v>
      </c>
      <c r="AG270" s="153">
        <f>(Data_Entry!O259-Data_Entry!Q259)/Data_Entry!O259</f>
        <v>-2.7777777777777776E-2</v>
      </c>
      <c r="AH270" s="79" t="str">
        <f t="shared" si="6"/>
        <v>CAT1</v>
      </c>
      <c r="AI270" s="51">
        <f>SUBTOTAL(3,Tableau1[[#This Row],[ZS]])</f>
        <v>0</v>
      </c>
      <c r="AJ270" s="51" t="e">
        <f t="shared" ca="1" si="7"/>
        <v>#NAME?</v>
      </c>
      <c r="AK270" s="50" t="str">
        <f>IFERROR(IF((Data_Entry!O259-Data_Entry!Q259)/Data_Entry!O259&lt;=10%,"&lt;=10%","&gt;10%"),"&lt;=10%")</f>
        <v>&lt;=10%</v>
      </c>
    </row>
    <row r="271" spans="1:37" s="48" customFormat="1" ht="13" hidden="1" x14ac:dyDescent="0.3">
      <c r="A271" s="31" t="s">
        <v>16</v>
      </c>
      <c r="B271" s="48" t="str">
        <f>Data_Entry!B260</f>
        <v>Butembo</v>
      </c>
      <c r="C271" s="48" t="str">
        <f>Data_Entry!C260</f>
        <v xml:space="preserve"> Katwa</v>
      </c>
      <c r="D271" s="48" t="str">
        <f>Data_Entry!D260</f>
        <v xml:space="preserve"> Vuhika</v>
      </c>
      <c r="E271" s="49">
        <f>IFERROR(IF(Data_Entry!J260/Data_Entry!$I260&lt;0,0,Data_Entry!J260/Data_Entry!$I260),0)</f>
        <v>0.83280288563547633</v>
      </c>
      <c r="F271" s="49">
        <f>IFERROR(IF(Data_Entry!K260/Data_Entry!$H260&lt;0,0,Data_Entry!K260/Data_Entry!$H260),0)</f>
        <v>0.53014371636824809</v>
      </c>
      <c r="G271" s="49">
        <f>IFERROR(IF(Data_Entry!L260/Data_Entry!$H260&lt;0,0,Data_Entry!L260/Data_Entry!$H260),0)</f>
        <v>1.1940392877835311</v>
      </c>
      <c r="H271" s="49">
        <f>IFERROR(IF(Data_Entry!M260/Data_Entry!$H260&lt;0,0,Data_Entry!M260/Data_Entry!$H260),0)</f>
        <v>1.02988928386217</v>
      </c>
      <c r="I271" s="49">
        <f>IFERROR(IF(Data_Entry!N260/Data_Entry!$H260&lt;0,0,Data_Entry!N260/Data_Entry!$H260),0)</f>
        <v>1.003138912852763</v>
      </c>
      <c r="J271" s="49">
        <f>IFERROR(IF(Data_Entry!O260/Data_Entry!$H260&lt;0,0,Data_Entry!O260/Data_Entry!$H260),0)</f>
        <v>1.0128663204925472</v>
      </c>
      <c r="K271" s="49">
        <f>IFERROR(IF(Data_Entry!P260/Data_Entry!$H260&lt;0,0,Data_Entry!P260/Data_Entry!$H260),0)</f>
        <v>0.92531965173448794</v>
      </c>
      <c r="L271" s="49">
        <f>IFERROR(IF(Data_Entry!Q260/Data_Entry!$H260&lt;0,0,Data_Entry!Q260/Data_Entry!$H260),0)</f>
        <v>0.97882039375330199</v>
      </c>
      <c r="M271" s="49">
        <f>IFERROR(IF(Data_Entry!R260/Data_Entry!$H260&lt;0,0,Data_Entry!R260/Data_Entry!$H260),0)</f>
        <v>1.0858218777909301</v>
      </c>
      <c r="N271" s="49">
        <f>IFERROR(IF(Data_Entry!S260/Data_Entry!$H260&lt;0,0,Data_Entry!S260/Data_Entry!$H260),0)</f>
        <v>0.95207002274389496</v>
      </c>
      <c r="O271" s="49">
        <f>IFERROR(IF(Data_Entry!T260/Data_Entry!$H260&lt;0,0,Data_Entry!T260/Data_Entry!$H260),0)</f>
        <v>0.95693372656378717</v>
      </c>
      <c r="P271" s="49">
        <f>IFERROR(IF(Data_Entry!U260/Data_Entry!$H260&lt;0,0,Data_Entry!U260/Data_Entry!$H260),0)</f>
        <v>0.93626298532924535</v>
      </c>
      <c r="Q271" s="49">
        <f>IFERROR(IF(Data_Entry!V260/Data_Entry!$H260&lt;0,0,Data_Entry!V260/Data_Entry!$H260),0)</f>
        <v>0.82196594556177904</v>
      </c>
      <c r="R271" s="49">
        <f>IFERROR(IF(Data_Entry!W260/Data_Entry!$H260&lt;0,0,Data_Entry!W260/Data_Entry!$H260),0)</f>
        <v>0.79035187073247992</v>
      </c>
      <c r="S271" s="49">
        <f>IFERROR(IF(Data_Entry!X260/Data_Entry!$H260&lt;0,0,Data_Entry!X260/Data_Entry!$H260),0)</f>
        <v>1.0566396548715768</v>
      </c>
      <c r="T271" s="49">
        <f>IFERROR(IF(Data_Entry!Y260/Data_Entry!$H260&lt;0,0,Data_Entry!Y260/Data_Entry!$H260),0)</f>
        <v>0.34775482312229117</v>
      </c>
      <c r="U271" s="49">
        <f>IFERROR(IF(Data_Entry!Z260/Data_Entry!$H260&lt;0,0,Data_Entry!Z260/Data_Entry!$H260),0)</f>
        <v>0.9958433571229246</v>
      </c>
      <c r="V271" s="49">
        <f>IFERROR(IF(Data_Entry!AA260/Data_Entry!$H260&lt;0,0,Data_Entry!AA260/Data_Entry!$H260),0)</f>
        <v>1.0043548388077359</v>
      </c>
      <c r="W271" s="49">
        <f>IFERROR(IF(Data_Entry!AB260/Data_Entry!$H260&lt;0,0,Data_Entry!AB260/Data_Entry!$H260),0)</f>
        <v>0.97638854184335588</v>
      </c>
      <c r="X271" s="49">
        <f>IFERROR(IF(Data_Entry!AC260/Data_Entry!$I260&lt;0,0,Data_Entry!AC260/Data_Entry!$I260),0)</f>
        <v>0.25037131338849988</v>
      </c>
      <c r="Y271" s="49">
        <f>IFERROR(IF(Data_Entry!AD260/Data_Entry!$I260&lt;0,0,Data_Entry!AD260/Data_Entry!$I260),0)</f>
        <v>0.18141311266709101</v>
      </c>
      <c r="Z271" s="49">
        <f>IFERROR(IF(Data_Entry!AE260/Data_Entry!$I260&lt;0,0,Data_Entry!AE260/Data_Entry!$I260),0)</f>
        <v>0.23339698705707618</v>
      </c>
      <c r="AA271" s="49">
        <f>IFERROR(IF(Data_Entry!AF260/Data_Entry!$I260&lt;0,0,Data_Entry!AF260/Data_Entry!$I260),0)</f>
        <v>9.9724167197114369E-2</v>
      </c>
      <c r="AB271" s="49">
        <f>IFERROR(IF(Data_Entry!AG260/Data_Entry!$I260&lt;0,0,Data_Entry!AG260/Data_Entry!$I260),0)</f>
        <v>9.7602376405686392E-2</v>
      </c>
      <c r="AC271" s="49">
        <f>IFERROR(IF(Data_Entry!AI260/Data_Entry!$I260&lt;0,0,Data_Entry!AI260/Data_Entry!$I260),0)</f>
        <v>6.1850201570125184E-2</v>
      </c>
      <c r="AD271" s="49">
        <f>IFERROR(IF(Data_Entry!AM260/Data_Entry!$H260&lt;0,0,Data_Entry!AM260/Data_Entry!$H260),0)</f>
        <v>0.9958433571229246</v>
      </c>
      <c r="AE271" s="50">
        <f>Data_Entry!AK260</f>
        <v>0</v>
      </c>
      <c r="AF271" s="50">
        <f>Data_Entry!AL260</f>
        <v>0</v>
      </c>
      <c r="AG271" s="153">
        <f>(Data_Entry!O260-Data_Entry!Q260)/Data_Entry!O260</f>
        <v>3.3613445378151259E-2</v>
      </c>
      <c r="AH271" s="79" t="str">
        <f t="shared" si="6"/>
        <v>CAT1</v>
      </c>
      <c r="AI271" s="51">
        <f>SUBTOTAL(3,Tableau1[[#This Row],[ZS]])</f>
        <v>0</v>
      </c>
      <c r="AJ271" s="51" t="e">
        <f t="shared" ca="1" si="7"/>
        <v>#NAME?</v>
      </c>
      <c r="AK271" s="50" t="str">
        <f>IFERROR(IF((Data_Entry!O260-Data_Entry!Q260)/Data_Entry!O260&lt;=10%,"&lt;=10%","&gt;10%"),"&lt;=10%")</f>
        <v>&lt;=10%</v>
      </c>
    </row>
    <row r="272" spans="1:37" s="48" customFormat="1" ht="13" hidden="1" x14ac:dyDescent="0.3">
      <c r="A272" s="31" t="s">
        <v>16</v>
      </c>
      <c r="B272" s="48" t="str">
        <f>Data_Entry!B261</f>
        <v>Butembo</v>
      </c>
      <c r="C272" s="48" t="str">
        <f>Data_Entry!C261</f>
        <v xml:space="preserve"> Katwa</v>
      </c>
      <c r="D272" s="48" t="str">
        <f>Data_Entry!D261</f>
        <v xml:space="preserve"> Vungi</v>
      </c>
      <c r="E272" s="49">
        <f>IFERROR(IF(Data_Entry!J261/Data_Entry!$I261&lt;0,0,Data_Entry!J261/Data_Entry!$I261),0)</f>
        <v>2.7556583512307951</v>
      </c>
      <c r="F272" s="49">
        <f>IFERROR(IF(Data_Entry!K261/Data_Entry!$H261&lt;0,0,Data_Entry!K261/Data_Entry!$H261),0)</f>
        <v>7.9829699166436692</v>
      </c>
      <c r="G272" s="49">
        <f>IFERROR(IF(Data_Entry!L261/Data_Entry!$H261&lt;0,0,Data_Entry!L261/Data_Entry!$H261),0)</f>
        <v>2.0809497007569715</v>
      </c>
      <c r="H272" s="49">
        <f>IFERROR(IF(Data_Entry!M261/Data_Entry!$H261&lt;0,0,Data_Entry!M261/Data_Entry!$H261),0)</f>
        <v>2.1282870460881131</v>
      </c>
      <c r="I272" s="49">
        <f>IFERROR(IF(Data_Entry!N261/Data_Entry!$H261&lt;0,0,Data_Entry!N261/Data_Entry!$H261),0)</f>
        <v>2.1888788481119739</v>
      </c>
      <c r="J272" s="49">
        <f>IFERROR(IF(Data_Entry!O261/Data_Entry!$H261&lt;0,0,Data_Entry!O261/Data_Entry!$H261),0)</f>
        <v>2.3668672665570649</v>
      </c>
      <c r="K272" s="49">
        <f>IFERROR(IF(Data_Entry!P261/Data_Entry!$H261&lt;0,0,Data_Entry!P261/Data_Entry!$H261),0)</f>
        <v>2.3725477479968022</v>
      </c>
      <c r="L272" s="49">
        <f>IFERROR(IF(Data_Entry!Q261/Data_Entry!$H261&lt;0,0,Data_Entry!Q261/Data_Entry!$H261),0)</f>
        <v>2.4482875005266282</v>
      </c>
      <c r="M272" s="49">
        <f>IFERROR(IF(Data_Entry!R261/Data_Entry!$H261&lt;0,0,Data_Entry!R261/Data_Entry!$H261),0)</f>
        <v>2.3820152170630302</v>
      </c>
      <c r="N272" s="49">
        <f>IFERROR(IF(Data_Entry!S261/Data_Entry!$H261&lt;0,0,Data_Entry!S261/Data_Entry!$H261),0)</f>
        <v>2.3858022046895218</v>
      </c>
      <c r="O272" s="49">
        <f>IFERROR(IF(Data_Entry!T261/Data_Entry!$H261&lt;0,0,Data_Entry!T261/Data_Entry!$H261),0)</f>
        <v>2.4577549695928562</v>
      </c>
      <c r="P272" s="49">
        <f>IFERROR(IF(Data_Entry!U261/Data_Entry!$H261&lt;0,0,Data_Entry!U261/Data_Entry!$H261),0)</f>
        <v>2.0904171698231999</v>
      </c>
      <c r="Q272" s="49">
        <f>IFERROR(IF(Data_Entry!V261/Data_Entry!$H261&lt;0,0,Data_Entry!V261/Data_Entry!$H261),0)</f>
        <v>2.1055651203291652</v>
      </c>
      <c r="R272" s="49">
        <f>IFERROR(IF(Data_Entry!W261/Data_Entry!$H261&lt;0,0,Data_Entry!W261/Data_Entry!$H261),0)</f>
        <v>2.1699439099795175</v>
      </c>
      <c r="S272" s="49">
        <f>IFERROR(IF(Data_Entry!X261/Data_Entry!$H261&lt;0,0,Data_Entry!X261/Data_Entry!$H261),0)</f>
        <v>1.4769251743316085</v>
      </c>
      <c r="T272" s="49">
        <f>IFERROR(IF(Data_Entry!Y261/Data_Entry!$H261&lt;0,0,Data_Entry!Y261/Data_Entry!$H261),0)</f>
        <v>0.73278210572606739</v>
      </c>
      <c r="U272" s="49">
        <f>IFERROR(IF(Data_Entry!Z261/Data_Entry!$H261&lt;0,0,Data_Entry!Z261/Data_Entry!$H261),0)</f>
        <v>1.1512442384533565</v>
      </c>
      <c r="V272" s="49">
        <f>IFERROR(IF(Data_Entry!AA261/Data_Entry!$H261&lt;0,0,Data_Entry!AA261/Data_Entry!$H261),0)</f>
        <v>2.5959800179597892</v>
      </c>
      <c r="W272" s="49">
        <f>IFERROR(IF(Data_Entry!AB261/Data_Entry!$H261&lt;0,0,Data_Entry!AB261/Data_Entry!$H261),0)</f>
        <v>0.95432088187580866</v>
      </c>
      <c r="X272" s="49">
        <f>IFERROR(IF(Data_Entry!AC261/Data_Entry!$I261&lt;0,0,Data_Entry!AC261/Data_Entry!$I261),0)</f>
        <v>2.9671237402940691</v>
      </c>
      <c r="Y272" s="49">
        <f>IFERROR(IF(Data_Entry!AD261/Data_Entry!$I261&lt;0,0,Data_Entry!AD261/Data_Entry!$I261),0)</f>
        <v>2.7507021311746245</v>
      </c>
      <c r="Z272" s="49">
        <f>IFERROR(IF(Data_Entry!AE261/Data_Entry!$I261&lt;0,0,Data_Entry!AE261/Data_Entry!$I261),0)</f>
        <v>0.33537089046753676</v>
      </c>
      <c r="AA272" s="49">
        <f>IFERROR(IF(Data_Entry!AF261/Data_Entry!$I261&lt;0,0,Data_Entry!AF261/Data_Entry!$I261),0)</f>
        <v>0.24120270940029739</v>
      </c>
      <c r="AB272" s="49">
        <f>IFERROR(IF(Data_Entry!AG261/Data_Entry!$I261&lt;0,0,Data_Entry!AG261/Data_Entry!$I261),0)</f>
        <v>0.15859904179745582</v>
      </c>
      <c r="AC272" s="49">
        <f>IFERROR(IF(Data_Entry!AI261/Data_Entry!$I261&lt;0,0,Data_Entry!AI261/Data_Entry!$I261),0)</f>
        <v>9.6315876424913266E-2</v>
      </c>
      <c r="AD272" s="49">
        <f>IFERROR(IF(Data_Entry!AM261/Data_Entry!$H261&lt;0,0,Data_Entry!AM261/Data_Entry!$H261),0)</f>
        <v>1.1512442384533565</v>
      </c>
      <c r="AE272" s="50">
        <f>Data_Entry!AK261</f>
        <v>0</v>
      </c>
      <c r="AF272" s="50">
        <f>Data_Entry!AL261</f>
        <v>470</v>
      </c>
      <c r="AG272" s="153">
        <f>(Data_Entry!O261-Data_Entry!Q261)/Data_Entry!O261</f>
        <v>-3.44E-2</v>
      </c>
      <c r="AH272" s="79" t="str">
        <f t="shared" ref="AH272:AH335" si="8">IFERROR(IF(AND(AG272&lt;=10%,J272&gt;=90%),"CAT1",IF(AND(AG272&lt;=10%,J272&lt;90%),"CAT3",IF(AND(AG272&gt;10%,J272&gt;=90%),"CAT2",IF(AND(AG272&gt;10%,J272&lt;90%),"CAT4",)))),"ND")</f>
        <v>CAT1</v>
      </c>
      <c r="AI272" s="51">
        <f>SUBTOTAL(3,Tableau1[[#This Row],[ZS]])</f>
        <v>0</v>
      </c>
      <c r="AJ272" s="51" t="e">
        <f t="shared" ref="AJ272:AJ335" ca="1" si="9">_xlfn.IFS(L272&lt;50%,"&lt;50%",(AND(L272&lt;80%,L272&gt;50%)),"&gt;50%&lt;80%",(AND(L272&gt;=80%,L272&lt;95%)),"&gt;=80%&lt;95%",(AND(L272&gt;=95%,L272&lt;100%)),"95-100%",L272&gt;100%,"&gt;100%")</f>
        <v>#NAME?</v>
      </c>
      <c r="AK272" s="50" t="str">
        <f>IFERROR(IF((Data_Entry!O261-Data_Entry!Q261)/Data_Entry!O261&lt;=10%,"&lt;=10%","&gt;10%"),"&lt;=10%")</f>
        <v>&lt;=10%</v>
      </c>
    </row>
    <row r="273" spans="1:37" s="48" customFormat="1" ht="13" hidden="1" x14ac:dyDescent="0.3">
      <c r="A273" s="31" t="s">
        <v>16</v>
      </c>
      <c r="B273" s="48" t="str">
        <f>Data_Entry!B262</f>
        <v>Butembo</v>
      </c>
      <c r="C273" s="48" t="str">
        <f>Data_Entry!C262</f>
        <v xml:space="preserve"> Katwa</v>
      </c>
      <c r="D273" s="48" t="str">
        <f>Data_Entry!D262</f>
        <v xml:space="preserve"> Wanamahika</v>
      </c>
      <c r="E273" s="49">
        <f>IFERROR(IF(Data_Entry!J262/Data_Entry!$I262&lt;0,0,Data_Entry!J262/Data_Entry!$I262),0)</f>
        <v>1.1042462040626002</v>
      </c>
      <c r="F273" s="49">
        <f>IFERROR(IF(Data_Entry!K262/Data_Entry!$H262&lt;0,0,Data_Entry!K262/Data_Entry!$H262),0)</f>
        <v>0.69944335965960436</v>
      </c>
      <c r="G273" s="49">
        <f>IFERROR(IF(Data_Entry!L262/Data_Entry!$H262&lt;0,0,Data_Entry!L262/Data_Entry!$H262),0)</f>
        <v>0.96799754359767587</v>
      </c>
      <c r="H273" s="49">
        <f>IFERROR(IF(Data_Entry!M262/Data_Entry!$H262&lt;0,0,Data_Entry!M262/Data_Entry!$H262),0)</f>
        <v>0.957976865092524</v>
      </c>
      <c r="I273" s="49">
        <f>IFERROR(IF(Data_Entry!N262/Data_Entry!$H262&lt;0,0,Data_Entry!N262/Data_Entry!$H262),0)</f>
        <v>0.94795618658737202</v>
      </c>
      <c r="J273" s="49">
        <f>IFERROR(IF(Data_Entry!O262/Data_Entry!$H262&lt;0,0,Data_Entry!O262/Data_Entry!$H262),0)</f>
        <v>0.90286313331418833</v>
      </c>
      <c r="K273" s="49">
        <f>IFERROR(IF(Data_Entry!P262/Data_Entry!$H262&lt;0,0,Data_Entry!P262/Data_Entry!$H262),0)</f>
        <v>0.88883418340697562</v>
      </c>
      <c r="L273" s="49">
        <f>IFERROR(IF(Data_Entry!Q262/Data_Entry!$H262&lt;0,0,Data_Entry!Q262/Data_Entry!$H262),0)</f>
        <v>0.90186106546367317</v>
      </c>
      <c r="M273" s="49">
        <f>IFERROR(IF(Data_Entry!R262/Data_Entry!$H262&lt;0,0,Data_Entry!R262/Data_Entry!$H262),0)</f>
        <v>0.87280109779873261</v>
      </c>
      <c r="N273" s="49">
        <f>IFERROR(IF(Data_Entry!S262/Data_Entry!$H262&lt;0,0,Data_Entry!S262/Data_Entry!$H262),0)</f>
        <v>0.89384452265955161</v>
      </c>
      <c r="O273" s="49">
        <f>IFERROR(IF(Data_Entry!T262/Data_Entry!$H262&lt;0,0,Data_Entry!T262/Data_Entry!$H262),0)</f>
        <v>0.81468116246885147</v>
      </c>
      <c r="P273" s="49">
        <f>IFERROR(IF(Data_Entry!U262/Data_Entry!$H262&lt;0,0,Data_Entry!U262/Data_Entry!$H262),0)</f>
        <v>0.83071424807709449</v>
      </c>
      <c r="Q273" s="49">
        <f>IFERROR(IF(Data_Entry!V262/Data_Entry!$H262&lt;0,0,Data_Entry!V262/Data_Entry!$H262),0)</f>
        <v>0.82369977312348819</v>
      </c>
      <c r="R273" s="49">
        <f>IFERROR(IF(Data_Entry!W262/Data_Entry!$H262&lt;0,0,Data_Entry!W262/Data_Entry!$H262),0)</f>
        <v>0.88883418340697562</v>
      </c>
      <c r="S273" s="49">
        <f>IFERROR(IF(Data_Entry!X262/Data_Entry!$H262&lt;0,0,Data_Entry!X262/Data_Entry!$H262),0)</f>
        <v>1.0331319538811634</v>
      </c>
      <c r="T273" s="49">
        <f>IFERROR(IF(Data_Entry!Y262/Data_Entry!$H262&lt;0,0,Data_Entry!Y262/Data_Entry!$H262),0)</f>
        <v>0.44291398992771502</v>
      </c>
      <c r="U273" s="49">
        <f>IFERROR(IF(Data_Entry!Z262/Data_Entry!$H262&lt;0,0,Data_Entry!Z262/Data_Entry!$H262),0)</f>
        <v>0.75856536284000065</v>
      </c>
      <c r="V273" s="49">
        <f>IFERROR(IF(Data_Entry!AA262/Data_Entry!$H262&lt;0,0,Data_Entry!AA262/Data_Entry!$H262),0)</f>
        <v>0.91689208322140103</v>
      </c>
      <c r="W273" s="49">
        <f>IFERROR(IF(Data_Entry!AB262/Data_Entry!$H262&lt;0,0,Data_Entry!AB262/Data_Entry!$H262),0)</f>
        <v>0.6864164776029068</v>
      </c>
      <c r="X273" s="49">
        <f>IFERROR(IF(Data_Entry!AC262/Data_Entry!$I262&lt;0,0,Data_Entry!AC262/Data_Entry!$I262),0)</f>
        <v>0.45114096698044476</v>
      </c>
      <c r="Y273" s="49">
        <f>IFERROR(IF(Data_Entry!AD262/Data_Entry!$I262&lt;0,0,Data_Entry!AD262/Data_Entry!$I262),0)</f>
        <v>0.41616879899746451</v>
      </c>
      <c r="Z273" s="49">
        <f>IFERROR(IF(Data_Entry!AE262/Data_Entry!$I262&lt;0,0,Data_Entry!AE262/Data_Entry!$I262),0)</f>
        <v>0.36458485122256873</v>
      </c>
      <c r="AA273" s="49">
        <f>IFERROR(IF(Data_Entry!AF262/Data_Entry!$I262&lt;0,0,Data_Entry!AF262/Data_Entry!$I262),0)</f>
        <v>0.32873837904001402</v>
      </c>
      <c r="AB273" s="49">
        <f>IFERROR(IF(Data_Entry!AG262/Data_Entry!$I262&lt;0,0,Data_Entry!AG262/Data_Entry!$I262),0)</f>
        <v>0.2605426514732026</v>
      </c>
      <c r="AC273" s="49">
        <f>IFERROR(IF(Data_Entry!AI262/Data_Entry!$I262&lt;0,0,Data_Entry!AI262/Data_Entry!$I262),0)</f>
        <v>3.645848512225687E-2</v>
      </c>
      <c r="AD273" s="49">
        <f>IFERROR(IF(Data_Entry!AM262/Data_Entry!$H262&lt;0,0,Data_Entry!AM262/Data_Entry!$H262),0)</f>
        <v>0.75856536284000065</v>
      </c>
      <c r="AE273" s="50">
        <f>Data_Entry!AK262</f>
        <v>96.93641666666656</v>
      </c>
      <c r="AF273" s="50">
        <f>Data_Entry!AL262</f>
        <v>0</v>
      </c>
      <c r="AG273" s="153">
        <f>(Data_Entry!O262-Data_Entry!Q262)/Data_Entry!O262</f>
        <v>1.1098779134295228E-3</v>
      </c>
      <c r="AH273" s="79" t="str">
        <f t="shared" si="8"/>
        <v>CAT1</v>
      </c>
      <c r="AI273" s="51">
        <f>SUBTOTAL(3,Tableau1[[#This Row],[ZS]])</f>
        <v>0</v>
      </c>
      <c r="AJ273" s="51" t="e">
        <f t="shared" ca="1" si="9"/>
        <v>#NAME?</v>
      </c>
      <c r="AK273" s="50" t="str">
        <f>IFERROR(IF((Data_Entry!O262-Data_Entry!Q262)/Data_Entry!O262&lt;=10%,"&lt;=10%","&gt;10%"),"&lt;=10%")</f>
        <v>&lt;=10%</v>
      </c>
    </row>
    <row r="274" spans="1:37" s="48" customFormat="1" ht="13" hidden="1" x14ac:dyDescent="0.3">
      <c r="A274" s="31" t="s">
        <v>16</v>
      </c>
      <c r="B274" s="48" t="str">
        <f>Data_Entry!B263</f>
        <v>Butembo</v>
      </c>
      <c r="C274" s="48" t="str">
        <f>Data_Entry!C263</f>
        <v xml:space="preserve"> Katwa</v>
      </c>
      <c r="D274" s="48" t="str">
        <f>Data_Entry!D263</f>
        <v xml:space="preserve"> Wayene</v>
      </c>
      <c r="E274" s="49">
        <f>IFERROR(IF(Data_Entry!J263/Data_Entry!$I263&lt;0,0,Data_Entry!J263/Data_Entry!$I263),0)</f>
        <v>0.63962131288631563</v>
      </c>
      <c r="F274" s="49">
        <f>IFERROR(IF(Data_Entry!K263/Data_Entry!$H263&lt;0,0,Data_Entry!K263/Data_Entry!$H263),0)</f>
        <v>0</v>
      </c>
      <c r="G274" s="49">
        <f>IFERROR(IF(Data_Entry!L263/Data_Entry!$H263&lt;0,0,Data_Entry!L263/Data_Entry!$H263),0)</f>
        <v>0.7088781722690537</v>
      </c>
      <c r="H274" s="49">
        <f>IFERROR(IF(Data_Entry!M263/Data_Entry!$H263&lt;0,0,Data_Entry!M263/Data_Entry!$H263),0)</f>
        <v>0.725019610726793</v>
      </c>
      <c r="I274" s="49">
        <f>IFERROR(IF(Data_Entry!N263/Data_Entry!$H263&lt;0,0,Data_Entry!N263/Data_Entry!$H263),0)</f>
        <v>0.69273673381131429</v>
      </c>
      <c r="J274" s="49">
        <f>IFERROR(IF(Data_Entry!O263/Data_Entry!$H263&lt;0,0,Data_Entry!O263/Data_Entry!$H263),0)</f>
        <v>0.99000822540801425</v>
      </c>
      <c r="K274" s="49">
        <f>IFERROR(IF(Data_Entry!P263/Data_Entry!$H263&lt;0,0,Data_Entry!P263/Data_Entry!$H263),0)</f>
        <v>0.98193750617914455</v>
      </c>
      <c r="L274" s="49">
        <f>IFERROR(IF(Data_Entry!Q263/Data_Entry!$H263&lt;0,0,Data_Entry!Q263/Data_Entry!$H263),0)</f>
        <v>0.98328262605062278</v>
      </c>
      <c r="M274" s="49">
        <f>IFERROR(IF(Data_Entry!R263/Data_Entry!$H263&lt;0,0,Data_Entry!R263/Data_Entry!$H263),0)</f>
        <v>1.0222911023234929</v>
      </c>
      <c r="N274" s="49">
        <f>IFERROR(IF(Data_Entry!S263/Data_Entry!$H263&lt;0,0,Data_Entry!S263/Data_Entry!$H263),0)</f>
        <v>1.0196008625805364</v>
      </c>
      <c r="O274" s="49">
        <f>IFERROR(IF(Data_Entry!T263/Data_Entry!$H263&lt;0,0,Data_Entry!T263/Data_Entry!$H263),0)</f>
        <v>1.0088399036087101</v>
      </c>
      <c r="P274" s="49">
        <f>IFERROR(IF(Data_Entry!U263/Data_Entry!$H263&lt;0,0,Data_Entry!U263/Data_Entry!$H263),0)</f>
        <v>0.83935479980244687</v>
      </c>
      <c r="Q274" s="49">
        <f>IFERROR(IF(Data_Entry!V263/Data_Entry!$H263&lt;0,0,Data_Entry!V263/Data_Entry!$H263),0)</f>
        <v>0.78285976520035905</v>
      </c>
      <c r="R274" s="49">
        <f>IFERROR(IF(Data_Entry!W263/Data_Entry!$H263&lt;0,0,Data_Entry!W263/Data_Entry!$H263),0)</f>
        <v>0.78555000494331562</v>
      </c>
      <c r="S274" s="49">
        <f>IFERROR(IF(Data_Entry!X263/Data_Entry!$H263&lt;0,0,Data_Entry!X263/Data_Entry!$H263),0)</f>
        <v>1.027671581809406</v>
      </c>
      <c r="T274" s="49">
        <f>IFERROR(IF(Data_Entry!Y263/Data_Entry!$H263&lt;0,0,Data_Entry!Y263/Data_Entry!$H263),0)</f>
        <v>0.12778638779043661</v>
      </c>
      <c r="U274" s="49">
        <f>IFERROR(IF(Data_Entry!Z263/Data_Entry!$H263&lt;0,0,Data_Entry!Z263/Data_Entry!$H263),0)</f>
        <v>0.9321680709344482</v>
      </c>
      <c r="V274" s="49">
        <f>IFERROR(IF(Data_Entry!AA263/Data_Entry!$H263&lt;0,0,Data_Entry!AA263/Data_Entry!$H263),0)</f>
        <v>0.96848630746436171</v>
      </c>
      <c r="W274" s="49">
        <f>IFERROR(IF(Data_Entry!AB263/Data_Entry!$H263&lt;0,0,Data_Entry!AB263/Data_Entry!$H263),0)</f>
        <v>0.960415588235492</v>
      </c>
      <c r="X274" s="49">
        <f>IFERROR(IF(Data_Entry!AC263/Data_Entry!$I263&lt;0,0,Data_Entry!AC263/Data_Entry!$I263),0)</f>
        <v>0.14200766763164072</v>
      </c>
      <c r="Y274" s="49">
        <f>IFERROR(IF(Data_Entry!AD263/Data_Entry!$I263&lt;0,0,Data_Entry!AD263/Data_Entry!$I263),0)</f>
        <v>9.9757452468507951E-2</v>
      </c>
      <c r="Z274" s="49">
        <f>IFERROR(IF(Data_Entry!AE263/Data_Entry!$I263&lt;0,0,Data_Entry!AE263/Data_Entry!$I263),0)</f>
        <v>7.6285110711211968E-2</v>
      </c>
      <c r="AA274" s="49">
        <f>IFERROR(IF(Data_Entry!AF263/Data_Entry!$I263&lt;0,0,Data_Entry!AF263/Data_Entry!$I263),0)</f>
        <v>4.9291917690321575E-2</v>
      </c>
      <c r="AB274" s="49">
        <f>IFERROR(IF(Data_Entry!AG263/Data_Entry!$I263&lt;0,0,Data_Entry!AG263/Data_Entry!$I263),0)</f>
        <v>2.9340427196619986E-2</v>
      </c>
      <c r="AC274" s="49">
        <f>IFERROR(IF(Data_Entry!AI263/Data_Entry!$I263&lt;0,0,Data_Entry!AI263/Data_Entry!$I263),0)</f>
        <v>5.8680854393239973E-2</v>
      </c>
      <c r="AD274" s="49">
        <f>IFERROR(IF(Data_Entry!AM263/Data_Entry!$H263&lt;0,0,Data_Entry!AM263/Data_Entry!$H263),0)</f>
        <v>0.9321680709344482</v>
      </c>
      <c r="AE274" s="50">
        <f>Data_Entry!AK263</f>
        <v>7.4281666666665842</v>
      </c>
      <c r="AF274" s="50">
        <f>Data_Entry!AL263</f>
        <v>0</v>
      </c>
      <c r="AG274" s="153">
        <f>(Data_Entry!O263-Data_Entry!Q263)/Data_Entry!O263</f>
        <v>6.793478260869565E-3</v>
      </c>
      <c r="AH274" s="79" t="str">
        <f t="shared" si="8"/>
        <v>CAT1</v>
      </c>
      <c r="AI274" s="51">
        <f>SUBTOTAL(3,Tableau1[[#This Row],[ZS]])</f>
        <v>0</v>
      </c>
      <c r="AJ274" s="51" t="e">
        <f t="shared" ca="1" si="9"/>
        <v>#NAME?</v>
      </c>
      <c r="AK274" s="50" t="str">
        <f>IFERROR(IF((Data_Entry!O263-Data_Entry!Q263)/Data_Entry!O263&lt;=10%,"&lt;=10%","&gt;10%"),"&lt;=10%")</f>
        <v>&lt;=10%</v>
      </c>
    </row>
    <row r="275" spans="1:37" s="48" customFormat="1" ht="13" hidden="1" x14ac:dyDescent="0.3">
      <c r="A275" s="31" t="s">
        <v>16</v>
      </c>
      <c r="B275" s="48" t="str">
        <f>Data_Entry!B264</f>
        <v>Butembo</v>
      </c>
      <c r="C275" s="48" t="str">
        <f>Data_Entry!C264</f>
        <v xml:space="preserve"> Kayna</v>
      </c>
      <c r="D275" s="48" t="str">
        <f>Data_Entry!D264</f>
        <v xml:space="preserve"> Bulinda</v>
      </c>
      <c r="E275" s="49">
        <f>IFERROR(IF(Data_Entry!J264/Data_Entry!$I264&lt;0,0,Data_Entry!J264/Data_Entry!$I264),0)</f>
        <v>0.83253282100544346</v>
      </c>
      <c r="F275" s="49">
        <f>IFERROR(IF(Data_Entry!K264/Data_Entry!$H264&lt;0,0,Data_Entry!K264/Data_Entry!$H264),0)</f>
        <v>0.44773640803466658</v>
      </c>
      <c r="G275" s="49">
        <f>IFERROR(IF(Data_Entry!L264/Data_Entry!$H264&lt;0,0,Data_Entry!L264/Data_Entry!$H264),0)</f>
        <v>1.1156710495290052</v>
      </c>
      <c r="H275" s="49">
        <f>IFERROR(IF(Data_Entry!M264/Data_Entry!$H264&lt;0,0,Data_Entry!M264/Data_Entry!$H264),0)</f>
        <v>1.1009911672983606</v>
      </c>
      <c r="I275" s="49">
        <f>IFERROR(IF(Data_Entry!N264/Data_Entry!$H264&lt;0,0,Data_Entry!N264/Data_Entry!$H264),0)</f>
        <v>1.1083311084136829</v>
      </c>
      <c r="J275" s="49">
        <f>IFERROR(IF(Data_Entry!O264/Data_Entry!$H264&lt;0,0,Data_Entry!O264/Data_Entry!$H264),0)</f>
        <v>0.87161800744453533</v>
      </c>
      <c r="K275" s="49">
        <f>IFERROR(IF(Data_Entry!P264/Data_Entry!$H264&lt;0,0,Data_Entry!P264/Data_Entry!$H264),0)</f>
        <v>0.8477631988197375</v>
      </c>
      <c r="L275" s="49">
        <f>IFERROR(IF(Data_Entry!Q264/Data_Entry!$H264&lt;0,0,Data_Entry!Q264/Data_Entry!$H264),0)</f>
        <v>0.78537369933949708</v>
      </c>
      <c r="M275" s="49">
        <f>IFERROR(IF(Data_Entry!R264/Data_Entry!$H264&lt;0,0,Data_Entry!R264/Data_Entry!$H264),0)</f>
        <v>1.0697964175582402</v>
      </c>
      <c r="N275" s="49">
        <f>IFERROR(IF(Data_Entry!S264/Data_Entry!$H264&lt;0,0,Data_Entry!S264/Data_Entry!$H264),0)</f>
        <v>1.0734663881159014</v>
      </c>
      <c r="O275" s="49">
        <f>IFERROR(IF(Data_Entry!T264/Data_Entry!$H264&lt;0,0,Data_Entry!T264/Data_Entry!$H264),0)</f>
        <v>1.0661264470005791</v>
      </c>
      <c r="P275" s="49">
        <f>IFERROR(IF(Data_Entry!U264/Data_Entry!$H264&lt;0,0,Data_Entry!U264/Data_Entry!$H264),0)</f>
        <v>1.1009911672983606</v>
      </c>
      <c r="Q275" s="49">
        <f>IFERROR(IF(Data_Entry!V264/Data_Entry!$H264&lt;0,0,Data_Entry!V264/Data_Entry!$H264),0)</f>
        <v>1.0863112850677157</v>
      </c>
      <c r="R275" s="49">
        <f>IFERROR(IF(Data_Entry!W264/Data_Entry!$H264&lt;0,0,Data_Entry!W264/Data_Entry!$H264),0)</f>
        <v>1.093651226183038</v>
      </c>
      <c r="S275" s="49">
        <f>IFERROR(IF(Data_Entry!X264/Data_Entry!$H264&lt;0,0,Data_Entry!X264/Data_Entry!$H264),0)</f>
        <v>1.0551165353275955</v>
      </c>
      <c r="T275" s="49">
        <f>IFERROR(IF(Data_Entry!Y264/Data_Entry!$H264&lt;0,0,Data_Entry!Y264/Data_Entry!$H264),0)</f>
        <v>0.80922850796429491</v>
      </c>
      <c r="U275" s="49">
        <f>IFERROR(IF(Data_Entry!Z264/Data_Entry!$H264&lt;0,0,Data_Entry!Z264/Data_Entry!$H264),0)</f>
        <v>0.8477631988197375</v>
      </c>
      <c r="V275" s="49">
        <f>IFERROR(IF(Data_Entry!AA264/Data_Entry!$H264&lt;0,0,Data_Entry!AA264/Data_Entry!$H264),0)</f>
        <v>1.1083311084136829</v>
      </c>
      <c r="W275" s="49">
        <f>IFERROR(IF(Data_Entry!AB264/Data_Entry!$H264&lt;0,0,Data_Entry!AB264/Data_Entry!$H264),0)</f>
        <v>0.91015269829997791</v>
      </c>
      <c r="X275" s="49">
        <f>IFERROR(IF(Data_Entry!AC264/Data_Entry!$I264&lt;0,0,Data_Entry!AC264/Data_Entry!$I264),0)</f>
        <v>0.19532500800512329</v>
      </c>
      <c r="Y275" s="49">
        <f>IFERROR(IF(Data_Entry!AD264/Data_Entry!$I264&lt;0,0,Data_Entry!AD264/Data_Entry!$I264),0)</f>
        <v>0.18091578610310599</v>
      </c>
      <c r="Z275" s="49">
        <f>IFERROR(IF(Data_Entry!AE264/Data_Entry!$I264&lt;0,0,Data_Entry!AE264/Data_Entry!$I264),0)</f>
        <v>8.0051232788984947E-2</v>
      </c>
      <c r="AA275" s="49">
        <f>IFERROR(IF(Data_Entry!AF264/Data_Entry!$I264&lt;0,0,Data_Entry!AF264/Data_Entry!$I264),0)</f>
        <v>7.2046109510086456E-2</v>
      </c>
      <c r="AB275" s="49">
        <f>IFERROR(IF(Data_Entry!AG264/Data_Entry!$I264&lt;0,0,Data_Entry!AG264/Data_Entry!$I264),0)</f>
        <v>7.3647134165866157E-2</v>
      </c>
      <c r="AC275" s="49">
        <f>IFERROR(IF(Data_Entry!AI264/Data_Entry!$I264&lt;0,0,Data_Entry!AI264/Data_Entry!$I264),0)</f>
        <v>6.6762728146013445E-2</v>
      </c>
      <c r="AD275" s="49">
        <f>IFERROR(IF(Data_Entry!AM264/Data_Entry!$H264&lt;0,0,Data_Entry!AM264/Data_Entry!$H264),0)</f>
        <v>0.8477631988197375</v>
      </c>
      <c r="AE275" s="50">
        <f>Data_Entry!AK264</f>
        <v>69.963499999999954</v>
      </c>
      <c r="AF275" s="50">
        <f>Data_Entry!AL264</f>
        <v>0</v>
      </c>
      <c r="AG275" s="153">
        <f>(Data_Entry!O264-Data_Entry!Q264)/Data_Entry!O264</f>
        <v>9.8947368421052631E-2</v>
      </c>
      <c r="AH275" s="79" t="str">
        <f t="shared" si="8"/>
        <v>CAT3</v>
      </c>
      <c r="AI275" s="51">
        <f>SUBTOTAL(3,Tableau1[[#This Row],[ZS]])</f>
        <v>0</v>
      </c>
      <c r="AJ275" s="51" t="e">
        <f t="shared" ca="1" si="9"/>
        <v>#NAME?</v>
      </c>
      <c r="AK275" s="50" t="str">
        <f>IFERROR(IF((Data_Entry!O264-Data_Entry!Q264)/Data_Entry!O264&lt;=10%,"&lt;=10%","&gt;10%"),"&lt;=10%")</f>
        <v>&lt;=10%</v>
      </c>
    </row>
    <row r="276" spans="1:37" s="48" customFormat="1" ht="13" hidden="1" x14ac:dyDescent="0.3">
      <c r="A276" s="31" t="s">
        <v>16</v>
      </c>
      <c r="B276" s="48" t="str">
        <f>Data_Entry!B265</f>
        <v>Butembo</v>
      </c>
      <c r="C276" s="48" t="str">
        <f>Data_Entry!C265</f>
        <v xml:space="preserve"> Kayna</v>
      </c>
      <c r="D276" s="48" t="str">
        <f>Data_Entry!D265</f>
        <v xml:space="preserve"> Bulotwa</v>
      </c>
      <c r="E276" s="49">
        <f>IFERROR(IF(Data_Entry!J265/Data_Entry!$I265&lt;0,0,Data_Entry!J265/Data_Entry!$I265),0)</f>
        <v>0.51797276177718243</v>
      </c>
      <c r="F276" s="49">
        <f>IFERROR(IF(Data_Entry!K265/Data_Entry!$H265&lt;0,0,Data_Entry!K265/Data_Entry!$H265),0)</f>
        <v>0.57831164984509054</v>
      </c>
      <c r="G276" s="49">
        <f>IFERROR(IF(Data_Entry!L265/Data_Entry!$H265&lt;0,0,Data_Entry!L265/Data_Entry!$H265),0)</f>
        <v>1.1822123107452736</v>
      </c>
      <c r="H276" s="49">
        <f>IFERROR(IF(Data_Entry!M265/Data_Entry!$H265&lt;0,0,Data_Entry!M265/Data_Entry!$H265),0)</f>
        <v>1.064502859891848</v>
      </c>
      <c r="I276" s="49">
        <f>IFERROR(IF(Data_Entry!N265/Data_Entry!$H265&lt;0,0,Data_Entry!N265/Data_Entry!$H265),0)</f>
        <v>0.98517692562106129</v>
      </c>
      <c r="J276" s="49">
        <f>IFERROR(IF(Data_Entry!O265/Data_Entry!$H265&lt;0,0,Data_Entry!O265/Data_Entry!$H265),0)</f>
        <v>0.76511143054726571</v>
      </c>
      <c r="K276" s="49">
        <f>IFERROR(IF(Data_Entry!P265/Data_Entry!$H265&lt;0,0,Data_Entry!P265/Data_Entry!$H265),0)</f>
        <v>0.68834439738198827</v>
      </c>
      <c r="L276" s="49">
        <f>IFERROR(IF(Data_Entry!Q265/Data_Entry!$H265&lt;0,0,Data_Entry!Q265/Data_Entry!$H265),0)</f>
        <v>0.72161011175360856</v>
      </c>
      <c r="M276" s="49">
        <f>IFERROR(IF(Data_Entry!R265/Data_Entry!$H265&lt;0,0,Data_Entry!R265/Data_Entry!$H265),0)</f>
        <v>0.84443736481805254</v>
      </c>
      <c r="N276" s="49">
        <f>IFERROR(IF(Data_Entry!S265/Data_Entry!$H265&lt;0,0,Data_Entry!S265/Data_Entry!$H265),0)</f>
        <v>0.76767033165277498</v>
      </c>
      <c r="O276" s="49">
        <f>IFERROR(IF(Data_Entry!T265/Data_Entry!$H265&lt;0,0,Data_Entry!T265/Data_Entry!$H265),0)</f>
        <v>0.75231692501971947</v>
      </c>
      <c r="P276" s="49">
        <f>IFERROR(IF(Data_Entry!U265/Data_Entry!$H265&lt;0,0,Data_Entry!U265/Data_Entry!$H265),0)</f>
        <v>1.0926507720524499</v>
      </c>
      <c r="Q276" s="49">
        <f>IFERROR(IF(Data_Entry!V265/Data_Entry!$H265&lt;0,0,Data_Entry!V265/Data_Entry!$H265),0)</f>
        <v>0.84699626592356181</v>
      </c>
      <c r="R276" s="49">
        <f>IFERROR(IF(Data_Entry!W265/Data_Entry!$H265&lt;0,0,Data_Entry!W265/Data_Entry!$H265),0)</f>
        <v>0.76511143054726571</v>
      </c>
      <c r="S276" s="49">
        <f>IFERROR(IF(Data_Entry!X265/Data_Entry!$H265&lt;0,0,Data_Entry!X265/Data_Entry!$H265),0)</f>
        <v>1.064502859891848</v>
      </c>
      <c r="T276" s="49">
        <f>IFERROR(IF(Data_Entry!Y265/Data_Entry!$H265&lt;0,0,Data_Entry!Y265/Data_Entry!$H265),0)</f>
        <v>0.17912307738564751</v>
      </c>
      <c r="U276" s="49">
        <f>IFERROR(IF(Data_Entry!Z265/Data_Entry!$H265&lt;0,0,Data_Entry!Z265/Data_Entry!$H265),0)</f>
        <v>0.93655780461638549</v>
      </c>
      <c r="V276" s="49">
        <f>IFERROR(IF(Data_Entry!AA265/Data_Entry!$H265&lt;0,0,Data_Entry!AA265/Data_Entry!$H265),0)</f>
        <v>1.3562175859199026</v>
      </c>
      <c r="W276" s="49">
        <f>IFERROR(IF(Data_Entry!AB265/Data_Entry!$H265&lt;0,0,Data_Entry!AB265/Data_Entry!$H265),0)</f>
        <v>0.82140725486846922</v>
      </c>
      <c r="X276" s="49">
        <f>IFERROR(IF(Data_Entry!AC265/Data_Entry!$I265&lt;0,0,Data_Entry!AC265/Data_Entry!$I265),0)</f>
        <v>0.31480241125251174</v>
      </c>
      <c r="Y276" s="49">
        <f>IFERROR(IF(Data_Entry!AD265/Data_Entry!$I265&lt;0,0,Data_Entry!AD265/Data_Entry!$I265),0)</f>
        <v>0.20540299173922752</v>
      </c>
      <c r="Z276" s="49">
        <f>IFERROR(IF(Data_Entry!AE265/Data_Entry!$I265&lt;0,0,Data_Entry!AE265/Data_Entry!$I265),0)</f>
        <v>0.12279526680062515</v>
      </c>
      <c r="AA276" s="49">
        <f>IFERROR(IF(Data_Entry!AF265/Data_Entry!$I265&lt;0,0,Data_Entry!AF265/Data_Entry!$I265),0)</f>
        <v>6.4746595222147804E-2</v>
      </c>
      <c r="AB276" s="49">
        <f>IFERROR(IF(Data_Entry!AG265/Data_Entry!$I265&lt;0,0,Data_Entry!AG265/Data_Entry!$I265),0)</f>
        <v>2.9024335789238669E-2</v>
      </c>
      <c r="AC276" s="49">
        <f>IFERROR(IF(Data_Entry!AI265/Data_Entry!$I265&lt;0,0,Data_Entry!AI265/Data_Entry!$I265),0)</f>
        <v>9.3101138647019438E-2</v>
      </c>
      <c r="AD276" s="49">
        <f>IFERROR(IF(Data_Entry!AM265/Data_Entry!$H265&lt;0,0,Data_Entry!AM265/Data_Entry!$H265),0)</f>
        <v>0.93655780461638549</v>
      </c>
      <c r="AE276" s="50">
        <f>Data_Entry!AK265</f>
        <v>91.792750000000012</v>
      </c>
      <c r="AF276" s="50">
        <f>Data_Entry!AL265</f>
        <v>0</v>
      </c>
      <c r="AG276" s="153">
        <f>(Data_Entry!O265-Data_Entry!Q265)/Data_Entry!O265</f>
        <v>5.6856187290969896E-2</v>
      </c>
      <c r="AH276" s="79" t="str">
        <f t="shared" si="8"/>
        <v>CAT3</v>
      </c>
      <c r="AI276" s="51">
        <f>SUBTOTAL(3,Tableau1[[#This Row],[ZS]])</f>
        <v>0</v>
      </c>
      <c r="AJ276" s="51" t="e">
        <f t="shared" ca="1" si="9"/>
        <v>#NAME?</v>
      </c>
      <c r="AK276" s="50" t="str">
        <f>IFERROR(IF((Data_Entry!O265-Data_Entry!Q265)/Data_Entry!O265&lt;=10%,"&lt;=10%","&gt;10%"),"&lt;=10%")</f>
        <v>&lt;=10%</v>
      </c>
    </row>
    <row r="277" spans="1:37" s="48" customFormat="1" ht="13" hidden="1" x14ac:dyDescent="0.3">
      <c r="A277" s="31" t="s">
        <v>16</v>
      </c>
      <c r="B277" s="48" t="str">
        <f>Data_Entry!B266</f>
        <v>Butembo</v>
      </c>
      <c r="C277" s="48" t="str">
        <f>Data_Entry!C266</f>
        <v xml:space="preserve"> Kayna</v>
      </c>
      <c r="D277" s="48" t="str">
        <f>Data_Entry!D266</f>
        <v xml:space="preserve"> Busekera</v>
      </c>
      <c r="E277" s="49">
        <f>IFERROR(IF(Data_Entry!J266/Data_Entry!$I266&lt;0,0,Data_Entry!J266/Data_Entry!$I266),0)</f>
        <v>1.094300518134715</v>
      </c>
      <c r="F277" s="49">
        <f>IFERROR(IF(Data_Entry!K266/Data_Entry!$H266&lt;0,0,Data_Entry!K266/Data_Entry!$H266),0)</f>
        <v>2.5488071024540875</v>
      </c>
      <c r="G277" s="49">
        <f>IFERROR(IF(Data_Entry!L266/Data_Entry!$H266&lt;0,0,Data_Entry!L266/Data_Entry!$H266),0)</f>
        <v>1.9359532045667114</v>
      </c>
      <c r="H277" s="49">
        <f>IFERROR(IF(Data_Entry!M266/Data_Entry!$H266&lt;0,0,Data_Entry!M266/Data_Entry!$H266),0)</f>
        <v>1.7197915584126369</v>
      </c>
      <c r="I277" s="49">
        <f>IFERROR(IF(Data_Entry!N266/Data_Entry!$H266&lt;0,0,Data_Entry!N266/Data_Entry!$H266),0)</f>
        <v>1.5748919934082573</v>
      </c>
      <c r="J277" s="49">
        <f>IFERROR(IF(Data_Entry!O266/Data_Entry!$H266&lt;0,0,Data_Entry!O266/Data_Entry!$H266),0)</f>
        <v>1.5582641744733285</v>
      </c>
      <c r="K277" s="49">
        <f>IFERROR(IF(Data_Entry!P266/Data_Entry!$H266&lt;0,0,Data_Entry!P266/Data_Entry!$H266),0)</f>
        <v>1.342102528319254</v>
      </c>
      <c r="L277" s="49">
        <f>IFERROR(IF(Data_Entry!Q266/Data_Entry!$H266&lt;0,0,Data_Entry!Q266/Data_Entry!$H266),0)</f>
        <v>1.342102528319254</v>
      </c>
      <c r="M277" s="49">
        <f>IFERROR(IF(Data_Entry!R266/Data_Entry!$H266&lt;0,0,Data_Entry!R266/Data_Entry!$H266),0)</f>
        <v>1.6200246448030642</v>
      </c>
      <c r="N277" s="49">
        <f>IFERROR(IF(Data_Entry!S266/Data_Entry!$H266&lt;0,0,Data_Entry!S266/Data_Entry!$H266),0)</f>
        <v>1.53688555012842</v>
      </c>
      <c r="O277" s="49">
        <f>IFERROR(IF(Data_Entry!T266/Data_Entry!$H266&lt;0,0,Data_Entry!T266/Data_Entry!$H266),0)</f>
        <v>1.4941283014386031</v>
      </c>
      <c r="P277" s="49">
        <f>IFERROR(IF(Data_Entry!U266/Data_Entry!$H266&lt;0,0,Data_Entry!U266/Data_Entry!$H266),0)</f>
        <v>2.3136422346600947</v>
      </c>
      <c r="Q277" s="49">
        <f>IFERROR(IF(Data_Entry!V266/Data_Entry!$H266&lt;0,0,Data_Entry!V266/Data_Entry!$H266),0)</f>
        <v>1.4703742743887047</v>
      </c>
      <c r="R277" s="49">
        <f>IFERROR(IF(Data_Entry!W266/Data_Entry!$H266&lt;0,0,Data_Entry!W266/Data_Entry!$H266),0)</f>
        <v>1.4584972608637556</v>
      </c>
      <c r="S277" s="49">
        <f>IFERROR(IF(Data_Entry!X266/Data_Entry!$H266&lt;0,0,Data_Entry!X266/Data_Entry!$H266),0)</f>
        <v>1.5345101474234302</v>
      </c>
      <c r="T277" s="49">
        <f>IFERROR(IF(Data_Entry!Y266/Data_Entry!$H266&lt;0,0,Data_Entry!Y266/Data_Entry!$H266),0)</f>
        <v>0.18053060557922709</v>
      </c>
      <c r="U277" s="49">
        <f>IFERROR(IF(Data_Entry!Z266/Data_Entry!$H266&lt;0,0,Data_Entry!Z266/Data_Entry!$H266),0)</f>
        <v>1.5178823284885015</v>
      </c>
      <c r="V277" s="49">
        <f>IFERROR(IF(Data_Entry!AA266/Data_Entry!$H266&lt;0,0,Data_Entry!AA266/Data_Entry!$H266),0)</f>
        <v>1.5748919934082573</v>
      </c>
      <c r="W277" s="49">
        <f>IFERROR(IF(Data_Entry!AB266/Data_Entry!$H266&lt;0,0,Data_Entry!AB266/Data_Entry!$H266),0)</f>
        <v>1.4489956500437964</v>
      </c>
      <c r="X277" s="49">
        <f>IFERROR(IF(Data_Entry!AC266/Data_Entry!$I266&lt;0,0,Data_Entry!AC266/Data_Entry!$I266),0)</f>
        <v>1.7056994818652851</v>
      </c>
      <c r="Y277" s="49">
        <f>IFERROR(IF(Data_Entry!AD266/Data_Entry!$I266&lt;0,0,Data_Entry!AD266/Data_Entry!$I266),0)</f>
        <v>0.62383419689119168</v>
      </c>
      <c r="Z277" s="49">
        <f>IFERROR(IF(Data_Entry!AE266/Data_Entry!$I266&lt;0,0,Data_Entry!AE266/Data_Entry!$I266),0)</f>
        <v>1.6580310880829015E-2</v>
      </c>
      <c r="AA277" s="49">
        <f>IFERROR(IF(Data_Entry!AF266/Data_Entry!$I266&lt;0,0,Data_Entry!AF266/Data_Entry!$I266),0)</f>
        <v>6.2176165803108805E-3</v>
      </c>
      <c r="AB277" s="49">
        <f>IFERROR(IF(Data_Entry!AG266/Data_Entry!$I266&lt;0,0,Data_Entry!AG266/Data_Entry!$I266),0)</f>
        <v>4.1450777202072537E-3</v>
      </c>
      <c r="AC277" s="49">
        <f>IFERROR(IF(Data_Entry!AI266/Data_Entry!$I266&lt;0,0,Data_Entry!AI266/Data_Entry!$I266),0)</f>
        <v>8.6424870466321246E-2</v>
      </c>
      <c r="AD277" s="49">
        <f>IFERROR(IF(Data_Entry!AM266/Data_Entry!$H266&lt;0,0,Data_Entry!AM266/Data_Entry!$H266),0)</f>
        <v>1.5178823284885015</v>
      </c>
      <c r="AE277" s="50">
        <f>Data_Entry!AK266</f>
        <v>0</v>
      </c>
      <c r="AF277" s="50">
        <f>Data_Entry!AL266</f>
        <v>10</v>
      </c>
      <c r="AG277" s="153">
        <f>(Data_Entry!O266-Data_Entry!Q266)/Data_Entry!O266</f>
        <v>0.13871951219512196</v>
      </c>
      <c r="AH277" s="79" t="str">
        <f t="shared" si="8"/>
        <v>CAT2</v>
      </c>
      <c r="AI277" s="51">
        <f>SUBTOTAL(3,Tableau1[[#This Row],[ZS]])</f>
        <v>0</v>
      </c>
      <c r="AJ277" s="51" t="e">
        <f t="shared" ca="1" si="9"/>
        <v>#NAME?</v>
      </c>
      <c r="AK277" s="50" t="str">
        <f>IFERROR(IF((Data_Entry!O266-Data_Entry!Q266)/Data_Entry!O266&lt;=10%,"&lt;=10%","&gt;10%"),"&lt;=10%")</f>
        <v>&gt;10%</v>
      </c>
    </row>
    <row r="278" spans="1:37" s="48" customFormat="1" ht="13" hidden="1" x14ac:dyDescent="0.3">
      <c r="A278" s="31" t="s">
        <v>16</v>
      </c>
      <c r="B278" s="48" t="str">
        <f>Data_Entry!B267</f>
        <v>Butembo</v>
      </c>
      <c r="C278" s="48" t="str">
        <f>Data_Entry!C267</f>
        <v xml:space="preserve"> Kayna</v>
      </c>
      <c r="D278" s="48" t="str">
        <f>Data_Entry!D267</f>
        <v xml:space="preserve"> Butsiri</v>
      </c>
      <c r="E278" s="49">
        <f>IFERROR(IF(Data_Entry!J267/Data_Entry!$I267&lt;0,0,Data_Entry!J267/Data_Entry!$I267),0)</f>
        <v>0.52663596071956198</v>
      </c>
      <c r="F278" s="49">
        <f>IFERROR(IF(Data_Entry!K267/Data_Entry!$H267&lt;0,0,Data_Entry!K267/Data_Entry!$H267),0)</f>
        <v>0.98009359196582213</v>
      </c>
      <c r="G278" s="49">
        <f>IFERROR(IF(Data_Entry!L267/Data_Entry!$H267&lt;0,0,Data_Entry!L267/Data_Entry!$H267),0)</f>
        <v>0.83815930654394244</v>
      </c>
      <c r="H278" s="49">
        <f>IFERROR(IF(Data_Entry!M267/Data_Entry!$H267&lt;0,0,Data_Entry!M267/Data_Entry!$H267),0)</f>
        <v>0.72610592331614265</v>
      </c>
      <c r="I278" s="49">
        <f>IFERROR(IF(Data_Entry!N267/Data_Entry!$H267&lt;0,0,Data_Entry!N267/Data_Entry!$H267),0)</f>
        <v>0.68128457002502274</v>
      </c>
      <c r="J278" s="49">
        <f>IFERROR(IF(Data_Entry!O267/Data_Entry!$H267&lt;0,0,Data_Entry!O267/Data_Entry!$H267),0)</f>
        <v>0.72909401353555059</v>
      </c>
      <c r="K278" s="49">
        <f>IFERROR(IF(Data_Entry!P267/Data_Entry!$H267&lt;0,0,Data_Entry!P267/Data_Entry!$H267),0)</f>
        <v>0.59313590855248688</v>
      </c>
      <c r="L278" s="49">
        <f>IFERROR(IF(Data_Entry!Q267/Data_Entry!$H267&lt;0,0,Data_Entry!Q267/Data_Entry!$H267),0)</f>
        <v>0.51245747262847108</v>
      </c>
      <c r="M278" s="49">
        <f>IFERROR(IF(Data_Entry!R267/Data_Entry!$H267&lt;0,0,Data_Entry!R267/Data_Entry!$H267),0)</f>
        <v>0.74104637441318266</v>
      </c>
      <c r="N278" s="49">
        <f>IFERROR(IF(Data_Entry!S267/Data_Entry!$H267&lt;0,0,Data_Entry!S267/Data_Entry!$H267),0)</f>
        <v>0.65737984826975882</v>
      </c>
      <c r="O278" s="49">
        <f>IFERROR(IF(Data_Entry!T267/Data_Entry!$H267&lt;0,0,Data_Entry!T267/Data_Entry!$H267),0)</f>
        <v>0.60508826943011884</v>
      </c>
      <c r="P278" s="49">
        <f>IFERROR(IF(Data_Entry!U267/Data_Entry!$H267&lt;0,0,Data_Entry!U267/Data_Entry!$H267),0)</f>
        <v>0.8202307652274945</v>
      </c>
      <c r="Q278" s="49">
        <f>IFERROR(IF(Data_Entry!V267/Data_Entry!$H267&lt;0,0,Data_Entry!V267/Data_Entry!$H267),0)</f>
        <v>0.77690345704607855</v>
      </c>
      <c r="R278" s="49">
        <f>IFERROR(IF(Data_Entry!W267/Data_Entry!$H267&lt;0,0,Data_Entry!W267/Data_Entry!$H267),0)</f>
        <v>0.67530838958620676</v>
      </c>
      <c r="S278" s="49">
        <f>IFERROR(IF(Data_Entry!X267/Data_Entry!$H267&lt;0,0,Data_Entry!X267/Data_Entry!$H267),0)</f>
        <v>0.60060613410100683</v>
      </c>
      <c r="T278" s="49">
        <f>IFERROR(IF(Data_Entry!Y267/Data_Entry!$H267&lt;0,0,Data_Entry!Y267/Data_Entry!$H267),0)</f>
        <v>0.15089855608010372</v>
      </c>
      <c r="U278" s="49">
        <f>IFERROR(IF(Data_Entry!Z267/Data_Entry!$H267&lt;0,0,Data_Entry!Z267/Data_Entry!$H267),0)</f>
        <v>0.56325500635840697</v>
      </c>
      <c r="V278" s="49">
        <f>IFERROR(IF(Data_Entry!AA267/Data_Entry!$H267&lt;0,0,Data_Entry!AA267/Data_Entry!$H267),0)</f>
        <v>0.64542748739212674</v>
      </c>
      <c r="W278" s="49">
        <f>IFERROR(IF(Data_Entry!AB267/Data_Entry!$H267&lt;0,0,Data_Entry!AB267/Data_Entry!$H267),0)</f>
        <v>0.56474905146811094</v>
      </c>
      <c r="X278" s="49">
        <f>IFERROR(IF(Data_Entry!AC267/Data_Entry!$I267&lt;0,0,Data_Entry!AC267/Data_Entry!$I267),0)</f>
        <v>0.56052837403319711</v>
      </c>
      <c r="Y278" s="49">
        <f>IFERROR(IF(Data_Entry!AD267/Data_Entry!$I267&lt;0,0,Data_Entry!AD267/Data_Entry!$I267),0)</f>
        <v>0.47058312331624225</v>
      </c>
      <c r="Z278" s="49">
        <f>IFERROR(IF(Data_Entry!AE267/Data_Entry!$I267&lt;0,0,Data_Entry!AE267/Data_Entry!$I267),0)</f>
        <v>5.4749283045102973E-2</v>
      </c>
      <c r="AA278" s="49">
        <f>IFERROR(IF(Data_Entry!AF267/Data_Entry!$I267&lt;0,0,Data_Entry!AF267/Data_Entry!$I267),0)</f>
        <v>3.5195967671851909E-2</v>
      </c>
      <c r="AB278" s="49">
        <f>IFERROR(IF(Data_Entry!AG267/Data_Entry!$I267&lt;0,0,Data_Entry!AG267/Data_Entry!$I267),0)</f>
        <v>2.08568697314678E-2</v>
      </c>
      <c r="AC278" s="49">
        <f>IFERROR(IF(Data_Entry!AI267/Data_Entry!$I267&lt;0,0,Data_Entry!AI267/Data_Entry!$I267),0)</f>
        <v>6.5177717910836874E-2</v>
      </c>
      <c r="AD278" s="49">
        <f>IFERROR(IF(Data_Entry!AM267/Data_Entry!$H267&lt;0,0,Data_Entry!AM267/Data_Entry!$H267),0)</f>
        <v>0.56325500635840697</v>
      </c>
      <c r="AE278" s="50">
        <f>Data_Entry!AK267</f>
        <v>181.32383333333337</v>
      </c>
      <c r="AF278" s="50">
        <f>Data_Entry!AL267</f>
        <v>86</v>
      </c>
      <c r="AG278" s="153">
        <f>(Data_Entry!O267-Data_Entry!Q267)/Data_Entry!O267</f>
        <v>0.29713114754098363</v>
      </c>
      <c r="AH278" s="79" t="str">
        <f t="shared" si="8"/>
        <v>CAT4</v>
      </c>
      <c r="AI278" s="51">
        <f>SUBTOTAL(3,Tableau1[[#This Row],[ZS]])</f>
        <v>0</v>
      </c>
      <c r="AJ278" s="51" t="e">
        <f t="shared" ca="1" si="9"/>
        <v>#NAME?</v>
      </c>
      <c r="AK278" s="50" t="str">
        <f>IFERROR(IF((Data_Entry!O267-Data_Entry!Q267)/Data_Entry!O267&lt;=10%,"&lt;=10%","&gt;10%"),"&lt;=10%")</f>
        <v>&gt;10%</v>
      </c>
    </row>
    <row r="279" spans="1:37" s="48" customFormat="1" ht="13" hidden="1" x14ac:dyDescent="0.3">
      <c r="A279" s="31" t="s">
        <v>16</v>
      </c>
      <c r="B279" s="48" t="str">
        <f>Data_Entry!B268</f>
        <v>Butembo</v>
      </c>
      <c r="C279" s="48" t="str">
        <f>Data_Entry!C268</f>
        <v xml:space="preserve"> Kayna</v>
      </c>
      <c r="D279" s="48" t="str">
        <f>Data_Entry!D268</f>
        <v xml:space="preserve"> Bwatsinge</v>
      </c>
      <c r="E279" s="49">
        <f>IFERROR(IF(Data_Entry!J268/Data_Entry!$I268&lt;0,0,Data_Entry!J268/Data_Entry!$I268),0)</f>
        <v>0.60477971061615998</v>
      </c>
      <c r="F279" s="49">
        <f>IFERROR(IF(Data_Entry!K268/Data_Entry!$H268&lt;0,0,Data_Entry!K268/Data_Entry!$H268),0)</f>
        <v>0.66380987739780928</v>
      </c>
      <c r="G279" s="49">
        <f>IFERROR(IF(Data_Entry!L268/Data_Entry!$H268&lt;0,0,Data_Entry!L268/Data_Entry!$H268),0)</f>
        <v>0.77560943569638774</v>
      </c>
      <c r="H279" s="49">
        <f>IFERROR(IF(Data_Entry!M268/Data_Entry!$H268&lt;0,0,Data_Entry!M268/Data_Entry!$H268),0)</f>
        <v>0.76023699643033316</v>
      </c>
      <c r="I279" s="49">
        <f>IFERROR(IF(Data_Entry!N268/Data_Entry!$H268&lt;0,0,Data_Entry!N268/Data_Entry!$H268),0)</f>
        <v>0.75464701851540428</v>
      </c>
      <c r="J279" s="49">
        <f>IFERROR(IF(Data_Entry!O268/Data_Entry!$H268&lt;0,0,Data_Entry!O268/Data_Entry!$H268),0)</f>
        <v>0.51288047369472844</v>
      </c>
      <c r="K279" s="49">
        <f>IFERROR(IF(Data_Entry!P268/Data_Entry!$H268&lt;0,0,Data_Entry!P268/Data_Entry!$H268),0)</f>
        <v>0.50030302338613841</v>
      </c>
      <c r="L279" s="49">
        <f>IFERROR(IF(Data_Entry!Q268/Data_Entry!$H268&lt;0,0,Data_Entry!Q268/Data_Entry!$H268),0)</f>
        <v>0.49191805651374498</v>
      </c>
      <c r="M279" s="49">
        <f>IFERROR(IF(Data_Entry!R268/Data_Entry!$H268&lt;0,0,Data_Entry!R268/Data_Entry!$H268),0)</f>
        <v>0.61350007616344904</v>
      </c>
      <c r="N279" s="49">
        <f>IFERROR(IF(Data_Entry!S268/Data_Entry!$H268&lt;0,0,Data_Entry!S268/Data_Entry!$H268),0)</f>
        <v>0.59253765898246558</v>
      </c>
      <c r="O279" s="49">
        <f>IFERROR(IF(Data_Entry!T268/Data_Entry!$H268&lt;0,0,Data_Entry!T268/Data_Entry!$H268),0)</f>
        <v>0.59393515346119774</v>
      </c>
      <c r="P279" s="49">
        <f>IFERROR(IF(Data_Entry!U268/Data_Entry!$H268&lt;0,0,Data_Entry!U268/Data_Entry!$H268),0)</f>
        <v>0.50589300130106729</v>
      </c>
      <c r="Q279" s="49">
        <f>IFERROR(IF(Data_Entry!V268/Data_Entry!$H268&lt;0,0,Data_Entry!V268/Data_Entry!$H268),0)</f>
        <v>0.4961105399499417</v>
      </c>
      <c r="R279" s="49">
        <f>IFERROR(IF(Data_Entry!W268/Data_Entry!$H268&lt;0,0,Data_Entry!W268/Data_Entry!$H268),0)</f>
        <v>0.47654561724769046</v>
      </c>
      <c r="S279" s="49">
        <f>IFERROR(IF(Data_Entry!X268/Data_Entry!$H268&lt;0,0,Data_Entry!X268/Data_Entry!$H268),0)</f>
        <v>0.9153588835696107</v>
      </c>
      <c r="T279" s="49">
        <f>IFERROR(IF(Data_Entry!Y268/Data_Entry!$H268&lt;0,0,Data_Entry!Y268/Data_Entry!$H268),0)</f>
        <v>0.56179278045035652</v>
      </c>
      <c r="U279" s="49">
        <f>IFERROR(IF(Data_Entry!Z268/Data_Entry!$H268&lt;0,0,Data_Entry!Z268/Data_Entry!$H268),0)</f>
        <v>0.77980191913258434</v>
      </c>
      <c r="V279" s="49">
        <f>IFERROR(IF(Data_Entry!AA268/Data_Entry!$H268&lt;0,0,Data_Entry!AA268/Data_Entry!$H268),0)</f>
        <v>0.81473928110089011</v>
      </c>
      <c r="W279" s="49">
        <f>IFERROR(IF(Data_Entry!AB268/Data_Entry!$H268&lt;0,0,Data_Entry!AB268/Data_Entry!$H268),0)</f>
        <v>0.89858894982482396</v>
      </c>
      <c r="X279" s="49">
        <f>IFERROR(IF(Data_Entry!AC268/Data_Entry!$I268&lt;0,0,Data_Entry!AC268/Data_Entry!$I268),0)</f>
        <v>0.20850268249065193</v>
      </c>
      <c r="Y279" s="49">
        <f>IFERROR(IF(Data_Entry!AD268/Data_Entry!$I268&lt;0,0,Data_Entry!AD268/Data_Entry!$I268),0)</f>
        <v>0.19143228743293775</v>
      </c>
      <c r="Z279" s="49">
        <f>IFERROR(IF(Data_Entry!AE268/Data_Entry!$I268&lt;0,0,Data_Entry!AE268/Data_Entry!$I268),0)</f>
        <v>0.14387904405787677</v>
      </c>
      <c r="AA279" s="49">
        <f>IFERROR(IF(Data_Entry!AF268/Data_Entry!$I268&lt;0,0,Data_Entry!AF268/Data_Entry!$I268),0)</f>
        <v>6.7062266298162906E-2</v>
      </c>
      <c r="AB279" s="49">
        <f>IFERROR(IF(Data_Entry!AG268/Data_Entry!$I268&lt;0,0,Data_Entry!AG268/Data_Entry!$I268),0)</f>
        <v>0.14387904405787677</v>
      </c>
      <c r="AC279" s="49">
        <f>IFERROR(IF(Data_Entry!AI268/Data_Entry!$I268&lt;0,0,Data_Entry!AI268/Data_Entry!$I268),0)</f>
        <v>6.0965696634693547E-2</v>
      </c>
      <c r="AD279" s="49">
        <f>IFERROR(IF(Data_Entry!AM268/Data_Entry!$H268&lt;0,0,Data_Entry!AM268/Data_Entry!$H268),0)</f>
        <v>0.77980191913258434</v>
      </c>
      <c r="AE279" s="50">
        <f>Data_Entry!AK268</f>
        <v>348.56633333333343</v>
      </c>
      <c r="AF279" s="50">
        <f>Data_Entry!AL268</f>
        <v>0</v>
      </c>
      <c r="AG279" s="153">
        <f>(Data_Entry!O268-Data_Entry!Q268)/Data_Entry!O268</f>
        <v>4.0871934604904632E-2</v>
      </c>
      <c r="AH279" s="79" t="str">
        <f t="shared" si="8"/>
        <v>CAT3</v>
      </c>
      <c r="AI279" s="51">
        <f>SUBTOTAL(3,Tableau1[[#This Row],[ZS]])</f>
        <v>0</v>
      </c>
      <c r="AJ279" s="51" t="e">
        <f t="shared" ca="1" si="9"/>
        <v>#NAME?</v>
      </c>
      <c r="AK279" s="50" t="str">
        <f>IFERROR(IF((Data_Entry!O268-Data_Entry!Q268)/Data_Entry!O268&lt;=10%,"&lt;=10%","&gt;10%"),"&lt;=10%")</f>
        <v>&lt;=10%</v>
      </c>
    </row>
    <row r="280" spans="1:37" s="48" customFormat="1" ht="13" hidden="1" x14ac:dyDescent="0.3">
      <c r="A280" s="31" t="s">
        <v>16</v>
      </c>
      <c r="B280" s="48" t="str">
        <f>Data_Entry!B269</f>
        <v>Butembo</v>
      </c>
      <c r="C280" s="48" t="str">
        <f>Data_Entry!C269</f>
        <v xml:space="preserve"> Kayna</v>
      </c>
      <c r="D280" s="48" t="str">
        <f>Data_Entry!D269</f>
        <v xml:space="preserve"> Itsu</v>
      </c>
      <c r="E280" s="49">
        <f>IFERROR(IF(Data_Entry!J269/Data_Entry!$I269&lt;0,0,Data_Entry!J269/Data_Entry!$I269),0)</f>
        <v>0.65860030248865664</v>
      </c>
      <c r="F280" s="49">
        <f>IFERROR(IF(Data_Entry!K269/Data_Entry!$H269&lt;0,0,Data_Entry!K269/Data_Entry!$H269),0)</f>
        <v>0.33250902088306361</v>
      </c>
      <c r="G280" s="49">
        <f>IFERROR(IF(Data_Entry!L269/Data_Entry!$H269&lt;0,0,Data_Entry!L269/Data_Entry!$H269),0)</f>
        <v>1.2843357915625442</v>
      </c>
      <c r="H280" s="49">
        <f>IFERROR(IF(Data_Entry!M269/Data_Entry!$H269&lt;0,0,Data_Entry!M269/Data_Entry!$H269),0)</f>
        <v>1.0952311351361572</v>
      </c>
      <c r="I280" s="49">
        <f>IFERROR(IF(Data_Entry!N269/Data_Entry!$H269&lt;0,0,Data_Entry!N269/Data_Entry!$H269),0)</f>
        <v>1.1094139843681363</v>
      </c>
      <c r="J280" s="49">
        <f>IFERROR(IF(Data_Entry!O269/Data_Entry!$H269&lt;0,0,Data_Entry!O269/Data_Entry!$H269),0)</f>
        <v>1.1062622400943631</v>
      </c>
      <c r="K280" s="49">
        <f>IFERROR(IF(Data_Entry!P269/Data_Entry!$H269&lt;0,0,Data_Entry!P269/Data_Entry!$H269),0)</f>
        <v>0.95182677067948063</v>
      </c>
      <c r="L280" s="49">
        <f>IFERROR(IF(Data_Entry!Q269/Data_Entry!$H269&lt;0,0,Data_Entry!Q269/Data_Entry!$H269),0)</f>
        <v>0.9281886886261822</v>
      </c>
      <c r="M280" s="49">
        <f>IFERROR(IF(Data_Entry!R269/Data_Entry!$H269&lt;0,0,Data_Entry!R269/Data_Entry!$H269),0)</f>
        <v>1.2165732896764223</v>
      </c>
      <c r="N280" s="49">
        <f>IFERROR(IF(Data_Entry!S269/Data_Entry!$H269&lt;0,0,Data_Entry!S269/Data_Entry!$H269),0)</f>
        <v>1.0684413088090858</v>
      </c>
      <c r="O280" s="49">
        <f>IFERROR(IF(Data_Entry!T269/Data_Entry!$H269&lt;0,0,Data_Entry!T269/Data_Entry!$H269),0)</f>
        <v>1.1109898565050229</v>
      </c>
      <c r="P280" s="49">
        <f>IFERROR(IF(Data_Entry!U269/Data_Entry!$H269&lt;0,0,Data_Entry!U269/Data_Entry!$H269),0)</f>
        <v>1.2039663125813298</v>
      </c>
      <c r="Q280" s="49">
        <f>IFERROR(IF(Data_Entry!V269/Data_Entry!$H269&lt;0,0,Data_Entry!V269/Data_Entry!$H269),0)</f>
        <v>1.000678806922964</v>
      </c>
      <c r="R280" s="49">
        <f>IFERROR(IF(Data_Entry!W269/Data_Entry!$H269&lt;0,0,Data_Entry!W269/Data_Entry!$H269),0)</f>
        <v>0.96128200350079995</v>
      </c>
      <c r="S280" s="49">
        <f>IFERROR(IF(Data_Entry!X269/Data_Entry!$H269&lt;0,0,Data_Entry!X269/Data_Entry!$H269),0)</f>
        <v>1.128324450010775</v>
      </c>
      <c r="T280" s="49">
        <f>IFERROR(IF(Data_Entry!Y269/Data_Entry!$H269&lt;0,0,Data_Entry!Y269/Data_Entry!$H269),0)</f>
        <v>0.11188692171894557</v>
      </c>
      <c r="U280" s="49">
        <f>IFERROR(IF(Data_Entry!Z269/Data_Entry!$H269&lt;0,0,Data_Entry!Z269/Data_Entry!$H269),0)</f>
        <v>0.99595119051230419</v>
      </c>
      <c r="V280" s="49">
        <f>IFERROR(IF(Data_Entry!AA269/Data_Entry!$H269&lt;0,0,Data_Entry!AA269/Data_Entry!$H269),0)</f>
        <v>1.1299003221476616</v>
      </c>
      <c r="W280" s="49">
        <f>IFERROR(IF(Data_Entry!AB269/Data_Entry!$H269&lt;0,0,Data_Entry!AB269/Data_Entry!$H269),0)</f>
        <v>1.1078381122312497</v>
      </c>
      <c r="X280" s="49">
        <f>IFERROR(IF(Data_Entry!AC269/Data_Entry!$I269&lt;0,0,Data_Entry!AC269/Data_Entry!$I269),0)</f>
        <v>0.12237041110958338</v>
      </c>
      <c r="Y280" s="49">
        <f>IFERROR(IF(Data_Entry!AD269/Data_Entry!$I269&lt;0,0,Data_Entry!AD269/Data_Entry!$I269),0)</f>
        <v>0.11962051423071633</v>
      </c>
      <c r="Z280" s="49">
        <f>IFERROR(IF(Data_Entry!AE269/Data_Entry!$I269&lt;0,0,Data_Entry!AE269/Data_Entry!$I269),0)</f>
        <v>0.1044960813969476</v>
      </c>
      <c r="AA280" s="49">
        <f>IFERROR(IF(Data_Entry!AF269/Data_Entry!$I269&lt;0,0,Data_Entry!AF269/Data_Entry!$I269),0)</f>
        <v>8.7996700123745344E-2</v>
      </c>
      <c r="AB280" s="49">
        <f>IFERROR(IF(Data_Entry!AG269/Data_Entry!$I269&lt;0,0,Data_Entry!AG269/Data_Entry!$I269),0)</f>
        <v>4.5373298501306197E-2</v>
      </c>
      <c r="AC280" s="49">
        <f>IFERROR(IF(Data_Entry!AI269/Data_Entry!$I269&lt;0,0,Data_Entry!AI269/Data_Entry!$I269),0)</f>
        <v>6.8747421971676062E-2</v>
      </c>
      <c r="AD280" s="49">
        <f>IFERROR(IF(Data_Entry!AM269/Data_Entry!$H269&lt;0,0,Data_Entry!AM269/Data_Entry!$H269),0)</f>
        <v>0.99595119051230419</v>
      </c>
      <c r="AE280" s="50">
        <f>Data_Entry!AK269</f>
        <v>0</v>
      </c>
      <c r="AF280" s="50">
        <f>Data_Entry!AL269</f>
        <v>0</v>
      </c>
      <c r="AG280" s="153">
        <f>(Data_Entry!O269-Data_Entry!Q269)/Data_Entry!O269</f>
        <v>0.16096866096866097</v>
      </c>
      <c r="AH280" s="79" t="str">
        <f t="shared" si="8"/>
        <v>CAT2</v>
      </c>
      <c r="AI280" s="51">
        <f>SUBTOTAL(3,Tableau1[[#This Row],[ZS]])</f>
        <v>0</v>
      </c>
      <c r="AJ280" s="51" t="e">
        <f t="shared" ca="1" si="9"/>
        <v>#NAME?</v>
      </c>
      <c r="AK280" s="50" t="str">
        <f>IFERROR(IF((Data_Entry!O269-Data_Entry!Q269)/Data_Entry!O269&lt;=10%,"&lt;=10%","&gt;10%"),"&lt;=10%")</f>
        <v>&gt;10%</v>
      </c>
    </row>
    <row r="281" spans="1:37" s="48" customFormat="1" ht="13" hidden="1" x14ac:dyDescent="0.3">
      <c r="A281" s="31" t="s">
        <v>16</v>
      </c>
      <c r="B281" s="48" t="str">
        <f>Data_Entry!B270</f>
        <v>Butembo</v>
      </c>
      <c r="C281" s="48" t="str">
        <f>Data_Entry!C270</f>
        <v xml:space="preserve"> Kayna</v>
      </c>
      <c r="D281" s="48" t="str">
        <f>Data_Entry!D270</f>
        <v xml:space="preserve"> Kamandi</v>
      </c>
      <c r="E281" s="49">
        <f>IFERROR(IF(Data_Entry!J270/Data_Entry!$I270&lt;0,0,Data_Entry!J270/Data_Entry!$I270),0)</f>
        <v>1.1759668902526044</v>
      </c>
      <c r="F281" s="49">
        <f>IFERROR(IF(Data_Entry!K270/Data_Entry!$H270&lt;0,0,Data_Entry!K270/Data_Entry!$H270),0)</f>
        <v>2.0102697139127756</v>
      </c>
      <c r="G281" s="49">
        <f>IFERROR(IF(Data_Entry!L270/Data_Entry!$H270&lt;0,0,Data_Entry!L270/Data_Entry!$H270),0)</f>
        <v>1.4361406092883784</v>
      </c>
      <c r="H281" s="49">
        <f>IFERROR(IF(Data_Entry!M270/Data_Entry!$H270&lt;0,0,Data_Entry!M270/Data_Entry!$H270),0)</f>
        <v>1.403426700192971</v>
      </c>
      <c r="I281" s="49">
        <f>IFERROR(IF(Data_Entry!N270/Data_Entry!$H270&lt;0,0,Data_Entry!N270/Data_Entry!$H270),0)</f>
        <v>1.3429059683664677</v>
      </c>
      <c r="J281" s="49">
        <f>IFERROR(IF(Data_Entry!O270/Data_Entry!$H270&lt;0,0,Data_Entry!O270/Data_Entry!$H270),0)</f>
        <v>1.0779233046936689</v>
      </c>
      <c r="K281" s="49">
        <f>IFERROR(IF(Data_Entry!P270/Data_Entry!$H270&lt;0,0,Data_Entry!P270/Data_Entry!$H270),0)</f>
        <v>1.0664734365102764</v>
      </c>
      <c r="L281" s="49">
        <f>IFERROR(IF(Data_Entry!Q270/Data_Entry!$H270&lt;0,0,Data_Entry!Q270/Data_Entry!$H270),0)</f>
        <v>1.0059527046837728</v>
      </c>
      <c r="M281" s="49">
        <f>IFERROR(IF(Data_Entry!R270/Data_Entry!$H270&lt;0,0,Data_Entry!R270/Data_Entry!$H270),0)</f>
        <v>1.1826078137989722</v>
      </c>
      <c r="N281" s="49">
        <f>IFERROR(IF(Data_Entry!S270/Data_Entry!$H270&lt;0,0,Data_Entry!S270/Data_Entry!$H270),0)</f>
        <v>1.1646151637964981</v>
      </c>
      <c r="O281" s="49">
        <f>IFERROR(IF(Data_Entry!T270/Data_Entry!$H270&lt;0,0,Data_Entry!T270/Data_Entry!$H270),0)</f>
        <v>1.1122729092438466</v>
      </c>
      <c r="P281" s="49">
        <f>IFERROR(IF(Data_Entry!U270/Data_Entry!$H270&lt;0,0,Data_Entry!U270/Data_Entry!$H270),0)</f>
        <v>0.92416793194525482</v>
      </c>
      <c r="Q281" s="49">
        <f>IFERROR(IF(Data_Entry!V270/Data_Entry!$H270&lt;0,0,Data_Entry!V270/Data_Entry!$H270),0)</f>
        <v>0.88491124103076613</v>
      </c>
      <c r="R281" s="49">
        <f>IFERROR(IF(Data_Entry!W270/Data_Entry!$H270&lt;0,0,Data_Entry!W270/Data_Entry!$H270),0)</f>
        <v>0.8407474637519663</v>
      </c>
      <c r="S281" s="49">
        <f>IFERROR(IF(Data_Entry!X270/Data_Entry!$H270&lt;0,0,Data_Entry!X270/Data_Entry!$H270),0)</f>
        <v>1.2692996729018013</v>
      </c>
      <c r="T281" s="49">
        <f>IFERROR(IF(Data_Entry!Y270/Data_Entry!$H270&lt;0,0,Data_Entry!Y270/Data_Entry!$H270),0)</f>
        <v>0.15702676365795482</v>
      </c>
      <c r="U281" s="49">
        <f>IFERROR(IF(Data_Entry!Z270/Data_Entry!$H270&lt;0,0,Data_Entry!Z270/Data_Entry!$H270),0)</f>
        <v>0.89145402284984754</v>
      </c>
      <c r="V281" s="49">
        <f>IFERROR(IF(Data_Entry!AA270/Data_Entry!$H270&lt;0,0,Data_Entry!AA270/Data_Entry!$H270),0)</f>
        <v>1.1662508592512686</v>
      </c>
      <c r="W281" s="49">
        <f>IFERROR(IF(Data_Entry!AB270/Data_Entry!$H270&lt;0,0,Data_Entry!AB270/Data_Entry!$H270),0)</f>
        <v>0.45145194551662005</v>
      </c>
      <c r="X281" s="49">
        <f>IFERROR(IF(Data_Entry!AC270/Data_Entry!$I270&lt;0,0,Data_Entry!AC270/Data_Entry!$I270),0)</f>
        <v>0.96474953617810755</v>
      </c>
      <c r="Y281" s="49">
        <f>IFERROR(IF(Data_Entry!AD270/Data_Entry!$I270&lt;0,0,Data_Entry!AD270/Data_Entry!$I270),0)</f>
        <v>1.8766947338375908</v>
      </c>
      <c r="Z281" s="49">
        <f>IFERROR(IF(Data_Entry!AE270/Data_Entry!$I270&lt;0,0,Data_Entry!AE270/Data_Entry!$I270),0)</f>
        <v>0.47523904666761807</v>
      </c>
      <c r="AA281" s="49">
        <f>IFERROR(IF(Data_Entry!AF270/Data_Entry!$I270&lt;0,0,Data_Entry!AF270/Data_Entry!$I270),0)</f>
        <v>0.4552590266875981</v>
      </c>
      <c r="AB281" s="49">
        <f>IFERROR(IF(Data_Entry!AG270/Data_Entry!$I270&lt;0,0,Data_Entry!AG270/Data_Entry!$I270),0)</f>
        <v>0.4481233052661624</v>
      </c>
      <c r="AC281" s="49">
        <f>IFERROR(IF(Data_Entry!AI270/Data_Entry!$I270&lt;0,0,Data_Entry!AI270/Data_Entry!$I270),0)</f>
        <v>9.5190523761952334E-2</v>
      </c>
      <c r="AD281" s="49">
        <f>IFERROR(IF(Data_Entry!AM270/Data_Entry!$H270&lt;0,0,Data_Entry!AM270/Data_Entry!$H270),0)</f>
        <v>0.89145402284984754</v>
      </c>
      <c r="AE281" s="50">
        <f>Data_Entry!AK270</f>
        <v>0</v>
      </c>
      <c r="AF281" s="50">
        <f>Data_Entry!AL270</f>
        <v>0</v>
      </c>
      <c r="AG281" s="153">
        <f>(Data_Entry!O270-Data_Entry!Q270)/Data_Entry!O270</f>
        <v>6.6767830045523516E-2</v>
      </c>
      <c r="AH281" s="79" t="str">
        <f t="shared" si="8"/>
        <v>CAT1</v>
      </c>
      <c r="AI281" s="51">
        <f>SUBTOTAL(3,Tableau1[[#This Row],[ZS]])</f>
        <v>0</v>
      </c>
      <c r="AJ281" s="51" t="e">
        <f t="shared" ca="1" si="9"/>
        <v>#NAME?</v>
      </c>
      <c r="AK281" s="50" t="str">
        <f>IFERROR(IF((Data_Entry!O270-Data_Entry!Q270)/Data_Entry!O270&lt;=10%,"&lt;=10%","&gt;10%"),"&lt;=10%")</f>
        <v>&lt;=10%</v>
      </c>
    </row>
    <row r="282" spans="1:37" s="48" customFormat="1" ht="13" hidden="1" x14ac:dyDescent="0.3">
      <c r="A282" s="31" t="s">
        <v>16</v>
      </c>
      <c r="B282" s="48" t="str">
        <f>Data_Entry!B271</f>
        <v>Butembo</v>
      </c>
      <c r="C282" s="48" t="str">
        <f>Data_Entry!C271</f>
        <v xml:space="preserve"> Kayna</v>
      </c>
      <c r="D282" s="48" t="str">
        <f>Data_Entry!D271</f>
        <v xml:space="preserve"> Kamandi Lac</v>
      </c>
      <c r="E282" s="49">
        <f>IFERROR(IF(Data_Entry!J271/Data_Entry!$I271&lt;0,0,Data_Entry!J271/Data_Entry!$I271),0)</f>
        <v>0.55709023941068125</v>
      </c>
      <c r="F282" s="49">
        <f>IFERROR(IF(Data_Entry!K271/Data_Entry!$H271&lt;0,0,Data_Entry!K271/Data_Entry!$H271),0)</f>
        <v>0.36058474533042756</v>
      </c>
      <c r="G282" s="49">
        <f>IFERROR(IF(Data_Entry!L271/Data_Entry!$H271&lt;0,0,Data_Entry!L271/Data_Entry!$H271),0)</f>
        <v>1.0958258358090556</v>
      </c>
      <c r="H282" s="49">
        <f>IFERROR(IF(Data_Entry!M271/Data_Entry!$H271&lt;0,0,Data_Entry!M271/Data_Entry!$H271),0)</f>
        <v>1.8468974760826777</v>
      </c>
      <c r="I282" s="49">
        <f>IFERROR(IF(Data_Entry!N271/Data_Entry!$H271&lt;0,0,Data_Entry!N271/Data_Entry!$H271),0)</f>
        <v>1.0325036366290781</v>
      </c>
      <c r="J282" s="49">
        <f>IFERROR(IF(Data_Entry!O271/Data_Entry!$H271&lt;0,0,Data_Entry!O271/Data_Entry!$H271),0)</f>
        <v>1.0571289363101803</v>
      </c>
      <c r="K282" s="49">
        <f>IFERROR(IF(Data_Entry!P271/Data_Entry!$H271&lt;0,0,Data_Entry!P271/Data_Entry!$H271),0)</f>
        <v>1.8820764756271098</v>
      </c>
      <c r="L282" s="49">
        <f>IFERROR(IF(Data_Entry!Q271/Data_Entry!$H271&lt;0,0,Data_Entry!Q271/Data_Entry!$H271),0)</f>
        <v>0.95335088765410603</v>
      </c>
      <c r="M282" s="49">
        <f>IFERROR(IF(Data_Entry!R271/Data_Entry!$H271&lt;0,0,Data_Entry!R271/Data_Entry!$H271),0)</f>
        <v>1.0219499367657483</v>
      </c>
      <c r="N282" s="49">
        <f>IFERROR(IF(Data_Entry!S271/Data_Entry!$H271&lt;0,0,Data_Entry!S271/Data_Entry!$H271),0)</f>
        <v>0.93048453795022534</v>
      </c>
      <c r="O282" s="49">
        <f>IFERROR(IF(Data_Entry!T271/Data_Entry!$H271&lt;0,0,Data_Entry!T271/Data_Entry!$H271),0)</f>
        <v>0.85133178897525341</v>
      </c>
      <c r="P282" s="49">
        <f>IFERROR(IF(Data_Entry!U271/Data_Entry!$H271&lt;0,0,Data_Entry!U271/Data_Entry!$H271),0)</f>
        <v>0.86716233877024773</v>
      </c>
      <c r="Q282" s="49">
        <f>IFERROR(IF(Data_Entry!V271/Data_Entry!$H271&lt;0,0,Data_Entry!V271/Data_Entry!$H271),0)</f>
        <v>0.7053389408658608</v>
      </c>
      <c r="R282" s="49">
        <f>IFERROR(IF(Data_Entry!W271/Data_Entry!$H271&lt;0,0,Data_Entry!W271/Data_Entry!$H271),0)</f>
        <v>0.64377569166310489</v>
      </c>
      <c r="S282" s="49">
        <f>IFERROR(IF(Data_Entry!X271/Data_Entry!$H271&lt;0,0,Data_Entry!X271/Data_Entry!$H271),0)</f>
        <v>1.2541313337589992</v>
      </c>
      <c r="T282" s="49">
        <f>IFERROR(IF(Data_Entry!Y271/Data_Entry!$H271&lt;0,0,Data_Entry!Y271/Data_Entry!$H271),0)</f>
        <v>0.38521004501152994</v>
      </c>
      <c r="U282" s="49">
        <f>IFERROR(IF(Data_Entry!Z271/Data_Entry!$H271&lt;0,0,Data_Entry!Z271/Data_Entry!$H271),0)</f>
        <v>1.2453365838728914</v>
      </c>
      <c r="V282" s="49">
        <f>IFERROR(IF(Data_Entry!AA271/Data_Entry!$H271&lt;0,0,Data_Entry!AA271/Data_Entry!$H271),0)</f>
        <v>1.0166730868340836</v>
      </c>
      <c r="W282" s="49">
        <f>IFERROR(IF(Data_Entry!AB271/Data_Entry!$H271&lt;0,0,Data_Entry!AB271/Data_Entry!$H271),0)</f>
        <v>0.89882343836023659</v>
      </c>
      <c r="X282" s="49">
        <f>IFERROR(IF(Data_Entry!AC271/Data_Entry!$I271&lt;0,0,Data_Entry!AC271/Data_Entry!$I271),0)</f>
        <v>0.1335174953959484</v>
      </c>
      <c r="Y282" s="49">
        <f>IFERROR(IF(Data_Entry!AD271/Data_Entry!$I271&lt;0,0,Data_Entry!AD271/Data_Entry!$I271),0)</f>
        <v>8.1338244321669723E-2</v>
      </c>
      <c r="Z282" s="49">
        <f>IFERROR(IF(Data_Entry!AE271/Data_Entry!$I271&lt;0,0,Data_Entry!AE271/Data_Entry!$I271),0)</f>
        <v>7.0595457335788814E-2</v>
      </c>
      <c r="AA282" s="49">
        <f>IFERROR(IF(Data_Entry!AF271/Data_Entry!$I271&lt;0,0,Data_Entry!AF271/Data_Entry!$I271),0)</f>
        <v>9.0546347452424777E-2</v>
      </c>
      <c r="AB282" s="49">
        <f>IFERROR(IF(Data_Entry!AG271/Data_Entry!$I271&lt;0,0,Data_Entry!AG271/Data_Entry!$I271),0)</f>
        <v>7.6734192756292188E-2</v>
      </c>
      <c r="AC282" s="49">
        <f>IFERROR(IF(Data_Entry!AI271/Data_Entry!$I271&lt;0,0,Data_Entry!AI271/Data_Entry!$I271),0)</f>
        <v>8.9472068753836689E-2</v>
      </c>
      <c r="AD282" s="49">
        <f>IFERROR(IF(Data_Entry!AM271/Data_Entry!$H271&lt;0,0,Data_Entry!AM271/Data_Entry!$H271),0)</f>
        <v>1.2453365838728914</v>
      </c>
      <c r="AE282" s="50">
        <f>Data_Entry!AK271</f>
        <v>0</v>
      </c>
      <c r="AF282" s="50">
        <f>Data_Entry!AL271</f>
        <v>0</v>
      </c>
      <c r="AG282" s="153">
        <f>(Data_Entry!O271-Data_Entry!Q271)/Data_Entry!O271</f>
        <v>9.8169717138103157E-2</v>
      </c>
      <c r="AH282" s="79" t="str">
        <f t="shared" si="8"/>
        <v>CAT1</v>
      </c>
      <c r="AI282" s="51">
        <f>SUBTOTAL(3,Tableau1[[#This Row],[ZS]])</f>
        <v>0</v>
      </c>
      <c r="AJ282" s="51" t="e">
        <f t="shared" ca="1" si="9"/>
        <v>#NAME?</v>
      </c>
      <c r="AK282" s="50" t="str">
        <f>IFERROR(IF((Data_Entry!O271-Data_Entry!Q271)/Data_Entry!O271&lt;=10%,"&lt;=10%","&gt;10%"),"&lt;=10%")</f>
        <v>&lt;=10%</v>
      </c>
    </row>
    <row r="283" spans="1:37" s="48" customFormat="1" ht="13" hidden="1" x14ac:dyDescent="0.3">
      <c r="A283" s="31" t="s">
        <v>16</v>
      </c>
      <c r="B283" s="48" t="str">
        <f>Data_Entry!B272</f>
        <v>Butembo</v>
      </c>
      <c r="C283" s="48" t="str">
        <f>Data_Entry!C272</f>
        <v xml:space="preserve"> Kayna</v>
      </c>
      <c r="D283" s="48" t="str">
        <f>Data_Entry!D272</f>
        <v xml:space="preserve"> Kanyabayonga</v>
      </c>
      <c r="E283" s="49">
        <f>IFERROR(IF(Data_Entry!J272/Data_Entry!$I272&lt;0,0,Data_Entry!J272/Data_Entry!$I272),0)</f>
        <v>0.53646563814866766</v>
      </c>
      <c r="F283" s="49">
        <f>IFERROR(IF(Data_Entry!K272/Data_Entry!$H272&lt;0,0,Data_Entry!K272/Data_Entry!$H272),0)</f>
        <v>0.93283956967814274</v>
      </c>
      <c r="G283" s="49">
        <f>IFERROR(IF(Data_Entry!L272/Data_Entry!$H272&lt;0,0,Data_Entry!L272/Data_Entry!$H272),0)</f>
        <v>0.7926875826344153</v>
      </c>
      <c r="H283" s="49">
        <f>IFERROR(IF(Data_Entry!M272/Data_Entry!$H272&lt;0,0,Data_Entry!M272/Data_Entry!$H272),0)</f>
        <v>0.66609869111104858</v>
      </c>
      <c r="I283" s="49">
        <f>IFERROR(IF(Data_Entry!N272/Data_Entry!$H272&lt;0,0,Data_Entry!N272/Data_Entry!$H272),0)</f>
        <v>0.64801456375056765</v>
      </c>
      <c r="J283" s="49">
        <f>IFERROR(IF(Data_Entry!O272/Data_Entry!$H272&lt;0,0,Data_Entry!O272/Data_Entry!$H272),0)</f>
        <v>0.50183453425334656</v>
      </c>
      <c r="K283" s="49">
        <f>IFERROR(IF(Data_Entry!P272/Data_Entry!$H272&lt;0,0,Data_Entry!P272/Data_Entry!$H272),0)</f>
        <v>0.58170609676213747</v>
      </c>
      <c r="L283" s="49">
        <f>IFERROR(IF(Data_Entry!Q272/Data_Entry!$H272&lt;0,0,Data_Entry!Q272/Data_Entry!$H272),0)</f>
        <v>0.46415926891901121</v>
      </c>
      <c r="M283" s="49">
        <f>IFERROR(IF(Data_Entry!R272/Data_Entry!$H272&lt;0,0,Data_Entry!R272/Data_Entry!$H272),0)</f>
        <v>0.7972086144745355</v>
      </c>
      <c r="N283" s="49">
        <f>IFERROR(IF(Data_Entry!S272/Data_Entry!$H272&lt;0,0,Data_Entry!S272/Data_Entry!$H272),0)</f>
        <v>0.6043112559627386</v>
      </c>
      <c r="O283" s="49">
        <f>IFERROR(IF(Data_Entry!T272/Data_Entry!$H272&lt;0,0,Data_Entry!T272/Data_Entry!$H272),0)</f>
        <v>0.61486033025635256</v>
      </c>
      <c r="P283" s="49">
        <f>IFERROR(IF(Data_Entry!U272/Data_Entry!$H272&lt;0,0,Data_Entry!U272/Data_Entry!$H272),0)</f>
        <v>0.59677620289587163</v>
      </c>
      <c r="Q283" s="49">
        <f>IFERROR(IF(Data_Entry!V272/Data_Entry!$H272&lt;0,0,Data_Entry!V272/Data_Entry!$H272),0)</f>
        <v>0.44306112033178346</v>
      </c>
      <c r="R283" s="49">
        <f>IFERROR(IF(Data_Entry!W272/Data_Entry!$H272&lt;0,0,Data_Entry!W272/Data_Entry!$H272),0)</f>
        <v>0.40990688683756837</v>
      </c>
      <c r="S283" s="49">
        <f>IFERROR(IF(Data_Entry!X272/Data_Entry!$H272&lt;0,0,Data_Entry!X272/Data_Entry!$H272),0)</f>
        <v>0.81830676306176331</v>
      </c>
      <c r="T283" s="49">
        <f>IFERROR(IF(Data_Entry!Y272/Data_Entry!$H272&lt;0,0,Data_Entry!Y272/Data_Entry!$H272),0)</f>
        <v>0.14316600827047424</v>
      </c>
      <c r="U283" s="49">
        <f>IFERROR(IF(Data_Entry!Z272/Data_Entry!$H272&lt;0,0,Data_Entry!Z272/Data_Entry!$H272),0)</f>
        <v>0.60581826657611204</v>
      </c>
      <c r="V283" s="49">
        <f>IFERROR(IF(Data_Entry!AA272/Data_Entry!$H272&lt;0,0,Data_Entry!AA272/Data_Entry!$H272),0)</f>
        <v>0.81529274183501643</v>
      </c>
      <c r="W283" s="49">
        <f>IFERROR(IF(Data_Entry!AB272/Data_Entry!$H272&lt;0,0,Data_Entry!AB272/Data_Entry!$H272),0)</f>
        <v>0.63897250007032713</v>
      </c>
      <c r="X283" s="49">
        <f>IFERROR(IF(Data_Entry!AC272/Data_Entry!$I272&lt;0,0,Data_Entry!AC272/Data_Entry!$I272),0)</f>
        <v>0.89936886395511928</v>
      </c>
      <c r="Y283" s="49">
        <f>IFERROR(IF(Data_Entry!AD272/Data_Entry!$I272&lt;0,0,Data_Entry!AD272/Data_Entry!$I272),0)</f>
        <v>0.22878681626928471</v>
      </c>
      <c r="Z283" s="49">
        <f>IFERROR(IF(Data_Entry!AE272/Data_Entry!$I272&lt;0,0,Data_Entry!AE272/Data_Entry!$I272),0)</f>
        <v>0</v>
      </c>
      <c r="AA283" s="49">
        <f>IFERROR(IF(Data_Entry!AF272/Data_Entry!$I272&lt;0,0,Data_Entry!AF272/Data_Entry!$I272),0)</f>
        <v>0</v>
      </c>
      <c r="AB283" s="49">
        <f>IFERROR(IF(Data_Entry!AG272/Data_Entry!$I272&lt;0,0,Data_Entry!AG272/Data_Entry!$I272),0)</f>
        <v>0</v>
      </c>
      <c r="AC283" s="49">
        <f>IFERROR(IF(Data_Entry!AI272/Data_Entry!$I272&lt;0,0,Data_Entry!AI272/Data_Entry!$I272),0)</f>
        <v>4.9307503506311363E-2</v>
      </c>
      <c r="AD283" s="49">
        <f>IFERROR(IF(Data_Entry!AM272/Data_Entry!$H272&lt;0,0,Data_Entry!AM272/Data_Entry!$H272),0)</f>
        <v>0.60581826657611204</v>
      </c>
      <c r="AE283" s="50">
        <f>Data_Entry!AK272</f>
        <v>330.56533333333334</v>
      </c>
      <c r="AF283" s="50">
        <f>Data_Entry!AL272</f>
        <v>0</v>
      </c>
      <c r="AG283" s="153">
        <f>(Data_Entry!O272-Data_Entry!Q272)/Data_Entry!O272</f>
        <v>7.5075075075075076E-2</v>
      </c>
      <c r="AH283" s="79" t="str">
        <f t="shared" si="8"/>
        <v>CAT3</v>
      </c>
      <c r="AI283" s="51">
        <f>SUBTOTAL(3,Tableau1[[#This Row],[ZS]])</f>
        <v>0</v>
      </c>
      <c r="AJ283" s="51" t="e">
        <f t="shared" ca="1" si="9"/>
        <v>#NAME?</v>
      </c>
      <c r="AK283" s="50" t="str">
        <f>IFERROR(IF((Data_Entry!O272-Data_Entry!Q272)/Data_Entry!O272&lt;=10%,"&lt;=10%","&gt;10%"),"&lt;=10%")</f>
        <v>&lt;=10%</v>
      </c>
    </row>
    <row r="284" spans="1:37" s="48" customFormat="1" ht="13" hidden="1" x14ac:dyDescent="0.3">
      <c r="A284" s="31" t="s">
        <v>16</v>
      </c>
      <c r="B284" s="48" t="str">
        <f>Data_Entry!B273</f>
        <v>Butembo</v>
      </c>
      <c r="C284" s="48" t="str">
        <f>Data_Entry!C273</f>
        <v xml:space="preserve"> Kayna</v>
      </c>
      <c r="D284" s="48" t="str">
        <f>Data_Entry!D273</f>
        <v xml:space="preserve"> Kanyatsi</v>
      </c>
      <c r="E284" s="49">
        <f>IFERROR(IF(Data_Entry!J273/Data_Entry!$I273&lt;0,0,Data_Entry!J273/Data_Entry!$I273),0)</f>
        <v>0.56490864118726569</v>
      </c>
      <c r="F284" s="49">
        <f>IFERROR(IF(Data_Entry!K273/Data_Entry!$H273&lt;0,0,Data_Entry!K273/Data_Entry!$H273),0)</f>
        <v>0.71330312616526181</v>
      </c>
      <c r="G284" s="49">
        <f>IFERROR(IF(Data_Entry!L273/Data_Entry!$H273&lt;0,0,Data_Entry!L273/Data_Entry!$H273),0)</f>
        <v>0.93826795826353671</v>
      </c>
      <c r="H284" s="49">
        <f>IFERROR(IF(Data_Entry!M273/Data_Entry!$H273&lt;0,0,Data_Entry!M273/Data_Entry!$H273),0)</f>
        <v>0.88065501345788089</v>
      </c>
      <c r="I284" s="49">
        <f>IFERROR(IF(Data_Entry!N273/Data_Entry!$H273&lt;0,0,Data_Entry!N273/Data_Entry!$H273),0)</f>
        <v>0.83675943646309558</v>
      </c>
      <c r="J284" s="49">
        <f>IFERROR(IF(Data_Entry!O273/Data_Entry!$H273&lt;0,0,Data_Entry!O273/Data_Entry!$H273),0)</f>
        <v>0.86145069852266232</v>
      </c>
      <c r="K284" s="49">
        <f>IFERROR(IF(Data_Entry!P273/Data_Entry!$H273&lt;0,0,Data_Entry!P273/Data_Entry!$H273),0)</f>
        <v>0.76542912384656936</v>
      </c>
      <c r="L284" s="49">
        <f>IFERROR(IF(Data_Entry!Q273/Data_Entry!$H273&lt;0,0,Data_Entry!Q273/Data_Entry!$H273),0)</f>
        <v>0.78188996521961396</v>
      </c>
      <c r="M284" s="49">
        <f>IFERROR(IF(Data_Entry!R273/Data_Entry!$H273&lt;0,0,Data_Entry!R273/Data_Entry!$H273),0)</f>
        <v>0.97942006169614793</v>
      </c>
      <c r="N284" s="49">
        <f>IFERROR(IF(Data_Entry!S273/Data_Entry!$H273&lt;0,0,Data_Entry!S273/Data_Entry!$H273),0)</f>
        <v>0.8641941720848364</v>
      </c>
      <c r="O284" s="49">
        <f>IFERROR(IF(Data_Entry!T273/Data_Entry!$H273&lt;0,0,Data_Entry!T273/Data_Entry!$H273),0)</f>
        <v>0.83950291002526967</v>
      </c>
      <c r="P284" s="49">
        <f>IFERROR(IF(Data_Entry!U273/Data_Entry!$H273&lt;0,0,Data_Entry!U273/Data_Entry!$H273),0)</f>
        <v>0.98216353525832201</v>
      </c>
      <c r="Q284" s="49">
        <f>IFERROR(IF(Data_Entry!V273/Data_Entry!$H273&lt;0,0,Data_Entry!V273/Data_Entry!$H273),0)</f>
        <v>0.86145069852266232</v>
      </c>
      <c r="R284" s="49">
        <f>IFERROR(IF(Data_Entry!W273/Data_Entry!$H273&lt;0,0,Data_Entry!W273/Data_Entry!$H273),0)</f>
        <v>0.75719870316004712</v>
      </c>
      <c r="S284" s="49">
        <f>IFERROR(IF(Data_Entry!X273/Data_Entry!$H273&lt;0,0,Data_Entry!X273/Data_Entry!$H273),0)</f>
        <v>0.88614196058222905</v>
      </c>
      <c r="T284" s="49">
        <f>IFERROR(IF(Data_Entry!Y273/Data_Entry!$H273&lt;0,0,Data_Entry!Y273/Data_Entry!$H273),0)</f>
        <v>4.3895576994785343E-2</v>
      </c>
      <c r="U284" s="49">
        <f>IFERROR(IF(Data_Entry!Z273/Data_Entry!$H273&lt;0,0,Data_Entry!Z273/Data_Entry!$H273),0)</f>
        <v>0.91906364332831814</v>
      </c>
      <c r="V284" s="49">
        <f>IFERROR(IF(Data_Entry!AA273/Data_Entry!$H273&lt;0,0,Data_Entry!AA273/Data_Entry!$H273),0)</f>
        <v>0.85047680427396599</v>
      </c>
      <c r="W284" s="49">
        <f>IFERROR(IF(Data_Entry!AB273/Data_Entry!$H273&lt;0,0,Data_Entry!AB273/Data_Entry!$H273),0)</f>
        <v>0.88888543414440313</v>
      </c>
      <c r="X284" s="49">
        <f>IFERROR(IF(Data_Entry!AC273/Data_Entry!$I273&lt;0,0,Data_Entry!AC273/Data_Entry!$I273),0)</f>
        <v>0.97183435729673662</v>
      </c>
      <c r="Y284" s="49">
        <f>IFERROR(IF(Data_Entry!AD273/Data_Entry!$I273&lt;0,0,Data_Entry!AD273/Data_Entry!$I273),0)</f>
        <v>0.40692571610947104</v>
      </c>
      <c r="Z284" s="49">
        <f>IFERROR(IF(Data_Entry!AE273/Data_Entry!$I273&lt;0,0,Data_Entry!AE273/Data_Entry!$I273),0)</f>
        <v>2.1543126146971996E-2</v>
      </c>
      <c r="AA284" s="49">
        <f>IFERROR(IF(Data_Entry!AF273/Data_Entry!$I273&lt;0,0,Data_Entry!AF273/Data_Entry!$I273),0)</f>
        <v>0</v>
      </c>
      <c r="AB284" s="49">
        <f>IFERROR(IF(Data_Entry!AG273/Data_Entry!$I273&lt;0,0,Data_Entry!AG273/Data_Entry!$I273),0)</f>
        <v>0</v>
      </c>
      <c r="AC284" s="49">
        <f>IFERROR(IF(Data_Entry!AI273/Data_Entry!$I273&lt;0,0,Data_Entry!AI273/Data_Entry!$I273),0)</f>
        <v>0.11968403414984441</v>
      </c>
      <c r="AD284" s="49">
        <f>IFERROR(IF(Data_Entry!AM273/Data_Entry!$H273&lt;0,0,Data_Entry!AM273/Data_Entry!$H273),0)</f>
        <v>0.88614196058222905</v>
      </c>
      <c r="AE284" s="50">
        <f>Data_Entry!AK273</f>
        <v>50.501416666666671</v>
      </c>
      <c r="AF284" s="50">
        <f>Data_Entry!AL273</f>
        <v>0</v>
      </c>
      <c r="AG284" s="153">
        <f>(Data_Entry!O273-Data_Entry!Q273)/Data_Entry!O273</f>
        <v>9.2356687898089165E-2</v>
      </c>
      <c r="AH284" s="79" t="str">
        <f t="shared" si="8"/>
        <v>CAT3</v>
      </c>
      <c r="AI284" s="51">
        <f>SUBTOTAL(3,Tableau1[[#This Row],[ZS]])</f>
        <v>0</v>
      </c>
      <c r="AJ284" s="51" t="e">
        <f t="shared" ca="1" si="9"/>
        <v>#NAME?</v>
      </c>
      <c r="AK284" s="50" t="str">
        <f>IFERROR(IF((Data_Entry!O273-Data_Entry!Q273)/Data_Entry!O273&lt;=10%,"&lt;=10%","&gt;10%"),"&lt;=10%")</f>
        <v>&lt;=10%</v>
      </c>
    </row>
    <row r="285" spans="1:37" s="48" customFormat="1" ht="13" hidden="1" x14ac:dyDescent="0.3">
      <c r="A285" s="31" t="s">
        <v>16</v>
      </c>
      <c r="B285" s="48" t="str">
        <f>Data_Entry!B274</f>
        <v>Butembo</v>
      </c>
      <c r="C285" s="48" t="str">
        <f>Data_Entry!C274</f>
        <v xml:space="preserve"> Kayna</v>
      </c>
      <c r="D285" s="48" t="str">
        <f>Data_Entry!D274</f>
        <v xml:space="preserve"> Kasando</v>
      </c>
      <c r="E285" s="49">
        <f>IFERROR(IF(Data_Entry!J274/Data_Entry!$I274&lt;0,0,Data_Entry!J274/Data_Entry!$I274),0)</f>
        <v>0.65374677002583981</v>
      </c>
      <c r="F285" s="49">
        <f>IFERROR(IF(Data_Entry!K274/Data_Entry!$H274&lt;0,0,Data_Entry!K274/Data_Entry!$H274),0)</f>
        <v>0.73891443252408129</v>
      </c>
      <c r="G285" s="49">
        <f>IFERROR(IF(Data_Entry!L274/Data_Entry!$H274&lt;0,0,Data_Entry!L274/Data_Entry!$H274),0)</f>
        <v>1.0706114924146508</v>
      </c>
      <c r="H285" s="49">
        <f>IFERROR(IF(Data_Entry!M274/Data_Entry!$H274&lt;0,0,Data_Entry!M274/Data_Entry!$H274),0)</f>
        <v>1.0528420070633704</v>
      </c>
      <c r="I285" s="49">
        <f>IFERROR(IF(Data_Entry!N274/Data_Entry!$H274&lt;0,0,Data_Entry!N274/Data_Entry!$H274),0)</f>
        <v>1.0809770255362312</v>
      </c>
      <c r="J285" s="49">
        <f>IFERROR(IF(Data_Entry!O274/Data_Entry!$H274&lt;0,0,Data_Entry!O274/Data_Entry!$H274),0)</f>
        <v>0.83368502106424403</v>
      </c>
      <c r="K285" s="49">
        <f>IFERROR(IF(Data_Entry!P274/Data_Entry!$H274&lt;0,0,Data_Entry!P274/Data_Entry!$H274),0)</f>
        <v>0.90032059113154594</v>
      </c>
      <c r="L285" s="49">
        <f>IFERROR(IF(Data_Entry!Q274/Data_Entry!$H274&lt;0,0,Data_Entry!Q274/Data_Entry!$H274),0)</f>
        <v>0.93289798094222687</v>
      </c>
      <c r="M285" s="49">
        <f>IFERROR(IF(Data_Entry!R274/Data_Entry!$H274&lt;0,0,Data_Entry!R274/Data_Entry!$H274),0)</f>
        <v>0.88995505800996566</v>
      </c>
      <c r="N285" s="49">
        <f>IFERROR(IF(Data_Entry!S274/Data_Entry!$H274&lt;0,0,Data_Entry!S274/Data_Entry!$H274),0)</f>
        <v>0.85737766819928474</v>
      </c>
      <c r="O285" s="49">
        <f>IFERROR(IF(Data_Entry!T274/Data_Entry!$H274&lt;0,0,Data_Entry!T274/Data_Entry!$H274),0)</f>
        <v>0.86774320132086502</v>
      </c>
      <c r="P285" s="49">
        <f>IFERROR(IF(Data_Entry!U274/Data_Entry!$H274&lt;0,0,Data_Entry!U274/Data_Entry!$H274),0)</f>
        <v>1.2868068975218971</v>
      </c>
      <c r="Q285" s="49">
        <f>IFERROR(IF(Data_Entry!V274/Data_Entry!$H274&lt;0,0,Data_Entry!V274/Data_Entry!$H274),0)</f>
        <v>1.0098990841311091</v>
      </c>
      <c r="R285" s="49">
        <f>IFERROR(IF(Data_Entry!W274/Data_Entry!$H274&lt;0,0,Data_Entry!W274/Data_Entry!$H274),0)</f>
        <v>0.82331948794266374</v>
      </c>
      <c r="S285" s="49">
        <f>IFERROR(IF(Data_Entry!X274/Data_Entry!$H274&lt;0,0,Data_Entry!X274/Data_Entry!$H274),0)</f>
        <v>0.89143584845590573</v>
      </c>
      <c r="T285" s="49">
        <f>IFERROR(IF(Data_Entry!Y274/Data_Entry!$H274&lt;0,0,Data_Entry!Y274/Data_Entry!$H274),0)</f>
        <v>6.9597150959182008E-2</v>
      </c>
      <c r="U285" s="49">
        <f>IFERROR(IF(Data_Entry!Z274/Data_Entry!$H274&lt;0,0,Data_Entry!Z274/Data_Entry!$H274),0)</f>
        <v>0.93734035228004697</v>
      </c>
      <c r="V285" s="49">
        <f>IFERROR(IF(Data_Entry!AA274/Data_Entry!$H274&lt;0,0,Data_Entry!AA274/Data_Entry!$H274),0)</f>
        <v>1.0839386064281111</v>
      </c>
      <c r="W285" s="49">
        <f>IFERROR(IF(Data_Entry!AB274/Data_Entry!$H274&lt;0,0,Data_Entry!AB274/Data_Entry!$H274),0)</f>
        <v>0.47829531403863379</v>
      </c>
      <c r="X285" s="49">
        <f>IFERROR(IF(Data_Entry!AC274/Data_Entry!$I274&lt;0,0,Data_Entry!AC274/Data_Entry!$I274),0)</f>
        <v>0.62144702842377264</v>
      </c>
      <c r="Y285" s="49">
        <f>IFERROR(IF(Data_Entry!AD274/Data_Entry!$I274&lt;0,0,Data_Entry!AD274/Data_Entry!$I274),0)</f>
        <v>0.23772609819121446</v>
      </c>
      <c r="Z285" s="49">
        <f>IFERROR(IF(Data_Entry!AE274/Data_Entry!$I274&lt;0,0,Data_Entry!AE274/Data_Entry!$I274),0)</f>
        <v>0.15116279069767441</v>
      </c>
      <c r="AA285" s="49">
        <f>IFERROR(IF(Data_Entry!AF274/Data_Entry!$I274&lt;0,0,Data_Entry!AF274/Data_Entry!$I274),0)</f>
        <v>4.909560723514212E-2</v>
      </c>
      <c r="AB285" s="49">
        <f>IFERROR(IF(Data_Entry!AG274/Data_Entry!$I274&lt;0,0,Data_Entry!AG274/Data_Entry!$I274),0)</f>
        <v>2.1963824289405683E-2</v>
      </c>
      <c r="AC285" s="49">
        <f>IFERROR(IF(Data_Entry!AI274/Data_Entry!$I274&lt;0,0,Data_Entry!AI274/Data_Entry!$I274),0)</f>
        <v>7.5322997416020665E-2</v>
      </c>
      <c r="AD285" s="49">
        <f>IFERROR(IF(Data_Entry!AM274/Data_Entry!$H274&lt;0,0,Data_Entry!AM274/Data_Entry!$H274),0)</f>
        <v>0.89143584845590573</v>
      </c>
      <c r="AE285" s="50">
        <f>Data_Entry!AK274</f>
        <v>112.31500000000005</v>
      </c>
      <c r="AF285" s="50">
        <f>Data_Entry!AL274</f>
        <v>0</v>
      </c>
      <c r="AG285" s="153">
        <f>(Data_Entry!O274-Data_Entry!Q274)/Data_Entry!O274</f>
        <v>-0.11900532859680284</v>
      </c>
      <c r="AH285" s="79" t="str">
        <f t="shared" si="8"/>
        <v>CAT3</v>
      </c>
      <c r="AI285" s="51">
        <f>SUBTOTAL(3,Tableau1[[#This Row],[ZS]])</f>
        <v>0</v>
      </c>
      <c r="AJ285" s="51" t="e">
        <f t="shared" ca="1" si="9"/>
        <v>#NAME?</v>
      </c>
      <c r="AK285" s="50" t="str">
        <f>IFERROR(IF((Data_Entry!O274-Data_Entry!Q274)/Data_Entry!O274&lt;=10%,"&lt;=10%","&gt;10%"),"&lt;=10%")</f>
        <v>&lt;=10%</v>
      </c>
    </row>
    <row r="286" spans="1:37" s="48" customFormat="1" ht="13" hidden="1" x14ac:dyDescent="0.3">
      <c r="A286" s="31" t="s">
        <v>16</v>
      </c>
      <c r="B286" s="48" t="str">
        <f>Data_Entry!B275</f>
        <v>Butembo</v>
      </c>
      <c r="C286" s="48" t="str">
        <f>Data_Entry!C275</f>
        <v xml:space="preserve"> Kayna</v>
      </c>
      <c r="D286" s="48" t="str">
        <f>Data_Entry!D275</f>
        <v xml:space="preserve"> Katero</v>
      </c>
      <c r="E286" s="49">
        <f>IFERROR(IF(Data_Entry!J275/Data_Entry!$I275&lt;0,0,Data_Entry!J275/Data_Entry!$I275),0)</f>
        <v>0.71054469273743026</v>
      </c>
      <c r="F286" s="49">
        <f>IFERROR(IF(Data_Entry!K275/Data_Entry!$H275&lt;0,0,Data_Entry!K275/Data_Entry!$H275),0)</f>
        <v>8.2038065662467394E-2</v>
      </c>
      <c r="G286" s="49">
        <f>IFERROR(IF(Data_Entry!L275/Data_Entry!$H275&lt;0,0,Data_Entry!L275/Data_Entry!$H275),0)</f>
        <v>1.0104688575499032</v>
      </c>
      <c r="H286" s="49">
        <f>IFERROR(IF(Data_Entry!M275/Data_Entry!$H275&lt;0,0,Data_Entry!M275/Data_Entry!$H275),0)</f>
        <v>0.9884586448111925</v>
      </c>
      <c r="I286" s="49">
        <f>IFERROR(IF(Data_Entry!N275/Data_Entry!$H275&lt;0,0,Data_Entry!N275/Data_Entry!$H275),0)</f>
        <v>0.78236301643962802</v>
      </c>
      <c r="J286" s="49">
        <f>IFERROR(IF(Data_Entry!O275/Data_Entry!$H275&lt;0,0,Data_Entry!O275/Data_Entry!$H275),0)</f>
        <v>1.0484864977349491</v>
      </c>
      <c r="K286" s="49">
        <f>IFERROR(IF(Data_Entry!P275/Data_Entry!$H275&lt;0,0,Data_Entry!P275/Data_Entry!$H275),0)</f>
        <v>0.84639272622496842</v>
      </c>
      <c r="L286" s="49">
        <f>IFERROR(IF(Data_Entry!Q275/Data_Entry!$H275&lt;0,0,Data_Entry!Q275/Data_Entry!$H275),0)</f>
        <v>0.72233516351587146</v>
      </c>
      <c r="M286" s="49">
        <f>IFERROR(IF(Data_Entry!R275/Data_Entry!$H275&lt;0,0,Data_Entry!R275/Data_Entry!$H275),0)</f>
        <v>1.1245217781050407</v>
      </c>
      <c r="N286" s="49">
        <f>IFERROR(IF(Data_Entry!S275/Data_Entry!$H275&lt;0,0,Data_Entry!S275/Data_Entry!$H275),0)</f>
        <v>1.0624929967504924</v>
      </c>
      <c r="O286" s="49">
        <f>IFERROR(IF(Data_Entry!T275/Data_Entry!$H275&lt;0,0,Data_Entry!T275/Data_Entry!$H275),0)</f>
        <v>0.83238622720942523</v>
      </c>
      <c r="P286" s="49">
        <f>IFERROR(IF(Data_Entry!U275/Data_Entry!$H275&lt;0,0,Data_Entry!U275/Data_Entry!$H275),0)</f>
        <v>1.068495782042868</v>
      </c>
      <c r="Q286" s="49">
        <f>IFERROR(IF(Data_Entry!V275/Data_Entry!$H275&lt;0,0,Data_Entry!V275/Data_Entry!$H275),0)</f>
        <v>0.62228874197627704</v>
      </c>
      <c r="R286" s="49">
        <f>IFERROR(IF(Data_Entry!W275/Data_Entry!$H275&lt;0,0,Data_Entry!W275/Data_Entry!$H275),0)</f>
        <v>0.47221910966688546</v>
      </c>
      <c r="S286" s="49">
        <f>IFERROR(IF(Data_Entry!X275/Data_Entry!$H275&lt;0,0,Data_Entry!X275/Data_Entry!$H275),0)</f>
        <v>0.78036208800883611</v>
      </c>
      <c r="T286" s="49">
        <f>IFERROR(IF(Data_Entry!Y275/Data_Entry!$H275&lt;0,0,Data_Entry!Y275/Data_Entry!$H275),0)</f>
        <v>6.2028781354548514E-2</v>
      </c>
      <c r="U286" s="49">
        <f>IFERROR(IF(Data_Entry!Z275/Data_Entry!$H275&lt;0,0,Data_Entry!Z275/Data_Entry!$H275),0)</f>
        <v>0.71032959293112008</v>
      </c>
      <c r="V286" s="49">
        <f>IFERROR(IF(Data_Entry!AA275/Data_Entry!$H275&lt;0,0,Data_Entry!AA275/Data_Entry!$H275),0)</f>
        <v>0.75234908997774974</v>
      </c>
      <c r="W286" s="49">
        <f>IFERROR(IF(Data_Entry!AB275/Data_Entry!$H275&lt;0,0,Data_Entry!AB275/Data_Entry!$H275),0)</f>
        <v>0.70432680763874445</v>
      </c>
      <c r="X286" s="49">
        <f>IFERROR(IF(Data_Entry!AC275/Data_Entry!$I275&lt;0,0,Data_Entry!AC275/Data_Entry!$I275),0)</f>
        <v>0.14664804469273743</v>
      </c>
      <c r="Y286" s="49">
        <f>IFERROR(IF(Data_Entry!AD275/Data_Entry!$I275&lt;0,0,Data_Entry!AD275/Data_Entry!$I275),0)</f>
        <v>8.5544692737430178E-2</v>
      </c>
      <c r="Z286" s="49">
        <f>IFERROR(IF(Data_Entry!AE275/Data_Entry!$I275&lt;0,0,Data_Entry!AE275/Data_Entry!$I275),0)</f>
        <v>4.1899441340782127E-2</v>
      </c>
      <c r="AA286" s="49">
        <f>IFERROR(IF(Data_Entry!AF275/Data_Entry!$I275&lt;0,0,Data_Entry!AF275/Data_Entry!$I275),0)</f>
        <v>4.1899441340782127E-2</v>
      </c>
      <c r="AB286" s="49">
        <f>IFERROR(IF(Data_Entry!AG275/Data_Entry!$I275&lt;0,0,Data_Entry!AG275/Data_Entry!$I275),0)</f>
        <v>3.6662011173184357E-2</v>
      </c>
      <c r="AC286" s="49">
        <f>IFERROR(IF(Data_Entry!AI275/Data_Entry!$I275&lt;0,0,Data_Entry!AI275/Data_Entry!$I275),0)</f>
        <v>0.10178072625698324</v>
      </c>
      <c r="AD286" s="49">
        <f>IFERROR(IF(Data_Entry!AM275/Data_Entry!$H275&lt;0,0,Data_Entry!AM275/Data_Entry!$H275),0)</f>
        <v>0.71032959293112008</v>
      </c>
      <c r="AE286" s="50">
        <f>Data_Entry!AK275</f>
        <v>0</v>
      </c>
      <c r="AF286" s="50">
        <f>Data_Entry!AL275</f>
        <v>134</v>
      </c>
      <c r="AG286" s="153">
        <f>(Data_Entry!O275-Data_Entry!Q275)/Data_Entry!O275</f>
        <v>0.31106870229007633</v>
      </c>
      <c r="AH286" s="79" t="str">
        <f t="shared" si="8"/>
        <v>CAT2</v>
      </c>
      <c r="AI286" s="51">
        <f>SUBTOTAL(3,Tableau1[[#This Row],[ZS]])</f>
        <v>0</v>
      </c>
      <c r="AJ286" s="51" t="e">
        <f t="shared" ca="1" si="9"/>
        <v>#NAME?</v>
      </c>
      <c r="AK286" s="50" t="str">
        <f>IFERROR(IF((Data_Entry!O275-Data_Entry!Q275)/Data_Entry!O275&lt;=10%,"&lt;=10%","&gt;10%"),"&lt;=10%")</f>
        <v>&gt;10%</v>
      </c>
    </row>
    <row r="287" spans="1:37" s="48" customFormat="1" ht="13" hidden="1" x14ac:dyDescent="0.3">
      <c r="A287" s="31" t="s">
        <v>16</v>
      </c>
      <c r="B287" s="48" t="str">
        <f>Data_Entry!B276</f>
        <v>Butembo</v>
      </c>
      <c r="C287" s="48" t="str">
        <f>Data_Entry!C276</f>
        <v xml:space="preserve"> Kayna</v>
      </c>
      <c r="D287" s="48" t="str">
        <f>Data_Entry!D276</f>
        <v xml:space="preserve"> Kayna</v>
      </c>
      <c r="E287" s="49">
        <f>IFERROR(IF(Data_Entry!J276/Data_Entry!$I276&lt;0,0,Data_Entry!J276/Data_Entry!$I276),0)</f>
        <v>1.0916425059876467</v>
      </c>
      <c r="F287" s="49">
        <f>IFERROR(IF(Data_Entry!K276/Data_Entry!$H276&lt;0,0,Data_Entry!K276/Data_Entry!$H276),0)</f>
        <v>0.75272238810929792</v>
      </c>
      <c r="G287" s="49">
        <f>IFERROR(IF(Data_Entry!L276/Data_Entry!$H276&lt;0,0,Data_Entry!L276/Data_Entry!$H276),0)</f>
        <v>0.98388473378585783</v>
      </c>
      <c r="H287" s="49">
        <f>IFERROR(IF(Data_Entry!M276/Data_Entry!$H276&lt;0,0,Data_Entry!M276/Data_Entry!$H276),0)</f>
        <v>0.91020173610145438</v>
      </c>
      <c r="I287" s="49">
        <f>IFERROR(IF(Data_Entry!N276/Data_Entry!$H276&lt;0,0,Data_Entry!N276/Data_Entry!$H276),0)</f>
        <v>0.88275120755236292</v>
      </c>
      <c r="J287" s="49">
        <f>IFERROR(IF(Data_Entry!O276/Data_Entry!$H276&lt;0,0,Data_Entry!O276/Data_Entry!$H276),0)</f>
        <v>0.86107973764518542</v>
      </c>
      <c r="K287" s="49">
        <f>IFERROR(IF(Data_Entry!P276/Data_Entry!$H276&lt;0,0,Data_Entry!P276/Data_Entry!$H276),0)</f>
        <v>0.68048415508537297</v>
      </c>
      <c r="L287" s="49">
        <f>IFERROR(IF(Data_Entry!Q276/Data_Entry!$H276&lt;0,0,Data_Entry!Q276/Data_Entry!$H276),0)</f>
        <v>0.70071086033207197</v>
      </c>
      <c r="M287" s="49">
        <f>IFERROR(IF(Data_Entry!R276/Data_Entry!$H276&lt;0,0,Data_Entry!R276/Data_Entry!$H276),0)</f>
        <v>1.8911969405663551</v>
      </c>
      <c r="N287" s="49">
        <f>IFERROR(IF(Data_Entry!S276/Data_Entry!$H276&lt;0,0,Data_Entry!S276/Data_Entry!$H276),0)</f>
        <v>0.72816138888116344</v>
      </c>
      <c r="O287" s="49">
        <f>IFERROR(IF(Data_Entry!T276/Data_Entry!$H276&lt;0,0,Data_Entry!T276/Data_Entry!$H276),0)</f>
        <v>0.738274741504513</v>
      </c>
      <c r="P287" s="49">
        <f>IFERROR(IF(Data_Entry!U276/Data_Entry!$H276&lt;0,0,Data_Entry!U276/Data_Entry!$H276),0)</f>
        <v>0.91887032406432534</v>
      </c>
      <c r="Q287" s="49">
        <f>IFERROR(IF(Data_Entry!V276/Data_Entry!$H276&lt;0,0,Data_Entry!V276/Data_Entry!$H276),0)</f>
        <v>0.73538521218355601</v>
      </c>
      <c r="R287" s="49">
        <f>IFERROR(IF(Data_Entry!W276/Data_Entry!$H276&lt;0,0,Data_Entry!W276/Data_Entry!$H276),0)</f>
        <v>0.74260903548594848</v>
      </c>
      <c r="S287" s="49">
        <f>IFERROR(IF(Data_Entry!X276/Data_Entry!$H276&lt;0,0,Data_Entry!X276/Data_Entry!$H276),0)</f>
        <v>0.77728338733743241</v>
      </c>
      <c r="T287" s="49">
        <f>IFERROR(IF(Data_Entry!Y276/Data_Entry!$H276&lt;0,0,Data_Entry!Y276/Data_Entry!$H276),0)</f>
        <v>0.28895293209569978</v>
      </c>
      <c r="U287" s="49">
        <f>IFERROR(IF(Data_Entry!Z276/Data_Entry!$H276&lt;0,0,Data_Entry!Z276/Data_Entry!$H276),0)</f>
        <v>0.69926609567159348</v>
      </c>
      <c r="V287" s="49">
        <f>IFERROR(IF(Data_Entry!AA276/Data_Entry!$H276&lt;0,0,Data_Entry!AA276/Data_Entry!$H276),0)</f>
        <v>0.88275120755236292</v>
      </c>
      <c r="W287" s="49">
        <f>IFERROR(IF(Data_Entry!AB276/Data_Entry!$H276&lt;0,0,Data_Entry!AB276/Data_Entry!$H276),0)</f>
        <v>0.70648991897398594</v>
      </c>
      <c r="X287" s="49">
        <f>IFERROR(IF(Data_Entry!AC276/Data_Entry!$I276&lt;0,0,Data_Entry!AC276/Data_Entry!$I276),0)</f>
        <v>0.14622463128702887</v>
      </c>
      <c r="Y287" s="49">
        <f>IFERROR(IF(Data_Entry!AD276/Data_Entry!$I276&lt;0,0,Data_Entry!AD276/Data_Entry!$I276),0)</f>
        <v>9.2020673137526793E-2</v>
      </c>
      <c r="Z287" s="49">
        <f>IFERROR(IF(Data_Entry!AE276/Data_Entry!$I276&lt;0,0,Data_Entry!AE276/Data_Entry!$I276),0)</f>
        <v>8.5717887306189344E-2</v>
      </c>
      <c r="AA287" s="49">
        <f>IFERROR(IF(Data_Entry!AF276/Data_Entry!$I276&lt;0,0,Data_Entry!AF276/Data_Entry!$I276),0)</f>
        <v>3.7816714988024712E-2</v>
      </c>
      <c r="AB287" s="49">
        <f>IFERROR(IF(Data_Entry!AG276/Data_Entry!$I276&lt;0,0,Data_Entry!AG276/Data_Entry!$I276),0)</f>
        <v>3.5295600655489728E-2</v>
      </c>
      <c r="AC287" s="49">
        <f>IFERROR(IF(Data_Entry!AI276/Data_Entry!$I276&lt;0,0,Data_Entry!AI276/Data_Entry!$I276),0)</f>
        <v>5.2565233833354347E-2</v>
      </c>
      <c r="AD287" s="49">
        <f>IFERROR(IF(Data_Entry!AM276/Data_Entry!$H276&lt;0,0,Data_Entry!AM276/Data_Entry!$H276),0)</f>
        <v>0.69926609567159348</v>
      </c>
      <c r="AE287" s="50">
        <f>Data_Entry!AK276</f>
        <v>96.154249999999934</v>
      </c>
      <c r="AF287" s="50">
        <f>Data_Entry!AL276</f>
        <v>58</v>
      </c>
      <c r="AG287" s="153">
        <f>(Data_Entry!O276-Data_Entry!Q276)/Data_Entry!O276</f>
        <v>0.18624161073825504</v>
      </c>
      <c r="AH287" s="79" t="str">
        <f t="shared" si="8"/>
        <v>CAT4</v>
      </c>
      <c r="AI287" s="51">
        <f>SUBTOTAL(3,Tableau1[[#This Row],[ZS]])</f>
        <v>0</v>
      </c>
      <c r="AJ287" s="51" t="e">
        <f t="shared" ca="1" si="9"/>
        <v>#NAME?</v>
      </c>
      <c r="AK287" s="50" t="str">
        <f>IFERROR(IF((Data_Entry!O276-Data_Entry!Q276)/Data_Entry!O276&lt;=10%,"&lt;=10%","&gt;10%"),"&lt;=10%")</f>
        <v>&gt;10%</v>
      </c>
    </row>
    <row r="288" spans="1:37" s="48" customFormat="1" ht="13" hidden="1" x14ac:dyDescent="0.3">
      <c r="A288" s="31" t="s">
        <v>16</v>
      </c>
      <c r="B288" s="48" t="str">
        <f>Data_Entry!B277</f>
        <v>Butembo</v>
      </c>
      <c r="C288" s="48" t="str">
        <f>Data_Entry!C277</f>
        <v xml:space="preserve"> Kayna</v>
      </c>
      <c r="D288" s="48" t="str">
        <f>Data_Entry!D277</f>
        <v xml:space="preserve"> Kikuvo</v>
      </c>
      <c r="E288" s="49">
        <f>IFERROR(IF(Data_Entry!J277/Data_Entry!$I277&lt;0,0,Data_Entry!J277/Data_Entry!$I277),0)</f>
        <v>0.36606198649638005</v>
      </c>
      <c r="F288" s="49">
        <f>IFERROR(IF(Data_Entry!K277/Data_Entry!$H277&lt;0,0,Data_Entry!K277/Data_Entry!$H277),0)</f>
        <v>0.30207980547552282</v>
      </c>
      <c r="G288" s="49">
        <f>IFERROR(IF(Data_Entry!L277/Data_Entry!$H277&lt;0,0,Data_Entry!L277/Data_Entry!$H277),0)</f>
        <v>0.9146305221342218</v>
      </c>
      <c r="H288" s="49">
        <f>IFERROR(IF(Data_Entry!M277/Data_Entry!$H277&lt;0,0,Data_Entry!M277/Data_Entry!$H277),0)</f>
        <v>0.8558927821806479</v>
      </c>
      <c r="I288" s="49">
        <f>IFERROR(IF(Data_Entry!N277/Data_Entry!$H277&lt;0,0,Data_Entry!N277/Data_Entry!$H277),0)</f>
        <v>0.90623941642656847</v>
      </c>
      <c r="J288" s="49">
        <f>IFERROR(IF(Data_Entry!O277/Data_Entry!$H277&lt;0,0,Data_Entry!O277/Data_Entry!$H277),0)</f>
        <v>0.61534775189458346</v>
      </c>
      <c r="K288" s="49">
        <f>IFERROR(IF(Data_Entry!P277/Data_Entry!$H277&lt;0,0,Data_Entry!P277/Data_Entry!$H277),0)</f>
        <v>0.57059518812043197</v>
      </c>
      <c r="L288" s="49">
        <f>IFERROR(IF(Data_Entry!Q277/Data_Entry!$H277&lt;0,0,Data_Entry!Q277/Data_Entry!$H277),0)</f>
        <v>0.62094182236635243</v>
      </c>
      <c r="M288" s="49">
        <f>IFERROR(IF(Data_Entry!R277/Data_Entry!$H277&lt;0,0,Data_Entry!R277/Data_Entry!$H277),0)</f>
        <v>0.60415961095104564</v>
      </c>
      <c r="N288" s="49">
        <f>IFERROR(IF(Data_Entry!S277/Data_Entry!$H277&lt;0,0,Data_Entry!S277/Data_Entry!$H277),0)</f>
        <v>0.56779815288454749</v>
      </c>
      <c r="O288" s="49">
        <f>IFERROR(IF(Data_Entry!T277/Data_Entry!$H277&lt;0,0,Data_Entry!T277/Data_Entry!$H277),0)</f>
        <v>0.61814478713046794</v>
      </c>
      <c r="P288" s="49">
        <f>IFERROR(IF(Data_Entry!U277/Data_Entry!$H277&lt;0,0,Data_Entry!U277/Data_Entry!$H277),0)</f>
        <v>0.71324398515053999</v>
      </c>
      <c r="Q288" s="49">
        <f>IFERROR(IF(Data_Entry!V277/Data_Entry!$H277&lt;0,0,Data_Entry!V277/Data_Entry!$H277),0)</f>
        <v>0.66010031566873506</v>
      </c>
      <c r="R288" s="49">
        <f>IFERROR(IF(Data_Entry!W277/Data_Entry!$H277&lt;0,0,Data_Entry!W277/Data_Entry!$H277),0)</f>
        <v>0.61814478713046794</v>
      </c>
      <c r="S288" s="49">
        <f>IFERROR(IF(Data_Entry!X277/Data_Entry!$H277&lt;0,0,Data_Entry!X277/Data_Entry!$H277),0)</f>
        <v>0.99854157921075593</v>
      </c>
      <c r="T288" s="49">
        <f>IFERROR(IF(Data_Entry!Y277/Data_Entry!$H277&lt;0,0,Data_Entry!Y277/Data_Entry!$H277),0)</f>
        <v>0.13425769132245458</v>
      </c>
      <c r="U288" s="49">
        <f>IFERROR(IF(Data_Entry!Z277/Data_Entry!$H277&lt;0,0,Data_Entry!Z277/Data_Entry!$H277),0)</f>
        <v>0.73562026703761574</v>
      </c>
      <c r="V288" s="49">
        <f>IFERROR(IF(Data_Entry!AA277/Data_Entry!$H277&lt;0,0,Data_Entry!AA277/Data_Entry!$H277),0)</f>
        <v>0.83071946505768768</v>
      </c>
      <c r="W288" s="49">
        <f>IFERROR(IF(Data_Entry!AB277/Data_Entry!$H277&lt;0,0,Data_Entry!AB277/Data_Entry!$H277),0)</f>
        <v>0.72722916132996229</v>
      </c>
      <c r="X288" s="49">
        <f>IFERROR(IF(Data_Entry!AC277/Data_Entry!$I277&lt;0,0,Data_Entry!AC277/Data_Entry!$I277),0)</f>
        <v>0.33921744081997884</v>
      </c>
      <c r="Y288" s="49">
        <f>IFERROR(IF(Data_Entry!AD277/Data_Entry!$I277&lt;0,0,Data_Entry!AD277/Data_Entry!$I277),0)</f>
        <v>0.34165785406328808</v>
      </c>
      <c r="Z288" s="49">
        <f>IFERROR(IF(Data_Entry!AE277/Data_Entry!$I277&lt;0,0,Data_Entry!AE277/Data_Entry!$I277),0)</f>
        <v>0.11713983567884162</v>
      </c>
      <c r="AA288" s="49">
        <f>IFERROR(IF(Data_Entry!AF277/Data_Entry!$I277&lt;0,0,Data_Entry!AF277/Data_Entry!$I277),0)</f>
        <v>5.6129504596111608E-2</v>
      </c>
      <c r="AB288" s="49">
        <f>IFERROR(IF(Data_Entry!AG277/Data_Entry!$I277&lt;0,0,Data_Entry!AG277/Data_Entry!$I277),0)</f>
        <v>4.880826486618401E-2</v>
      </c>
      <c r="AC288" s="49">
        <f>IFERROR(IF(Data_Entry!AI277/Data_Entry!$I277&lt;0,0,Data_Entry!AI277/Data_Entry!$I277),0)</f>
        <v>0.10176523224599367</v>
      </c>
      <c r="AD288" s="49">
        <f>IFERROR(IF(Data_Entry!AM277/Data_Entry!$H277&lt;0,0,Data_Entry!AM277/Data_Entry!$H277),0)</f>
        <v>0.73562026703761574</v>
      </c>
      <c r="AE288" s="50">
        <f>Data_Entry!AK277</f>
        <v>137.52141666666665</v>
      </c>
      <c r="AF288" s="50">
        <f>Data_Entry!AL277</f>
        <v>0</v>
      </c>
      <c r="AG288" s="153">
        <f>(Data_Entry!O277-Data_Entry!Q277)/Data_Entry!O277</f>
        <v>-9.0909090909090905E-3</v>
      </c>
      <c r="AH288" s="79" t="str">
        <f t="shared" si="8"/>
        <v>CAT3</v>
      </c>
      <c r="AI288" s="51">
        <f>SUBTOTAL(3,Tableau1[[#This Row],[ZS]])</f>
        <v>0</v>
      </c>
      <c r="AJ288" s="51" t="e">
        <f t="shared" ca="1" si="9"/>
        <v>#NAME?</v>
      </c>
      <c r="AK288" s="50" t="str">
        <f>IFERROR(IF((Data_Entry!O277-Data_Entry!Q277)/Data_Entry!O277&lt;=10%,"&lt;=10%","&gt;10%"),"&lt;=10%")</f>
        <v>&lt;=10%</v>
      </c>
    </row>
    <row r="289" spans="1:37" s="48" customFormat="1" ht="13" hidden="1" x14ac:dyDescent="0.3">
      <c r="A289" s="31" t="s">
        <v>16</v>
      </c>
      <c r="B289" s="48" t="str">
        <f>Data_Entry!B278</f>
        <v>Butembo</v>
      </c>
      <c r="C289" s="48" t="str">
        <f>Data_Entry!C278</f>
        <v xml:space="preserve"> Kayna</v>
      </c>
      <c r="D289" s="48" t="str">
        <f>Data_Entry!D278</f>
        <v xml:space="preserve"> Kirumba</v>
      </c>
      <c r="E289" s="49">
        <f>IFERROR(IF(Data_Entry!J278/Data_Entry!$I278&lt;0,0,Data_Entry!J278/Data_Entry!$I278),0)</f>
        <v>1.0268031569899194</v>
      </c>
      <c r="F289" s="49">
        <f>IFERROR(IF(Data_Entry!K278/Data_Entry!$H278&lt;0,0,Data_Entry!K278/Data_Entry!$H278),0)</f>
        <v>1.4213574859616318</v>
      </c>
      <c r="G289" s="49">
        <f>IFERROR(IF(Data_Entry!L278/Data_Entry!$H278&lt;0,0,Data_Entry!L278/Data_Entry!$H278),0)</f>
        <v>0.92294195922083277</v>
      </c>
      <c r="H289" s="49">
        <f>IFERROR(IF(Data_Entry!M278/Data_Entry!$H278&lt;0,0,Data_Entry!M278/Data_Entry!$H278),0)</f>
        <v>0.88532569305171582</v>
      </c>
      <c r="I289" s="49">
        <f>IFERROR(IF(Data_Entry!N278/Data_Entry!$H278&lt;0,0,Data_Entry!N278/Data_Entry!$H278),0)</f>
        <v>0.87860850266437351</v>
      </c>
      <c r="J289" s="49">
        <f>IFERROR(IF(Data_Entry!O278/Data_Entry!$H278&lt;0,0,Data_Entry!O278/Data_Entry!$H278),0)</f>
        <v>0.69052717181878898</v>
      </c>
      <c r="K289" s="49">
        <f>IFERROR(IF(Data_Entry!P278/Data_Entry!$H278&lt;0,0,Data_Entry!P278/Data_Entry!$H278),0)</f>
        <v>0.66231497219195135</v>
      </c>
      <c r="L289" s="49">
        <f>IFERROR(IF(Data_Entry!Q278/Data_Entry!$H278&lt;0,0,Data_Entry!Q278/Data_Entry!$H278),0)</f>
        <v>0.68380998143144667</v>
      </c>
      <c r="M289" s="49">
        <f>IFERROR(IF(Data_Entry!R278/Data_Entry!$H278&lt;0,0,Data_Entry!R278/Data_Entry!$H278),0)</f>
        <v>0.74426469491752745</v>
      </c>
      <c r="N289" s="49">
        <f>IFERROR(IF(Data_Entry!S278/Data_Entry!$H278&lt;0,0,Data_Entry!S278/Data_Entry!$H278),0)</f>
        <v>0.69724436220613129</v>
      </c>
      <c r="O289" s="49">
        <f>IFERROR(IF(Data_Entry!T278/Data_Entry!$H278&lt;0,0,Data_Entry!T278/Data_Entry!$H278),0)</f>
        <v>0.7066484287484105</v>
      </c>
      <c r="P289" s="49">
        <f>IFERROR(IF(Data_Entry!U278/Data_Entry!$H278&lt;0,0,Data_Entry!U278/Data_Entry!$H278),0)</f>
        <v>0.82487097956563515</v>
      </c>
      <c r="Q289" s="49">
        <f>IFERROR(IF(Data_Entry!V278/Data_Entry!$H278&lt;0,0,Data_Entry!V278/Data_Entry!$H278),0)</f>
        <v>0.75098188530486976</v>
      </c>
      <c r="R289" s="49">
        <f>IFERROR(IF(Data_Entry!W278/Data_Entry!$H278&lt;0,0,Data_Entry!W278/Data_Entry!$H278),0)</f>
        <v>0.6341027725651136</v>
      </c>
      <c r="S289" s="49">
        <f>IFERROR(IF(Data_Entry!X278/Data_Entry!$H278&lt;0,0,Data_Entry!X278/Data_Entry!$H278),0)</f>
        <v>0.82621441764310355</v>
      </c>
      <c r="T289" s="49">
        <f>IFERROR(IF(Data_Entry!Y278/Data_Entry!$H278&lt;0,0,Data_Entry!Y278/Data_Entry!$H278),0)</f>
        <v>0.15986913121874688</v>
      </c>
      <c r="U289" s="49">
        <f>IFERROR(IF(Data_Entry!Z278/Data_Entry!$H278&lt;0,0,Data_Entry!Z278/Data_Entry!$H278),0)</f>
        <v>0.81278003686841893</v>
      </c>
      <c r="V289" s="49">
        <f>IFERROR(IF(Data_Entry!AA278/Data_Entry!$H278&lt;0,0,Data_Entry!AA278/Data_Entry!$H278),0)</f>
        <v>0.85980036957981509</v>
      </c>
      <c r="W289" s="49">
        <f>IFERROR(IF(Data_Entry!AB278/Data_Entry!$H278&lt;0,0,Data_Entry!AB278/Data_Entry!$H278),0)</f>
        <v>0.79934565609373431</v>
      </c>
      <c r="X289" s="49">
        <f>IFERROR(IF(Data_Entry!AC278/Data_Entry!$I278&lt;0,0,Data_Entry!AC278/Data_Entry!$I278),0)</f>
        <v>0.47472063764944911</v>
      </c>
      <c r="Y289" s="49">
        <f>IFERROR(IF(Data_Entry!AD278/Data_Entry!$I278&lt;0,0,Data_Entry!AD278/Data_Entry!$I278),0)</f>
        <v>0.61069000547003205</v>
      </c>
      <c r="Z289" s="49">
        <f>IFERROR(IF(Data_Entry!AE278/Data_Entry!$I278&lt;0,0,Data_Entry!AE278/Data_Entry!$I278),0)</f>
        <v>0.28717668203485192</v>
      </c>
      <c r="AA289" s="49">
        <f>IFERROR(IF(Data_Entry!AF278/Data_Entry!$I278&lt;0,0,Data_Entry!AF278/Data_Entry!$I278),0)</f>
        <v>0.20278190200828319</v>
      </c>
      <c r="AB289" s="49">
        <f>IFERROR(IF(Data_Entry!AG278/Data_Entry!$I278&lt;0,0,Data_Entry!AG278/Data_Entry!$I278),0)</f>
        <v>0.20629835117605688</v>
      </c>
      <c r="AC289" s="49">
        <f>IFERROR(IF(Data_Entry!AI278/Data_Entry!$I278&lt;0,0,Data_Entry!AI278/Data_Entry!$I278),0)</f>
        <v>6.8336328827068846E-2</v>
      </c>
      <c r="AD289" s="49">
        <f>IFERROR(IF(Data_Entry!AM278/Data_Entry!$H278&lt;0,0,Data_Entry!AM278/Data_Entry!$H278),0)</f>
        <v>0.81278003686841893</v>
      </c>
      <c r="AE289" s="50">
        <f>Data_Entry!AK278</f>
        <v>230.35883333333334</v>
      </c>
      <c r="AF289" s="50">
        <f>Data_Entry!AL278</f>
        <v>0</v>
      </c>
      <c r="AG289" s="153">
        <f>(Data_Entry!O278-Data_Entry!Q278)/Data_Entry!O278</f>
        <v>9.727626459143969E-3</v>
      </c>
      <c r="AH289" s="79" t="str">
        <f t="shared" si="8"/>
        <v>CAT3</v>
      </c>
      <c r="AI289" s="51">
        <f>SUBTOTAL(3,Tableau1[[#This Row],[ZS]])</f>
        <v>0</v>
      </c>
      <c r="AJ289" s="51" t="e">
        <f t="shared" ca="1" si="9"/>
        <v>#NAME?</v>
      </c>
      <c r="AK289" s="50" t="str">
        <f>IFERROR(IF((Data_Entry!O278-Data_Entry!Q278)/Data_Entry!O278&lt;=10%,"&lt;=10%","&gt;10%"),"&lt;=10%")</f>
        <v>&lt;=10%</v>
      </c>
    </row>
    <row r="290" spans="1:37" s="48" customFormat="1" ht="13" hidden="1" x14ac:dyDescent="0.3">
      <c r="A290" s="31" t="s">
        <v>16</v>
      </c>
      <c r="B290" s="48" t="str">
        <f>Data_Entry!B279</f>
        <v>Butembo</v>
      </c>
      <c r="C290" s="48" t="str">
        <f>Data_Entry!C279</f>
        <v xml:space="preserve"> Kayna</v>
      </c>
      <c r="D290" s="48" t="str">
        <f>Data_Entry!D279</f>
        <v xml:space="preserve"> Luofu</v>
      </c>
      <c r="E290" s="49">
        <f>IFERROR(IF(Data_Entry!J279/Data_Entry!$I279&lt;0,0,Data_Entry!J279/Data_Entry!$I279),0)</f>
        <v>0.34753428654800117</v>
      </c>
      <c r="F290" s="49">
        <f>IFERROR(IF(Data_Entry!K279/Data_Entry!$H279&lt;0,0,Data_Entry!K279/Data_Entry!$H279),0)</f>
        <v>0.14949545284664259</v>
      </c>
      <c r="G290" s="49">
        <f>IFERROR(IF(Data_Entry!L279/Data_Entry!$H279&lt;0,0,Data_Entry!L279/Data_Entry!$H279),0)</f>
        <v>1.1488073389893003</v>
      </c>
      <c r="H290" s="49">
        <f>IFERROR(IF(Data_Entry!M279/Data_Entry!$H279&lt;0,0,Data_Entry!M279/Data_Entry!$H279),0)</f>
        <v>1.0705479744118633</v>
      </c>
      <c r="I290" s="49">
        <f>IFERROR(IF(Data_Entry!N279/Data_Entry!$H279&lt;0,0,Data_Entry!N279/Data_Entry!$H279),0)</f>
        <v>0.986268658713085</v>
      </c>
      <c r="J290" s="49">
        <f>IFERROR(IF(Data_Entry!O279/Data_Entry!$H279&lt;0,0,Data_Entry!O279/Data_Entry!$H279),0)</f>
        <v>1.0013185365164383</v>
      </c>
      <c r="K290" s="49">
        <f>IFERROR(IF(Data_Entry!P279/Data_Entry!$H279&lt;0,0,Data_Entry!P279/Data_Entry!$H279),0)</f>
        <v>0.91904587119144032</v>
      </c>
      <c r="L290" s="49">
        <f>IFERROR(IF(Data_Entry!Q279/Data_Entry!$H279&lt;0,0,Data_Entry!Q279/Data_Entry!$H279),0)</f>
        <v>0.8849328148371729</v>
      </c>
      <c r="M290" s="49">
        <f>IFERROR(IF(Data_Entry!R279/Data_Entry!$H279&lt;0,0,Data_Entry!R279/Data_Entry!$H279),0)</f>
        <v>0.99329193502131652</v>
      </c>
      <c r="N290" s="49">
        <f>IFERROR(IF(Data_Entry!S279/Data_Entry!$H279&lt;0,0,Data_Entry!S279/Data_Entry!$H279),0)</f>
        <v>0.9431256756768055</v>
      </c>
      <c r="O290" s="49">
        <f>IFERROR(IF(Data_Entry!T279/Data_Entry!$H279&lt;0,0,Data_Entry!T279/Data_Entry!$H279),0)</f>
        <v>0.91001594450942835</v>
      </c>
      <c r="P290" s="49">
        <f>IFERROR(IF(Data_Entry!U279/Data_Entry!$H279&lt;0,0,Data_Entry!U279/Data_Entry!$H279),0)</f>
        <v>1.1317508108121666</v>
      </c>
      <c r="Q290" s="49">
        <f>IFERROR(IF(Data_Entry!V279/Data_Entry!$H279&lt;0,0,Data_Entry!V279/Data_Entry!$H279),0)</f>
        <v>0.90901261932253807</v>
      </c>
      <c r="R290" s="49">
        <f>IFERROR(IF(Data_Entry!W279/Data_Entry!$H279&lt;0,0,Data_Entry!W279/Data_Entry!$H279),0)</f>
        <v>0.81771002731552822</v>
      </c>
      <c r="S290" s="49">
        <f>IFERROR(IF(Data_Entry!X279/Data_Entry!$H279&lt;0,0,Data_Entry!X279/Data_Entry!$H279),0)</f>
        <v>0.83677320586644233</v>
      </c>
      <c r="T290" s="49">
        <f>IFERROR(IF(Data_Entry!Y279/Data_Entry!$H279&lt;0,0,Data_Entry!Y279/Data_Entry!$H279),0)</f>
        <v>0.11437907130548493</v>
      </c>
      <c r="U290" s="49">
        <f>IFERROR(IF(Data_Entry!Z279/Data_Entry!$H279&lt;0,0,Data_Entry!Z279/Data_Entry!$H279),0)</f>
        <v>0.76152381684967596</v>
      </c>
      <c r="V290" s="49">
        <f>IFERROR(IF(Data_Entry!AA279/Data_Entry!$H279&lt;0,0,Data_Entry!AA279/Data_Entry!$H279),0)</f>
        <v>1.0364349180575958</v>
      </c>
      <c r="W290" s="49">
        <f>IFERROR(IF(Data_Entry!AB279/Data_Entry!$H279&lt;0,0,Data_Entry!AB279/Data_Entry!$H279),0)</f>
        <v>0.81971667768930867</v>
      </c>
      <c r="X290" s="49">
        <f>IFERROR(IF(Data_Entry!AC279/Data_Entry!$I279&lt;0,0,Data_Entry!AC279/Data_Entry!$I279),0)</f>
        <v>0.468339655675518</v>
      </c>
      <c r="Y290" s="49">
        <f>IFERROR(IF(Data_Entry!AD279/Data_Entry!$I279&lt;0,0,Data_Entry!AD279/Data_Entry!$I279),0)</f>
        <v>0.31689524365334115</v>
      </c>
      <c r="Z290" s="49">
        <f>IFERROR(IF(Data_Entry!AE279/Data_Entry!$I279&lt;0,0,Data_Entry!AE279/Data_Entry!$I279),0)</f>
        <v>0.19521447330026262</v>
      </c>
      <c r="AA290" s="49">
        <f>IFERROR(IF(Data_Entry!AF279/Data_Entry!$I279&lt;0,0,Data_Entry!AF279/Data_Entry!$I279),0)</f>
        <v>0.16807703530784945</v>
      </c>
      <c r="AB290" s="49">
        <f>IFERROR(IF(Data_Entry!AG279/Data_Entry!$I279&lt;0,0,Data_Entry!AG279/Data_Entry!$I279),0)</f>
        <v>0.15319521447330028</v>
      </c>
      <c r="AC290" s="49">
        <f>IFERROR(IF(Data_Entry!AI279/Data_Entry!$I279&lt;0,0,Data_Entry!AI279/Data_Entry!$I279),0)</f>
        <v>5.1035891450248033E-2</v>
      </c>
      <c r="AD290" s="49">
        <f>IFERROR(IF(Data_Entry!AM279/Data_Entry!$H279&lt;0,0,Data_Entry!AM279/Data_Entry!$H279),0)</f>
        <v>0.76152381684967596</v>
      </c>
      <c r="AE290" s="50">
        <f>Data_Entry!AK279</f>
        <v>0</v>
      </c>
      <c r="AF290" s="50">
        <f>Data_Entry!AL279</f>
        <v>164</v>
      </c>
      <c r="AG290" s="153">
        <f>(Data_Entry!O279-Data_Entry!Q279)/Data_Entry!O279</f>
        <v>0.11623246492985972</v>
      </c>
      <c r="AH290" s="79" t="str">
        <f t="shared" si="8"/>
        <v>CAT2</v>
      </c>
      <c r="AI290" s="51">
        <f>SUBTOTAL(3,Tableau1[[#This Row],[ZS]])</f>
        <v>0</v>
      </c>
      <c r="AJ290" s="51" t="e">
        <f t="shared" ca="1" si="9"/>
        <v>#NAME?</v>
      </c>
      <c r="AK290" s="50" t="str">
        <f>IFERROR(IF((Data_Entry!O279-Data_Entry!Q279)/Data_Entry!O279&lt;=10%,"&lt;=10%","&gt;10%"),"&lt;=10%")</f>
        <v>&gt;10%</v>
      </c>
    </row>
    <row r="291" spans="1:37" s="48" customFormat="1" ht="13" hidden="1" x14ac:dyDescent="0.3">
      <c r="A291" s="31" t="s">
        <v>16</v>
      </c>
      <c r="B291" s="48" t="str">
        <f>Data_Entry!B280</f>
        <v>Butembo</v>
      </c>
      <c r="C291" s="48" t="str">
        <f>Data_Entry!C280</f>
        <v xml:space="preserve"> Kayna</v>
      </c>
      <c r="D291" s="48" t="str">
        <f>Data_Entry!D280</f>
        <v xml:space="preserve"> Mighobwe</v>
      </c>
      <c r="E291" s="49">
        <f>IFERROR(IF(Data_Entry!J280/Data_Entry!$I280&lt;0,0,Data_Entry!J280/Data_Entry!$I280),0)</f>
        <v>1.0609756097560976</v>
      </c>
      <c r="F291" s="49">
        <f>IFERROR(IF(Data_Entry!K280/Data_Entry!$H280&lt;0,0,Data_Entry!K280/Data_Entry!$H280),0)</f>
        <v>0.70235516108742757</v>
      </c>
      <c r="G291" s="49">
        <f>IFERROR(IF(Data_Entry!L280/Data_Entry!$H280&lt;0,0,Data_Entry!L280/Data_Entry!$H280),0)</f>
        <v>1.123768257739884</v>
      </c>
      <c r="H291" s="49">
        <f>IFERROR(IF(Data_Entry!M280/Data_Entry!$H280&lt;0,0,Data_Entry!M280/Data_Entry!$H280),0)</f>
        <v>1.0545810329163463</v>
      </c>
      <c r="I291" s="49">
        <f>IFERROR(IF(Data_Entry!N280/Data_Entry!$H280&lt;0,0,Data_Entry!N280/Data_Entry!$H280),0)</f>
        <v>1.0587741980571668</v>
      </c>
      <c r="J291" s="49">
        <f>IFERROR(IF(Data_Entry!O280/Data_Entry!$H280&lt;0,0,Data_Entry!O280/Data_Entry!$H280),0)</f>
        <v>0.81137745474875955</v>
      </c>
      <c r="K291" s="49">
        <f>IFERROR(IF(Data_Entry!P280/Data_Entry!$H280&lt;0,0,Data_Entry!P280/Data_Entry!$H280),0)</f>
        <v>0.77363896848137537</v>
      </c>
      <c r="L291" s="49">
        <f>IFERROR(IF(Data_Entry!Q280/Data_Entry!$H280&lt;0,0,Data_Entry!Q280/Data_Entry!$H280),0)</f>
        <v>0.76734922077014467</v>
      </c>
      <c r="M291" s="49">
        <f>IFERROR(IF(Data_Entry!R280/Data_Entry!$H280&lt;0,0,Data_Entry!R280/Data_Entry!$H280),0)</f>
        <v>0.92249633098050188</v>
      </c>
      <c r="N291" s="49">
        <f>IFERROR(IF(Data_Entry!S280/Data_Entry!$H280&lt;0,0,Data_Entry!S280/Data_Entry!$H280),0)</f>
        <v>0.87637151443147676</v>
      </c>
      <c r="O291" s="49">
        <f>IFERROR(IF(Data_Entry!T280/Data_Entry!$H280&lt;0,0,Data_Entry!T280/Data_Entry!$H280),0)</f>
        <v>0.87846809700188699</v>
      </c>
      <c r="P291" s="49">
        <f>IFERROR(IF(Data_Entry!U280/Data_Entry!$H280&lt;0,0,Data_Entry!U280/Data_Entry!$H280),0)</f>
        <v>0.93507582640296327</v>
      </c>
      <c r="Q291" s="49">
        <f>IFERROR(IF(Data_Entry!V280/Data_Entry!$H280&lt;0,0,Data_Entry!V280/Data_Entry!$H280),0)</f>
        <v>0.89733734013557909</v>
      </c>
      <c r="R291" s="49">
        <f>IFERROR(IF(Data_Entry!W280/Data_Entry!$H280&lt;0,0,Data_Entry!W280/Data_Entry!$H280),0)</f>
        <v>0.89524075756516885</v>
      </c>
      <c r="S291" s="49">
        <f>IFERROR(IF(Data_Entry!X280/Data_Entry!$H280&lt;0,0,Data_Entry!X280/Data_Entry!$H280),0)</f>
        <v>1.1405409183031658</v>
      </c>
      <c r="T291" s="49">
        <f>IFERROR(IF(Data_Entry!Y280/Data_Entry!$H280&lt;0,0,Data_Entry!Y280/Data_Entry!$H280),0)</f>
        <v>0.3585156195401496</v>
      </c>
      <c r="U291" s="49">
        <f>IFERROR(IF(Data_Entry!Z280/Data_Entry!$H280&lt;0,0,Data_Entry!Z280/Data_Entry!$H280),0)</f>
        <v>0.93926899154378374</v>
      </c>
      <c r="V291" s="49">
        <f>IFERROR(IF(Data_Entry!AA280/Data_Entry!$H280&lt;0,0,Data_Entry!AA280/Data_Entry!$H280),0)</f>
        <v>1.2663358725277798</v>
      </c>
      <c r="W291" s="49">
        <f>IFERROR(IF(Data_Entry!AB280/Data_Entry!$H280&lt;0,0,Data_Entry!AB280/Data_Entry!$H280),0)</f>
        <v>1.1405409183031658</v>
      </c>
      <c r="X291" s="49">
        <f>IFERROR(IF(Data_Entry!AC280/Data_Entry!$I280&lt;0,0,Data_Entry!AC280/Data_Entry!$I280),0)</f>
        <v>0.2908536585365854</v>
      </c>
      <c r="Y291" s="49">
        <f>IFERROR(IF(Data_Entry!AD280/Data_Entry!$I280&lt;0,0,Data_Entry!AD280/Data_Entry!$I280),0)</f>
        <v>0.20121951219512196</v>
      </c>
      <c r="Z291" s="49">
        <f>IFERROR(IF(Data_Entry!AE280/Data_Entry!$I280&lt;0,0,Data_Entry!AE280/Data_Entry!$I280),0)</f>
        <v>0.18475609756097564</v>
      </c>
      <c r="AA291" s="49">
        <f>IFERROR(IF(Data_Entry!AF280/Data_Entry!$I280&lt;0,0,Data_Entry!AF280/Data_Entry!$I280),0)</f>
        <v>0.1152439024390244</v>
      </c>
      <c r="AB291" s="49">
        <f>IFERROR(IF(Data_Entry!AG280/Data_Entry!$I280&lt;0,0,Data_Entry!AG280/Data_Entry!$I280),0)</f>
        <v>0.13719512195121952</v>
      </c>
      <c r="AC291" s="49">
        <f>IFERROR(IF(Data_Entry!AI280/Data_Entry!$I280&lt;0,0,Data_Entry!AI280/Data_Entry!$I280),0)</f>
        <v>9.1463414634146353E-2</v>
      </c>
      <c r="AD291" s="49">
        <f>IFERROR(IF(Data_Entry!AM280/Data_Entry!$H280&lt;0,0,Data_Entry!AM280/Data_Entry!$H280),0)</f>
        <v>0.93926899154378374</v>
      </c>
      <c r="AE291" s="50">
        <f>Data_Entry!AK280</f>
        <v>89.96666666666664</v>
      </c>
      <c r="AF291" s="50">
        <f>Data_Entry!AL280</f>
        <v>0</v>
      </c>
      <c r="AG291" s="153">
        <f>(Data_Entry!O280-Data_Entry!Q280)/Data_Entry!O280</f>
        <v>5.4263565891472867E-2</v>
      </c>
      <c r="AH291" s="79" t="str">
        <f t="shared" si="8"/>
        <v>CAT3</v>
      </c>
      <c r="AI291" s="51">
        <f>SUBTOTAL(3,Tableau1[[#This Row],[ZS]])</f>
        <v>0</v>
      </c>
      <c r="AJ291" s="51" t="e">
        <f t="shared" ca="1" si="9"/>
        <v>#NAME?</v>
      </c>
      <c r="AK291" s="50" t="str">
        <f>IFERROR(IF((Data_Entry!O280-Data_Entry!Q280)/Data_Entry!O280&lt;=10%,"&lt;=10%","&gt;10%"),"&lt;=10%")</f>
        <v>&lt;=10%</v>
      </c>
    </row>
    <row r="292" spans="1:37" s="48" customFormat="1" ht="13" hidden="1" x14ac:dyDescent="0.3">
      <c r="A292" s="31" t="s">
        <v>16</v>
      </c>
      <c r="B292" s="48" t="str">
        <f>Data_Entry!B281</f>
        <v>Butembo</v>
      </c>
      <c r="C292" s="48" t="str">
        <f>Data_Entry!C281</f>
        <v xml:space="preserve"> Kayna</v>
      </c>
      <c r="D292" s="48" t="str">
        <f>Data_Entry!D281</f>
        <v xml:space="preserve"> Miriki</v>
      </c>
      <c r="E292" s="49">
        <f>IFERROR(IF(Data_Entry!J281/Data_Entry!$I281&lt;0,0,Data_Entry!J281/Data_Entry!$I281),0)</f>
        <v>0.3764461039358511</v>
      </c>
      <c r="F292" s="49">
        <f>IFERROR(IF(Data_Entry!K281/Data_Entry!$H281&lt;0,0,Data_Entry!K281/Data_Entry!$H281),0)</f>
        <v>0.44198019051801657</v>
      </c>
      <c r="G292" s="49">
        <f>IFERROR(IF(Data_Entry!L281/Data_Entry!$H281&lt;0,0,Data_Entry!L281/Data_Entry!$H281),0)</f>
        <v>1.02918244363481</v>
      </c>
      <c r="H292" s="49">
        <f>IFERROR(IF(Data_Entry!M281/Data_Entry!$H281&lt;0,0,Data_Entry!M281/Data_Entry!$H281),0)</f>
        <v>0.86080903772318462</v>
      </c>
      <c r="I292" s="49">
        <f>IFERROR(IF(Data_Entry!N281/Data_Entry!$H281&lt;0,0,Data_Entry!N281/Data_Entry!$H281),0)</f>
        <v>0.8713323755926613</v>
      </c>
      <c r="J292" s="49">
        <f>IFERROR(IF(Data_Entry!O281/Data_Entry!$H281&lt;0,0,Data_Entry!O281/Data_Entry!$H281),0)</f>
        <v>1.0523337869476586</v>
      </c>
      <c r="K292" s="49">
        <f>IFERROR(IF(Data_Entry!P281/Data_Entry!$H281&lt;0,0,Data_Entry!P281/Data_Entry!$H281),0)</f>
        <v>0.77872700234126735</v>
      </c>
      <c r="L292" s="49">
        <f>IFERROR(IF(Data_Entry!Q281/Data_Entry!$H281&lt;0,0,Data_Entry!Q281/Data_Entry!$H281),0)</f>
        <v>0.83976236198423149</v>
      </c>
      <c r="M292" s="49">
        <f>IFERROR(IF(Data_Entry!R281/Data_Entry!$H281&lt;0,0,Data_Entry!R281/Data_Entry!$H281),0)</f>
        <v>1.0691711275388212</v>
      </c>
      <c r="N292" s="49">
        <f>IFERROR(IF(Data_Entry!S281/Data_Entry!$H281&lt;0,0,Data_Entry!S281/Data_Entry!$H281),0)</f>
        <v>0.79766901050632522</v>
      </c>
      <c r="O292" s="49">
        <f>IFERROR(IF(Data_Entry!T281/Data_Entry!$H281&lt;0,0,Data_Entry!T281/Data_Entry!$H281),0)</f>
        <v>0.88816971618382379</v>
      </c>
      <c r="P292" s="49">
        <f>IFERROR(IF(Data_Entry!U281/Data_Entry!$H281&lt;0,0,Data_Entry!U281/Data_Entry!$H281),0)</f>
        <v>0.93236773523562544</v>
      </c>
      <c r="Q292" s="49">
        <f>IFERROR(IF(Data_Entry!V281/Data_Entry!$H281&lt;0,0,Data_Entry!V281/Data_Entry!$H281),0)</f>
        <v>0.65665628305533896</v>
      </c>
      <c r="R292" s="49">
        <f>IFERROR(IF(Data_Entry!W281/Data_Entry!$H281&lt;0,0,Data_Entry!W281/Data_Entry!$H281),0)</f>
        <v>0.74926165630673291</v>
      </c>
      <c r="S292" s="49">
        <f>IFERROR(IF(Data_Entry!X281/Data_Entry!$H281&lt;0,0,Data_Entry!X281/Data_Entry!$H281),0)</f>
        <v>0.96814708399184579</v>
      </c>
      <c r="T292" s="49">
        <f>IFERROR(IF(Data_Entry!Y281/Data_Entry!$H281&lt;0,0,Data_Entry!Y281/Data_Entry!$H281),0)</f>
        <v>5.8930692069068875E-2</v>
      </c>
      <c r="U292" s="49">
        <f>IFERROR(IF(Data_Entry!Z281/Data_Entry!$H281&lt;0,0,Data_Entry!Z281/Data_Entry!$H281),0)</f>
        <v>0.90079772162719574</v>
      </c>
      <c r="V292" s="49">
        <f>IFERROR(IF(Data_Entry!AA281/Data_Entry!$H281&lt;0,0,Data_Entry!AA281/Data_Entry!$H281),0)</f>
        <v>0.97235641913963644</v>
      </c>
      <c r="W292" s="49">
        <f>IFERROR(IF(Data_Entry!AB281/Data_Entry!$H281&lt;0,0,Data_Entry!AB281/Data_Entry!$H281),0)</f>
        <v>0.81661101867138297</v>
      </c>
      <c r="X292" s="49">
        <f>IFERROR(IF(Data_Entry!AC281/Data_Entry!$I281&lt;0,0,Data_Entry!AC281/Data_Entry!$I281),0)</f>
        <v>0.64638550529472971</v>
      </c>
      <c r="Y292" s="49">
        <f>IFERROR(IF(Data_Entry!AD281/Data_Entry!$I281&lt;0,0,Data_Entry!AD281/Data_Entry!$I281),0)</f>
        <v>0.42051784293321903</v>
      </c>
      <c r="Z292" s="49">
        <f>IFERROR(IF(Data_Entry!AE281/Data_Entry!$I281&lt;0,0,Data_Entry!AE281/Data_Entry!$I281),0)</f>
        <v>0.20934076023749768</v>
      </c>
      <c r="AA292" s="49">
        <f>IFERROR(IF(Data_Entry!AF281/Data_Entry!$I281&lt;0,0,Data_Entry!AF281/Data_Entry!$I281),0)</f>
        <v>9.9161412744077845E-2</v>
      </c>
      <c r="AB292" s="49">
        <f>IFERROR(IF(Data_Entry!AG281/Data_Entry!$I281&lt;0,0,Data_Entry!AG281/Data_Entry!$I281),0)</f>
        <v>0.11752463732631449</v>
      </c>
      <c r="AC292" s="49">
        <f>IFERROR(IF(Data_Entry!AI281/Data_Entry!$I281&lt;0,0,Data_Entry!AI281/Data_Entry!$I281),0)</f>
        <v>0.1070575993144396</v>
      </c>
      <c r="AD292" s="49">
        <f>IFERROR(IF(Data_Entry!AM281/Data_Entry!$H281&lt;0,0,Data_Entry!AM281/Data_Entry!$H281),0)</f>
        <v>0.90079772162719574</v>
      </c>
      <c r="AE292" s="50">
        <f>Data_Entry!AK281</f>
        <v>0</v>
      </c>
      <c r="AF292" s="50">
        <f>Data_Entry!AL281</f>
        <v>40</v>
      </c>
      <c r="AG292" s="153">
        <f>(Data_Entry!O281-Data_Entry!Q281)/Data_Entry!O281</f>
        <v>0.20200000000000001</v>
      </c>
      <c r="AH292" s="79" t="str">
        <f t="shared" si="8"/>
        <v>CAT2</v>
      </c>
      <c r="AI292" s="51">
        <f>SUBTOTAL(3,Tableau1[[#This Row],[ZS]])</f>
        <v>0</v>
      </c>
      <c r="AJ292" s="51" t="e">
        <f t="shared" ca="1" si="9"/>
        <v>#NAME?</v>
      </c>
      <c r="AK292" s="50" t="str">
        <f>IFERROR(IF((Data_Entry!O281-Data_Entry!Q281)/Data_Entry!O281&lt;=10%,"&lt;=10%","&gt;10%"),"&lt;=10%")</f>
        <v>&gt;10%</v>
      </c>
    </row>
    <row r="293" spans="1:37" s="48" customFormat="1" ht="13" hidden="1" x14ac:dyDescent="0.3">
      <c r="A293" s="31" t="s">
        <v>16</v>
      </c>
      <c r="B293" s="48" t="str">
        <f>Data_Entry!B282</f>
        <v>Butembo</v>
      </c>
      <c r="C293" s="48" t="str">
        <f>Data_Entry!C282</f>
        <v xml:space="preserve"> Kayna</v>
      </c>
      <c r="D293" s="48" t="str">
        <f>Data_Entry!D282</f>
        <v xml:space="preserve"> Mulinde</v>
      </c>
      <c r="E293" s="49">
        <f>IFERROR(IF(Data_Entry!J282/Data_Entry!$I282&lt;0,0,Data_Entry!J282/Data_Entry!$I282),0)</f>
        <v>0.53049314269039982</v>
      </c>
      <c r="F293" s="49">
        <f>IFERROR(IF(Data_Entry!K282/Data_Entry!$H282&lt;0,0,Data_Entry!K282/Data_Entry!$H282),0)</f>
        <v>0.9591788786670491</v>
      </c>
      <c r="G293" s="49">
        <f>IFERROR(IF(Data_Entry!L282/Data_Entry!$H282&lt;0,0,Data_Entry!L282/Data_Entry!$H282),0)</f>
        <v>1.1177042581957035</v>
      </c>
      <c r="H293" s="49">
        <f>IFERROR(IF(Data_Entry!M282/Data_Entry!$H282&lt;0,0,Data_Entry!M282/Data_Entry!$H282),0)</f>
        <v>1.0093451380115599</v>
      </c>
      <c r="I293" s="49">
        <f>IFERROR(IF(Data_Entry!N282/Data_Entry!$H282&lt;0,0,Data_Entry!N282/Data_Entry!$H282),0)</f>
        <v>1.0374382432444862</v>
      </c>
      <c r="J293" s="49">
        <f>IFERROR(IF(Data_Entry!O282/Data_Entry!$H282&lt;0,0,Data_Entry!O282/Data_Entry!$H282),0)</f>
        <v>0.85683970960424671</v>
      </c>
      <c r="K293" s="49">
        <f>IFERROR(IF(Data_Entry!P282/Data_Entry!$H282&lt;0,0,Data_Entry!P282/Data_Entry!$H282),0)</f>
        <v>0.74647393904632264</v>
      </c>
      <c r="L293" s="49">
        <f>IFERROR(IF(Data_Entry!Q282/Data_Entry!$H282&lt;0,0,Data_Entry!Q282/Data_Entry!$H282),0)</f>
        <v>0.77657369465302928</v>
      </c>
      <c r="M293" s="49">
        <f>IFERROR(IF(Data_Entry!R282/Data_Entry!$H282&lt;0,0,Data_Entry!R282/Data_Entry!$H282),0)</f>
        <v>0.89095276595851414</v>
      </c>
      <c r="N293" s="49">
        <f>IFERROR(IF(Data_Entry!S282/Data_Entry!$H282&lt;0,0,Data_Entry!S282/Data_Entry!$H282),0)</f>
        <v>0.7404539879249814</v>
      </c>
      <c r="O293" s="49">
        <f>IFERROR(IF(Data_Entry!T282/Data_Entry!$H282&lt;0,0,Data_Entry!T282/Data_Entry!$H282),0)</f>
        <v>0.77055374353168793</v>
      </c>
      <c r="P293" s="49">
        <f>IFERROR(IF(Data_Entry!U282/Data_Entry!$H282&lt;0,0,Data_Entry!U282/Data_Entry!$H282),0)</f>
        <v>0.84881310810912503</v>
      </c>
      <c r="Q293" s="49">
        <f>IFERROR(IF(Data_Entry!V282/Data_Entry!$H282&lt;0,0,Data_Entry!V282/Data_Entry!$H282),0)</f>
        <v>0.72440078493473792</v>
      </c>
      <c r="R293" s="49">
        <f>IFERROR(IF(Data_Entry!W282/Data_Entry!$H282&lt;0,0,Data_Entry!W282/Data_Entry!$H282),0)</f>
        <v>0.74848058942010309</v>
      </c>
      <c r="S293" s="49">
        <f>IFERROR(IF(Data_Entry!X282/Data_Entry!$H282&lt;0,0,Data_Entry!X282/Data_Entry!$H282),0)</f>
        <v>1.0414515439920469</v>
      </c>
      <c r="T293" s="49">
        <f>IFERROR(IF(Data_Entry!Y282/Data_Entry!$H282&lt;0,0,Data_Entry!Y282/Data_Entry!$H282),0)</f>
        <v>0.38527687176584396</v>
      </c>
      <c r="U293" s="49">
        <f>IFERROR(IF(Data_Entry!Z282/Data_Entry!$H282&lt;0,0,Data_Entry!Z282/Data_Entry!$H282),0)</f>
        <v>0.76854709315790748</v>
      </c>
      <c r="V293" s="49">
        <f>IFERROR(IF(Data_Entry!AA282/Data_Entry!$H282&lt;0,0,Data_Entry!AA282/Data_Entry!$H282),0)</f>
        <v>0.9591788786670491</v>
      </c>
      <c r="W293" s="49">
        <f>IFERROR(IF(Data_Entry!AB282/Data_Entry!$H282&lt;0,0,Data_Entry!AB282/Data_Entry!$H282),0)</f>
        <v>0.86887961184692941</v>
      </c>
      <c r="X293" s="49">
        <f>IFERROR(IF(Data_Entry!AC282/Data_Entry!$I282&lt;0,0,Data_Entry!AC282/Data_Entry!$I282),0)</f>
        <v>0.12605777648088709</v>
      </c>
      <c r="Y293" s="49">
        <f>IFERROR(IF(Data_Entry!AD282/Data_Entry!$I282&lt;0,0,Data_Entry!AD282/Data_Entry!$I282),0)</f>
        <v>8.2287715202801287E-2</v>
      </c>
      <c r="Z293" s="49">
        <f>IFERROR(IF(Data_Entry!AE282/Data_Entry!$I282&lt;0,0,Data_Entry!AE282/Data_Entry!$I282),0)</f>
        <v>8.2287715202801287E-2</v>
      </c>
      <c r="AA293" s="49">
        <f>IFERROR(IF(Data_Entry!AF282/Data_Entry!$I282&lt;0,0,Data_Entry!AF282/Data_Entry!$I282),0)</f>
        <v>6.8281295593813837E-2</v>
      </c>
      <c r="AB293" s="49">
        <f>IFERROR(IF(Data_Entry!AG282/Data_Entry!$I282&lt;0,0,Data_Entry!AG282/Data_Entry!$I282),0)</f>
        <v>5.427487598482638E-2</v>
      </c>
      <c r="AC293" s="49">
        <f>IFERROR(IF(Data_Entry!AI282/Data_Entry!$I282&lt;0,0,Data_Entry!AI282/Data_Entry!$I282),0)</f>
        <v>8.7540122556171579E-2</v>
      </c>
      <c r="AD293" s="49">
        <f>IFERROR(IF(Data_Entry!AM282/Data_Entry!$H282&lt;0,0,Data_Entry!AM282/Data_Entry!$H282),0)</f>
        <v>0.76854709315790748</v>
      </c>
      <c r="AE293" s="50">
        <f>Data_Entry!AK282</f>
        <v>71.342916666666667</v>
      </c>
      <c r="AF293" s="50">
        <f>Data_Entry!AL282</f>
        <v>0</v>
      </c>
      <c r="AG293" s="153">
        <f>(Data_Entry!O282-Data_Entry!Q282)/Data_Entry!O282</f>
        <v>9.3676814988290405E-2</v>
      </c>
      <c r="AH293" s="79" t="str">
        <f t="shared" si="8"/>
        <v>CAT3</v>
      </c>
      <c r="AI293" s="51">
        <f>SUBTOTAL(3,Tableau1[[#This Row],[ZS]])</f>
        <v>0</v>
      </c>
      <c r="AJ293" s="51" t="e">
        <f t="shared" ca="1" si="9"/>
        <v>#NAME?</v>
      </c>
      <c r="AK293" s="50" t="str">
        <f>IFERROR(IF((Data_Entry!O282-Data_Entry!Q282)/Data_Entry!O282&lt;=10%,"&lt;=10%","&gt;10%"),"&lt;=10%")</f>
        <v>&lt;=10%</v>
      </c>
    </row>
    <row r="294" spans="1:37" s="48" customFormat="1" ht="13" hidden="1" x14ac:dyDescent="0.3">
      <c r="A294" s="31" t="s">
        <v>16</v>
      </c>
      <c r="B294" s="48" t="str">
        <f>Data_Entry!B283</f>
        <v>Butembo</v>
      </c>
      <c r="C294" s="48" t="str">
        <f>Data_Entry!C283</f>
        <v xml:space="preserve"> Kayna</v>
      </c>
      <c r="D294" s="48" t="str">
        <f>Data_Entry!D283</f>
        <v xml:space="preserve"> Nyamiindo</v>
      </c>
      <c r="E294" s="49">
        <f>IFERROR(IF(Data_Entry!J283/Data_Entry!$I283&lt;0,0,Data_Entry!J283/Data_Entry!$I283),0)</f>
        <v>1.2083463095608844</v>
      </c>
      <c r="F294" s="49">
        <f>IFERROR(IF(Data_Entry!K283/Data_Entry!$H283&lt;0,0,Data_Entry!K283/Data_Entry!$H283),0)</f>
        <v>0.87271636985684053</v>
      </c>
      <c r="G294" s="49">
        <f>IFERROR(IF(Data_Entry!L283/Data_Entry!$H283&lt;0,0,Data_Entry!L283/Data_Entry!$H283),0)</f>
        <v>1.7686337884010817</v>
      </c>
      <c r="H294" s="49">
        <f>IFERROR(IF(Data_Entry!M283/Data_Entry!$H283&lt;0,0,Data_Entry!M283/Data_Entry!$H283),0)</f>
        <v>0.94945830013055044</v>
      </c>
      <c r="I294" s="49">
        <f>IFERROR(IF(Data_Entry!N283/Data_Entry!$H283&lt;0,0,Data_Entry!N283/Data_Entry!$H283),0)</f>
        <v>0.82988366458779317</v>
      </c>
      <c r="J294" s="49">
        <f>IFERROR(IF(Data_Entry!O283/Data_Entry!$H283&lt;0,0,Data_Entry!O283/Data_Entry!$H283),0)</f>
        <v>0.94945830013055044</v>
      </c>
      <c r="K294" s="49">
        <f>IFERROR(IF(Data_Entry!P283/Data_Entry!$H283&lt;0,0,Data_Entry!P283/Data_Entry!$H283),0)</f>
        <v>0.89234802643848721</v>
      </c>
      <c r="L294" s="49">
        <f>IFERROR(IF(Data_Entry!Q283/Data_Entry!$H283&lt;0,0,Data_Entry!Q283/Data_Entry!$H283),0)</f>
        <v>0.79775913563600753</v>
      </c>
      <c r="M294" s="49">
        <f>IFERROR(IF(Data_Entry!R283/Data_Entry!$H283&lt;0,0,Data_Entry!R283/Data_Entry!$H283),0)</f>
        <v>0.97979813302945895</v>
      </c>
      <c r="N294" s="49">
        <f>IFERROR(IF(Data_Entry!S283/Data_Entry!$H283&lt;0,0,Data_Entry!S283/Data_Entry!$H283),0)</f>
        <v>0.83345305669354708</v>
      </c>
      <c r="O294" s="49">
        <f>IFERROR(IF(Data_Entry!T283/Data_Entry!$H283&lt;0,0,Data_Entry!T283/Data_Entry!$H283),0)</f>
        <v>0.67283041193461934</v>
      </c>
      <c r="P294" s="49">
        <f>IFERROR(IF(Data_Entry!U283/Data_Entry!$H283&lt;0,0,Data_Entry!U283/Data_Entry!$H283),0)</f>
        <v>1.0672482396204308</v>
      </c>
      <c r="Q294" s="49">
        <f>IFERROR(IF(Data_Entry!V283/Data_Entry!$H283&lt;0,0,Data_Entry!V283/Data_Entry!$H283),0)</f>
        <v>1.0119226619812445</v>
      </c>
      <c r="R294" s="49">
        <f>IFERROR(IF(Data_Entry!W283/Data_Entry!$H283&lt;0,0,Data_Entry!W283/Data_Entry!$H283),0)</f>
        <v>0.77634278300148385</v>
      </c>
      <c r="S294" s="49">
        <f>IFERROR(IF(Data_Entry!X283/Data_Entry!$H283&lt;0,0,Data_Entry!X283/Data_Entry!$H283),0)</f>
        <v>0.80668261590039247</v>
      </c>
      <c r="T294" s="49">
        <f>IFERROR(IF(Data_Entry!Y283/Data_Entry!$H283&lt;0,0,Data_Entry!Y283/Data_Entry!$H283),0)</f>
        <v>0.30339832898908564</v>
      </c>
      <c r="U294" s="49">
        <f>IFERROR(IF(Data_Entry!Z283/Data_Entry!$H283&lt;0,0,Data_Entry!Z283/Data_Entry!$H283),0)</f>
        <v>0.69067737246338912</v>
      </c>
      <c r="V294" s="49">
        <f>IFERROR(IF(Data_Entry!AA283/Data_Entry!$H283&lt;0,0,Data_Entry!AA283/Data_Entry!$H283),0)</f>
        <v>0.79062035142449971</v>
      </c>
      <c r="W294" s="49">
        <f>IFERROR(IF(Data_Entry!AB283/Data_Entry!$H283&lt;0,0,Data_Entry!AB283/Data_Entry!$H283),0)</f>
        <v>0.71744781325654372</v>
      </c>
      <c r="X294" s="49">
        <f>IFERROR(IF(Data_Entry!AC283/Data_Entry!$I283&lt;0,0,Data_Entry!AC283/Data_Entry!$I283),0)</f>
        <v>0.36281532232949232</v>
      </c>
      <c r="Y294" s="49">
        <f>IFERROR(IF(Data_Entry!AD283/Data_Entry!$I283&lt;0,0,Data_Entry!AD283/Data_Entry!$I283),0)</f>
        <v>0.32232949236997815</v>
      </c>
      <c r="Z294" s="49">
        <f>IFERROR(IF(Data_Entry!AE283/Data_Entry!$I283&lt;0,0,Data_Entry!AE283/Data_Entry!$I283),0)</f>
        <v>8.5643101837433816E-2</v>
      </c>
      <c r="AA294" s="49">
        <f>IFERROR(IF(Data_Entry!AF283/Data_Entry!$I283&lt;0,0,Data_Entry!AF283/Data_Entry!$I283),0)</f>
        <v>4.5157271877919646E-2</v>
      </c>
      <c r="AB294" s="49">
        <f>IFERROR(IF(Data_Entry!AG283/Data_Entry!$I283&lt;0,0,Data_Entry!AG283/Data_Entry!$I283),0)</f>
        <v>7.1628776082217377E-2</v>
      </c>
      <c r="AC294" s="49">
        <f>IFERROR(IF(Data_Entry!AI283/Data_Entry!$I283&lt;0,0,Data_Entry!AI283/Data_Entry!$I283),0)</f>
        <v>9.0781687947679837E-2</v>
      </c>
      <c r="AD294" s="49">
        <f>IFERROR(IF(Data_Entry!AM283/Data_Entry!$H283&lt;0,0,Data_Entry!AM283/Data_Entry!$H283),0)</f>
        <v>0.69067737246338912</v>
      </c>
      <c r="AE294" s="50">
        <f>Data_Entry!AK283</f>
        <v>28.319500000000062</v>
      </c>
      <c r="AF294" s="50">
        <f>Data_Entry!AL283</f>
        <v>80</v>
      </c>
      <c r="AG294" s="153">
        <f>(Data_Entry!O283-Data_Entry!Q283)/Data_Entry!O283</f>
        <v>0.15977443609022557</v>
      </c>
      <c r="AH294" s="79" t="str">
        <f t="shared" si="8"/>
        <v>CAT2</v>
      </c>
      <c r="AI294" s="51">
        <f>SUBTOTAL(3,Tableau1[[#This Row],[ZS]])</f>
        <v>0</v>
      </c>
      <c r="AJ294" s="51" t="e">
        <f t="shared" ca="1" si="9"/>
        <v>#NAME?</v>
      </c>
      <c r="AK294" s="50" t="str">
        <f>IFERROR(IF((Data_Entry!O283-Data_Entry!Q283)/Data_Entry!O283&lt;=10%,"&lt;=10%","&gt;10%"),"&lt;=10%")</f>
        <v>&gt;10%</v>
      </c>
    </row>
    <row r="295" spans="1:37" s="48" customFormat="1" ht="13" hidden="1" x14ac:dyDescent="0.3">
      <c r="A295" s="31" t="s">
        <v>16</v>
      </c>
      <c r="B295" s="48" t="str">
        <f>Data_Entry!B284</f>
        <v>Butembo</v>
      </c>
      <c r="C295" s="48" t="str">
        <f>Data_Entry!C284</f>
        <v xml:space="preserve"> Kayna</v>
      </c>
      <c r="D295" s="48" t="str">
        <f>Data_Entry!D284</f>
        <v xml:space="preserve"> Singamwambe</v>
      </c>
      <c r="E295" s="49">
        <f>IFERROR(IF(Data_Entry!J284/Data_Entry!$I284&lt;0,0,Data_Entry!J284/Data_Entry!$I284),0)</f>
        <v>0.62446167097329897</v>
      </c>
      <c r="F295" s="49">
        <f>IFERROR(IF(Data_Entry!K284/Data_Entry!$H284&lt;0,0,Data_Entry!K284/Data_Entry!$H284),0)</f>
        <v>0.54789246499781585</v>
      </c>
      <c r="G295" s="49">
        <f>IFERROR(IF(Data_Entry!L284/Data_Entry!$H284&lt;0,0,Data_Entry!L284/Data_Entry!$H284),0)</f>
        <v>1.1550165478332333</v>
      </c>
      <c r="H295" s="49">
        <f>IFERROR(IF(Data_Entry!M284/Data_Entry!$H284&lt;0,0,Data_Entry!M284/Data_Entry!$H284),0)</f>
        <v>1.1624205000629335</v>
      </c>
      <c r="I295" s="49">
        <f>IFERROR(IF(Data_Entry!N284/Data_Entry!$H284&lt;0,0,Data_Entry!N284/Data_Entry!$H284),0)</f>
        <v>1.0883809777659315</v>
      </c>
      <c r="J295" s="49">
        <f>IFERROR(IF(Data_Entry!O284/Data_Entry!$H284&lt;0,0,Data_Entry!O284/Data_Entry!$H284),0)</f>
        <v>0.9279620127890934</v>
      </c>
      <c r="K295" s="49">
        <f>IFERROR(IF(Data_Entry!P284/Data_Entry!$H284&lt;0,0,Data_Entry!P284/Data_Entry!$H284),0)</f>
        <v>0.98225766247356172</v>
      </c>
      <c r="L295" s="49">
        <f>IFERROR(IF(Data_Entry!Q284/Data_Entry!$H284&lt;0,0,Data_Entry!Q284/Data_Entry!$H284),0)</f>
        <v>0.69103554143868662</v>
      </c>
      <c r="M295" s="49">
        <f>IFERROR(IF(Data_Entry!R284/Data_Entry!$H284&lt;0,0,Data_Entry!R284/Data_Entry!$H284),0)</f>
        <v>1.1599525159863668</v>
      </c>
      <c r="N295" s="49">
        <f>IFERROR(IF(Data_Entry!S284/Data_Entry!$H284&lt;0,0,Data_Entry!S284/Data_Entry!$H284),0)</f>
        <v>1.147612595603533</v>
      </c>
      <c r="O295" s="49">
        <f>IFERROR(IF(Data_Entry!T284/Data_Entry!$H284&lt;0,0,Data_Entry!T284/Data_Entry!$H284),0)</f>
        <v>1.0982529140721984</v>
      </c>
      <c r="P295" s="49">
        <f>IFERROR(IF(Data_Entry!U284/Data_Entry!$H284&lt;0,0,Data_Entry!U284/Data_Entry!$H284),0)</f>
        <v>0.80703079303732328</v>
      </c>
      <c r="Q295" s="49">
        <f>IFERROR(IF(Data_Entry!V284/Data_Entry!$H284&lt;0,0,Data_Entry!V284/Data_Entry!$H284),0)</f>
        <v>0.81690272934359021</v>
      </c>
      <c r="R295" s="49">
        <f>IFERROR(IF(Data_Entry!W284/Data_Entry!$H284&lt;0,0,Data_Entry!W284/Data_Entry!$H284),0)</f>
        <v>0.77988296819508918</v>
      </c>
      <c r="S295" s="49">
        <f>IFERROR(IF(Data_Entry!X284/Data_Entry!$H284&lt;0,0,Data_Entry!X284/Data_Entry!$H284),0)</f>
        <v>0.80456280896075649</v>
      </c>
      <c r="T295" s="49">
        <f>IFERROR(IF(Data_Entry!Y284/Data_Entry!$H284&lt;0,0,Data_Entry!Y284/Data_Entry!$H284),0)</f>
        <v>0.1110592834455032</v>
      </c>
      <c r="U295" s="49">
        <f>IFERROR(IF(Data_Entry!Z284/Data_Entry!$H284&lt;0,0,Data_Entry!Z284/Data_Entry!$H284),0)</f>
        <v>0.64661182806048534</v>
      </c>
      <c r="V295" s="49">
        <f>IFERROR(IF(Data_Entry!AA284/Data_Entry!$H284&lt;0,0,Data_Entry!AA284/Data_Entry!$H284),0)</f>
        <v>0.80456280896075649</v>
      </c>
      <c r="W295" s="49">
        <f>IFERROR(IF(Data_Entry!AB284/Data_Entry!$H284&lt;0,0,Data_Entry!AB284/Data_Entry!$H284),0)</f>
        <v>2.221185668910064E-2</v>
      </c>
      <c r="X295" s="49">
        <f>IFERROR(IF(Data_Entry!AC284/Data_Entry!$I284&lt;0,0,Data_Entry!AC284/Data_Entry!$I284),0)</f>
        <v>0.83548664944013784</v>
      </c>
      <c r="Y295" s="49">
        <f>IFERROR(IF(Data_Entry!AD284/Data_Entry!$I284&lt;0,0,Data_Entry!AD284/Data_Entry!$I284),0)</f>
        <v>0.55340223944875111</v>
      </c>
      <c r="Z295" s="49">
        <f>IFERROR(IF(Data_Entry!AE284/Data_Entry!$I284&lt;0,0,Data_Entry!AE284/Data_Entry!$I284),0)</f>
        <v>0.32730404823428083</v>
      </c>
      <c r="AA295" s="49">
        <f>IFERROR(IF(Data_Entry!AF284/Data_Entry!$I284&lt;0,0,Data_Entry!AF284/Data_Entry!$I284),0)</f>
        <v>0.25624461670973298</v>
      </c>
      <c r="AB295" s="49">
        <f>IFERROR(IF(Data_Entry!AG284/Data_Entry!$I284&lt;0,0,Data_Entry!AG284/Data_Entry!$I284),0)</f>
        <v>0.17872523686477176</v>
      </c>
      <c r="AC295" s="49">
        <f>IFERROR(IF(Data_Entry!AI284/Data_Entry!$I284&lt;0,0,Data_Entry!AI284/Data_Entry!$I284),0)</f>
        <v>8.9793281653746782E-2</v>
      </c>
      <c r="AD295" s="49">
        <f>IFERROR(IF(Data_Entry!AM284/Data_Entry!$H284&lt;0,0,Data_Entry!AM284/Data_Entry!$H284),0)</f>
        <v>0.64661182806048534</v>
      </c>
      <c r="AE295" s="50">
        <f>Data_Entry!AK284</f>
        <v>29.189000000000021</v>
      </c>
      <c r="AF295" s="50">
        <f>Data_Entry!AL284</f>
        <v>50</v>
      </c>
      <c r="AG295" s="153">
        <f>(Data_Entry!O284-Data_Entry!Q284)/Data_Entry!O284</f>
        <v>0.25531914893617019</v>
      </c>
      <c r="AH295" s="79" t="str">
        <f t="shared" si="8"/>
        <v>CAT2</v>
      </c>
      <c r="AI295" s="51">
        <f>SUBTOTAL(3,Tableau1[[#This Row],[ZS]])</f>
        <v>0</v>
      </c>
      <c r="AJ295" s="51" t="e">
        <f t="shared" ca="1" si="9"/>
        <v>#NAME?</v>
      </c>
      <c r="AK295" s="50" t="str">
        <f>IFERROR(IF((Data_Entry!O284-Data_Entry!Q284)/Data_Entry!O284&lt;=10%,"&lt;=10%","&gt;10%"),"&lt;=10%")</f>
        <v>&gt;10%</v>
      </c>
    </row>
    <row r="296" spans="1:37" s="48" customFormat="1" ht="13" hidden="1" x14ac:dyDescent="0.3">
      <c r="A296" s="31" t="s">
        <v>16</v>
      </c>
      <c r="B296" s="48" t="str">
        <f>Data_Entry!B285</f>
        <v>Butembo</v>
      </c>
      <c r="C296" s="48" t="str">
        <f>Data_Entry!C285</f>
        <v xml:space="preserve"> Kayna</v>
      </c>
      <c r="D296" s="48" t="str">
        <f>Data_Entry!D285</f>
        <v xml:space="preserve"> Vuhoyo</v>
      </c>
      <c r="E296" s="49">
        <f>IFERROR(IF(Data_Entry!J285/Data_Entry!$I285&lt;0,0,Data_Entry!J285/Data_Entry!$I285),0)</f>
        <v>0.69184561209694118</v>
      </c>
      <c r="F296" s="49">
        <f>IFERROR(IF(Data_Entry!K285/Data_Entry!$H285&lt;0,0,Data_Entry!K285/Data_Entry!$H285),0)</f>
        <v>6.4100446190544114E-2</v>
      </c>
      <c r="G296" s="49">
        <f>IFERROR(IF(Data_Entry!L285/Data_Entry!$H285&lt;0,0,Data_Entry!L285/Data_Entry!$H285),0)</f>
        <v>0.99236987065360882</v>
      </c>
      <c r="H296" s="49">
        <f>IFERROR(IF(Data_Entry!M285/Data_Entry!$H285&lt;0,0,Data_Entry!M285/Data_Entry!$H285),0)</f>
        <v>0.79532035088267694</v>
      </c>
      <c r="I296" s="49">
        <f>IFERROR(IF(Data_Entry!N285/Data_Entry!$H285&lt;0,0,Data_Entry!N285/Data_Entry!$H285),0)</f>
        <v>0.89503215606796771</v>
      </c>
      <c r="J296" s="49">
        <f>IFERROR(IF(Data_Entry!O285/Data_Entry!$H285&lt;0,0,Data_Entry!O285/Data_Entry!$H285),0)</f>
        <v>0.85467261587392152</v>
      </c>
      <c r="K296" s="49">
        <f>IFERROR(IF(Data_Entry!P285/Data_Entry!$H285&lt;0,0,Data_Entry!P285/Data_Entry!$H285),0)</f>
        <v>0.69560854569738606</v>
      </c>
      <c r="L296" s="49">
        <f>IFERROR(IF(Data_Entry!Q285/Data_Entry!$H285&lt;0,0,Data_Entry!Q285/Data_Entry!$H285),0)</f>
        <v>0.7739535354858289</v>
      </c>
      <c r="M296" s="49">
        <f>IFERROR(IF(Data_Entry!R285/Data_Entry!$H285&lt;0,0,Data_Entry!R285/Data_Entry!$H285),0)</f>
        <v>0.9045285184665669</v>
      </c>
      <c r="N296" s="49">
        <f>IFERROR(IF(Data_Entry!S285/Data_Entry!$H285&lt;0,0,Data_Entry!S285/Data_Entry!$H285),0)</f>
        <v>0.63150809950684195</v>
      </c>
      <c r="O296" s="49">
        <f>IFERROR(IF(Data_Entry!T285/Data_Entry!$H285&lt;0,0,Data_Entry!T285/Data_Entry!$H285),0)</f>
        <v>0.81193898508022544</v>
      </c>
      <c r="P296" s="49">
        <f>IFERROR(IF(Data_Entry!U285/Data_Entry!$H285&lt;0,0,Data_Entry!U285/Data_Entry!$H285),0)</f>
        <v>0.84042807227602279</v>
      </c>
      <c r="Q296" s="49">
        <f>IFERROR(IF(Data_Entry!V285/Data_Entry!$H285&lt;0,0,Data_Entry!V285/Data_Entry!$H285),0)</f>
        <v>0.69086036449808652</v>
      </c>
      <c r="R296" s="49">
        <f>IFERROR(IF(Data_Entry!W285/Data_Entry!$H285&lt;0,0,Data_Entry!W285/Data_Entry!$H285),0)</f>
        <v>0.76683126368687948</v>
      </c>
      <c r="S296" s="49">
        <f>IFERROR(IF(Data_Entry!X285/Data_Entry!$H285&lt;0,0,Data_Entry!X285/Data_Entry!$H285),0)</f>
        <v>0.9615066928581617</v>
      </c>
      <c r="T296" s="49">
        <f>IFERROR(IF(Data_Entry!Y285/Data_Entry!$H285&lt;0,0,Data_Entry!Y285/Data_Entry!$H285),0)</f>
        <v>0.12107862058213888</v>
      </c>
      <c r="U296" s="49">
        <f>IFERROR(IF(Data_Entry!Z285/Data_Entry!$H285&lt;0,0,Data_Entry!Z285/Data_Entry!$H285),0)</f>
        <v>0.9615066928581617</v>
      </c>
      <c r="V296" s="49">
        <f>IFERROR(IF(Data_Entry!AA285/Data_Entry!$H285&lt;0,0,Data_Entry!AA285/Data_Entry!$H285),0)</f>
        <v>0.89503215606796771</v>
      </c>
      <c r="W296" s="49">
        <f>IFERROR(IF(Data_Entry!AB285/Data_Entry!$H285&lt;0,0,Data_Entry!AB285/Data_Entry!$H285),0)</f>
        <v>0.89028397486866817</v>
      </c>
      <c r="X296" s="49">
        <f>IFERROR(IF(Data_Entry!AC285/Data_Entry!$I285&lt;0,0,Data_Entry!AC285/Data_Entry!$I285),0)</f>
        <v>8.0784367879582958E-2</v>
      </c>
      <c r="Y296" s="49">
        <f>IFERROR(IF(Data_Entry!AD285/Data_Entry!$I285&lt;0,0,Data_Entry!AD285/Data_Entry!$I285),0)</f>
        <v>8.0784367879582958E-2</v>
      </c>
      <c r="Z296" s="49">
        <f>IFERROR(IF(Data_Entry!AE285/Data_Entry!$I285&lt;0,0,Data_Entry!AE285/Data_Entry!$I285),0)</f>
        <v>6.2141821445833037E-2</v>
      </c>
      <c r="AA296" s="49">
        <f>IFERROR(IF(Data_Entry!AF285/Data_Entry!$I285&lt;0,0,Data_Entry!AF285/Data_Entry!$I285),0)</f>
        <v>6.0070427397638605E-2</v>
      </c>
      <c r="AB296" s="49">
        <f>IFERROR(IF(Data_Entry!AG285/Data_Entry!$I285&lt;0,0,Data_Entry!AG285/Data_Entry!$I285),0)</f>
        <v>3.7285092867499821E-2</v>
      </c>
      <c r="AC296" s="49">
        <f>IFERROR(IF(Data_Entry!AI285/Data_Entry!$I285&lt;0,0,Data_Entry!AI285/Data_Entry!$I285),0)</f>
        <v>5.1784851204860864E-2</v>
      </c>
      <c r="AD296" s="49">
        <f>IFERROR(IF(Data_Entry!AM285/Data_Entry!$H285&lt;0,0,Data_Entry!AM285/Data_Entry!$H285),0)</f>
        <v>0.9615066928581617</v>
      </c>
      <c r="AE296" s="50">
        <f>Data_Entry!AK285</f>
        <v>61.213916666666705</v>
      </c>
      <c r="AF296" s="50">
        <f>Data_Entry!AL285</f>
        <v>0</v>
      </c>
      <c r="AG296" s="153">
        <f>(Data_Entry!O285-Data_Entry!Q285)/Data_Entry!O285</f>
        <v>9.4444444444444442E-2</v>
      </c>
      <c r="AH296" s="79" t="str">
        <f t="shared" si="8"/>
        <v>CAT3</v>
      </c>
      <c r="AI296" s="51">
        <f>SUBTOTAL(3,Tableau1[[#This Row],[ZS]])</f>
        <v>0</v>
      </c>
      <c r="AJ296" s="51" t="e">
        <f t="shared" ca="1" si="9"/>
        <v>#NAME?</v>
      </c>
      <c r="AK296" s="50" t="str">
        <f>IFERROR(IF((Data_Entry!O285-Data_Entry!Q285)/Data_Entry!O285&lt;=10%,"&lt;=10%","&gt;10%"),"&lt;=10%")</f>
        <v>&lt;=10%</v>
      </c>
    </row>
    <row r="297" spans="1:37" s="48" customFormat="1" ht="13" hidden="1" x14ac:dyDescent="0.3">
      <c r="A297" s="31" t="s">
        <v>16</v>
      </c>
      <c r="B297" s="48" t="str">
        <f>Data_Entry!B286</f>
        <v>Butembo</v>
      </c>
      <c r="C297" s="48" t="str">
        <f>Data_Entry!C286</f>
        <v xml:space="preserve"> Kayna</v>
      </c>
      <c r="D297" s="48" t="str">
        <f>Data_Entry!D286</f>
        <v xml:space="preserve"> Vuvogho</v>
      </c>
      <c r="E297" s="49">
        <f>IFERROR(IF(Data_Entry!J286/Data_Entry!$I286&lt;0,0,Data_Entry!J286/Data_Entry!$I286),0)</f>
        <v>0.3142309331060929</v>
      </c>
      <c r="F297" s="49">
        <f>IFERROR(IF(Data_Entry!K286/Data_Entry!$H286&lt;0,0,Data_Entry!K286/Data_Entry!$H286),0)</f>
        <v>0.50176839786937666</v>
      </c>
      <c r="G297" s="49">
        <f>IFERROR(IF(Data_Entry!L286/Data_Entry!$H286&lt;0,0,Data_Entry!L286/Data_Entry!$H286),0)</f>
        <v>0.91441491485197834</v>
      </c>
      <c r="H297" s="49">
        <f>IFERROR(IF(Data_Entry!M286/Data_Entry!$H286&lt;0,0,Data_Entry!M286/Data_Entry!$H286),0)</f>
        <v>0.84970998763281302</v>
      </c>
      <c r="I297" s="49">
        <f>IFERROR(IF(Data_Entry!N286/Data_Entry!$H286&lt;0,0,Data_Entry!N286/Data_Entry!$H286),0)</f>
        <v>0.86924355056690072</v>
      </c>
      <c r="J297" s="49">
        <f>IFERROR(IF(Data_Entry!O286/Data_Entry!$H286&lt;0,0,Data_Entry!O286/Data_Entry!$H286),0)</f>
        <v>0.76302980211279903</v>
      </c>
      <c r="K297" s="49">
        <f>IFERROR(IF(Data_Entry!P286/Data_Entry!$H286&lt;0,0,Data_Entry!P286/Data_Entry!$H286),0)</f>
        <v>0.72030013319448227</v>
      </c>
      <c r="L297" s="49">
        <f>IFERROR(IF(Data_Entry!Q286/Data_Entry!$H286&lt;0,0,Data_Entry!Q286/Data_Entry!$H286),0)</f>
        <v>0.71175419941081897</v>
      </c>
      <c r="M297" s="49">
        <f>IFERROR(IF(Data_Entry!R286/Data_Entry!$H286&lt;0,0,Data_Entry!R286/Data_Entry!$H286),0)</f>
        <v>0.83994320616576923</v>
      </c>
      <c r="N297" s="49">
        <f>IFERROR(IF(Data_Entry!S286/Data_Entry!$H286&lt;0,0,Data_Entry!S286/Data_Entry!$H286),0)</f>
        <v>0.87534778898380305</v>
      </c>
      <c r="O297" s="49">
        <f>IFERROR(IF(Data_Entry!T286/Data_Entry!$H286&lt;0,0,Data_Entry!T286/Data_Entry!$H286),0)</f>
        <v>0.8704643982502811</v>
      </c>
      <c r="P297" s="49">
        <f>IFERROR(IF(Data_Entry!U286/Data_Entry!$H286&lt;0,0,Data_Entry!U286/Data_Entry!$H286),0)</f>
        <v>0.93516932546944653</v>
      </c>
      <c r="Q297" s="49">
        <f>IFERROR(IF(Data_Entry!V286/Data_Entry!$H286&lt;0,0,Data_Entry!V286/Data_Entry!$H286),0)</f>
        <v>0.82895557701534484</v>
      </c>
      <c r="R297" s="49">
        <f>IFERROR(IF(Data_Entry!W286/Data_Entry!$H286&lt;0,0,Data_Entry!W286/Data_Entry!$H286),0)</f>
        <v>0.78256336504688673</v>
      </c>
      <c r="S297" s="49">
        <f>IFERROR(IF(Data_Entry!X286/Data_Entry!$H286&lt;0,0,Data_Entry!X286/Data_Entry!$H286),0)</f>
        <v>0.95836543145367559</v>
      </c>
      <c r="T297" s="49">
        <f>IFERROR(IF(Data_Entry!Y286/Data_Entry!$H286&lt;0,0,Data_Entry!Y286/Data_Entry!$H286),0)</f>
        <v>0.2820158148608905</v>
      </c>
      <c r="U297" s="49">
        <f>IFERROR(IF(Data_Entry!Z286/Data_Entry!$H286&lt;0,0,Data_Entry!Z286/Data_Entry!$H286),0)</f>
        <v>0.92418169631902225</v>
      </c>
      <c r="V297" s="49">
        <f>IFERROR(IF(Data_Entry!AA286/Data_Entry!$H286&lt;0,0,Data_Entry!AA286/Data_Entry!$H286),0)</f>
        <v>0.86924355056690072</v>
      </c>
      <c r="W297" s="49">
        <f>IFERROR(IF(Data_Entry!AB286/Data_Entry!$H286&lt;0,0,Data_Entry!AB286/Data_Entry!$H286),0)</f>
        <v>0.92418169631902225</v>
      </c>
      <c r="X297" s="49">
        <f>IFERROR(IF(Data_Entry!AC286/Data_Entry!$I286&lt;0,0,Data_Entry!AC286/Data_Entry!$I286),0)</f>
        <v>0.51768214742224117</v>
      </c>
      <c r="Y297" s="49">
        <f>IFERROR(IF(Data_Entry!AD286/Data_Entry!$I286&lt;0,0,Data_Entry!AD286/Data_Entry!$I286),0)</f>
        <v>0.31103536429484452</v>
      </c>
      <c r="Z297" s="49">
        <f>IFERROR(IF(Data_Entry!AE286/Data_Entry!$I286&lt;0,0,Data_Entry!AE286/Data_Entry!$I286),0)</f>
        <v>0.16403919897741798</v>
      </c>
      <c r="AA297" s="49">
        <f>IFERROR(IF(Data_Entry!AF286/Data_Entry!$I286&lt;0,0,Data_Entry!AF286/Data_Entry!$I286),0)</f>
        <v>9.0541116318704734E-2</v>
      </c>
      <c r="AB297" s="49">
        <f>IFERROR(IF(Data_Entry!AG286/Data_Entry!$I286&lt;0,0,Data_Entry!AG286/Data_Entry!$I286),0)</f>
        <v>5.9650617809970177E-2</v>
      </c>
      <c r="AC297" s="49">
        <f>IFERROR(IF(Data_Entry!AI286/Data_Entry!$I286&lt;0,0,Data_Entry!AI286/Data_Entry!$I286),0)</f>
        <v>4.4418406476352798E-2</v>
      </c>
      <c r="AD297" s="49">
        <f>IFERROR(IF(Data_Entry!AM286/Data_Entry!$H286&lt;0,0,Data_Entry!AM286/Data_Entry!$H286),0)</f>
        <v>0.92418169631902225</v>
      </c>
      <c r="AE297" s="50">
        <f>Data_Entry!AK286</f>
        <v>194.10299999999995</v>
      </c>
      <c r="AF297" s="50">
        <f>Data_Entry!AL286</f>
        <v>0</v>
      </c>
      <c r="AG297" s="153">
        <f>(Data_Entry!O286-Data_Entry!Q286)/Data_Entry!O286</f>
        <v>6.7199999999999996E-2</v>
      </c>
      <c r="AH297" s="79" t="str">
        <f t="shared" si="8"/>
        <v>CAT3</v>
      </c>
      <c r="AI297" s="51">
        <f>SUBTOTAL(3,Tableau1[[#This Row],[ZS]])</f>
        <v>0</v>
      </c>
      <c r="AJ297" s="51" t="e">
        <f t="shared" ca="1" si="9"/>
        <v>#NAME?</v>
      </c>
      <c r="AK297" s="50" t="str">
        <f>IFERROR(IF((Data_Entry!O286-Data_Entry!Q286)/Data_Entry!O286&lt;=10%,"&lt;=10%","&gt;10%"),"&lt;=10%")</f>
        <v>&lt;=10%</v>
      </c>
    </row>
    <row r="298" spans="1:37" s="48" customFormat="1" ht="13" hidden="1" x14ac:dyDescent="0.3">
      <c r="A298" s="31" t="s">
        <v>16</v>
      </c>
      <c r="B298" s="48" t="str">
        <f>Data_Entry!B287</f>
        <v>Goma</v>
      </c>
      <c r="C298" s="48" t="str">
        <f>Data_Entry!C287</f>
        <v xml:space="preserve"> Kibirizi</v>
      </c>
      <c r="D298" s="48" t="str">
        <f>Data_Entry!D287</f>
        <v xml:space="preserve"> Birundule</v>
      </c>
      <c r="E298" s="49">
        <f>IFERROR(IF(Data_Entry!J287/Data_Entry!$I287&lt;0,0,Data_Entry!J287/Data_Entry!$I287),0)</f>
        <v>0.84891946894078874</v>
      </c>
      <c r="F298" s="49">
        <f>IFERROR(IF(Data_Entry!K287/Data_Entry!$H287&lt;0,0,Data_Entry!K287/Data_Entry!$H287),0)</f>
        <v>0.27656441465669218</v>
      </c>
      <c r="G298" s="49">
        <f>IFERROR(IF(Data_Entry!L287/Data_Entry!$H287&lt;0,0,Data_Entry!L287/Data_Entry!$H287),0)</f>
        <v>0.75138886150703721</v>
      </c>
      <c r="H298" s="49">
        <f>IFERROR(IF(Data_Entry!M287/Data_Entry!$H287&lt;0,0,Data_Entry!M287/Data_Entry!$H287),0)</f>
        <v>0.59311404589025551</v>
      </c>
      <c r="I298" s="49">
        <f>IFERROR(IF(Data_Entry!N287/Data_Entry!$H287&lt;0,0,Data_Entry!N287/Data_Entry!$H287),0)</f>
        <v>0.70640549285805709</v>
      </c>
      <c r="J298" s="49">
        <f>IFERROR(IF(Data_Entry!O287/Data_Entry!$H287&lt;0,0,Data_Entry!O287/Data_Entry!$H287),0)</f>
        <v>1.1679015341827783</v>
      </c>
      <c r="K298" s="49">
        <f>IFERROR(IF(Data_Entry!P287/Data_Entry!$H287&lt;0,0,Data_Entry!P287/Data_Entry!$H287),0)</f>
        <v>0.86967846054694764</v>
      </c>
      <c r="L298" s="49">
        <f>IFERROR(IF(Data_Entry!Q287/Data_Entry!$H287&lt;0,0,Data_Entry!Q287/Data_Entry!$H287),0)</f>
        <v>1.0212890734009175</v>
      </c>
      <c r="M298" s="49">
        <f>IFERROR(IF(Data_Entry!R287/Data_Entry!$H287&lt;0,0,Data_Entry!R287/Data_Entry!$H287),0)</f>
        <v>1.0246211747823235</v>
      </c>
      <c r="N298" s="49">
        <f>IFERROR(IF(Data_Entry!S287/Data_Entry!$H287&lt;0,0,Data_Entry!S287/Data_Entry!$H287),0)</f>
        <v>0.76804936841406679</v>
      </c>
      <c r="O298" s="49">
        <f>IFERROR(IF(Data_Entry!T287/Data_Entry!$H287&lt;0,0,Data_Entry!T287/Data_Entry!$H287),0)</f>
        <v>0.88134081538186848</v>
      </c>
      <c r="P298" s="49">
        <f>IFERROR(IF(Data_Entry!U287/Data_Entry!$H287&lt;0,0,Data_Entry!U287/Data_Entry!$H287),0)</f>
        <v>0.70473944216735418</v>
      </c>
      <c r="Q298" s="49">
        <f>IFERROR(IF(Data_Entry!V287/Data_Entry!$H287&lt;0,0,Data_Entry!V287/Data_Entry!$H287),0)</f>
        <v>0.50981151135510727</v>
      </c>
      <c r="R298" s="49">
        <f>IFERROR(IF(Data_Entry!W287/Data_Entry!$H287&lt;0,0,Data_Entry!W287/Data_Entry!$H287),0)</f>
        <v>0.59811219796236437</v>
      </c>
      <c r="S298" s="49">
        <f>IFERROR(IF(Data_Entry!X287/Data_Entry!$H287&lt;0,0,Data_Entry!X287/Data_Entry!$H287),0)</f>
        <v>0.856350055021324</v>
      </c>
      <c r="T298" s="49">
        <f>IFERROR(IF(Data_Entry!Y287/Data_Entry!$H287&lt;0,0,Data_Entry!Y287/Data_Entry!$H287),0)</f>
        <v>0.17993347459592021</v>
      </c>
      <c r="U298" s="49">
        <f>IFERROR(IF(Data_Entry!Z287/Data_Entry!$H287&lt;0,0,Data_Entry!Z287/Data_Entry!$H287),0)</f>
        <v>0.48648680168526576</v>
      </c>
      <c r="V298" s="49">
        <f>IFERROR(IF(Data_Entry!AA287/Data_Entry!$H287&lt;0,0,Data_Entry!AA287/Data_Entry!$H287),0)</f>
        <v>0.72306599976508679</v>
      </c>
      <c r="W298" s="49">
        <f>IFERROR(IF(Data_Entry!AB287/Data_Entry!$H287&lt;0,0,Data_Entry!AB287/Data_Entry!$H287),0)</f>
        <v>0.55312882931338436</v>
      </c>
      <c r="X298" s="49">
        <f>IFERROR(IF(Data_Entry!AC287/Data_Entry!$I287&lt;0,0,Data_Entry!AC287/Data_Entry!$I287),0)</f>
        <v>0.65267952320961331</v>
      </c>
      <c r="Y298" s="49">
        <f>IFERROR(IF(Data_Entry!AD287/Data_Entry!$I287&lt;0,0,Data_Entry!AD287/Data_Entry!$I287),0)</f>
        <v>0.72826824304680682</v>
      </c>
      <c r="Z298" s="49">
        <f>IFERROR(IF(Data_Entry!AE287/Data_Entry!$I287&lt;0,0,Data_Entry!AE287/Data_Entry!$I287),0)</f>
        <v>0.18751817036534546</v>
      </c>
      <c r="AA298" s="49">
        <f>IFERROR(IF(Data_Entry!AF287/Data_Entry!$I287&lt;0,0,Data_Entry!AF287/Data_Entry!$I287),0)</f>
        <v>0.10030041670704525</v>
      </c>
      <c r="AB298" s="49">
        <f>IFERROR(IF(Data_Entry!AG287/Data_Entry!$I287&lt;0,0,Data_Entry!AG287/Data_Entry!$I287),0)</f>
        <v>0.10756856284523693</v>
      </c>
      <c r="AC298" s="49">
        <f>IFERROR(IF(Data_Entry!AI287/Data_Entry!$I287&lt;0,0,Data_Entry!AI287/Data_Entry!$I287),0)</f>
        <v>7.2681461381916848E-2</v>
      </c>
      <c r="AD298" s="49">
        <f>IFERROR(IF(Data_Entry!AM287/Data_Entry!$H287&lt;0,0,Data_Entry!AM287/Data_Entry!$H287),0)</f>
        <v>0.48648680168526576</v>
      </c>
      <c r="AE298" s="50">
        <f>Data_Entry!AK287</f>
        <v>0</v>
      </c>
      <c r="AF298" s="50">
        <f>Data_Entry!AL287</f>
        <v>187</v>
      </c>
      <c r="AG298" s="153">
        <f>(Data_Entry!O287-Data_Entry!Q287)/Data_Entry!O287</f>
        <v>0.12553495007132667</v>
      </c>
      <c r="AH298" s="79" t="str">
        <f t="shared" si="8"/>
        <v>CAT2</v>
      </c>
      <c r="AI298" s="51">
        <f>SUBTOTAL(3,Tableau1[[#This Row],[ZS]])</f>
        <v>0</v>
      </c>
      <c r="AJ298" s="51" t="e">
        <f t="shared" ca="1" si="9"/>
        <v>#NAME?</v>
      </c>
      <c r="AK298" s="50" t="str">
        <f>IFERROR(IF((Data_Entry!O287-Data_Entry!Q287)/Data_Entry!O287&lt;=10%,"&lt;=10%","&gt;10%"),"&lt;=10%")</f>
        <v>&gt;10%</v>
      </c>
    </row>
    <row r="299" spans="1:37" s="48" customFormat="1" ht="13" hidden="1" x14ac:dyDescent="0.3">
      <c r="A299" s="31" t="s">
        <v>16</v>
      </c>
      <c r="B299" s="48" t="str">
        <f>Data_Entry!B288</f>
        <v>Goma</v>
      </c>
      <c r="C299" s="48" t="str">
        <f>Data_Entry!C288</f>
        <v xml:space="preserve"> Kibirizi</v>
      </c>
      <c r="D299" s="48" t="str">
        <f>Data_Entry!D288</f>
        <v xml:space="preserve"> Buhondwa</v>
      </c>
      <c r="E299" s="49">
        <f>IFERROR(IF(Data_Entry!J288/Data_Entry!$I288&lt;0,0,Data_Entry!J288/Data_Entry!$I288),0)</f>
        <v>0.99435622728142325</v>
      </c>
      <c r="F299" s="49">
        <f>IFERROR(IF(Data_Entry!K288/Data_Entry!$H288&lt;0,0,Data_Entry!K288/Data_Entry!$H288),0)</f>
        <v>0.70879492255058729</v>
      </c>
      <c r="G299" s="49">
        <f>IFERROR(IF(Data_Entry!L288/Data_Entry!$H288&lt;0,0,Data_Entry!L288/Data_Entry!$H288),0)</f>
        <v>1.1791321565400721</v>
      </c>
      <c r="H299" s="49">
        <f>IFERROR(IF(Data_Entry!M288/Data_Entry!$H288&lt;0,0,Data_Entry!M288/Data_Entry!$H288),0)</f>
        <v>1.1117061894296913</v>
      </c>
      <c r="I299" s="49">
        <f>IFERROR(IF(Data_Entry!N288/Data_Entry!$H288&lt;0,0,Data_Entry!N288/Data_Entry!$H288),0)</f>
        <v>1.1265070114783116</v>
      </c>
      <c r="J299" s="49">
        <f>IFERROR(IF(Data_Entry!O288/Data_Entry!$H288&lt;0,0,Data_Entry!O288/Data_Entry!$H288),0)</f>
        <v>1.1791321565400721</v>
      </c>
      <c r="K299" s="49">
        <f>IFERROR(IF(Data_Entry!P288/Data_Entry!$H288&lt;0,0,Data_Entry!P288/Data_Entry!$H288),0)</f>
        <v>1.1117061894296913</v>
      </c>
      <c r="L299" s="49">
        <f>IFERROR(IF(Data_Entry!Q288/Data_Entry!$H288&lt;0,0,Data_Entry!Q288/Data_Entry!$H288),0)</f>
        <v>1.1265070114783116</v>
      </c>
      <c r="M299" s="49">
        <f>IFERROR(IF(Data_Entry!R288/Data_Entry!$H288&lt;0,0,Data_Entry!R288/Data_Entry!$H288),0)</f>
        <v>1.1791321565400721</v>
      </c>
      <c r="N299" s="49">
        <f>IFERROR(IF(Data_Entry!S288/Data_Entry!$H288&lt;0,0,Data_Entry!S288/Data_Entry!$H288),0)</f>
        <v>1.1117061894296913</v>
      </c>
      <c r="O299" s="49">
        <f>IFERROR(IF(Data_Entry!T288/Data_Entry!$H288&lt;0,0,Data_Entry!T288/Data_Entry!$H288),0)</f>
        <v>1.1265070114783116</v>
      </c>
      <c r="P299" s="49">
        <f>IFERROR(IF(Data_Entry!U288/Data_Entry!$H288&lt;0,0,Data_Entry!U288/Data_Entry!$H288),0)</f>
        <v>1.1774876207568921</v>
      </c>
      <c r="Q299" s="49">
        <f>IFERROR(IF(Data_Entry!V288/Data_Entry!$H288&lt;0,0,Data_Entry!V288/Data_Entry!$H288),0)</f>
        <v>1.1117061894296913</v>
      </c>
      <c r="R299" s="49">
        <f>IFERROR(IF(Data_Entry!W288/Data_Entry!$H288&lt;0,0,Data_Entry!W288/Data_Entry!$H288),0)</f>
        <v>1.0837490811156312</v>
      </c>
      <c r="S299" s="49">
        <f>IFERROR(IF(Data_Entry!X288/Data_Entry!$H288&lt;0,0,Data_Entry!X288/Data_Entry!$H288),0)</f>
        <v>1.0048113635229903</v>
      </c>
      <c r="T299" s="49">
        <f>IFERROR(IF(Data_Entry!Y288/Data_Entry!$H288&lt;0,0,Data_Entry!Y288/Data_Entry!$H288),0)</f>
        <v>1.0327684718370507</v>
      </c>
      <c r="U299" s="49">
        <f>IFERROR(IF(Data_Entry!Z288/Data_Entry!$H288&lt;0,0,Data_Entry!Z288/Data_Entry!$H288),0)</f>
        <v>1.0048113635229903</v>
      </c>
      <c r="V299" s="49">
        <f>IFERROR(IF(Data_Entry!AA288/Data_Entry!$H288&lt;0,0,Data_Entry!AA288/Data_Entry!$H288),0)</f>
        <v>1.0442802223193106</v>
      </c>
      <c r="W299" s="49">
        <f>IFERROR(IF(Data_Entry!AB288/Data_Entry!$H288&lt;0,0,Data_Entry!AB288/Data_Entry!$H288),0)</f>
        <v>1.3156286265440136</v>
      </c>
      <c r="X299" s="49">
        <f>IFERROR(IF(Data_Entry!AC288/Data_Entry!$I288&lt;0,0,Data_Entry!AC288/Data_Entry!$I288),0)</f>
        <v>0.75186531471207185</v>
      </c>
      <c r="Y299" s="49">
        <f>IFERROR(IF(Data_Entry!AD288/Data_Entry!$I288&lt;0,0,Data_Entry!AD288/Data_Entry!$I288),0)</f>
        <v>0.57824756074229955</v>
      </c>
      <c r="Z299" s="49">
        <f>IFERROR(IF(Data_Entry!AE288/Data_Entry!$I288&lt;0,0,Data_Entry!AE288/Data_Entry!$I288),0)</f>
        <v>0.75473502965372097</v>
      </c>
      <c r="AA299" s="49">
        <f>IFERROR(IF(Data_Entry!AF288/Data_Entry!$I288&lt;0,0,Data_Entry!AF288/Data_Entry!$I288),0)</f>
        <v>0.72316816529558059</v>
      </c>
      <c r="AB299" s="49">
        <f>IFERROR(IF(Data_Entry!AG288/Data_Entry!$I288&lt;0,0,Data_Entry!AG288/Data_Entry!$I288),0)</f>
        <v>0.61842356992538738</v>
      </c>
      <c r="AC299" s="49">
        <f>IFERROR(IF(Data_Entry!AI288/Data_Entry!$I288&lt;0,0,Data_Entry!AI288/Data_Entry!$I288),0)</f>
        <v>8.3652190549072108E-2</v>
      </c>
      <c r="AD299" s="49">
        <f>IFERROR(IF(Data_Entry!AM288/Data_Entry!$H288&lt;0,0,Data_Entry!AM288/Data_Entry!$H288),0)</f>
        <v>1.0048113635229903</v>
      </c>
      <c r="AE299" s="50">
        <f>Data_Entry!AK288</f>
        <v>0</v>
      </c>
      <c r="AF299" s="50">
        <f>Data_Entry!AL288</f>
        <v>106</v>
      </c>
      <c r="AG299" s="153">
        <f>(Data_Entry!O288-Data_Entry!Q288)/Data_Entry!O288</f>
        <v>4.4630404463040445E-2</v>
      </c>
      <c r="AH299" s="79" t="str">
        <f t="shared" si="8"/>
        <v>CAT1</v>
      </c>
      <c r="AI299" s="51">
        <f>SUBTOTAL(3,Tableau1[[#This Row],[ZS]])</f>
        <v>0</v>
      </c>
      <c r="AJ299" s="51" t="e">
        <f t="shared" ca="1" si="9"/>
        <v>#NAME?</v>
      </c>
      <c r="AK299" s="50" t="str">
        <f>IFERROR(IF((Data_Entry!O288-Data_Entry!Q288)/Data_Entry!O288&lt;=10%,"&lt;=10%","&gt;10%"),"&lt;=10%")</f>
        <v>&lt;=10%</v>
      </c>
    </row>
    <row r="300" spans="1:37" s="48" customFormat="1" ht="13" hidden="1" x14ac:dyDescent="0.3">
      <c r="A300" s="31" t="s">
        <v>16</v>
      </c>
      <c r="B300" s="48" t="str">
        <f>Data_Entry!B289</f>
        <v>Goma</v>
      </c>
      <c r="C300" s="48" t="str">
        <f>Data_Entry!C289</f>
        <v xml:space="preserve"> Kibirizi</v>
      </c>
      <c r="D300" s="48" t="str">
        <f>Data_Entry!D289</f>
        <v xml:space="preserve"> Bulindi</v>
      </c>
      <c r="E300" s="49">
        <f>IFERROR(IF(Data_Entry!J289/Data_Entry!$I289&lt;0,0,Data_Entry!J289/Data_Entry!$I289),0)</f>
        <v>0.45617964283609352</v>
      </c>
      <c r="F300" s="49">
        <f>IFERROR(IF(Data_Entry!K289/Data_Entry!$H289&lt;0,0,Data_Entry!K289/Data_Entry!$H289),0)</f>
        <v>0.58769061736730466</v>
      </c>
      <c r="G300" s="49">
        <f>IFERROR(IF(Data_Entry!L289/Data_Entry!$H289&lt;0,0,Data_Entry!L289/Data_Entry!$H289),0)</f>
        <v>1.0031270882648822</v>
      </c>
      <c r="H300" s="49">
        <f>IFERROR(IF(Data_Entry!M289/Data_Entry!$H289&lt;0,0,Data_Entry!M289/Data_Entry!$H289),0)</f>
        <v>0.99299449141372165</v>
      </c>
      <c r="I300" s="49">
        <f>IFERROR(IF(Data_Entry!N289/Data_Entry!$H289&lt;0,0,Data_Entry!N289/Data_Entry!$H289),0)</f>
        <v>0.95449062337931212</v>
      </c>
      <c r="J300" s="49">
        <f>IFERROR(IF(Data_Entry!O289/Data_Entry!$H289&lt;0,0,Data_Entry!O289/Data_Entry!$H289),0)</f>
        <v>1.0132596851160425</v>
      </c>
      <c r="K300" s="49">
        <f>IFERROR(IF(Data_Entry!P289/Data_Entry!$H289&lt;0,0,Data_Entry!P289/Data_Entry!$H289),0)</f>
        <v>1.0152862044862747</v>
      </c>
      <c r="L300" s="49">
        <f>IFERROR(IF(Data_Entry!Q289/Data_Entry!$H289&lt;0,0,Data_Entry!Q289/Data_Entry!$H289),0)</f>
        <v>0.97880885582209709</v>
      </c>
      <c r="M300" s="49">
        <f>IFERROR(IF(Data_Entry!R289/Data_Entry!$H289&lt;0,0,Data_Entry!R289/Data_Entry!$H289),0)</f>
        <v>1.0335248788183633</v>
      </c>
      <c r="N300" s="49">
        <f>IFERROR(IF(Data_Entry!S289/Data_Entry!$H289&lt;0,0,Data_Entry!S289/Data_Entry!$H289),0)</f>
        <v>1.025418801337435</v>
      </c>
      <c r="O300" s="49">
        <f>IFERROR(IF(Data_Entry!T289/Data_Entry!$H289&lt;0,0,Data_Entry!T289/Data_Entry!$H289),0)</f>
        <v>0.9970475301541859</v>
      </c>
      <c r="P300" s="49">
        <f>IFERROR(IF(Data_Entry!U289/Data_Entry!$H289&lt;0,0,Data_Entry!U289/Data_Entry!$H289),0)</f>
        <v>0.58363757862684051</v>
      </c>
      <c r="Q300" s="49">
        <f>IFERROR(IF(Data_Entry!V289/Data_Entry!$H289&lt;0,0,Data_Entry!V289/Data_Entry!$H289),0)</f>
        <v>0.60187625295892921</v>
      </c>
      <c r="R300" s="49">
        <f>IFERROR(IF(Data_Entry!W289/Data_Entry!$H289&lt;0,0,Data_Entry!W289/Data_Entry!$H289),0)</f>
        <v>0.57755802051614424</v>
      </c>
      <c r="S300" s="49">
        <f>IFERROR(IF(Data_Entry!X289/Data_Entry!$H289&lt;0,0,Data_Entry!X289/Data_Entry!$H289),0)</f>
        <v>0.7680508413179602</v>
      </c>
      <c r="T300" s="49">
        <f>IFERROR(IF(Data_Entry!Y289/Data_Entry!$H289&lt;0,0,Data_Entry!Y289/Data_Entry!$H289),0)</f>
        <v>0.2452088437980823</v>
      </c>
      <c r="U300" s="49">
        <f>IFERROR(IF(Data_Entry!Z289/Data_Entry!$H289&lt;0,0,Data_Entry!Z289/Data_Entry!$H289),0)</f>
        <v>0.86329725171886829</v>
      </c>
      <c r="V300" s="49">
        <f>IFERROR(IF(Data_Entry!AA289/Data_Entry!$H289&lt;0,0,Data_Entry!AA289/Data_Entry!$H289),0)</f>
        <v>0.96462322023047253</v>
      </c>
      <c r="W300" s="49">
        <f>IFERROR(IF(Data_Entry!AB289/Data_Entry!$H289&lt;0,0,Data_Entry!AB289/Data_Entry!$H289),0)</f>
        <v>0.83492598053561906</v>
      </c>
      <c r="X300" s="49">
        <f>IFERROR(IF(Data_Entry!AC289/Data_Entry!$I289&lt;0,0,Data_Entry!AC289/Data_Entry!$I289),0)</f>
        <v>0.73731360876996521</v>
      </c>
      <c r="Y300" s="49">
        <f>IFERROR(IF(Data_Entry!AD289/Data_Entry!$I289&lt;0,0,Data_Entry!AD289/Data_Entry!$I289),0)</f>
        <v>0.64360228679200793</v>
      </c>
      <c r="Z300" s="49">
        <f>IFERROR(IF(Data_Entry!AE289/Data_Entry!$I289&lt;0,0,Data_Entry!AE289/Data_Entry!$I289),0)</f>
        <v>0.22278540696646429</v>
      </c>
      <c r="AA300" s="49">
        <f>IFERROR(IF(Data_Entry!AF289/Data_Entry!$I289&lt;0,0,Data_Entry!AF289/Data_Entry!$I289),0)</f>
        <v>0.17681381505274943</v>
      </c>
      <c r="AB300" s="49">
        <f>IFERROR(IF(Data_Entry!AG289/Data_Entry!$I289&lt;0,0,Data_Entry!AG289/Data_Entry!$I289),0)</f>
        <v>0.23339423586962926</v>
      </c>
      <c r="AC300" s="49">
        <f>IFERROR(IF(Data_Entry!AI289/Data_Entry!$I289&lt;0,0,Data_Entry!AI289/Data_Entry!$I289),0)</f>
        <v>0.10308245417575292</v>
      </c>
      <c r="AD300" s="49">
        <f>IFERROR(IF(Data_Entry!AM289/Data_Entry!$H289&lt;0,0,Data_Entry!AM289/Data_Entry!$H289),0)</f>
        <v>0.7680508413179602</v>
      </c>
      <c r="AE300" s="50">
        <f>Data_Entry!AK289</f>
        <v>0</v>
      </c>
      <c r="AF300" s="50">
        <f>Data_Entry!AL289</f>
        <v>121</v>
      </c>
      <c r="AG300" s="153">
        <f>(Data_Entry!O289-Data_Entry!Q289)/Data_Entry!O289</f>
        <v>3.4000000000000002E-2</v>
      </c>
      <c r="AH300" s="79" t="str">
        <f t="shared" si="8"/>
        <v>CAT1</v>
      </c>
      <c r="AI300" s="51">
        <f>SUBTOTAL(3,Tableau1[[#This Row],[ZS]])</f>
        <v>0</v>
      </c>
      <c r="AJ300" s="51" t="e">
        <f t="shared" ca="1" si="9"/>
        <v>#NAME?</v>
      </c>
      <c r="AK300" s="50" t="str">
        <f>IFERROR(IF((Data_Entry!O289-Data_Entry!Q289)/Data_Entry!O289&lt;=10%,"&lt;=10%","&gt;10%"),"&lt;=10%")</f>
        <v>&lt;=10%</v>
      </c>
    </row>
    <row r="301" spans="1:37" s="48" customFormat="1" ht="13" hidden="1" x14ac:dyDescent="0.3">
      <c r="A301" s="31" t="s">
        <v>16</v>
      </c>
      <c r="B301" s="48" t="str">
        <f>Data_Entry!B290</f>
        <v>Goma</v>
      </c>
      <c r="C301" s="48" t="str">
        <f>Data_Entry!C290</f>
        <v xml:space="preserve"> Kibirizi</v>
      </c>
      <c r="D301" s="48" t="str">
        <f>Data_Entry!D290</f>
        <v xml:space="preserve"> Bwalanda</v>
      </c>
      <c r="E301" s="49">
        <f>IFERROR(IF(Data_Entry!J290/Data_Entry!$I290&lt;0,0,Data_Entry!J290/Data_Entry!$I290),0)</f>
        <v>1.1975344878191958</v>
      </c>
      <c r="F301" s="49">
        <f>IFERROR(IF(Data_Entry!K290/Data_Entry!$H290&lt;0,0,Data_Entry!K290/Data_Entry!$H290),0)</f>
        <v>0.84341537089671514</v>
      </c>
      <c r="G301" s="49">
        <f>IFERROR(IF(Data_Entry!L290/Data_Entry!$H290&lt;0,0,Data_Entry!L290/Data_Entry!$H290),0)</f>
        <v>1.078418286206398</v>
      </c>
      <c r="H301" s="49">
        <f>IFERROR(IF(Data_Entry!M290/Data_Entry!$H290&lt;0,0,Data_Entry!M290/Data_Entry!$H290),0)</f>
        <v>1.0553505153784537</v>
      </c>
      <c r="I301" s="49">
        <f>IFERROR(IF(Data_Entry!N290/Data_Entry!$H290&lt;0,0,Data_Entry!N290/Data_Entry!$H290),0)</f>
        <v>1.0668844007924259</v>
      </c>
      <c r="J301" s="49">
        <f>IFERROR(IF(Data_Entry!O290/Data_Entry!$H290&lt;0,0,Data_Entry!O290/Data_Entry!$H290),0)</f>
        <v>1.078418286206398</v>
      </c>
      <c r="K301" s="49">
        <f>IFERROR(IF(Data_Entry!P290/Data_Entry!$H290&lt;0,0,Data_Entry!P290/Data_Entry!$H290),0)</f>
        <v>1.0524670440249608</v>
      </c>
      <c r="L301" s="49">
        <f>IFERROR(IF(Data_Entry!Q290/Data_Entry!$H290&lt;0,0,Data_Entry!Q290/Data_Entry!$H290),0)</f>
        <v>1.0683261364691725</v>
      </c>
      <c r="M301" s="49">
        <f>IFERROR(IF(Data_Entry!R290/Data_Entry!$H290&lt;0,0,Data_Entry!R290/Data_Entry!$H290),0)</f>
        <v>1.078418286206398</v>
      </c>
      <c r="N301" s="49">
        <f>IFERROR(IF(Data_Entry!S290/Data_Entry!$H290&lt;0,0,Data_Entry!S290/Data_Entry!$H290),0)</f>
        <v>1.0553505153784537</v>
      </c>
      <c r="O301" s="49">
        <f>IFERROR(IF(Data_Entry!T290/Data_Entry!$H290&lt;0,0,Data_Entry!T290/Data_Entry!$H290),0)</f>
        <v>1.0683261364691725</v>
      </c>
      <c r="P301" s="49">
        <f>IFERROR(IF(Data_Entry!U290/Data_Entry!$H290&lt;0,0,Data_Entry!U290/Data_Entry!$H290),0)</f>
        <v>0.89820132661308294</v>
      </c>
      <c r="Q301" s="49">
        <f>IFERROR(IF(Data_Entry!V290/Data_Entry!$H290&lt;0,0,Data_Entry!V290/Data_Entry!$H290),0)</f>
        <v>0.97172984612715552</v>
      </c>
      <c r="R301" s="49">
        <f>IFERROR(IF(Data_Entry!W290/Data_Entry!$H290&lt;0,0,Data_Entry!W290/Data_Entry!$H290),0)</f>
        <v>0.75979470164541685</v>
      </c>
      <c r="S301" s="49">
        <f>IFERROR(IF(Data_Entry!X290/Data_Entry!$H290&lt;0,0,Data_Entry!X290/Data_Entry!$H290),0)</f>
        <v>1.0913939072971168</v>
      </c>
      <c r="T301" s="49">
        <f>IFERROR(IF(Data_Entry!Y290/Data_Entry!$H290&lt;0,0,Data_Entry!Y290/Data_Entry!$H290),0)</f>
        <v>0.78142073679661472</v>
      </c>
      <c r="U301" s="49">
        <f>IFERROR(IF(Data_Entry!Z290/Data_Entry!$H290&lt;0,0,Data_Entry!Z290/Data_Entry!$H290),0)</f>
        <v>1.0135401807528046</v>
      </c>
      <c r="V301" s="49">
        <f>IFERROR(IF(Data_Entry!AA290/Data_Entry!$H290&lt;0,0,Data_Entry!AA290/Data_Entry!$H290),0)</f>
        <v>1.0683261364691725</v>
      </c>
      <c r="W301" s="49">
        <f>IFERROR(IF(Data_Entry!AB290/Data_Entry!$H290&lt;0,0,Data_Entry!AB290/Data_Entry!$H290),0)</f>
        <v>1.0913939072971168</v>
      </c>
      <c r="X301" s="49">
        <f>IFERROR(IF(Data_Entry!AC290/Data_Entry!$I290&lt;0,0,Data_Entry!AC290/Data_Entry!$I290),0)</f>
        <v>0.65285756216193547</v>
      </c>
      <c r="Y301" s="49">
        <f>IFERROR(IF(Data_Entry!AD290/Data_Entry!$I290&lt;0,0,Data_Entry!AD290/Data_Entry!$I290),0)</f>
        <v>0.67424210658727823</v>
      </c>
      <c r="Z301" s="49">
        <f>IFERROR(IF(Data_Entry!AE290/Data_Entry!$I290&lt;0,0,Data_Entry!AE290/Data_Entry!$I290),0)</f>
        <v>0.67550002096523964</v>
      </c>
      <c r="AA301" s="49">
        <f>IFERROR(IF(Data_Entry!AF290/Data_Entry!$I290&lt;0,0,Data_Entry!AF290/Data_Entry!$I290),0)</f>
        <v>0.65034173340601276</v>
      </c>
      <c r="AB301" s="49">
        <f>IFERROR(IF(Data_Entry!AG290/Data_Entry!$I290&lt;0,0,Data_Entry!AG290/Data_Entry!$I290),0)</f>
        <v>0.67046836345339422</v>
      </c>
      <c r="AC301" s="49">
        <f>IFERROR(IF(Data_Entry!AI290/Data_Entry!$I290&lt;0,0,Data_Entry!AI290/Data_Entry!$I290),0)</f>
        <v>7.3336408235146117E-2</v>
      </c>
      <c r="AD301" s="49">
        <f>IFERROR(IF(Data_Entry!AM290/Data_Entry!$H290&lt;0,0,Data_Entry!AM290/Data_Entry!$H290),0)</f>
        <v>1.0135401807528046</v>
      </c>
      <c r="AE301" s="50">
        <f>Data_Entry!AK290</f>
        <v>0</v>
      </c>
      <c r="AF301" s="50">
        <f>Data_Entry!AL290</f>
        <v>0</v>
      </c>
      <c r="AG301" s="153">
        <f>(Data_Entry!O290-Data_Entry!Q290)/Data_Entry!O290</f>
        <v>9.3582887700534752E-3</v>
      </c>
      <c r="AH301" s="79" t="str">
        <f t="shared" si="8"/>
        <v>CAT1</v>
      </c>
      <c r="AI301" s="51">
        <f>SUBTOTAL(3,Tableau1[[#This Row],[ZS]])</f>
        <v>0</v>
      </c>
      <c r="AJ301" s="51" t="e">
        <f t="shared" ca="1" si="9"/>
        <v>#NAME?</v>
      </c>
      <c r="AK301" s="50" t="str">
        <f>IFERROR(IF((Data_Entry!O290-Data_Entry!Q290)/Data_Entry!O290&lt;=10%,"&lt;=10%","&gt;10%"),"&lt;=10%")</f>
        <v>&lt;=10%</v>
      </c>
    </row>
    <row r="302" spans="1:37" s="48" customFormat="1" ht="13" hidden="1" x14ac:dyDescent="0.3">
      <c r="A302" s="31" t="s">
        <v>16</v>
      </c>
      <c r="B302" s="48" t="str">
        <f>Data_Entry!B291</f>
        <v>Goma</v>
      </c>
      <c r="C302" s="48" t="str">
        <f>Data_Entry!C291</f>
        <v xml:space="preserve"> Kibirizi</v>
      </c>
      <c r="D302" s="48" t="str">
        <f>Data_Entry!D291</f>
        <v xml:space="preserve"> CBCA Kibirizi</v>
      </c>
      <c r="E302" s="49">
        <f>IFERROR(IF(Data_Entry!J291/Data_Entry!$I291&lt;0,0,Data_Entry!J291/Data_Entry!$I291),0)</f>
        <v>0.42226730915546534</v>
      </c>
      <c r="F302" s="49">
        <f>IFERROR(IF(Data_Entry!K291/Data_Entry!$H291&lt;0,0,Data_Entry!K291/Data_Entry!$H291),0)</f>
        <v>0.30084869853870372</v>
      </c>
      <c r="G302" s="49">
        <f>IFERROR(IF(Data_Entry!L291/Data_Entry!$H291&lt;0,0,Data_Entry!L291/Data_Entry!$H291),0)</f>
        <v>0.80226319610320984</v>
      </c>
      <c r="H302" s="49">
        <f>IFERROR(IF(Data_Entry!M291/Data_Entry!$H291&lt;0,0,Data_Entry!M291/Data_Entry!$H291),0)</f>
        <v>0.77610243970853998</v>
      </c>
      <c r="I302" s="49">
        <f>IFERROR(IF(Data_Entry!N291/Data_Entry!$H291&lt;0,0,Data_Entry!N291/Data_Entry!$H291),0)</f>
        <v>0.763022061511205</v>
      </c>
      <c r="J302" s="49">
        <f>IFERROR(IF(Data_Entry!O291/Data_Entry!$H291&lt;0,0,Data_Entry!O291/Data_Entry!$H291),0)</f>
        <v>0.83714420462943639</v>
      </c>
      <c r="K302" s="49">
        <f>IFERROR(IF(Data_Entry!P291/Data_Entry!$H291&lt;0,0,Data_Entry!P291/Data_Entry!$H291),0)</f>
        <v>0.78482269184009668</v>
      </c>
      <c r="L302" s="49">
        <f>IFERROR(IF(Data_Entry!Q291/Data_Entry!$H291&lt;0,0,Data_Entry!Q291/Data_Entry!$H291),0)</f>
        <v>0.78046256577431827</v>
      </c>
      <c r="M302" s="49">
        <f>IFERROR(IF(Data_Entry!R291/Data_Entry!$H291&lt;0,0,Data_Entry!R291/Data_Entry!$H291),0)</f>
        <v>0.80226319610320984</v>
      </c>
      <c r="N302" s="49">
        <f>IFERROR(IF(Data_Entry!S291/Data_Entry!$H291&lt;0,0,Data_Entry!S291/Data_Entry!$H291),0)</f>
        <v>0.78918281790587497</v>
      </c>
      <c r="O302" s="49">
        <f>IFERROR(IF(Data_Entry!T291/Data_Entry!$H291&lt;0,0,Data_Entry!T291/Data_Entry!$H291),0)</f>
        <v>0.77174231364276169</v>
      </c>
      <c r="P302" s="49">
        <f>IFERROR(IF(Data_Entry!U291/Data_Entry!$H291&lt;0,0,Data_Entry!U291/Data_Entry!$H291),0)</f>
        <v>0.693260044458752</v>
      </c>
      <c r="Q302" s="49">
        <f>IFERROR(IF(Data_Entry!V291/Data_Entry!$H291&lt;0,0,Data_Entry!V291/Data_Entry!$H291),0)</f>
        <v>0.66709928806408214</v>
      </c>
      <c r="R302" s="49">
        <f>IFERROR(IF(Data_Entry!W291/Data_Entry!$H291&lt;0,0,Data_Entry!W291/Data_Entry!$H291),0)</f>
        <v>0.66273916199830385</v>
      </c>
      <c r="S302" s="49">
        <f>IFERROR(IF(Data_Entry!X291/Data_Entry!$H291&lt;0,0,Data_Entry!X291/Data_Entry!$H291),0)</f>
        <v>0.64529865773519057</v>
      </c>
      <c r="T302" s="49">
        <f>IFERROR(IF(Data_Entry!Y291/Data_Entry!$H291&lt;0,0,Data_Entry!Y291/Data_Entry!$H291),0)</f>
        <v>0.38805121985426999</v>
      </c>
      <c r="U302" s="49">
        <f>IFERROR(IF(Data_Entry!Z291/Data_Entry!$H291&lt;0,0,Data_Entry!Z291/Data_Entry!$H291),0)</f>
        <v>0.49269424543294954</v>
      </c>
      <c r="V302" s="49">
        <f>IFERROR(IF(Data_Entry!AA291/Data_Entry!$H291&lt;0,0,Data_Entry!AA291/Data_Entry!$H291),0)</f>
        <v>0.78046256577431827</v>
      </c>
      <c r="W302" s="49">
        <f>IFERROR(IF(Data_Entry!AB291/Data_Entry!$H291&lt;0,0,Data_Entry!AB291/Data_Entry!$H291),0)</f>
        <v>0.29212844640714708</v>
      </c>
      <c r="X302" s="49">
        <f>IFERROR(IF(Data_Entry!AC291/Data_Entry!$I291&lt;0,0,Data_Entry!AC291/Data_Entry!$I291),0)</f>
        <v>0.48313466903373065</v>
      </c>
      <c r="Y302" s="49">
        <f>IFERROR(IF(Data_Entry!AD291/Data_Entry!$I291&lt;0,0,Data_Entry!AD291/Data_Entry!$I291),0)</f>
        <v>0.39944204920111587</v>
      </c>
      <c r="Z302" s="49">
        <f>IFERROR(IF(Data_Entry!AE291/Data_Entry!$I291&lt;0,0,Data_Entry!AE291/Data_Entry!$I291),0)</f>
        <v>2.2825259954349478E-2</v>
      </c>
      <c r="AA302" s="49">
        <f>IFERROR(IF(Data_Entry!AF291/Data_Entry!$I291&lt;0,0,Data_Entry!AF291/Data_Entry!$I291),0)</f>
        <v>1.1412629977174739E-2</v>
      </c>
      <c r="AB302" s="49">
        <f>IFERROR(IF(Data_Entry!AG291/Data_Entry!$I291&lt;0,0,Data_Entry!AG291/Data_Entry!$I291),0)</f>
        <v>0</v>
      </c>
      <c r="AC302" s="49">
        <f>IFERROR(IF(Data_Entry!AI291/Data_Entry!$I291&lt;0,0,Data_Entry!AI291/Data_Entry!$I291),0)</f>
        <v>0.2217854425564291</v>
      </c>
      <c r="AD302" s="49">
        <f>IFERROR(IF(Data_Entry!AM291/Data_Entry!$H291&lt;0,0,Data_Entry!AM291/Data_Entry!$H291),0)</f>
        <v>0.49269424543294954</v>
      </c>
      <c r="AE302" s="50">
        <f>Data_Entry!AK291</f>
        <v>37.3511666666667</v>
      </c>
      <c r="AF302" s="50">
        <f>Data_Entry!AL291</f>
        <v>44</v>
      </c>
      <c r="AG302" s="153">
        <f>(Data_Entry!O291-Data_Entry!Q291)/Data_Entry!O291</f>
        <v>6.7708333333333329E-2</v>
      </c>
      <c r="AH302" s="79" t="str">
        <f t="shared" si="8"/>
        <v>CAT3</v>
      </c>
      <c r="AI302" s="51">
        <f>SUBTOTAL(3,Tableau1[[#This Row],[ZS]])</f>
        <v>0</v>
      </c>
      <c r="AJ302" s="51" t="e">
        <f t="shared" ca="1" si="9"/>
        <v>#NAME?</v>
      </c>
      <c r="AK302" s="50" t="str">
        <f>IFERROR(IF((Data_Entry!O291-Data_Entry!Q291)/Data_Entry!O291&lt;=10%,"&lt;=10%","&gt;10%"),"&lt;=10%")</f>
        <v>&lt;=10%</v>
      </c>
    </row>
    <row r="303" spans="1:37" s="48" customFormat="1" ht="13" hidden="1" x14ac:dyDescent="0.3">
      <c r="A303" s="31" t="s">
        <v>16</v>
      </c>
      <c r="B303" s="48" t="str">
        <f>Data_Entry!B292</f>
        <v>Goma</v>
      </c>
      <c r="C303" s="48" t="str">
        <f>Data_Entry!C292</f>
        <v xml:space="preserve"> Kibirizi</v>
      </c>
      <c r="D303" s="48" t="str">
        <f>Data_Entry!D292</f>
        <v xml:space="preserve"> Cepromi</v>
      </c>
      <c r="E303" s="49">
        <f>IFERROR(IF(Data_Entry!J292/Data_Entry!$I292&lt;0,0,Data_Entry!J292/Data_Entry!$I292),0)</f>
        <v>0.84583736689254596</v>
      </c>
      <c r="F303" s="49">
        <f>IFERROR(IF(Data_Entry!K292/Data_Entry!$H292&lt;0,0,Data_Entry!K292/Data_Entry!$H292),0)</f>
        <v>0.50066987132368235</v>
      </c>
      <c r="G303" s="49">
        <f>IFERROR(IF(Data_Entry!L292/Data_Entry!$H292&lt;0,0,Data_Entry!L292/Data_Entry!$H292),0)</f>
        <v>0.89870935351176218</v>
      </c>
      <c r="H303" s="49">
        <f>IFERROR(IF(Data_Entry!M292/Data_Entry!$H292&lt;0,0,Data_Entry!M292/Data_Entry!$H292),0)</f>
        <v>0.85571554184684762</v>
      </c>
      <c r="I303" s="49">
        <f>IFERROR(IF(Data_Entry!N292/Data_Entry!$H292&lt;0,0,Data_Entry!N292/Data_Entry!$H292),0)</f>
        <v>0.87651899910406428</v>
      </c>
      <c r="J303" s="49">
        <f>IFERROR(IF(Data_Entry!O292/Data_Entry!$H292&lt;0,0,Data_Entry!O292/Data_Entry!$H292),0)</f>
        <v>0.77804930141990514</v>
      </c>
      <c r="K303" s="49">
        <f>IFERROR(IF(Data_Entry!P292/Data_Entry!$H292&lt;0,0,Data_Entry!P292/Data_Entry!$H292),0)</f>
        <v>0.74753756410932071</v>
      </c>
      <c r="L303" s="49">
        <f>IFERROR(IF(Data_Entry!Q292/Data_Entry!$H292&lt;0,0,Data_Entry!Q292/Data_Entry!$H292),0)</f>
        <v>0.76695412421605624</v>
      </c>
      <c r="M303" s="49">
        <f>IFERROR(IF(Data_Entry!R292/Data_Entry!$H292&lt;0,0,Data_Entry!R292/Data_Entry!$H292),0)</f>
        <v>0.8890010734583943</v>
      </c>
      <c r="N303" s="49">
        <f>IFERROR(IF(Data_Entry!S292/Data_Entry!$H292&lt;0,0,Data_Entry!S292/Data_Entry!$H292),0)</f>
        <v>0.85710243899732874</v>
      </c>
      <c r="O303" s="49">
        <f>IFERROR(IF(Data_Entry!T292/Data_Entry!$H292&lt;0,0,Data_Entry!T292/Data_Entry!$H292),0)</f>
        <v>0.87929279340502653</v>
      </c>
      <c r="P303" s="49">
        <f>IFERROR(IF(Data_Entry!U292/Data_Entry!$H292&lt;0,0,Data_Entry!U292/Data_Entry!$H292),0)</f>
        <v>0.47431882546454113</v>
      </c>
      <c r="Q303" s="49">
        <f>IFERROR(IF(Data_Entry!V292/Data_Entry!$H292&lt;0,0,Data_Entry!V292/Data_Entry!$H292),0)</f>
        <v>0.45490226535780554</v>
      </c>
      <c r="R303" s="49">
        <f>IFERROR(IF(Data_Entry!W292/Data_Entry!$H292&lt;0,0,Data_Entry!W292/Data_Entry!$H292),0)</f>
        <v>0.46322364826069223</v>
      </c>
      <c r="S303" s="49">
        <f>IFERROR(IF(Data_Entry!X292/Data_Entry!$H292&lt;0,0,Data_Entry!X292/Data_Entry!$H292),0)</f>
        <v>0.96944110818629903</v>
      </c>
      <c r="T303" s="49">
        <f>IFERROR(IF(Data_Entry!Y292/Data_Entry!$H292&lt;0,0,Data_Entry!Y292/Data_Entry!$H292),0)</f>
        <v>0.76972791851701849</v>
      </c>
      <c r="U303" s="49">
        <f>IFERROR(IF(Data_Entry!Z292/Data_Entry!$H292&lt;0,0,Data_Entry!Z292/Data_Entry!$H292),0)</f>
        <v>0.76279343276461298</v>
      </c>
      <c r="V303" s="49">
        <f>IFERROR(IF(Data_Entry!AA292/Data_Entry!$H292&lt;0,0,Data_Entry!AA292/Data_Entry!$H292),0)</f>
        <v>0.87651899910406428</v>
      </c>
      <c r="W303" s="49">
        <f>IFERROR(IF(Data_Entry!AB292/Data_Entry!$H292&lt;0,0,Data_Entry!AB292/Data_Entry!$H292),0)</f>
        <v>0.77943619857038626</v>
      </c>
      <c r="X303" s="49">
        <f>IFERROR(IF(Data_Entry!AC292/Data_Entry!$I292&lt;0,0,Data_Entry!AC292/Data_Entry!$I292),0)</f>
        <v>0.32792836398838338</v>
      </c>
      <c r="Y303" s="49">
        <f>IFERROR(IF(Data_Entry!AD292/Data_Entry!$I292&lt;0,0,Data_Entry!AD292/Data_Entry!$I292),0)</f>
        <v>0.26016456921587611</v>
      </c>
      <c r="Z303" s="49">
        <f>IFERROR(IF(Data_Entry!AE292/Data_Entry!$I292&lt;0,0,Data_Entry!AE292/Data_Entry!$I292),0)</f>
        <v>0.8059051306873185</v>
      </c>
      <c r="AA303" s="49">
        <f>IFERROR(IF(Data_Entry!AF292/Data_Entry!$I292&lt;0,0,Data_Entry!AF292/Data_Entry!$I292),0)</f>
        <v>0.14883833494675702</v>
      </c>
      <c r="AB303" s="49">
        <f>IFERROR(IF(Data_Entry!AG292/Data_Entry!$I292&lt;0,0,Data_Entry!AG292/Data_Entry!$I292),0)</f>
        <v>1.0781703775411424</v>
      </c>
      <c r="AC303" s="49">
        <f>IFERROR(IF(Data_Entry!AI292/Data_Entry!$I292&lt;0,0,Data_Entry!AI292/Data_Entry!$I292),0)</f>
        <v>7.0546950629235231E-2</v>
      </c>
      <c r="AD303" s="49">
        <f>IFERROR(IF(Data_Entry!AM292/Data_Entry!$H292&lt;0,0,Data_Entry!AM292/Data_Entry!$H292),0)</f>
        <v>0.76279343276461298</v>
      </c>
      <c r="AE303" s="50">
        <f>Data_Entry!AK292</f>
        <v>160.03400000000011</v>
      </c>
      <c r="AF303" s="50">
        <f>Data_Entry!AL292</f>
        <v>0</v>
      </c>
      <c r="AG303" s="153">
        <f>(Data_Entry!O292-Data_Entry!Q292)/Data_Entry!O292</f>
        <v>1.4260249554367201E-2</v>
      </c>
      <c r="AH303" s="79" t="str">
        <f t="shared" si="8"/>
        <v>CAT3</v>
      </c>
      <c r="AI303" s="51">
        <f>SUBTOTAL(3,Tableau1[[#This Row],[ZS]])</f>
        <v>0</v>
      </c>
      <c r="AJ303" s="51" t="e">
        <f t="shared" ca="1" si="9"/>
        <v>#NAME?</v>
      </c>
      <c r="AK303" s="50" t="str">
        <f>IFERROR(IF((Data_Entry!O292-Data_Entry!Q292)/Data_Entry!O292&lt;=10%,"&lt;=10%","&gt;10%"),"&lt;=10%")</f>
        <v>&lt;=10%</v>
      </c>
    </row>
    <row r="304" spans="1:37" s="48" customFormat="1" ht="13" hidden="1" x14ac:dyDescent="0.3">
      <c r="A304" s="31" t="s">
        <v>16</v>
      </c>
      <c r="B304" s="48" t="str">
        <f>Data_Entry!B293</f>
        <v>Goma</v>
      </c>
      <c r="C304" s="48" t="str">
        <f>Data_Entry!C293</f>
        <v xml:space="preserve"> Kibirizi</v>
      </c>
      <c r="D304" s="48" t="str">
        <f>Data_Entry!D293</f>
        <v xml:space="preserve"> Ibuga</v>
      </c>
      <c r="E304" s="49">
        <f>IFERROR(IF(Data_Entry!J293/Data_Entry!$I293&lt;0,0,Data_Entry!J293/Data_Entry!$I293),0)</f>
        <v>0.85116351710135885</v>
      </c>
      <c r="F304" s="49">
        <f>IFERROR(IF(Data_Entry!K293/Data_Entry!$H293&lt;0,0,Data_Entry!K293/Data_Entry!$H293),0)</f>
        <v>0.8627760894673745</v>
      </c>
      <c r="G304" s="49">
        <f>IFERROR(IF(Data_Entry!L293/Data_Entry!$H293&lt;0,0,Data_Entry!L293/Data_Entry!$H293),0)</f>
        <v>0.9272157973943983</v>
      </c>
      <c r="H304" s="49">
        <f>IFERROR(IF(Data_Entry!M293/Data_Entry!$H293&lt;0,0,Data_Entry!M293/Data_Entry!$H293),0)</f>
        <v>0.87888601644913045</v>
      </c>
      <c r="I304" s="49">
        <f>IFERROR(IF(Data_Entry!N293/Data_Entry!$H293&lt;0,0,Data_Entry!N293/Data_Entry!$H293),0)</f>
        <v>0.89141595965716292</v>
      </c>
      <c r="J304" s="49">
        <f>IFERROR(IF(Data_Entry!O293/Data_Entry!$H293&lt;0,0,Data_Entry!O293/Data_Entry!$H293),0)</f>
        <v>1.3979836636390446</v>
      </c>
      <c r="K304" s="49">
        <f>IFERROR(IF(Data_Entry!P293/Data_Entry!$H293&lt;0,0,Data_Entry!P293/Data_Entry!$H293),0)</f>
        <v>0.98807552154769862</v>
      </c>
      <c r="L304" s="49">
        <f>IFERROR(IF(Data_Entry!Q293/Data_Entry!$H293&lt;0,0,Data_Entry!Q293/Data_Entry!$H293),0)</f>
        <v>0.9290057892812601</v>
      </c>
      <c r="M304" s="49">
        <f>IFERROR(IF(Data_Entry!R293/Data_Entry!$H293&lt;0,0,Data_Entry!R293/Data_Entry!$H293),0)</f>
        <v>1.0328253187192429</v>
      </c>
      <c r="N304" s="49">
        <f>IFERROR(IF(Data_Entry!S293/Data_Entry!$H293&lt;0,0,Data_Entry!S293/Data_Entry!$H293),0)</f>
        <v>0.99881547286886929</v>
      </c>
      <c r="O304" s="49">
        <f>IFERROR(IF(Data_Entry!T293/Data_Entry!$H293&lt;0,0,Data_Entry!T293/Data_Entry!$H293),0)</f>
        <v>1.0059754404163164</v>
      </c>
      <c r="P304" s="49">
        <f>IFERROR(IF(Data_Entry!U293/Data_Entry!$H293&lt;0,0,Data_Entry!U293/Data_Entry!$H293),0)</f>
        <v>0.9290057892812601</v>
      </c>
      <c r="Q304" s="49">
        <f>IFERROR(IF(Data_Entry!V293/Data_Entry!$H293&lt;0,0,Data_Entry!V293/Data_Entry!$H293),0)</f>
        <v>0.89857592720460999</v>
      </c>
      <c r="R304" s="49">
        <f>IFERROR(IF(Data_Entry!W293/Data_Entry!$H293&lt;0,0,Data_Entry!W293/Data_Entry!$H293),0)</f>
        <v>0.88425599210971584</v>
      </c>
      <c r="S304" s="49">
        <f>IFERROR(IF(Data_Entry!X293/Data_Entry!$H293&lt;0,0,Data_Entry!X293/Data_Entry!$H293),0)</f>
        <v>0.98628552966083682</v>
      </c>
      <c r="T304" s="49">
        <f>IFERROR(IF(Data_Entry!Y293/Data_Entry!$H293&lt;0,0,Data_Entry!Y293/Data_Entry!$H293),0)</f>
        <v>0.70704679531040027</v>
      </c>
      <c r="U304" s="49">
        <f>IFERROR(IF(Data_Entry!Z293/Data_Entry!$H293&lt;0,0,Data_Entry!Z293/Data_Entry!$H293),0)</f>
        <v>0.78222645455859474</v>
      </c>
      <c r="V304" s="49">
        <f>IFERROR(IF(Data_Entry!AA293/Data_Entry!$H293&lt;0,0,Data_Entry!AA293/Data_Entry!$H293),0)</f>
        <v>0.9952354890951457</v>
      </c>
      <c r="W304" s="49">
        <f>IFERROR(IF(Data_Entry!AB293/Data_Entry!$H293&lt;0,0,Data_Entry!AB293/Data_Entry!$H293),0)</f>
        <v>0.58174736323007614</v>
      </c>
      <c r="X304" s="49">
        <f>IFERROR(IF(Data_Entry!AC293/Data_Entry!$I293&lt;0,0,Data_Entry!AC293/Data_Entry!$I293),0)</f>
        <v>0.53100109323754496</v>
      </c>
      <c r="Y304" s="49">
        <f>IFERROR(IF(Data_Entry!AD293/Data_Entry!$I293&lt;0,0,Data_Entry!AD293/Data_Entry!$I293),0)</f>
        <v>0.31703888802124008</v>
      </c>
      <c r="Z304" s="49">
        <f>IFERROR(IF(Data_Entry!AE293/Data_Entry!$I293&lt;0,0,Data_Entry!AE293/Data_Entry!$I293),0)</f>
        <v>0.19522099016086211</v>
      </c>
      <c r="AA304" s="49">
        <f>IFERROR(IF(Data_Entry!AF293/Data_Entry!$I293&lt;0,0,Data_Entry!AF293/Data_Entry!$I293),0)</f>
        <v>0.12962673746681244</v>
      </c>
      <c r="AB304" s="49">
        <f>IFERROR(IF(Data_Entry!AG293/Data_Entry!$I293&lt;0,0,Data_Entry!AG293/Data_Entry!$I293),0)</f>
        <v>4.6853037638606909E-3</v>
      </c>
      <c r="AC304" s="49">
        <f>IFERROR(IF(Data_Entry!AI293/Data_Entry!$I293&lt;0,0,Data_Entry!AI293/Data_Entry!$I293),0)</f>
        <v>9.1051069811026078E-2</v>
      </c>
      <c r="AD304" s="49">
        <f>IFERROR(IF(Data_Entry!AM293/Data_Entry!$H293&lt;0,0,Data_Entry!AM293/Data_Entry!$H293),0)</f>
        <v>0.78222645455859474</v>
      </c>
      <c r="AE304" s="50">
        <f>Data_Entry!AK293</f>
        <v>0</v>
      </c>
      <c r="AF304" s="50">
        <f>Data_Entry!AL293</f>
        <v>230</v>
      </c>
      <c r="AG304" s="153">
        <f>(Data_Entry!O293-Data_Entry!Q293)/Data_Entry!O293</f>
        <v>0.33546734955185659</v>
      </c>
      <c r="AH304" s="79" t="str">
        <f t="shared" si="8"/>
        <v>CAT2</v>
      </c>
      <c r="AI304" s="51">
        <f>SUBTOTAL(3,Tableau1[[#This Row],[ZS]])</f>
        <v>0</v>
      </c>
      <c r="AJ304" s="51" t="e">
        <f t="shared" ca="1" si="9"/>
        <v>#NAME?</v>
      </c>
      <c r="AK304" s="50" t="str">
        <f>IFERROR(IF((Data_Entry!O293-Data_Entry!Q293)/Data_Entry!O293&lt;=10%,"&lt;=10%","&gt;10%"),"&lt;=10%")</f>
        <v>&gt;10%</v>
      </c>
    </row>
    <row r="305" spans="1:37" s="48" customFormat="1" ht="13" hidden="1" x14ac:dyDescent="0.3">
      <c r="A305" s="31" t="s">
        <v>16</v>
      </c>
      <c r="B305" s="48" t="str">
        <f>Data_Entry!B294</f>
        <v>Goma</v>
      </c>
      <c r="C305" s="48" t="str">
        <f>Data_Entry!C294</f>
        <v xml:space="preserve"> Kibirizi</v>
      </c>
      <c r="D305" s="48" t="str">
        <f>Data_Entry!D294</f>
        <v xml:space="preserve"> Kabati</v>
      </c>
      <c r="E305" s="49">
        <f>IFERROR(IF(Data_Entry!J294/Data_Entry!$I294&lt;0,0,Data_Entry!J294/Data_Entry!$I294),0)</f>
        <v>1.0236989982897631</v>
      </c>
      <c r="F305" s="49">
        <f>IFERROR(IF(Data_Entry!K294/Data_Entry!$H294&lt;0,0,Data_Entry!K294/Data_Entry!$H294),0)</f>
        <v>1.1760942051458323</v>
      </c>
      <c r="G305" s="49">
        <f>IFERROR(IF(Data_Entry!L294/Data_Entry!$H294&lt;0,0,Data_Entry!L294/Data_Entry!$H294),0)</f>
        <v>1.0612850089292154</v>
      </c>
      <c r="H305" s="49">
        <f>IFERROR(IF(Data_Entry!M294/Data_Entry!$H294&lt;0,0,Data_Entry!M294/Data_Entry!$H294),0)</f>
        <v>0.98287872858615988</v>
      </c>
      <c r="I305" s="49">
        <f>IFERROR(IF(Data_Entry!N294/Data_Entry!$H294&lt;0,0,Data_Entry!N294/Data_Entry!$H294),0)</f>
        <v>1.0136811958637888</v>
      </c>
      <c r="J305" s="49">
        <f>IFERROR(IF(Data_Entry!O294/Data_Entry!$H294&lt;0,0,Data_Entry!O294/Data_Entry!$H294),0)</f>
        <v>1.0584847846312491</v>
      </c>
      <c r="K305" s="49">
        <f>IFERROR(IF(Data_Entry!P294/Data_Entry!$H294&lt;0,0,Data_Entry!P294/Data_Entry!$H294),0)</f>
        <v>1.00528052296989</v>
      </c>
      <c r="L305" s="49">
        <f>IFERROR(IF(Data_Entry!Q294/Data_Entry!$H294&lt;0,0,Data_Entry!Q294/Data_Entry!$H294),0)</f>
        <v>1.0108809715658225</v>
      </c>
      <c r="M305" s="49">
        <f>IFERROR(IF(Data_Entry!R294/Data_Entry!$H294&lt;0,0,Data_Entry!R294/Data_Entry!$H294),0)</f>
        <v>1.0584847846312491</v>
      </c>
      <c r="N305" s="49">
        <f>IFERROR(IF(Data_Entry!S294/Data_Entry!$H294&lt;0,0,Data_Entry!S294/Data_Entry!$H294),0)</f>
        <v>1.00528052296989</v>
      </c>
      <c r="O305" s="49">
        <f>IFERROR(IF(Data_Entry!T294/Data_Entry!$H294&lt;0,0,Data_Entry!T294/Data_Entry!$H294),0)</f>
        <v>1.0080807472678563</v>
      </c>
      <c r="P305" s="49">
        <f>IFERROR(IF(Data_Entry!U294/Data_Entry!$H294&lt;0,0,Data_Entry!U294/Data_Entry!$H294),0)</f>
        <v>1.0612850089292154</v>
      </c>
      <c r="Q305" s="49">
        <f>IFERROR(IF(Data_Entry!V294/Data_Entry!$H294&lt;0,0,Data_Entry!V294/Data_Entry!$H294),0)</f>
        <v>0.99968007437395745</v>
      </c>
      <c r="R305" s="49">
        <f>IFERROR(IF(Data_Entry!W294/Data_Entry!$H294&lt;0,0,Data_Entry!W294/Data_Entry!$H294),0)</f>
        <v>1.0136811958637888</v>
      </c>
      <c r="S305" s="49">
        <f>IFERROR(IF(Data_Entry!X294/Data_Entry!$H294&lt;0,0,Data_Entry!X294/Data_Entry!$H294),0)</f>
        <v>1.02768231735362</v>
      </c>
      <c r="T305" s="49">
        <f>IFERROR(IF(Data_Entry!Y294/Data_Entry!$H294&lt;0,0,Data_Entry!Y294/Data_Entry!$H294),0)</f>
        <v>0.70565652308749938</v>
      </c>
      <c r="U305" s="49">
        <f>IFERROR(IF(Data_Entry!Z294/Data_Entry!$H294&lt;0,0,Data_Entry!Z294/Data_Entry!$H294),0)</f>
        <v>1.02768231735362</v>
      </c>
      <c r="V305" s="49">
        <f>IFERROR(IF(Data_Entry!AA294/Data_Entry!$H294&lt;0,0,Data_Entry!AA294/Data_Entry!$H294),0)</f>
        <v>1.0136811958637888</v>
      </c>
      <c r="W305" s="49">
        <f>IFERROR(IF(Data_Entry!AB294/Data_Entry!$H294&lt;0,0,Data_Entry!AB294/Data_Entry!$H294),0)</f>
        <v>0.9856789528841261</v>
      </c>
      <c r="X305" s="49">
        <f>IFERROR(IF(Data_Entry!AC294/Data_Entry!$I294&lt;0,0,Data_Entry!AC294/Data_Entry!$I294),0)</f>
        <v>1.0334717810896652</v>
      </c>
      <c r="Y305" s="49">
        <f>IFERROR(IF(Data_Entry!AD294/Data_Entry!$I294&lt;0,0,Data_Entry!AD294/Data_Entry!$I294),0)</f>
        <v>0.99926704129000732</v>
      </c>
      <c r="Z305" s="49">
        <f>IFERROR(IF(Data_Entry!AE294/Data_Entry!$I294&lt;0,0,Data_Entry!AE294/Data_Entry!$I294),0)</f>
        <v>0.18079648179819202</v>
      </c>
      <c r="AA305" s="49">
        <f>IFERROR(IF(Data_Entry!AF294/Data_Entry!$I294&lt;0,0,Data_Entry!AF294/Data_Entry!$I294),0)</f>
        <v>0.3200586366967994</v>
      </c>
      <c r="AB305" s="49">
        <f>IFERROR(IF(Data_Entry!AG294/Data_Entry!$I294&lt;0,0,Data_Entry!AG294/Data_Entry!$I294),0)</f>
        <v>0.25409235279745906</v>
      </c>
      <c r="AC305" s="49">
        <f>IFERROR(IF(Data_Entry!AI294/Data_Entry!$I294&lt;0,0,Data_Entry!AI294/Data_Entry!$I294),0)</f>
        <v>0.14243830930857559</v>
      </c>
      <c r="AD305" s="49">
        <f>IFERROR(IF(Data_Entry!AM294/Data_Entry!$H294&lt;0,0,Data_Entry!AM294/Data_Entry!$H294),0)</f>
        <v>1.02768231735362</v>
      </c>
      <c r="AE305" s="50">
        <f>Data_Entry!AK294</f>
        <v>0</v>
      </c>
      <c r="AF305" s="50">
        <f>Data_Entry!AL294</f>
        <v>11</v>
      </c>
      <c r="AG305" s="153">
        <f>(Data_Entry!O294-Data_Entry!Q294)/Data_Entry!O294</f>
        <v>4.4973544973544971E-2</v>
      </c>
      <c r="AH305" s="79" t="str">
        <f t="shared" si="8"/>
        <v>CAT1</v>
      </c>
      <c r="AI305" s="51">
        <f>SUBTOTAL(3,Tableau1[[#This Row],[ZS]])</f>
        <v>0</v>
      </c>
      <c r="AJ305" s="51" t="e">
        <f t="shared" ca="1" si="9"/>
        <v>#NAME?</v>
      </c>
      <c r="AK305" s="50" t="str">
        <f>IFERROR(IF((Data_Entry!O294-Data_Entry!Q294)/Data_Entry!O294&lt;=10%,"&lt;=10%","&gt;10%"),"&lt;=10%")</f>
        <v>&lt;=10%</v>
      </c>
    </row>
    <row r="306" spans="1:37" s="48" customFormat="1" ht="13" hidden="1" x14ac:dyDescent="0.3">
      <c r="A306" s="31" t="s">
        <v>16</v>
      </c>
      <c r="B306" s="48" t="str">
        <f>Data_Entry!B295</f>
        <v>Goma</v>
      </c>
      <c r="C306" s="48" t="str">
        <f>Data_Entry!C295</f>
        <v xml:space="preserve"> Kibirizi</v>
      </c>
      <c r="D306" s="48" t="str">
        <f>Data_Entry!D295</f>
        <v xml:space="preserve"> Kalonge</v>
      </c>
      <c r="E306" s="49">
        <f>IFERROR(IF(Data_Entry!J295/Data_Entry!$I295&lt;0,0,Data_Entry!J295/Data_Entry!$I295),0)</f>
        <v>1.6935483870967742</v>
      </c>
      <c r="F306" s="49">
        <f>IFERROR(IF(Data_Entry!K295/Data_Entry!$H295&lt;0,0,Data_Entry!K295/Data_Entry!$H295),0)</f>
        <v>1.8963812877846724</v>
      </c>
      <c r="G306" s="49">
        <f>IFERROR(IF(Data_Entry!L295/Data_Entry!$H295&lt;0,0,Data_Entry!L295/Data_Entry!$H295),0)</f>
        <v>1.2055063204876542</v>
      </c>
      <c r="H306" s="49">
        <f>IFERROR(IF(Data_Entry!M295/Data_Entry!$H295&lt;0,0,Data_Entry!M295/Data_Entry!$H295),0)</f>
        <v>1.1138596411523354</v>
      </c>
      <c r="I306" s="49">
        <f>IFERROR(IF(Data_Entry!N295/Data_Entry!$H295&lt;0,0,Data_Entry!N295/Data_Entry!$H295),0)</f>
        <v>1.1420586194093567</v>
      </c>
      <c r="J306" s="49">
        <f>IFERROR(IF(Data_Entry!O295/Data_Entry!$H295&lt;0,0,Data_Entry!O295/Data_Entry!$H295),0)</f>
        <v>1.2055063204876542</v>
      </c>
      <c r="K306" s="49">
        <f>IFERROR(IF(Data_Entry!P295/Data_Entry!$H295&lt;0,0,Data_Entry!P295/Data_Entry!$H295),0)</f>
        <v>1.1138596411523354</v>
      </c>
      <c r="L306" s="49">
        <f>IFERROR(IF(Data_Entry!Q295/Data_Entry!$H295&lt;0,0,Data_Entry!Q295/Data_Entry!$H295),0)</f>
        <v>1.1420586194093567</v>
      </c>
      <c r="M306" s="49">
        <f>IFERROR(IF(Data_Entry!R295/Data_Entry!$H295&lt;0,0,Data_Entry!R295/Data_Entry!$H295),0)</f>
        <v>1.2055063204876542</v>
      </c>
      <c r="N306" s="49">
        <f>IFERROR(IF(Data_Entry!S295/Data_Entry!$H295&lt;0,0,Data_Entry!S295/Data_Entry!$H295),0)</f>
        <v>1.1138596411523354</v>
      </c>
      <c r="O306" s="49">
        <f>IFERROR(IF(Data_Entry!T295/Data_Entry!$H295&lt;0,0,Data_Entry!T295/Data_Entry!$H295),0)</f>
        <v>1.1350088748451013</v>
      </c>
      <c r="P306" s="49">
        <f>IFERROR(IF(Data_Entry!U295/Data_Entry!$H295&lt;0,0,Data_Entry!U295/Data_Entry!$H295),0)</f>
        <v>1.2055063204876542</v>
      </c>
      <c r="Q306" s="49">
        <f>IFERROR(IF(Data_Entry!V295/Data_Entry!$H295&lt;0,0,Data_Entry!V295/Data_Entry!$H295),0)</f>
        <v>1.1138596411523354</v>
      </c>
      <c r="R306" s="49">
        <f>IFERROR(IF(Data_Entry!W295/Data_Entry!$H295&lt;0,0,Data_Entry!W295/Data_Entry!$H295),0)</f>
        <v>1.1420586194093567</v>
      </c>
      <c r="S306" s="49">
        <f>IFERROR(IF(Data_Entry!X295/Data_Entry!$H295&lt;0,0,Data_Entry!X295/Data_Entry!$H295),0)</f>
        <v>1.4287482316890716</v>
      </c>
      <c r="T306" s="49">
        <f>IFERROR(IF(Data_Entry!Y295/Data_Entry!$H295&lt;0,0,Data_Entry!Y295/Data_Entry!$H295),0)</f>
        <v>0.46998297095035252</v>
      </c>
      <c r="U306" s="49">
        <f>IFERROR(IF(Data_Entry!Z295/Data_Entry!$H295&lt;0,0,Data_Entry!Z295/Data_Entry!$H295),0)</f>
        <v>1.3394514672085047</v>
      </c>
      <c r="V306" s="49">
        <f>IFERROR(IF(Data_Entry!AA295/Data_Entry!$H295&lt;0,0,Data_Entry!AA295/Data_Entry!$H295),0)</f>
        <v>1.1420586194093567</v>
      </c>
      <c r="W306" s="49">
        <f>IFERROR(IF(Data_Entry!AB295/Data_Entry!$H295&lt;0,0,Data_Entry!AB295/Data_Entry!$H295),0)</f>
        <v>0.87886815567715926</v>
      </c>
      <c r="X306" s="49">
        <f>IFERROR(IF(Data_Entry!AC295/Data_Entry!$I295&lt;0,0,Data_Entry!AC295/Data_Entry!$I295),0)</f>
        <v>0.47156916347730998</v>
      </c>
      <c r="Y306" s="49">
        <f>IFERROR(IF(Data_Entry!AD295/Data_Entry!$I295&lt;0,0,Data_Entry!AD295/Data_Entry!$I295),0)</f>
        <v>0.57203389830508478</v>
      </c>
      <c r="Z306" s="49">
        <f>IFERROR(IF(Data_Entry!AE295/Data_Entry!$I295&lt;0,0,Data_Entry!AE295/Data_Entry!$I295),0)</f>
        <v>0.88983050847457623</v>
      </c>
      <c r="AA306" s="49">
        <f>IFERROR(IF(Data_Entry!AF295/Data_Entry!$I295&lt;0,0,Data_Entry!AF295/Data_Entry!$I295),0)</f>
        <v>0.32189721159103335</v>
      </c>
      <c r="AB306" s="49">
        <f>IFERROR(IF(Data_Entry!AG295/Data_Entry!$I295&lt;0,0,Data_Entry!AG295/Data_Entry!$I295),0)</f>
        <v>0.25013668671405137</v>
      </c>
      <c r="AC306" s="49">
        <f>IFERROR(IF(Data_Entry!AI295/Data_Entry!$I295&lt;0,0,Data_Entry!AI295/Data_Entry!$I295),0)</f>
        <v>0.11953253143794422</v>
      </c>
      <c r="AD306" s="49">
        <f>IFERROR(IF(Data_Entry!AM295/Data_Entry!$H295&lt;0,0,Data_Entry!AM295/Data_Entry!$H295),0)</f>
        <v>1.3394514672085047</v>
      </c>
      <c r="AE306" s="50">
        <f>Data_Entry!AK295</f>
        <v>0</v>
      </c>
      <c r="AF306" s="50">
        <f>Data_Entry!AL295</f>
        <v>0</v>
      </c>
      <c r="AG306" s="153">
        <f>(Data_Entry!O295-Data_Entry!Q295)/Data_Entry!O295</f>
        <v>5.2631578947368418E-2</v>
      </c>
      <c r="AH306" s="79" t="str">
        <f t="shared" si="8"/>
        <v>CAT1</v>
      </c>
      <c r="AI306" s="51">
        <f>SUBTOTAL(3,Tableau1[[#This Row],[ZS]])</f>
        <v>0</v>
      </c>
      <c r="AJ306" s="51" t="e">
        <f t="shared" ca="1" si="9"/>
        <v>#NAME?</v>
      </c>
      <c r="AK306" s="50" t="str">
        <f>IFERROR(IF((Data_Entry!O295-Data_Entry!Q295)/Data_Entry!O295&lt;=10%,"&lt;=10%","&gt;10%"),"&lt;=10%")</f>
        <v>&lt;=10%</v>
      </c>
    </row>
    <row r="307" spans="1:37" s="48" customFormat="1" ht="13" hidden="1" x14ac:dyDescent="0.3">
      <c r="A307" s="31" t="s">
        <v>16</v>
      </c>
      <c r="B307" s="48" t="str">
        <f>Data_Entry!B296</f>
        <v>Goma</v>
      </c>
      <c r="C307" s="48" t="str">
        <f>Data_Entry!C296</f>
        <v xml:space="preserve"> Kibirizi</v>
      </c>
      <c r="D307" s="48" t="str">
        <f>Data_Entry!D296</f>
        <v xml:space="preserve"> Kashalira</v>
      </c>
      <c r="E307" s="49">
        <f>IFERROR(IF(Data_Entry!J296/Data_Entry!$I296&lt;0,0,Data_Entry!J296/Data_Entry!$I296),0)</f>
        <v>1.0215689171221747</v>
      </c>
      <c r="F307" s="49">
        <f>IFERROR(IF(Data_Entry!K296/Data_Entry!$H296&lt;0,0,Data_Entry!K296/Data_Entry!$H296),0)</f>
        <v>0.99052608364188499</v>
      </c>
      <c r="G307" s="49">
        <f>IFERROR(IF(Data_Entry!L296/Data_Entry!$H296&lt;0,0,Data_Entry!L296/Data_Entry!$H296),0)</f>
        <v>1.0210038092924045</v>
      </c>
      <c r="H307" s="49">
        <f>IFERROR(IF(Data_Entry!M296/Data_Entry!$H296&lt;0,0,Data_Entry!M296/Data_Entry!$H296),0)</f>
        <v>1.018463998821528</v>
      </c>
      <c r="I307" s="49">
        <f>IFERROR(IF(Data_Entry!N296/Data_Entry!$H296&lt;0,0,Data_Entry!N296/Data_Entry!$H296),0)</f>
        <v>1.0159241883506513</v>
      </c>
      <c r="J307" s="49">
        <f>IFERROR(IF(Data_Entry!O296/Data_Entry!$H296&lt;0,0,Data_Entry!O296/Data_Entry!$H296),0)</f>
        <v>1.0210038092924045</v>
      </c>
      <c r="K307" s="49">
        <f>IFERROR(IF(Data_Entry!P296/Data_Entry!$H296&lt;0,0,Data_Entry!P296/Data_Entry!$H296),0)</f>
        <v>1.018463998821528</v>
      </c>
      <c r="L307" s="49">
        <f>IFERROR(IF(Data_Entry!Q296/Data_Entry!$H296&lt;0,0,Data_Entry!Q296/Data_Entry!$H296),0)</f>
        <v>1.0159241883506513</v>
      </c>
      <c r="M307" s="49">
        <f>IFERROR(IF(Data_Entry!R296/Data_Entry!$H296&lt;0,0,Data_Entry!R296/Data_Entry!$H296),0)</f>
        <v>1.0210038092924045</v>
      </c>
      <c r="N307" s="49">
        <f>IFERROR(IF(Data_Entry!S296/Data_Entry!$H296&lt;0,0,Data_Entry!S296/Data_Entry!$H296),0)</f>
        <v>1.018463998821528</v>
      </c>
      <c r="O307" s="49">
        <f>IFERROR(IF(Data_Entry!T296/Data_Entry!$H296&lt;0,0,Data_Entry!T296/Data_Entry!$H296),0)</f>
        <v>1.0159241883506513</v>
      </c>
      <c r="P307" s="49">
        <f>IFERROR(IF(Data_Entry!U296/Data_Entry!$H296&lt;0,0,Data_Entry!U296/Data_Entry!$H296),0)</f>
        <v>1.0210038092924045</v>
      </c>
      <c r="Q307" s="49">
        <f>IFERROR(IF(Data_Entry!V296/Data_Entry!$H296&lt;0,0,Data_Entry!V296/Data_Entry!$H296),0)</f>
        <v>1.0210038092924045</v>
      </c>
      <c r="R307" s="49">
        <f>IFERROR(IF(Data_Entry!W296/Data_Entry!$H296&lt;0,0,Data_Entry!W296/Data_Entry!$H296),0)</f>
        <v>1.0159241883506513</v>
      </c>
      <c r="S307" s="49">
        <f>IFERROR(IF(Data_Entry!X296/Data_Entry!$H296&lt;0,0,Data_Entry!X296/Data_Entry!$H296),0)</f>
        <v>1.0514815349429241</v>
      </c>
      <c r="T307" s="49">
        <f>IFERROR(IF(Data_Entry!Y296/Data_Entry!$H296&lt;0,0,Data_Entry!Y296/Data_Entry!$H296),0)</f>
        <v>1.038782482588541</v>
      </c>
      <c r="U307" s="49">
        <f>IFERROR(IF(Data_Entry!Z296/Data_Entry!$H296&lt;0,0,Data_Entry!Z296/Data_Entry!$H296),0)</f>
        <v>1.0692602082390605</v>
      </c>
      <c r="V307" s="49">
        <f>IFERROR(IF(Data_Entry!AA296/Data_Entry!$H296&lt;0,0,Data_Entry!AA296/Data_Entry!$H296),0)</f>
        <v>1.0159241883506513</v>
      </c>
      <c r="W307" s="49">
        <f>IFERROR(IF(Data_Entry!AB296/Data_Entry!$H296&lt;0,0,Data_Entry!AB296/Data_Entry!$H296),0)</f>
        <v>0.97274741034574863</v>
      </c>
      <c r="X307" s="49">
        <f>IFERROR(IF(Data_Entry!AC296/Data_Entry!$I296&lt;0,0,Data_Entry!AC296/Data_Entry!$I296),0)</f>
        <v>0.99276111685625645</v>
      </c>
      <c r="Y307" s="49">
        <f>IFERROR(IF(Data_Entry!AD296/Data_Entry!$I296&lt;0,0,Data_Entry!AD296/Data_Entry!$I296),0)</f>
        <v>0.65593145220859805</v>
      </c>
      <c r="Z307" s="49">
        <f>IFERROR(IF(Data_Entry!AE296/Data_Entry!$I296&lt;0,0,Data_Entry!AE296/Data_Entry!$I296),0)</f>
        <v>0.9816811936770572</v>
      </c>
      <c r="AA307" s="49">
        <f>IFERROR(IF(Data_Entry!AF296/Data_Entry!$I296&lt;0,0,Data_Entry!AF296/Data_Entry!$I296),0)</f>
        <v>1.1833357955384842</v>
      </c>
      <c r="AB307" s="49">
        <f>IFERROR(IF(Data_Entry!AG296/Data_Entry!$I296&lt;0,0,Data_Entry!AG296/Data_Entry!$I296),0)</f>
        <v>0.96616930122617817</v>
      </c>
      <c r="AC307" s="49">
        <f>IFERROR(IF(Data_Entry!AI296/Data_Entry!$I296&lt;0,0,Data_Entry!AI296/Data_Entry!$I296),0)</f>
        <v>0.12919190426946373</v>
      </c>
      <c r="AD307" s="49">
        <f>IFERROR(IF(Data_Entry!AM296/Data_Entry!$H296&lt;0,0,Data_Entry!AM296/Data_Entry!$H296),0)</f>
        <v>1.0514815349429241</v>
      </c>
      <c r="AE307" s="50">
        <f>Data_Entry!AK296</f>
        <v>0</v>
      </c>
      <c r="AF307" s="50">
        <f>Data_Entry!AL296</f>
        <v>0</v>
      </c>
      <c r="AG307" s="153">
        <f>(Data_Entry!O296-Data_Entry!Q296)/Data_Entry!O296</f>
        <v>4.9751243781094526E-3</v>
      </c>
      <c r="AH307" s="79" t="str">
        <f t="shared" si="8"/>
        <v>CAT1</v>
      </c>
      <c r="AI307" s="51">
        <f>SUBTOTAL(3,Tableau1[[#This Row],[ZS]])</f>
        <v>0</v>
      </c>
      <c r="AJ307" s="51" t="e">
        <f t="shared" ca="1" si="9"/>
        <v>#NAME?</v>
      </c>
      <c r="AK307" s="50" t="str">
        <f>IFERROR(IF((Data_Entry!O296-Data_Entry!Q296)/Data_Entry!O296&lt;=10%,"&lt;=10%","&gt;10%"),"&lt;=10%")</f>
        <v>&lt;=10%</v>
      </c>
    </row>
    <row r="308" spans="1:37" s="48" customFormat="1" ht="13" hidden="1" x14ac:dyDescent="0.3">
      <c r="A308" s="31" t="s">
        <v>16</v>
      </c>
      <c r="B308" s="48" t="str">
        <f>Data_Entry!B297</f>
        <v>Goma</v>
      </c>
      <c r="C308" s="48" t="str">
        <f>Data_Entry!C297</f>
        <v xml:space="preserve"> Kibirizi</v>
      </c>
      <c r="D308" s="48" t="str">
        <f>Data_Entry!D297</f>
        <v xml:space="preserve"> Kasoko</v>
      </c>
      <c r="E308" s="49">
        <f>IFERROR(IF(Data_Entry!J297/Data_Entry!$I297&lt;0,0,Data_Entry!J297/Data_Entry!$I297),0)</f>
        <v>0.91041666666666665</v>
      </c>
      <c r="F308" s="49">
        <f>IFERROR(IF(Data_Entry!K297/Data_Entry!$H297&lt;0,0,Data_Entry!K297/Data_Entry!$H297),0)</f>
        <v>0.41308500477554916</v>
      </c>
      <c r="G308" s="49">
        <f>IFERROR(IF(Data_Entry!L297/Data_Entry!$H297&lt;0,0,Data_Entry!L297/Data_Entry!$H297),0)</f>
        <v>0.90257879656160456</v>
      </c>
      <c r="H308" s="49">
        <f>IFERROR(IF(Data_Entry!M297/Data_Entry!$H297&lt;0,0,Data_Entry!M297/Data_Entry!$H297),0)</f>
        <v>0.85243553008595985</v>
      </c>
      <c r="I308" s="49">
        <f>IFERROR(IF(Data_Entry!N297/Data_Entry!$H297&lt;0,0,Data_Entry!N297/Data_Entry!$H297),0)</f>
        <v>0.83572110792741161</v>
      </c>
      <c r="J308" s="49">
        <f>IFERROR(IF(Data_Entry!O297/Data_Entry!$H297&lt;0,0,Data_Entry!O297/Data_Entry!$H297),0)</f>
        <v>0.98376313276026739</v>
      </c>
      <c r="K308" s="49">
        <f>IFERROR(IF(Data_Entry!P297/Data_Entry!$H297&lt;0,0,Data_Entry!P297/Data_Entry!$H297),0)</f>
        <v>0.92884431709646609</v>
      </c>
      <c r="L308" s="49">
        <f>IFERROR(IF(Data_Entry!Q297/Data_Entry!$H297&lt;0,0,Data_Entry!Q297/Data_Entry!$H297),0)</f>
        <v>1.0219675262655206</v>
      </c>
      <c r="M308" s="49">
        <f>IFERROR(IF(Data_Entry!R297/Data_Entry!$H297&lt;0,0,Data_Entry!R297/Data_Entry!$H297),0)</f>
        <v>1.0840496657115568</v>
      </c>
      <c r="N308" s="49">
        <f>IFERROR(IF(Data_Entry!S297/Data_Entry!$H297&lt;0,0,Data_Entry!S297/Data_Entry!$H297),0)</f>
        <v>1.0243553008595989</v>
      </c>
      <c r="O308" s="49">
        <f>IFERROR(IF(Data_Entry!T297/Data_Entry!$H297&lt;0,0,Data_Entry!T297/Data_Entry!$H297),0)</f>
        <v>1.0195797516714422</v>
      </c>
      <c r="P308" s="49">
        <f>IFERROR(IF(Data_Entry!U297/Data_Entry!$H297&lt;0,0,Data_Entry!U297/Data_Entry!$H297),0)</f>
        <v>1.0744985673352436</v>
      </c>
      <c r="Q308" s="49">
        <f>IFERROR(IF(Data_Entry!V297/Data_Entry!$H297&lt;0,0,Data_Entry!V297/Data_Entry!$H297),0)</f>
        <v>1.0291308500477554</v>
      </c>
      <c r="R308" s="49">
        <f>IFERROR(IF(Data_Entry!W297/Data_Entry!$H297&lt;0,0,Data_Entry!W297/Data_Entry!$H297),0)</f>
        <v>1.0171919770773639</v>
      </c>
      <c r="S308" s="49">
        <f>IFERROR(IF(Data_Entry!X297/Data_Entry!$H297&lt;0,0,Data_Entry!X297/Data_Entry!$H297),0)</f>
        <v>0.9145176695319962</v>
      </c>
      <c r="T308" s="49">
        <f>IFERROR(IF(Data_Entry!Y297/Data_Entry!$H297&lt;0,0,Data_Entry!Y297/Data_Entry!$H297),0)</f>
        <v>0.4274116523400191</v>
      </c>
      <c r="U308" s="49">
        <f>IFERROR(IF(Data_Entry!Z297/Data_Entry!$H297&lt;0,0,Data_Entry!Z297/Data_Entry!$H297),0)</f>
        <v>0.82139446036294173</v>
      </c>
      <c r="V308" s="49">
        <f>IFERROR(IF(Data_Entry!AA297/Data_Entry!$H297&lt;0,0,Data_Entry!AA297/Data_Entry!$H297),0)</f>
        <v>1.0052531041069723</v>
      </c>
      <c r="W308" s="49">
        <f>IFERROR(IF(Data_Entry!AB297/Data_Entry!$H297&lt;0,0,Data_Entry!AB297/Data_Entry!$H297),0)</f>
        <v>0.82378223495702008</v>
      </c>
      <c r="X308" s="49">
        <f>IFERROR(IF(Data_Entry!AC297/Data_Entry!$I297&lt;0,0,Data_Entry!AC297/Data_Entry!$I297),0)</f>
        <v>0.90208333333333335</v>
      </c>
      <c r="Y308" s="49">
        <f>IFERROR(IF(Data_Entry!AD297/Data_Entry!$I297&lt;0,0,Data_Entry!AD297/Data_Entry!$I297),0)</f>
        <v>0.7895833333333333</v>
      </c>
      <c r="Z308" s="49">
        <f>IFERROR(IF(Data_Entry!AE297/Data_Entry!$I297&lt;0,0,Data_Entry!AE297/Data_Entry!$I297),0)</f>
        <v>0.82708333333333328</v>
      </c>
      <c r="AA308" s="49">
        <f>IFERROR(IF(Data_Entry!AF297/Data_Entry!$I297&lt;0,0,Data_Entry!AF297/Data_Entry!$I297),0)</f>
        <v>0.54791666666666672</v>
      </c>
      <c r="AB308" s="49">
        <f>IFERROR(IF(Data_Entry!AG297/Data_Entry!$I297&lt;0,0,Data_Entry!AG297/Data_Entry!$I297),0)</f>
        <v>0.32708333333333334</v>
      </c>
      <c r="AC308" s="49">
        <f>IFERROR(IF(Data_Entry!AI297/Data_Entry!$I297&lt;0,0,Data_Entry!AI297/Data_Entry!$I297),0)</f>
        <v>0.12145833333333332</v>
      </c>
      <c r="AD308" s="49">
        <f>IFERROR(IF(Data_Entry!AM297/Data_Entry!$H297&lt;0,0,Data_Entry!AM297/Data_Entry!$H297),0)</f>
        <v>0.82139446036294173</v>
      </c>
      <c r="AE308" s="50">
        <f>Data_Entry!AK297</f>
        <v>6.8000000000000114</v>
      </c>
      <c r="AF308" s="50">
        <f>Data_Entry!AL297</f>
        <v>29</v>
      </c>
      <c r="AG308" s="153">
        <f>(Data_Entry!O297-Data_Entry!Q297)/Data_Entry!O297</f>
        <v>-3.8834951456310676E-2</v>
      </c>
      <c r="AH308" s="79" t="str">
        <f t="shared" si="8"/>
        <v>CAT1</v>
      </c>
      <c r="AI308" s="51">
        <f>SUBTOTAL(3,Tableau1[[#This Row],[ZS]])</f>
        <v>0</v>
      </c>
      <c r="AJ308" s="51" t="e">
        <f t="shared" ca="1" si="9"/>
        <v>#NAME?</v>
      </c>
      <c r="AK308" s="50" t="str">
        <f>IFERROR(IF((Data_Entry!O297-Data_Entry!Q297)/Data_Entry!O297&lt;=10%,"&lt;=10%","&gt;10%"),"&lt;=10%")</f>
        <v>&lt;=10%</v>
      </c>
    </row>
    <row r="309" spans="1:37" s="48" customFormat="1" ht="13" hidden="1" x14ac:dyDescent="0.3">
      <c r="A309" s="31" t="s">
        <v>16</v>
      </c>
      <c r="B309" s="48" t="str">
        <f>Data_Entry!B298</f>
        <v>Goma</v>
      </c>
      <c r="C309" s="48" t="str">
        <f>Data_Entry!C298</f>
        <v xml:space="preserve"> Kibirizi</v>
      </c>
      <c r="D309" s="48" t="str">
        <f>Data_Entry!D298</f>
        <v xml:space="preserve"> Kibingo</v>
      </c>
      <c r="E309" s="49">
        <f>IFERROR(IF(Data_Entry!J298/Data_Entry!$I298&lt;0,0,Data_Entry!J298/Data_Entry!$I298),0)</f>
        <v>1.0938834504960251</v>
      </c>
      <c r="F309" s="49">
        <f>IFERROR(IF(Data_Entry!K298/Data_Entry!$H298&lt;0,0,Data_Entry!K298/Data_Entry!$H298),0)</f>
        <v>0.38854478119789637</v>
      </c>
      <c r="G309" s="49">
        <f>IFERROR(IF(Data_Entry!L298/Data_Entry!$H298&lt;0,0,Data_Entry!L298/Data_Entry!$H298),0)</f>
        <v>1.1520804558774833</v>
      </c>
      <c r="H309" s="49">
        <f>IFERROR(IF(Data_Entry!M298/Data_Entry!$H298&lt;0,0,Data_Entry!M298/Data_Entry!$H298),0)</f>
        <v>1.2469576698909233</v>
      </c>
      <c r="I309" s="49">
        <f>IFERROR(IF(Data_Entry!N298/Data_Entry!$H298&lt;0,0,Data_Entry!N298/Data_Entry!$H298),0)</f>
        <v>1.2085549880283404</v>
      </c>
      <c r="J309" s="49">
        <f>IFERROR(IF(Data_Entry!O298/Data_Entry!$H298&lt;0,0,Data_Entry!O298/Data_Entry!$H298),0)</f>
        <v>1.2153319318864433</v>
      </c>
      <c r="K309" s="49">
        <f>IFERROR(IF(Data_Entry!P298/Data_Entry!$H298&lt;0,0,Data_Entry!P298/Data_Entry!$H298),0)</f>
        <v>1.2424397073188547</v>
      </c>
      <c r="L309" s="49">
        <f>IFERROR(IF(Data_Entry!Q298/Data_Entry!$H298&lt;0,0,Data_Entry!Q298/Data_Entry!$H298),0)</f>
        <v>1.0707571295802494</v>
      </c>
      <c r="M309" s="49">
        <f>IFERROR(IF(Data_Entry!R298/Data_Entry!$H298&lt;0,0,Data_Entry!R298/Data_Entry!$H298),0)</f>
        <v>1.5135174616429685</v>
      </c>
      <c r="N309" s="49">
        <f>IFERROR(IF(Data_Entry!S298/Data_Entry!$H298&lt;0,0,Data_Entry!S298/Data_Entry!$H298),0)</f>
        <v>1.0368724102897351</v>
      </c>
      <c r="O309" s="49">
        <f>IFERROR(IF(Data_Entry!T298/Data_Entry!$H298&lt;0,0,Data_Entry!T298/Data_Entry!$H298),0)</f>
        <v>1.2288858196026491</v>
      </c>
      <c r="P309" s="49">
        <f>IFERROR(IF(Data_Entry!U298/Data_Entry!$H298&lt;0,0,Data_Entry!U298/Data_Entry!$H298),0)</f>
        <v>1.4254171914876315</v>
      </c>
      <c r="Q309" s="49">
        <f>IFERROR(IF(Data_Entry!V298/Data_Entry!$H298&lt;0,0,Data_Entry!V298/Data_Entry!$H298),0)</f>
        <v>1.3553887716205688</v>
      </c>
      <c r="R309" s="49">
        <f>IFERROR(IF(Data_Entry!W298/Data_Entry!$H298&lt;0,0,Data_Entry!W298/Data_Entry!$H298),0)</f>
        <v>1.3486118277624659</v>
      </c>
      <c r="S309" s="49">
        <f>IFERROR(IF(Data_Entry!X298/Data_Entry!$H298&lt;0,0,Data_Entry!X298/Data_Entry!$H298),0)</f>
        <v>1.373460621908843</v>
      </c>
      <c r="T309" s="49">
        <f>IFERROR(IF(Data_Entry!Y298/Data_Entry!$H298&lt;0,0,Data_Entry!Y298/Data_Entry!$H298),0)</f>
        <v>1.2943962768976431</v>
      </c>
      <c r="U309" s="49">
        <f>IFERROR(IF(Data_Entry!Z298/Data_Entry!$H298&lt;0,0,Data_Entry!Z298/Data_Entry!$H298),0)</f>
        <v>1.2718064640373004</v>
      </c>
      <c r="V309" s="49">
        <f>IFERROR(IF(Data_Entry!AA298/Data_Entry!$H298&lt;0,0,Data_Entry!AA298/Data_Entry!$H298),0)</f>
        <v>1.1701523061657577</v>
      </c>
      <c r="W309" s="49">
        <f>IFERROR(IF(Data_Entry!AB298/Data_Entry!$H298&lt;0,0,Data_Entry!AB298/Data_Entry!$H298),0)</f>
        <v>1.2876193330395402</v>
      </c>
      <c r="X309" s="49">
        <f>IFERROR(IF(Data_Entry!AC298/Data_Entry!$I298&lt;0,0,Data_Entry!AC298/Data_Entry!$I298),0)</f>
        <v>0.62085276920044663</v>
      </c>
      <c r="Y309" s="49">
        <f>IFERROR(IF(Data_Entry!AD298/Data_Entry!$I298&lt;0,0,Data_Entry!AD298/Data_Entry!$I298),0)</f>
        <v>0.44149530254253988</v>
      </c>
      <c r="Z309" s="49">
        <f>IFERROR(IF(Data_Entry!AE298/Data_Entry!$I298&lt;0,0,Data_Entry!AE298/Data_Entry!$I298),0)</f>
        <v>0.91649694501018319</v>
      </c>
      <c r="AA309" s="49">
        <f>IFERROR(IF(Data_Entry!AF298/Data_Entry!$I298&lt;0,0,Data_Entry!AF298/Data_Entry!$I298),0)</f>
        <v>0.69574929373891325</v>
      </c>
      <c r="AB309" s="49">
        <f>IFERROR(IF(Data_Entry!AG298/Data_Entry!$I298&lt;0,0,Data_Entry!AG298/Data_Entry!$I298),0)</f>
        <v>0.51047894356481172</v>
      </c>
      <c r="AC309" s="49">
        <f>IFERROR(IF(Data_Entry!AI298/Data_Entry!$I298&lt;0,0,Data_Entry!AI298/Data_Entry!$I298),0)</f>
        <v>0.11490703633138426</v>
      </c>
      <c r="AD309" s="49">
        <f>IFERROR(IF(Data_Entry!AM298/Data_Entry!$H298&lt;0,0,Data_Entry!AM298/Data_Entry!$H298),0)</f>
        <v>1.2718064640373004</v>
      </c>
      <c r="AE309" s="50">
        <f>Data_Entry!AK298</f>
        <v>0</v>
      </c>
      <c r="AF309" s="50">
        <f>Data_Entry!AL298</f>
        <v>0</v>
      </c>
      <c r="AG309" s="153">
        <f>(Data_Entry!O298-Data_Entry!Q298)/Data_Entry!O298</f>
        <v>0.11895910780669144</v>
      </c>
      <c r="AH309" s="79" t="str">
        <f t="shared" si="8"/>
        <v>CAT2</v>
      </c>
      <c r="AI309" s="51">
        <f>SUBTOTAL(3,Tableau1[[#This Row],[ZS]])</f>
        <v>0</v>
      </c>
      <c r="AJ309" s="51" t="e">
        <f t="shared" ca="1" si="9"/>
        <v>#NAME?</v>
      </c>
      <c r="AK309" s="50" t="str">
        <f>IFERROR(IF((Data_Entry!O298-Data_Entry!Q298)/Data_Entry!O298&lt;=10%,"&lt;=10%","&gt;10%"),"&lt;=10%")</f>
        <v>&gt;10%</v>
      </c>
    </row>
    <row r="310" spans="1:37" s="48" customFormat="1" ht="13" hidden="1" x14ac:dyDescent="0.3">
      <c r="A310" s="31" t="s">
        <v>16</v>
      </c>
      <c r="B310" s="48" t="str">
        <f>Data_Entry!B299</f>
        <v>Goma</v>
      </c>
      <c r="C310" s="48" t="str">
        <f>Data_Entry!C299</f>
        <v xml:space="preserve"> Kibirizi</v>
      </c>
      <c r="D310" s="48" t="str">
        <f>Data_Entry!D299</f>
        <v xml:space="preserve"> Kibirizi</v>
      </c>
      <c r="E310" s="49">
        <f>IFERROR(IF(Data_Entry!J299/Data_Entry!$I299&lt;0,0,Data_Entry!J299/Data_Entry!$I299),0)</f>
        <v>1.1006684424787656</v>
      </c>
      <c r="F310" s="49">
        <f>IFERROR(IF(Data_Entry!K299/Data_Entry!$H299&lt;0,0,Data_Entry!K299/Data_Entry!$H299),0)</f>
        <v>0.3853657222950343</v>
      </c>
      <c r="G310" s="49">
        <f>IFERROR(IF(Data_Entry!L299/Data_Entry!$H299&lt;0,0,Data_Entry!L299/Data_Entry!$H299),0)</f>
        <v>0.74480998344914695</v>
      </c>
      <c r="H310" s="49">
        <f>IFERROR(IF(Data_Entry!M299/Data_Entry!$H299&lt;0,0,Data_Entry!M299/Data_Entry!$H299),0)</f>
        <v>0.70333564562367246</v>
      </c>
      <c r="I310" s="49">
        <f>IFERROR(IF(Data_Entry!N299/Data_Entry!$H299&lt;0,0,Data_Entry!N299/Data_Entry!$H299),0)</f>
        <v>0.73271330158338355</v>
      </c>
      <c r="J310" s="49">
        <f>IFERROR(IF(Data_Entry!O299/Data_Entry!$H299&lt;0,0,Data_Entry!O299/Data_Entry!$H299),0)</f>
        <v>0.7776438342276476</v>
      </c>
      <c r="K310" s="49">
        <f>IFERROR(IF(Data_Entry!P299/Data_Entry!$H299&lt;0,0,Data_Entry!P299/Data_Entry!$H299),0)</f>
        <v>0.72752900935519926</v>
      </c>
      <c r="L310" s="49">
        <f>IFERROR(IF(Data_Entry!Q299/Data_Entry!$H299&lt;0,0,Data_Entry!Q299/Data_Entry!$H299),0)</f>
        <v>0.7655471523618842</v>
      </c>
      <c r="M310" s="49">
        <f>IFERROR(IF(Data_Entry!R299/Data_Entry!$H299&lt;0,0,Data_Entry!R299/Data_Entry!$H299),0)</f>
        <v>0.7776438342276476</v>
      </c>
      <c r="N310" s="49">
        <f>IFERROR(IF(Data_Entry!S299/Data_Entry!$H299&lt;0,0,Data_Entry!S299/Data_Entry!$H299),0)</f>
        <v>0.72752900935519926</v>
      </c>
      <c r="O310" s="49">
        <f>IFERROR(IF(Data_Entry!T299/Data_Entry!$H299&lt;0,0,Data_Entry!T299/Data_Entry!$H299),0)</f>
        <v>0.7655471523618842</v>
      </c>
      <c r="P310" s="49">
        <f>IFERROR(IF(Data_Entry!U299/Data_Entry!$H299&lt;0,0,Data_Entry!U299/Data_Entry!$H299),0)</f>
        <v>0.69469515857669861</v>
      </c>
      <c r="Q310" s="49">
        <f>IFERROR(IF(Data_Entry!V299/Data_Entry!$H299&lt;0,0,Data_Entry!V299/Data_Entry!$H299),0)</f>
        <v>0.64803652852303972</v>
      </c>
      <c r="R310" s="49">
        <f>IFERROR(IF(Data_Entry!W299/Data_Entry!$H299&lt;0,0,Data_Entry!W299/Data_Entry!$H299),0)</f>
        <v>0.68259847671093521</v>
      </c>
      <c r="S310" s="49">
        <f>IFERROR(IF(Data_Entry!X299/Data_Entry!$H299&lt;0,0,Data_Entry!X299/Data_Entry!$H299),0)</f>
        <v>0.63939604147606588</v>
      </c>
      <c r="T310" s="49">
        <f>IFERROR(IF(Data_Entry!Y299/Data_Entry!$H299&lt;0,0,Data_Entry!Y299/Data_Entry!$H299),0)</f>
        <v>0.54262258654995854</v>
      </c>
      <c r="U310" s="49">
        <f>IFERROR(IF(Data_Entry!Z299/Data_Entry!$H299&lt;0,0,Data_Entry!Z299/Data_Entry!$H299),0)</f>
        <v>0.60483409328817039</v>
      </c>
      <c r="V310" s="49">
        <f>IFERROR(IF(Data_Entry!AA299/Data_Entry!$H299&lt;0,0,Data_Entry!AA299/Data_Entry!$H299),0)</f>
        <v>0.73271330158338355</v>
      </c>
      <c r="W310" s="49">
        <f>IFERROR(IF(Data_Entry!AB299/Data_Entry!$H299&lt;0,0,Data_Entry!AB299/Data_Entry!$H299),0)</f>
        <v>0.62211506738211808</v>
      </c>
      <c r="X310" s="49">
        <f>IFERROR(IF(Data_Entry!AC299/Data_Entry!$I299&lt;0,0,Data_Entry!AC299/Data_Entry!$I299),0)</f>
        <v>0.49454691662059608</v>
      </c>
      <c r="Y310" s="49">
        <f>IFERROR(IF(Data_Entry!AD299/Data_Entry!$I299&lt;0,0,Data_Entry!AD299/Data_Entry!$I299),0)</f>
        <v>0.32567723777453889</v>
      </c>
      <c r="Z310" s="49">
        <f>IFERROR(IF(Data_Entry!AE299/Data_Entry!$I299&lt;0,0,Data_Entry!AE299/Data_Entry!$I299),0)</f>
        <v>0.44026737699150625</v>
      </c>
      <c r="AA310" s="49">
        <f>IFERROR(IF(Data_Entry!AF299/Data_Entry!$I299&lt;0,0,Data_Entry!AF299/Data_Entry!$I299),0)</f>
        <v>0.27441322812484292</v>
      </c>
      <c r="AB310" s="49">
        <f>IFERROR(IF(Data_Entry!AG299/Data_Entry!$I299&lt;0,0,Data_Entry!AG299/Data_Entry!$I299),0)</f>
        <v>0.22013368849575313</v>
      </c>
      <c r="AC310" s="49">
        <f>IFERROR(IF(Data_Entry!AI299/Data_Entry!$I299&lt;0,0,Data_Entry!AI299/Data_Entry!$I299),0)</f>
        <v>8.1720862441574116E-2</v>
      </c>
      <c r="AD310" s="49">
        <f>IFERROR(IF(Data_Entry!AM299/Data_Entry!$H299&lt;0,0,Data_Entry!AM299/Data_Entry!$H299),0)</f>
        <v>0.60483409328817039</v>
      </c>
      <c r="AE310" s="50">
        <f>Data_Entry!AK299</f>
        <v>128.6710833333334</v>
      </c>
      <c r="AF310" s="50">
        <f>Data_Entry!AL299</f>
        <v>80</v>
      </c>
      <c r="AG310" s="153">
        <f>(Data_Entry!O299-Data_Entry!Q299)/Data_Entry!O299</f>
        <v>1.5555555555555555E-2</v>
      </c>
      <c r="AH310" s="79" t="str">
        <f t="shared" si="8"/>
        <v>CAT3</v>
      </c>
      <c r="AI310" s="51">
        <f>SUBTOTAL(3,Tableau1[[#This Row],[ZS]])</f>
        <v>0</v>
      </c>
      <c r="AJ310" s="51" t="e">
        <f t="shared" ca="1" si="9"/>
        <v>#NAME?</v>
      </c>
      <c r="AK310" s="50" t="str">
        <f>IFERROR(IF((Data_Entry!O299-Data_Entry!Q299)/Data_Entry!O299&lt;=10%,"&lt;=10%","&gt;10%"),"&lt;=10%")</f>
        <v>&lt;=10%</v>
      </c>
    </row>
    <row r="311" spans="1:37" s="48" customFormat="1" ht="13" hidden="1" x14ac:dyDescent="0.3">
      <c r="A311" s="31" t="s">
        <v>16</v>
      </c>
      <c r="B311" s="48" t="str">
        <f>Data_Entry!B300</f>
        <v>Goma</v>
      </c>
      <c r="C311" s="48" t="str">
        <f>Data_Entry!C300</f>
        <v xml:space="preserve"> Kibirizi</v>
      </c>
      <c r="D311" s="48" t="str">
        <f>Data_Entry!D300</f>
        <v xml:space="preserve"> Kikuku</v>
      </c>
      <c r="E311" s="49">
        <f>IFERROR(IF(Data_Entry!J300/Data_Entry!$I300&lt;0,0,Data_Entry!J300/Data_Entry!$I300),0)</f>
        <v>0.81834653066702445</v>
      </c>
      <c r="F311" s="49">
        <f>IFERROR(IF(Data_Entry!K300/Data_Entry!$H300&lt;0,0,Data_Entry!K300/Data_Entry!$H300),0)</f>
        <v>0.67951110579568763</v>
      </c>
      <c r="G311" s="49">
        <f>IFERROR(IF(Data_Entry!L300/Data_Entry!$H300&lt;0,0,Data_Entry!L300/Data_Entry!$H300),0)</f>
        <v>0.77757298014650844</v>
      </c>
      <c r="H311" s="49">
        <f>IFERROR(IF(Data_Entry!M300/Data_Entry!$H300&lt;0,0,Data_Entry!M300/Data_Entry!$H300),0)</f>
        <v>0.72911887752610283</v>
      </c>
      <c r="I311" s="49">
        <f>IFERROR(IF(Data_Entry!N300/Data_Entry!$H300&lt;0,0,Data_Entry!N300/Data_Entry!$H300),0)</f>
        <v>0.75334592883630558</v>
      </c>
      <c r="J311" s="49">
        <f>IFERROR(IF(Data_Entry!O300/Data_Entry!$H300&lt;0,0,Data_Entry!O300/Data_Entry!$H300),0)</f>
        <v>0.94600867020791823</v>
      </c>
      <c r="K311" s="49">
        <f>IFERROR(IF(Data_Entry!P300/Data_Entry!$H300&lt;0,0,Data_Entry!P300/Data_Entry!$H300),0)</f>
        <v>0.89178622203746438</v>
      </c>
      <c r="L311" s="49">
        <f>IFERROR(IF(Data_Entry!Q300/Data_Entry!$H300&lt;0,0,Data_Entry!Q300/Data_Entry!$H300),0)</f>
        <v>0.91485960423765744</v>
      </c>
      <c r="M311" s="49">
        <f>IFERROR(IF(Data_Entry!R300/Data_Entry!$H300&lt;0,0,Data_Entry!R300/Data_Entry!$H300),0)</f>
        <v>0.91485960423765744</v>
      </c>
      <c r="N311" s="49">
        <f>IFERROR(IF(Data_Entry!S300/Data_Entry!$H300&lt;0,0,Data_Entry!S300/Data_Entry!$H300),0)</f>
        <v>0.82025873721686571</v>
      </c>
      <c r="O311" s="49">
        <f>IFERROR(IF(Data_Entry!T300/Data_Entry!$H300&lt;0,0,Data_Entry!T300/Data_Entry!$H300),0)</f>
        <v>0.85256147229713608</v>
      </c>
      <c r="P311" s="49">
        <f>IFERROR(IF(Data_Entry!U300/Data_Entry!$H300&lt;0,0,Data_Entry!U300/Data_Entry!$H300),0)</f>
        <v>0.66682074558558135</v>
      </c>
      <c r="Q311" s="49">
        <f>IFERROR(IF(Data_Entry!V300/Data_Entry!$H300&lt;0,0,Data_Entry!V300/Data_Entry!$H300),0)</f>
        <v>0.5433781508145481</v>
      </c>
      <c r="R311" s="49">
        <f>IFERROR(IF(Data_Entry!W300/Data_Entry!$H300&lt;0,0,Data_Entry!W300/Data_Entry!$H300),0)</f>
        <v>0.54914649636459645</v>
      </c>
      <c r="S311" s="49">
        <f>IFERROR(IF(Data_Entry!X300/Data_Entry!$H300&lt;0,0,Data_Entry!X300/Data_Entry!$H300),0)</f>
        <v>0.86294449428722297</v>
      </c>
      <c r="T311" s="49">
        <f>IFERROR(IF(Data_Entry!Y300/Data_Entry!$H300&lt;0,0,Data_Entry!Y300/Data_Entry!$H300),0)</f>
        <v>0.72911887752610283</v>
      </c>
      <c r="U311" s="49">
        <f>IFERROR(IF(Data_Entry!Z300/Data_Entry!$H300&lt;0,0,Data_Entry!Z300/Data_Entry!$H300),0)</f>
        <v>0.53299512882446121</v>
      </c>
      <c r="V311" s="49">
        <f>IFERROR(IF(Data_Entry!AA300/Data_Entry!$H300&lt;0,0,Data_Entry!AA300/Data_Entry!$H300),0)</f>
        <v>0.95177701575796647</v>
      </c>
      <c r="W311" s="49">
        <f>IFERROR(IF(Data_Entry!AB300/Data_Entry!$H300&lt;0,0,Data_Entry!AB300/Data_Entry!$H300),0)</f>
        <v>0.71642851731599655</v>
      </c>
      <c r="X311" s="49">
        <f>IFERROR(IF(Data_Entry!AC300/Data_Entry!$I300&lt;0,0,Data_Entry!AC300/Data_Entry!$I300),0)</f>
        <v>1.4464501409206816</v>
      </c>
      <c r="Y311" s="49">
        <f>IFERROR(IF(Data_Entry!AD300/Data_Entry!$I300&lt;0,0,Data_Entry!AD300/Data_Entry!$I300),0)</f>
        <v>1.1001878942423835</v>
      </c>
      <c r="Z311" s="49">
        <f>IFERROR(IF(Data_Entry!AE300/Data_Entry!$I300&lt;0,0,Data_Entry!AE300/Data_Entry!$I300),0)</f>
        <v>8.4552409072607693E-2</v>
      </c>
      <c r="AA311" s="49">
        <f>IFERROR(IF(Data_Entry!AF300/Data_Entry!$I300&lt;0,0,Data_Entry!AF300/Data_Entry!$I300),0)</f>
        <v>1.4092068178767949E-2</v>
      </c>
      <c r="AB311" s="49">
        <f>IFERROR(IF(Data_Entry!AG300/Data_Entry!$I300&lt;0,0,Data_Entry!AG300/Data_Entry!$I300),0)</f>
        <v>1.006576298483425E-3</v>
      </c>
      <c r="AC311" s="49">
        <f>IFERROR(IF(Data_Entry!AI300/Data_Entry!$I300&lt;0,0,Data_Entry!AI300/Data_Entry!$I300),0)</f>
        <v>5.8683398201583671E-2</v>
      </c>
      <c r="AD311" s="49">
        <f>IFERROR(IF(Data_Entry!AM300/Data_Entry!$H300&lt;0,0,Data_Entry!AM300/Data_Entry!$H300),0)</f>
        <v>0.53299512882446121</v>
      </c>
      <c r="AE311" s="50">
        <f>Data_Entry!AK300</f>
        <v>46.799666666666553</v>
      </c>
      <c r="AF311" s="50">
        <f>Data_Entry!AL300</f>
        <v>72</v>
      </c>
      <c r="AG311" s="153">
        <f>(Data_Entry!O300-Data_Entry!Q300)/Data_Entry!O300</f>
        <v>3.2926829268292684E-2</v>
      </c>
      <c r="AH311" s="79" t="str">
        <f t="shared" si="8"/>
        <v>CAT1</v>
      </c>
      <c r="AI311" s="51">
        <f>SUBTOTAL(3,Tableau1[[#This Row],[ZS]])</f>
        <v>0</v>
      </c>
      <c r="AJ311" s="51" t="e">
        <f t="shared" ca="1" si="9"/>
        <v>#NAME?</v>
      </c>
      <c r="AK311" s="50" t="str">
        <f>IFERROR(IF((Data_Entry!O300-Data_Entry!Q300)/Data_Entry!O300&lt;=10%,"&lt;=10%","&gt;10%"),"&lt;=10%")</f>
        <v>&lt;=10%</v>
      </c>
    </row>
    <row r="312" spans="1:37" s="48" customFormat="1" ht="13" hidden="1" x14ac:dyDescent="0.3">
      <c r="A312" s="31" t="s">
        <v>16</v>
      </c>
      <c r="B312" s="48" t="str">
        <f>Data_Entry!B301</f>
        <v>Goma</v>
      </c>
      <c r="C312" s="48" t="str">
        <f>Data_Entry!C301</f>
        <v xml:space="preserve"> Kibirizi</v>
      </c>
      <c r="D312" s="48" t="str">
        <f>Data_Entry!D301</f>
        <v xml:space="preserve"> Kilambo</v>
      </c>
      <c r="E312" s="49">
        <f>IFERROR(IF(Data_Entry!J301/Data_Entry!$I301&lt;0,0,Data_Entry!J301/Data_Entry!$I301),0)</f>
        <v>0.90349249198582759</v>
      </c>
      <c r="F312" s="49">
        <f>IFERROR(IF(Data_Entry!K301/Data_Entry!$H301&lt;0,0,Data_Entry!K301/Data_Entry!$H301),0)</f>
        <v>0.45539740191431277</v>
      </c>
      <c r="G312" s="49">
        <f>IFERROR(IF(Data_Entry!L301/Data_Entry!$H301&lt;0,0,Data_Entry!L301/Data_Entry!$H301),0)</f>
        <v>1.0065152768424621</v>
      </c>
      <c r="H312" s="49">
        <f>IFERROR(IF(Data_Entry!M301/Data_Entry!$H301&lt;0,0,Data_Entry!M301/Data_Entry!$H301),0)</f>
        <v>1.0036146564481034</v>
      </c>
      <c r="I312" s="49">
        <f>IFERROR(IF(Data_Entry!N301/Data_Entry!$H301&lt;0,0,Data_Entry!N301/Data_Entry!$H301),0)</f>
        <v>0.98040969329323391</v>
      </c>
      <c r="J312" s="49">
        <f>IFERROR(IF(Data_Entry!O301/Data_Entry!$H301&lt;0,0,Data_Entry!O301/Data_Entry!$H301),0)</f>
        <v>1.0355214807860489</v>
      </c>
      <c r="K312" s="49">
        <f>IFERROR(IF(Data_Entry!P301/Data_Entry!$H301&lt;0,0,Data_Entry!P301/Data_Entry!$H301),0)</f>
        <v>1.0036146564481034</v>
      </c>
      <c r="L312" s="49">
        <f>IFERROR(IF(Data_Entry!Q301/Data_Entry!$H301&lt;0,0,Data_Entry!Q301/Data_Entry!$H301),0)</f>
        <v>0.97750907289887523</v>
      </c>
      <c r="M312" s="49">
        <f>IFERROR(IF(Data_Entry!R301/Data_Entry!$H301&lt;0,0,Data_Entry!R301/Data_Entry!$H301),0)</f>
        <v>1.0065152768424621</v>
      </c>
      <c r="N312" s="49">
        <f>IFERROR(IF(Data_Entry!S301/Data_Entry!$H301&lt;0,0,Data_Entry!S301/Data_Entry!$H301),0)</f>
        <v>1.0036146564481034</v>
      </c>
      <c r="O312" s="49">
        <f>IFERROR(IF(Data_Entry!T301/Data_Entry!$H301&lt;0,0,Data_Entry!T301/Data_Entry!$H301),0)</f>
        <v>0.97750907289887523</v>
      </c>
      <c r="P312" s="49">
        <f>IFERROR(IF(Data_Entry!U301/Data_Entry!$H301&lt;0,0,Data_Entry!U301/Data_Entry!$H301),0)</f>
        <v>0.90209294264554951</v>
      </c>
      <c r="Q312" s="49">
        <f>IFERROR(IF(Data_Entry!V301/Data_Entry!$H301&lt;0,0,Data_Entry!V301/Data_Entry!$H301),0)</f>
        <v>0.89919232225119083</v>
      </c>
      <c r="R312" s="49">
        <f>IFERROR(IF(Data_Entry!W301/Data_Entry!$H301&lt;0,0,Data_Entry!W301/Data_Entry!$H301),0)</f>
        <v>0.82377619199786523</v>
      </c>
      <c r="S312" s="49">
        <f>IFERROR(IF(Data_Entry!X301/Data_Entry!$H301&lt;0,0,Data_Entry!X301/Data_Entry!$H301),0)</f>
        <v>1.0384221011804076</v>
      </c>
      <c r="T312" s="49">
        <f>IFERROR(IF(Data_Entry!Y301/Data_Entry!$H301&lt;0,0,Data_Entry!Y301/Data_Entry!$H301),0)</f>
        <v>1.0471239623634836</v>
      </c>
      <c r="U312" s="49">
        <f>IFERROR(IF(Data_Entry!Z301/Data_Entry!$H301&lt;0,0,Data_Entry!Z301/Data_Entry!$H301),0)</f>
        <v>1.0094158972368208</v>
      </c>
      <c r="V312" s="49">
        <f>IFERROR(IF(Data_Entry!AA301/Data_Entry!$H301&lt;0,0,Data_Entry!AA301/Data_Entry!$H301),0)</f>
        <v>0.97750907289887523</v>
      </c>
      <c r="W312" s="49">
        <f>IFERROR(IF(Data_Entry!AB301/Data_Entry!$H301&lt;0,0,Data_Entry!AB301/Data_Entry!$H301),0)</f>
        <v>1.0384221011804076</v>
      </c>
      <c r="X312" s="49">
        <f>IFERROR(IF(Data_Entry!AC301/Data_Entry!$I301&lt;0,0,Data_Entry!AC301/Data_Entry!$I301),0)</f>
        <v>0.4454192677577189</v>
      </c>
      <c r="Y312" s="49">
        <f>IFERROR(IF(Data_Entry!AD301/Data_Entry!$I301&lt;0,0,Data_Entry!AD301/Data_Entry!$I301),0)</f>
        <v>0.5643664585793825</v>
      </c>
      <c r="Z312" s="49">
        <f>IFERROR(IF(Data_Entry!AE301/Data_Entry!$I301&lt;0,0,Data_Entry!AE301/Data_Entry!$I301),0)</f>
        <v>0.45301164163995278</v>
      </c>
      <c r="AA312" s="49">
        <f>IFERROR(IF(Data_Entry!AF301/Data_Entry!$I301&lt;0,0,Data_Entry!AF301/Data_Entry!$I301),0)</f>
        <v>0.52893538046229127</v>
      </c>
      <c r="AB312" s="49">
        <f>IFERROR(IF(Data_Entry!AG301/Data_Entry!$I301&lt;0,0,Data_Entry!AG301/Data_Entry!$I301),0)</f>
        <v>0.23283279905517126</v>
      </c>
      <c r="AC312" s="49">
        <f>IFERROR(IF(Data_Entry!AI301/Data_Entry!$I301&lt;0,0,Data_Entry!AI301/Data_Entry!$I301),0)</f>
        <v>0.14754513244474438</v>
      </c>
      <c r="AD312" s="49">
        <f>IFERROR(IF(Data_Entry!AM301/Data_Entry!$H301&lt;0,0,Data_Entry!AM301/Data_Entry!$H301),0)</f>
        <v>1.0094158972368208</v>
      </c>
      <c r="AE312" s="50">
        <f>Data_Entry!AK301</f>
        <v>0</v>
      </c>
      <c r="AF312" s="50">
        <f>Data_Entry!AL301</f>
        <v>0</v>
      </c>
      <c r="AG312" s="153">
        <f>(Data_Entry!O301-Data_Entry!Q301)/Data_Entry!O301</f>
        <v>5.6022408963585436E-2</v>
      </c>
      <c r="AH312" s="79" t="str">
        <f t="shared" si="8"/>
        <v>CAT1</v>
      </c>
      <c r="AI312" s="51">
        <f>SUBTOTAL(3,Tableau1[[#This Row],[ZS]])</f>
        <v>0</v>
      </c>
      <c r="AJ312" s="51" t="e">
        <f t="shared" ca="1" si="9"/>
        <v>#NAME?</v>
      </c>
      <c r="AK312" s="50" t="str">
        <f>IFERROR(IF((Data_Entry!O301-Data_Entry!Q301)/Data_Entry!O301&lt;=10%,"&lt;=10%","&gt;10%"),"&lt;=10%")</f>
        <v>&lt;=10%</v>
      </c>
    </row>
    <row r="313" spans="1:37" s="48" customFormat="1" ht="13" hidden="1" x14ac:dyDescent="0.3">
      <c r="A313" s="31" t="s">
        <v>16</v>
      </c>
      <c r="B313" s="48" t="str">
        <f>Data_Entry!B302</f>
        <v>Goma</v>
      </c>
      <c r="C313" s="48" t="str">
        <f>Data_Entry!C302</f>
        <v xml:space="preserve"> Kibirizi</v>
      </c>
      <c r="D313" s="48" t="str">
        <f>Data_Entry!D302</f>
        <v xml:space="preserve"> Kiyeye</v>
      </c>
      <c r="E313" s="49">
        <f>IFERROR(IF(Data_Entry!J302/Data_Entry!$I302&lt;0,0,Data_Entry!J302/Data_Entry!$I302),0)</f>
        <v>0.98076348051430284</v>
      </c>
      <c r="F313" s="49">
        <f>IFERROR(IF(Data_Entry!K302/Data_Entry!$H302&lt;0,0,Data_Entry!K302/Data_Entry!$H302),0)</f>
        <v>1.1686363367648935</v>
      </c>
      <c r="G313" s="49">
        <f>IFERROR(IF(Data_Entry!L302/Data_Entry!$H302&lt;0,0,Data_Entry!L302/Data_Entry!$H302),0)</f>
        <v>1.2268967993015598</v>
      </c>
      <c r="H313" s="49">
        <f>IFERROR(IF(Data_Entry!M302/Data_Entry!$H302&lt;0,0,Data_Entry!M302/Data_Entry!$H302),0)</f>
        <v>1.1240842183545017</v>
      </c>
      <c r="I313" s="49">
        <f>IFERROR(IF(Data_Entry!N302/Data_Entry!$H302&lt;0,0,Data_Entry!N302/Data_Entry!$H302),0)</f>
        <v>1.0726779278809726</v>
      </c>
      <c r="J313" s="49">
        <f>IFERROR(IF(Data_Entry!O302/Data_Entry!$H302&lt;0,0,Data_Entry!O302/Data_Entry!$H302),0)</f>
        <v>1.1583550786701877</v>
      </c>
      <c r="K313" s="49">
        <f>IFERROR(IF(Data_Entry!P302/Data_Entry!$H302&lt;0,0,Data_Entry!P302/Data_Entry!$H302),0)</f>
        <v>1.1240842183545017</v>
      </c>
      <c r="L313" s="49">
        <f>IFERROR(IF(Data_Entry!Q302/Data_Entry!$H302&lt;0,0,Data_Entry!Q302/Data_Entry!$H302),0)</f>
        <v>1.0726779278809726</v>
      </c>
      <c r="M313" s="49">
        <f>IFERROR(IF(Data_Entry!R302/Data_Entry!$H302&lt;0,0,Data_Entry!R302/Data_Entry!$H302),0)</f>
        <v>1.2611676596172459</v>
      </c>
      <c r="N313" s="49">
        <f>IFERROR(IF(Data_Entry!S302/Data_Entry!$H302&lt;0,0,Data_Entry!S302/Data_Entry!$H302),0)</f>
        <v>1.1240842183545017</v>
      </c>
      <c r="O313" s="49">
        <f>IFERROR(IF(Data_Entry!T302/Data_Entry!$H302&lt;0,0,Data_Entry!T302/Data_Entry!$H302),0)</f>
        <v>1.0726779278809726</v>
      </c>
      <c r="P313" s="49">
        <f>IFERROR(IF(Data_Entry!U302/Data_Entry!$H302&lt;0,0,Data_Entry!U302/Data_Entry!$H302),0)</f>
        <v>0.86362567995528783</v>
      </c>
      <c r="Q313" s="49">
        <f>IFERROR(IF(Data_Entry!V302/Data_Entry!$H302&lt;0,0,Data_Entry!V302/Data_Entry!$H302),0)</f>
        <v>0.74025058281881817</v>
      </c>
      <c r="R313" s="49">
        <f>IFERROR(IF(Data_Entry!W302/Data_Entry!$H302&lt;0,0,Data_Entry!W302/Data_Entry!$H302),0)</f>
        <v>0.71626098059783794</v>
      </c>
      <c r="S313" s="49">
        <f>IFERROR(IF(Data_Entry!X302/Data_Entry!$H302&lt;0,0,Data_Entry!X302/Data_Entry!$H302),0)</f>
        <v>1.0589695837546982</v>
      </c>
      <c r="T313" s="49">
        <f>IFERROR(IF(Data_Entry!Y302/Data_Entry!$H302&lt;0,0,Data_Entry!Y302/Data_Entry!$H302),0)</f>
        <v>0.81907356154489608</v>
      </c>
      <c r="U313" s="49">
        <f>IFERROR(IF(Data_Entry!Z302/Data_Entry!$H302&lt;0,0,Data_Entry!Z302/Data_Entry!$H302),0)</f>
        <v>0.70940680853470073</v>
      </c>
      <c r="V313" s="49">
        <f>IFERROR(IF(Data_Entry!AA302/Data_Entry!$H302&lt;0,0,Data_Entry!AA302/Data_Entry!$H302),0)</f>
        <v>0.98014660502862039</v>
      </c>
      <c r="W313" s="49">
        <f>IFERROR(IF(Data_Entry!AB302/Data_Entry!$H302&lt;0,0,Data_Entry!AB302/Data_Entry!$H302),0)</f>
        <v>1.0007091212180319</v>
      </c>
      <c r="X313" s="49">
        <f>IFERROR(IF(Data_Entry!AC302/Data_Entry!$I302&lt;0,0,Data_Entry!AC302/Data_Entry!$I302),0)</f>
        <v>0.63988836838433172</v>
      </c>
      <c r="Y313" s="49">
        <f>IFERROR(IF(Data_Entry!AD302/Data_Entry!$I302&lt;0,0,Data_Entry!AD302/Data_Entry!$I302),0)</f>
        <v>0.5352337286953055</v>
      </c>
      <c r="Z313" s="49">
        <f>IFERROR(IF(Data_Entry!AE302/Data_Entry!$I302&lt;0,0,Data_Entry!AE302/Data_Entry!$I302),0)</f>
        <v>0.36778630519286354</v>
      </c>
      <c r="AA313" s="49">
        <f>IFERROR(IF(Data_Entry!AF302/Data_Entry!$I302&lt;0,0,Data_Entry!AF302/Data_Entry!$I302),0)</f>
        <v>0.28107246087909898</v>
      </c>
      <c r="AB313" s="49">
        <f>IFERROR(IF(Data_Entry!AG302/Data_Entry!$I302&lt;0,0,Data_Entry!AG302/Data_Entry!$I302),0)</f>
        <v>0.13455596531446226</v>
      </c>
      <c r="AC313" s="49">
        <f>IFERROR(IF(Data_Entry!AI302/Data_Entry!$I302&lt;0,0,Data_Entry!AI302/Data_Entry!$I302),0)</f>
        <v>0.17432472839629223</v>
      </c>
      <c r="AD313" s="49">
        <f>IFERROR(IF(Data_Entry!AM302/Data_Entry!$H302&lt;0,0,Data_Entry!AM302/Data_Entry!$H302),0)</f>
        <v>0.70940680853470073</v>
      </c>
      <c r="AE313" s="50">
        <f>Data_Entry!AK302</f>
        <v>0</v>
      </c>
      <c r="AF313" s="50">
        <f>Data_Entry!AL302</f>
        <v>29</v>
      </c>
      <c r="AG313" s="153">
        <f>(Data_Entry!O302-Data_Entry!Q302)/Data_Entry!O302</f>
        <v>7.3964497041420121E-2</v>
      </c>
      <c r="AH313" s="79" t="str">
        <f t="shared" si="8"/>
        <v>CAT1</v>
      </c>
      <c r="AI313" s="51">
        <f>SUBTOTAL(3,Tableau1[[#This Row],[ZS]])</f>
        <v>0</v>
      </c>
      <c r="AJ313" s="51" t="e">
        <f t="shared" ca="1" si="9"/>
        <v>#NAME?</v>
      </c>
      <c r="AK313" s="50" t="str">
        <f>IFERROR(IF((Data_Entry!O302-Data_Entry!Q302)/Data_Entry!O302&lt;=10%,"&lt;=10%","&gt;10%"),"&lt;=10%")</f>
        <v>&lt;=10%</v>
      </c>
    </row>
    <row r="314" spans="1:37" s="48" customFormat="1" ht="13" hidden="1" x14ac:dyDescent="0.3">
      <c r="A314" s="31" t="s">
        <v>16</v>
      </c>
      <c r="B314" s="48" t="str">
        <f>Data_Entry!B303</f>
        <v>Goma</v>
      </c>
      <c r="C314" s="48" t="str">
        <f>Data_Entry!C303</f>
        <v xml:space="preserve"> Kibirizi</v>
      </c>
      <c r="D314" s="48" t="str">
        <f>Data_Entry!D303</f>
        <v xml:space="preserve"> Kyaghala</v>
      </c>
      <c r="E314" s="49">
        <f>IFERROR(IF(Data_Entry!J303/Data_Entry!$I303&lt;0,0,Data_Entry!J303/Data_Entry!$I303),0)</f>
        <v>1.1628563364380469</v>
      </c>
      <c r="F314" s="49">
        <f>IFERROR(IF(Data_Entry!K303/Data_Entry!$H303&lt;0,0,Data_Entry!K303/Data_Entry!$H303),0)</f>
        <v>1.2163295476693621</v>
      </c>
      <c r="G314" s="49">
        <f>IFERROR(IF(Data_Entry!L303/Data_Entry!$H303&lt;0,0,Data_Entry!L303/Data_Entry!$H303),0)</f>
        <v>1.0125296500545489</v>
      </c>
      <c r="H314" s="49">
        <f>IFERROR(IF(Data_Entry!M303/Data_Entry!$H303&lt;0,0,Data_Entry!M303/Data_Entry!$H303),0)</f>
        <v>0.98341537896671827</v>
      </c>
      <c r="I314" s="49">
        <f>IFERROR(IF(Data_Entry!N303/Data_Entry!$H303&lt;0,0,Data_Entry!N303/Data_Entry!$H303),0)</f>
        <v>0.95430110787888778</v>
      </c>
      <c r="J314" s="49">
        <f>IFERROR(IF(Data_Entry!O303/Data_Entry!$H303&lt;0,0,Data_Entry!O303/Data_Entry!$H303),0)</f>
        <v>1.2874977658840587</v>
      </c>
      <c r="K314" s="49">
        <f>IFERROR(IF(Data_Entry!P303/Data_Entry!$H303&lt;0,0,Data_Entry!P303/Data_Entry!$H303),0)</f>
        <v>1.2519136567767104</v>
      </c>
      <c r="L314" s="49">
        <f>IFERROR(IF(Data_Entry!Q303/Data_Entry!$H303&lt;0,0,Data_Entry!Q303/Data_Entry!$H303),0)</f>
        <v>1.2130946286596032</v>
      </c>
      <c r="M314" s="49">
        <f>IFERROR(IF(Data_Entry!R303/Data_Entry!$H303&lt;0,0,Data_Entry!R303/Data_Entry!$H303),0)</f>
        <v>1.2874977658840587</v>
      </c>
      <c r="N314" s="49">
        <f>IFERROR(IF(Data_Entry!S303/Data_Entry!$H303&lt;0,0,Data_Entry!S303/Data_Entry!$H303),0)</f>
        <v>1.2486787377669515</v>
      </c>
      <c r="O314" s="49">
        <f>IFERROR(IF(Data_Entry!T303/Data_Entry!$H303&lt;0,0,Data_Entry!T303/Data_Entry!$H303),0)</f>
        <v>1.2130946286596032</v>
      </c>
      <c r="P314" s="49">
        <f>IFERROR(IF(Data_Entry!U303/Data_Entry!$H303&lt;0,0,Data_Entry!U303/Data_Entry!$H303),0)</f>
        <v>0.91871699877153945</v>
      </c>
      <c r="Q314" s="49">
        <f>IFERROR(IF(Data_Entry!V303/Data_Entry!$H303&lt;0,0,Data_Entry!V303/Data_Entry!$H303),0)</f>
        <v>0.89283764669346788</v>
      </c>
      <c r="R314" s="49">
        <f>IFERROR(IF(Data_Entry!W303/Data_Entry!$H303&lt;0,0,Data_Entry!W303/Data_Entry!$H303),0)</f>
        <v>0.8637233756056375</v>
      </c>
      <c r="S314" s="49">
        <f>IFERROR(IF(Data_Entry!X303/Data_Entry!$H303&lt;0,0,Data_Entry!X303/Data_Entry!$H303),0)</f>
        <v>1.5301166916159794</v>
      </c>
      <c r="T314" s="49">
        <f>IFERROR(IF(Data_Entry!Y303/Data_Entry!$H303&lt;0,0,Data_Entry!Y303/Data_Entry!$H303),0)</f>
        <v>0.89607256570322691</v>
      </c>
      <c r="U314" s="49">
        <f>IFERROR(IF(Data_Entry!Z303/Data_Entry!$H303&lt;0,0,Data_Entry!Z303/Data_Entry!$H303),0)</f>
        <v>0.84107894253732485</v>
      </c>
      <c r="V314" s="49">
        <f>IFERROR(IF(Data_Entry!AA303/Data_Entry!$H303&lt;0,0,Data_Entry!AA303/Data_Entry!$H303),0)</f>
        <v>1.2130946286596032</v>
      </c>
      <c r="W314" s="49">
        <f>IFERROR(IF(Data_Entry!AB303/Data_Entry!$H303&lt;0,0,Data_Entry!AB303/Data_Entry!$H303),0)</f>
        <v>1.3683707411280324</v>
      </c>
      <c r="X314" s="49">
        <f>IFERROR(IF(Data_Entry!AC303/Data_Entry!$I303&lt;0,0,Data_Entry!AC303/Data_Entry!$I303),0)</f>
        <v>1.6031611628563365</v>
      </c>
      <c r="Y314" s="49">
        <f>IFERROR(IF(Data_Entry!AD303/Data_Entry!$I303&lt;0,0,Data_Entry!AD303/Data_Entry!$I303),0)</f>
        <v>1.1289867344058706</v>
      </c>
      <c r="Z314" s="49">
        <f>IFERROR(IF(Data_Entry!AE303/Data_Entry!$I303&lt;0,0,Data_Entry!AE303/Data_Entry!$I303),0)</f>
        <v>0.76771097939599209</v>
      </c>
      <c r="AA314" s="49">
        <f>IFERROR(IF(Data_Entry!AF303/Data_Entry!$I303&lt;0,0,Data_Entry!AF303/Data_Entry!$I303),0)</f>
        <v>0.70561670900366913</v>
      </c>
      <c r="AB314" s="49">
        <f>IFERROR(IF(Data_Entry!AG303/Data_Entry!$I303&lt;0,0,Data_Entry!AG303/Data_Entry!$I303),0)</f>
        <v>0.69714930849562518</v>
      </c>
      <c r="AC314" s="49">
        <f>IFERROR(IF(Data_Entry!AI303/Data_Entry!$I303&lt;0,0,Data_Entry!AI303/Data_Entry!$I303),0)</f>
        <v>0.16454981653965564</v>
      </c>
      <c r="AD314" s="49">
        <f>IFERROR(IF(Data_Entry!AM303/Data_Entry!$H303&lt;0,0,Data_Entry!AM303/Data_Entry!$H303),0)</f>
        <v>0.84107894253732485</v>
      </c>
      <c r="AE314" s="50">
        <f>Data_Entry!AK303</f>
        <v>0</v>
      </c>
      <c r="AF314" s="50">
        <f>Data_Entry!AL303</f>
        <v>0</v>
      </c>
      <c r="AG314" s="153">
        <f>(Data_Entry!O303-Data_Entry!Q303)/Data_Entry!O303</f>
        <v>5.7788944723618091E-2</v>
      </c>
      <c r="AH314" s="79" t="str">
        <f t="shared" si="8"/>
        <v>CAT1</v>
      </c>
      <c r="AI314" s="51">
        <f>SUBTOTAL(3,Tableau1[[#This Row],[ZS]])</f>
        <v>0</v>
      </c>
      <c r="AJ314" s="51" t="e">
        <f t="shared" ca="1" si="9"/>
        <v>#NAME?</v>
      </c>
      <c r="AK314" s="50" t="str">
        <f>IFERROR(IF((Data_Entry!O303-Data_Entry!Q303)/Data_Entry!O303&lt;=10%,"&lt;=10%","&gt;10%"),"&lt;=10%")</f>
        <v>&lt;=10%</v>
      </c>
    </row>
    <row r="315" spans="1:37" s="48" customFormat="1" ht="13" hidden="1" x14ac:dyDescent="0.3">
      <c r="A315" s="31" t="s">
        <v>16</v>
      </c>
      <c r="B315" s="48" t="str">
        <f>Data_Entry!B304</f>
        <v>Goma</v>
      </c>
      <c r="C315" s="48" t="str">
        <f>Data_Entry!C304</f>
        <v xml:space="preserve"> Kibirizi</v>
      </c>
      <c r="D315" s="48" t="str">
        <f>Data_Entry!D304</f>
        <v xml:space="preserve"> Muliki</v>
      </c>
      <c r="E315" s="49">
        <f>IFERROR(IF(Data_Entry!J304/Data_Entry!$I304&lt;0,0,Data_Entry!J304/Data_Entry!$I304),0)</f>
        <v>1.0264296011532918</v>
      </c>
      <c r="F315" s="49">
        <f>IFERROR(IF(Data_Entry!K304/Data_Entry!$H304&lt;0,0,Data_Entry!K304/Data_Entry!$H304),0)</f>
        <v>0.38332904199408213</v>
      </c>
      <c r="G315" s="49">
        <f>IFERROR(IF(Data_Entry!L304/Data_Entry!$H304&lt;0,0,Data_Entry!L304/Data_Entry!$H304),0)</f>
        <v>1.0277183798289615</v>
      </c>
      <c r="H315" s="49">
        <f>IFERROR(IF(Data_Entry!M304/Data_Entry!$H304&lt;0,0,Data_Entry!M304/Data_Entry!$H304),0)</f>
        <v>0.98806365134681506</v>
      </c>
      <c r="I315" s="49">
        <f>IFERROR(IF(Data_Entry!N304/Data_Entry!$H304&lt;0,0,Data_Entry!N304/Data_Entry!$H304),0)</f>
        <v>0.97154084781258743</v>
      </c>
      <c r="J315" s="49">
        <f>IFERROR(IF(Data_Entry!O304/Data_Entry!$H304&lt;0,0,Data_Entry!O304/Data_Entry!$H304),0)</f>
        <v>1.123550640327482</v>
      </c>
      <c r="K315" s="49">
        <f>IFERROR(IF(Data_Entry!P304/Data_Entry!$H304&lt;0,0,Data_Entry!P304/Data_Entry!$H304),0)</f>
        <v>1.0772867904316445</v>
      </c>
      <c r="L315" s="49">
        <f>IFERROR(IF(Data_Entry!Q304/Data_Entry!$H304&lt;0,0,Data_Entry!Q304/Data_Entry!$H304),0)</f>
        <v>1.067373108311108</v>
      </c>
      <c r="M315" s="49">
        <f>IFERROR(IF(Data_Entry!R304/Data_Entry!$H304&lt;0,0,Data_Entry!R304/Data_Entry!$H304),0)</f>
        <v>1.123550640327482</v>
      </c>
      <c r="N315" s="49">
        <f>IFERROR(IF(Data_Entry!S304/Data_Entry!$H304&lt;0,0,Data_Entry!S304/Data_Entry!$H304),0)</f>
        <v>1.0805913511384901</v>
      </c>
      <c r="O315" s="49">
        <f>IFERROR(IF(Data_Entry!T304/Data_Entry!$H304&lt;0,0,Data_Entry!T304/Data_Entry!$H304),0)</f>
        <v>1.0706776690179534</v>
      </c>
      <c r="P315" s="49">
        <f>IFERROR(IF(Data_Entry!U304/Data_Entry!$H304&lt;0,0,Data_Entry!U304/Data_Entry!$H304),0)</f>
        <v>1.123550640327482</v>
      </c>
      <c r="Q315" s="49">
        <f>IFERROR(IF(Data_Entry!V304/Data_Entry!$H304&lt;0,0,Data_Entry!V304/Data_Entry!$H304),0)</f>
        <v>1.0805913511384901</v>
      </c>
      <c r="R315" s="49">
        <f>IFERROR(IF(Data_Entry!W304/Data_Entry!$H304&lt;0,0,Data_Entry!W304/Data_Entry!$H304),0)</f>
        <v>1.067373108311108</v>
      </c>
      <c r="S315" s="49">
        <f>IFERROR(IF(Data_Entry!X304/Data_Entry!$H304&lt;0,0,Data_Entry!X304/Data_Entry!$H304),0)</f>
        <v>0.92197243720990441</v>
      </c>
      <c r="T315" s="49">
        <f>IFERROR(IF(Data_Entry!Y304/Data_Entry!$H304&lt;0,0,Data_Entry!Y304/Data_Entry!$H304),0)</f>
        <v>0.49568410602683033</v>
      </c>
      <c r="U315" s="49">
        <f>IFERROR(IF(Data_Entry!Z304/Data_Entry!$H304&lt;0,0,Data_Entry!Z304/Data_Entry!$H304),0)</f>
        <v>1.0343275012426525</v>
      </c>
      <c r="V315" s="49">
        <f>IFERROR(IF(Data_Entry!AA304/Data_Entry!$H304&lt;0,0,Data_Entry!AA304/Data_Entry!$H304),0)</f>
        <v>1.0012818941741972</v>
      </c>
      <c r="W315" s="49">
        <f>IFERROR(IF(Data_Entry!AB304/Data_Entry!$H304&lt;0,0,Data_Entry!AB304/Data_Entry!$H304),0)</f>
        <v>0.87901314802091246</v>
      </c>
      <c r="X315" s="49">
        <f>IFERROR(IF(Data_Entry!AC304/Data_Entry!$I304&lt;0,0,Data_Entry!AC304/Data_Entry!$I304),0)</f>
        <v>1.012013455069678</v>
      </c>
      <c r="Y315" s="49">
        <f>IFERROR(IF(Data_Entry!AD304/Data_Entry!$I304&lt;0,0,Data_Entry!AD304/Data_Entry!$I304),0)</f>
        <v>0.82172032676597795</v>
      </c>
      <c r="Z315" s="49">
        <f>IFERROR(IF(Data_Entry!AE304/Data_Entry!$I304&lt;0,0,Data_Entry!AE304/Data_Entry!$I304),0)</f>
        <v>0.47284959154252765</v>
      </c>
      <c r="AA315" s="49">
        <f>IFERROR(IF(Data_Entry!AF304/Data_Entry!$I304&lt;0,0,Data_Entry!AF304/Data_Entry!$I304),0)</f>
        <v>0.19317635752042289</v>
      </c>
      <c r="AB315" s="49">
        <f>IFERROR(IF(Data_Entry!AG304/Data_Entry!$I304&lt;0,0,Data_Entry!AG304/Data_Entry!$I304),0)</f>
        <v>0.12109562710235465</v>
      </c>
      <c r="AC315" s="49">
        <f>IFERROR(IF(Data_Entry!AI304/Data_Entry!$I304&lt;0,0,Data_Entry!AI304/Data_Entry!$I304),0)</f>
        <v>0.16809226333493513</v>
      </c>
      <c r="AD315" s="49">
        <f>IFERROR(IF(Data_Entry!AM304/Data_Entry!$H304&lt;0,0,Data_Entry!AM304/Data_Entry!$H304),0)</f>
        <v>0.92197243720990441</v>
      </c>
      <c r="AE315" s="50">
        <f>Data_Entry!AK304</f>
        <v>0</v>
      </c>
      <c r="AF315" s="50">
        <f>Data_Entry!AL304</f>
        <v>61</v>
      </c>
      <c r="AG315" s="153">
        <f>(Data_Entry!O304-Data_Entry!Q304)/Data_Entry!O304</f>
        <v>0.05</v>
      </c>
      <c r="AH315" s="79" t="str">
        <f t="shared" si="8"/>
        <v>CAT1</v>
      </c>
      <c r="AI315" s="51">
        <f>SUBTOTAL(3,Tableau1[[#This Row],[ZS]])</f>
        <v>0</v>
      </c>
      <c r="AJ315" s="51" t="e">
        <f t="shared" ca="1" si="9"/>
        <v>#NAME?</v>
      </c>
      <c r="AK315" s="50" t="str">
        <f>IFERROR(IF((Data_Entry!O304-Data_Entry!Q304)/Data_Entry!O304&lt;=10%,"&lt;=10%","&gt;10%"),"&lt;=10%")</f>
        <v>&lt;=10%</v>
      </c>
    </row>
    <row r="316" spans="1:37" s="48" customFormat="1" ht="13" hidden="1" x14ac:dyDescent="0.3">
      <c r="A316" s="31" t="s">
        <v>16</v>
      </c>
      <c r="B316" s="48" t="str">
        <f>Data_Entry!B305</f>
        <v>Goma</v>
      </c>
      <c r="C316" s="48" t="str">
        <f>Data_Entry!C305</f>
        <v xml:space="preserve"> Kibirizi</v>
      </c>
      <c r="D316" s="48" t="str">
        <f>Data_Entry!D305</f>
        <v xml:space="preserve"> Mushikiri</v>
      </c>
      <c r="E316" s="49">
        <f>IFERROR(IF(Data_Entry!J305/Data_Entry!$I305&lt;0,0,Data_Entry!J305/Data_Entry!$I305),0)</f>
        <v>0.76306550970391473</v>
      </c>
      <c r="F316" s="49">
        <f>IFERROR(IF(Data_Entry!K305/Data_Entry!$H305&lt;0,0,Data_Entry!K305/Data_Entry!$H305),0)</f>
        <v>0.87457365009044663</v>
      </c>
      <c r="G316" s="49">
        <f>IFERROR(IF(Data_Entry!L305/Data_Entry!$H305&lt;0,0,Data_Entry!L305/Data_Entry!$H305),0)</f>
        <v>0.85179829461934131</v>
      </c>
      <c r="H316" s="49">
        <f>IFERROR(IF(Data_Entry!M305/Data_Entry!$H305&lt;0,0,Data_Entry!M305/Data_Entry!$H305),0)</f>
        <v>0.7903048348473567</v>
      </c>
      <c r="I316" s="49">
        <f>IFERROR(IF(Data_Entry!N305/Data_Entry!$H305&lt;0,0,Data_Entry!N305/Data_Entry!$H305),0)</f>
        <v>0.74247658835803543</v>
      </c>
      <c r="J316" s="49">
        <f>IFERROR(IF(Data_Entry!O305/Data_Entry!$H305&lt;0,0,Data_Entry!O305/Data_Entry!$H305),0)</f>
        <v>1.1228250247254954</v>
      </c>
      <c r="K316" s="49">
        <f>IFERROR(IF(Data_Entry!P305/Data_Entry!$H305&lt;0,0,Data_Entry!P305/Data_Entry!$H305),0)</f>
        <v>1.10004966925439</v>
      </c>
      <c r="L316" s="49">
        <f>IFERROR(IF(Data_Entry!Q305/Data_Entry!$H305&lt;0,0,Data_Entry!Q305/Data_Entry!$H305),0)</f>
        <v>1.1205474891783849</v>
      </c>
      <c r="M316" s="49">
        <f>IFERROR(IF(Data_Entry!R305/Data_Entry!$H305&lt;0,0,Data_Entry!R305/Data_Entry!$H305),0)</f>
        <v>1.0271685317468526</v>
      </c>
      <c r="N316" s="49">
        <f>IFERROR(IF(Data_Entry!S305/Data_Entry!$H305&lt;0,0,Data_Entry!S305/Data_Entry!$H305),0)</f>
        <v>1.0499438872179581</v>
      </c>
      <c r="O316" s="49">
        <f>IFERROR(IF(Data_Entry!T305/Data_Entry!$H305&lt;0,0,Data_Entry!T305/Data_Entry!$H305),0)</f>
        <v>1.074996778236174</v>
      </c>
      <c r="P316" s="49">
        <f>IFERROR(IF(Data_Entry!U305/Data_Entry!$H305&lt;0,0,Data_Entry!U305/Data_Entry!$H305),0)</f>
        <v>0.79941497703579889</v>
      </c>
      <c r="Q316" s="49">
        <f>IFERROR(IF(Data_Entry!V305/Data_Entry!$H305&lt;0,0,Data_Entry!V305/Data_Entry!$H305),0)</f>
        <v>0.72881137507537219</v>
      </c>
      <c r="R316" s="49">
        <f>IFERROR(IF(Data_Entry!W305/Data_Entry!$H305&lt;0,0,Data_Entry!W305/Data_Entry!$H305),0)</f>
        <v>0.71742369733981948</v>
      </c>
      <c r="S316" s="49">
        <f>IFERROR(IF(Data_Entry!X305/Data_Entry!$H305&lt;0,0,Data_Entry!X305/Data_Entry!$H305),0)</f>
        <v>1.197983697780143</v>
      </c>
      <c r="T316" s="49">
        <f>IFERROR(IF(Data_Entry!Y305/Data_Entry!$H305&lt;0,0,Data_Entry!Y305/Data_Entry!$H305),0)</f>
        <v>1.0340011383881844</v>
      </c>
      <c r="U316" s="49">
        <f>IFERROR(IF(Data_Entry!Z305/Data_Entry!$H305&lt;0,0,Data_Entry!Z305/Data_Entry!$H305),0)</f>
        <v>0.90645914774999414</v>
      </c>
      <c r="V316" s="49">
        <f>IFERROR(IF(Data_Entry!AA305/Data_Entry!$H305&lt;0,0,Data_Entry!AA305/Data_Entry!$H305),0)</f>
        <v>1.0590540294064001</v>
      </c>
      <c r="W316" s="49">
        <f>IFERROR(IF(Data_Entry!AB305/Data_Entry!$H305&lt;0,0,Data_Entry!AB305/Data_Entry!$H305),0)</f>
        <v>1.1273800958197164</v>
      </c>
      <c r="X316" s="49">
        <f>IFERROR(IF(Data_Entry!AC305/Data_Entry!$I305&lt;0,0,Data_Entry!AC305/Data_Entry!$I305),0)</f>
        <v>0.71537391534742012</v>
      </c>
      <c r="Y316" s="49">
        <f>IFERROR(IF(Data_Entry!AD305/Data_Entry!$I305&lt;0,0,Data_Entry!AD305/Data_Entry!$I305),0)</f>
        <v>0.48287739285950854</v>
      </c>
      <c r="Z316" s="49">
        <f>IFERROR(IF(Data_Entry!AE305/Data_Entry!$I305&lt;0,0,Data_Entry!AE305/Data_Entry!$I305),0)</f>
        <v>0.57229913227793605</v>
      </c>
      <c r="AA316" s="49">
        <f>IFERROR(IF(Data_Entry!AF305/Data_Entry!$I305&lt;0,0,Data_Entry!AF305/Data_Entry!$I305),0)</f>
        <v>0.47890309332980069</v>
      </c>
      <c r="AB316" s="49">
        <f>IFERROR(IF(Data_Entry!AG305/Data_Entry!$I305&lt;0,0,Data_Entry!AG305/Data_Entry!$I305),0)</f>
        <v>0.30602106378750749</v>
      </c>
      <c r="AC316" s="49">
        <f>IFERROR(IF(Data_Entry!AI305/Data_Entry!$I305&lt;0,0,Data_Entry!AI305/Data_Entry!$I305),0)</f>
        <v>9.9357488242697231E-2</v>
      </c>
      <c r="AD316" s="49">
        <f>IFERROR(IF(Data_Entry!AM305/Data_Entry!$H305&lt;0,0,Data_Entry!AM305/Data_Entry!$H305),0)</f>
        <v>0.90645914774999414</v>
      </c>
      <c r="AE316" s="50">
        <f>Data_Entry!AK305</f>
        <v>0</v>
      </c>
      <c r="AF316" s="50">
        <f>Data_Entry!AL305</f>
        <v>0</v>
      </c>
      <c r="AG316" s="153">
        <f>(Data_Entry!O305-Data_Entry!Q305)/Data_Entry!O305</f>
        <v>2.0283975659229209E-3</v>
      </c>
      <c r="AH316" s="79" t="str">
        <f t="shared" si="8"/>
        <v>CAT1</v>
      </c>
      <c r="AI316" s="51">
        <f>SUBTOTAL(3,Tableau1[[#This Row],[ZS]])</f>
        <v>0</v>
      </c>
      <c r="AJ316" s="51" t="e">
        <f t="shared" ca="1" si="9"/>
        <v>#NAME?</v>
      </c>
      <c r="AK316" s="50" t="str">
        <f>IFERROR(IF((Data_Entry!O305-Data_Entry!Q305)/Data_Entry!O305&lt;=10%,"&lt;=10%","&gt;10%"),"&lt;=10%")</f>
        <v>&lt;=10%</v>
      </c>
    </row>
    <row r="317" spans="1:37" s="48" customFormat="1" ht="13" hidden="1" x14ac:dyDescent="0.3">
      <c r="A317" s="31" t="s">
        <v>16</v>
      </c>
      <c r="B317" s="48" t="str">
        <f>Data_Entry!B306</f>
        <v>Goma</v>
      </c>
      <c r="C317" s="48" t="str">
        <f>Data_Entry!C306</f>
        <v xml:space="preserve"> Kibirizi</v>
      </c>
      <c r="D317" s="48" t="str">
        <f>Data_Entry!D306</f>
        <v xml:space="preserve"> Nyanzale</v>
      </c>
      <c r="E317" s="49">
        <f>IFERROR(IF(Data_Entry!J306/Data_Entry!$I306&lt;0,0,Data_Entry!J306/Data_Entry!$I306),0)</f>
        <v>1.0366608867971265</v>
      </c>
      <c r="F317" s="49">
        <f>IFERROR(IF(Data_Entry!K306/Data_Entry!$H306&lt;0,0,Data_Entry!K306/Data_Entry!$H306),0)</f>
        <v>0.66221264194453455</v>
      </c>
      <c r="G317" s="49">
        <f>IFERROR(IF(Data_Entry!L306/Data_Entry!$H306&lt;0,0,Data_Entry!L306/Data_Entry!$H306),0)</f>
        <v>0.61536801775553218</v>
      </c>
      <c r="H317" s="49">
        <f>IFERROR(IF(Data_Entry!M306/Data_Entry!$H306&lt;0,0,Data_Entry!M306/Data_Entry!$H306),0)</f>
        <v>0.58555780236253063</v>
      </c>
      <c r="I317" s="49">
        <f>IFERROR(IF(Data_Entry!N306/Data_Entry!$H306&lt;0,0,Data_Entry!N306/Data_Entry!$H306),0)</f>
        <v>0.5525536353202789</v>
      </c>
      <c r="J317" s="49">
        <f>IFERROR(IF(Data_Entry!O306/Data_Entry!$H306&lt;0,0,Data_Entry!O306/Data_Entry!$H306),0)</f>
        <v>0.9698966508223007</v>
      </c>
      <c r="K317" s="49">
        <f>IFERROR(IF(Data_Entry!P306/Data_Entry!$H306&lt;0,0,Data_Entry!P306/Data_Entry!$H306),0)</f>
        <v>0.9262459782825484</v>
      </c>
      <c r="L317" s="49">
        <f>IFERROR(IF(Data_Entry!Q306/Data_Entry!$H306&lt;0,0,Data_Entry!Q306/Data_Entry!$H306),0)</f>
        <v>0.8985650639890469</v>
      </c>
      <c r="M317" s="49">
        <f>IFERROR(IF(Data_Entry!R306/Data_Entry!$H306&lt;0,0,Data_Entry!R306/Data_Entry!$H306),0)</f>
        <v>0.9698966508223007</v>
      </c>
      <c r="N317" s="49">
        <f>IFERROR(IF(Data_Entry!S306/Data_Entry!$H306&lt;0,0,Data_Entry!S306/Data_Entry!$H306),0)</f>
        <v>0.9262459782825484</v>
      </c>
      <c r="O317" s="49">
        <f>IFERROR(IF(Data_Entry!T306/Data_Entry!$H306&lt;0,0,Data_Entry!T306/Data_Entry!$H306),0)</f>
        <v>0.8985650639890469</v>
      </c>
      <c r="P317" s="49">
        <f>IFERROR(IF(Data_Entry!U306/Data_Entry!$H306&lt;0,0,Data_Entry!U306/Data_Entry!$H306),0)</f>
        <v>0.82616882660604318</v>
      </c>
      <c r="Q317" s="49">
        <f>IFERROR(IF(Data_Entry!V306/Data_Entry!$H306&lt;0,0,Data_Entry!V306/Data_Entry!$H306),0)</f>
        <v>0.78251815406629088</v>
      </c>
      <c r="R317" s="49">
        <f>IFERROR(IF(Data_Entry!W306/Data_Entry!$H306&lt;0,0,Data_Entry!W306/Data_Entry!$H306),0)</f>
        <v>0.75057863757378918</v>
      </c>
      <c r="S317" s="49">
        <f>IFERROR(IF(Data_Entry!X306/Data_Entry!$H306&lt;0,0,Data_Entry!X306/Data_Entry!$H306),0)</f>
        <v>1.0816849585460564</v>
      </c>
      <c r="T317" s="49">
        <f>IFERROR(IF(Data_Entry!Y306/Data_Entry!$H306&lt;0,0,Data_Entry!Y306/Data_Entry!$H306),0)</f>
        <v>0.30236075612901581</v>
      </c>
      <c r="U317" s="49">
        <f>IFERROR(IF(Data_Entry!Z306/Data_Entry!$H306&lt;0,0,Data_Entry!Z306/Data_Entry!$H306),0)</f>
        <v>1.6278506905678349</v>
      </c>
      <c r="V317" s="49">
        <f>IFERROR(IF(Data_Entry!AA306/Data_Entry!$H306&lt;0,0,Data_Entry!AA306/Data_Entry!$H306),0)</f>
        <v>0.8985650639890469</v>
      </c>
      <c r="W317" s="49">
        <f>IFERROR(IF(Data_Entry!AB306/Data_Entry!$H306&lt;0,0,Data_Entry!AB306/Data_Entry!$H306),0)</f>
        <v>0.91453482223529781</v>
      </c>
      <c r="X317" s="49">
        <f>IFERROR(IF(Data_Entry!AC306/Data_Entry!$I306&lt;0,0,Data_Entry!AC306/Data_Entry!$I306),0)</f>
        <v>0.68274708942283879</v>
      </c>
      <c r="Y317" s="49">
        <f>IFERROR(IF(Data_Entry!AD306/Data_Entry!$I306&lt;0,0,Data_Entry!AD306/Data_Entry!$I306),0)</f>
        <v>0.60193212781768646</v>
      </c>
      <c r="Z317" s="49">
        <f>IFERROR(IF(Data_Entry!AE306/Data_Entry!$I306&lt;0,0,Data_Entry!AE306/Data_Entry!$I306),0)</f>
        <v>0.52947733465444635</v>
      </c>
      <c r="AA317" s="49">
        <f>IFERROR(IF(Data_Entry!AF306/Data_Entry!$I306&lt;0,0,Data_Entry!AF306/Data_Entry!$I306),0)</f>
        <v>0.46445380232846173</v>
      </c>
      <c r="AB317" s="49">
        <f>IFERROR(IF(Data_Entry!AG306/Data_Entry!$I306&lt;0,0,Data_Entry!AG306/Data_Entry!$I306),0)</f>
        <v>0.41986623730492939</v>
      </c>
      <c r="AC317" s="49">
        <f>IFERROR(IF(Data_Entry!AI306/Data_Entry!$I306&lt;0,0,Data_Entry!AI306/Data_Entry!$I306),0)</f>
        <v>5.4155313351498639E-2</v>
      </c>
      <c r="AD317" s="49">
        <f>IFERROR(IF(Data_Entry!AM306/Data_Entry!$H306&lt;0,0,Data_Entry!AM306/Data_Entry!$H306),0)</f>
        <v>1.0816849585460564</v>
      </c>
      <c r="AE317" s="50">
        <f>Data_Entry!AK306</f>
        <v>28.275333333333265</v>
      </c>
      <c r="AF317" s="50">
        <f>Data_Entry!AL306</f>
        <v>0</v>
      </c>
      <c r="AG317" s="153">
        <f>(Data_Entry!O306-Data_Entry!Q306)/Data_Entry!O306</f>
        <v>7.3545554335894617E-2</v>
      </c>
      <c r="AH317" s="79" t="str">
        <f t="shared" si="8"/>
        <v>CAT1</v>
      </c>
      <c r="AI317" s="51">
        <f>SUBTOTAL(3,Tableau1[[#This Row],[ZS]])</f>
        <v>0</v>
      </c>
      <c r="AJ317" s="51" t="e">
        <f t="shared" ca="1" si="9"/>
        <v>#NAME?</v>
      </c>
      <c r="AK317" s="50" t="str">
        <f>IFERROR(IF((Data_Entry!O306-Data_Entry!Q306)/Data_Entry!O306&lt;=10%,"&lt;=10%","&gt;10%"),"&lt;=10%")</f>
        <v>&lt;=10%</v>
      </c>
    </row>
    <row r="318" spans="1:37" s="48" customFormat="1" ht="13" hidden="1" x14ac:dyDescent="0.3">
      <c r="A318" s="31" t="s">
        <v>16</v>
      </c>
      <c r="B318" s="48" t="str">
        <f>Data_Entry!B307</f>
        <v>Goma</v>
      </c>
      <c r="C318" s="48" t="str">
        <f>Data_Entry!C307</f>
        <v xml:space="preserve"> Kibirizi</v>
      </c>
      <c r="D318" s="48" t="str">
        <f>Data_Entry!D307</f>
        <v xml:space="preserve"> Nyarubande</v>
      </c>
      <c r="E318" s="49">
        <f>IFERROR(IF(Data_Entry!J307/Data_Entry!$I307&lt;0,0,Data_Entry!J307/Data_Entry!$I307),0)</f>
        <v>0.83872499554816893</v>
      </c>
      <c r="F318" s="49">
        <f>IFERROR(IF(Data_Entry!K307/Data_Entry!$H307&lt;0,0,Data_Entry!K307/Data_Entry!$H307),0)</f>
        <v>0</v>
      </c>
      <c r="G318" s="49">
        <f>IFERROR(IF(Data_Entry!L307/Data_Entry!$H307&lt;0,0,Data_Entry!L307/Data_Entry!$H307),0)</f>
        <v>1.0408866040785407</v>
      </c>
      <c r="H318" s="49">
        <f>IFERROR(IF(Data_Entry!M307/Data_Entry!$H307&lt;0,0,Data_Entry!M307/Data_Entry!$H307),0)</f>
        <v>1.0061903839425894</v>
      </c>
      <c r="I318" s="49">
        <f>IFERROR(IF(Data_Entry!N307/Data_Entry!$H307&lt;0,0,Data_Entry!N307/Data_Entry!$H307),0)</f>
        <v>0.99394465918872421</v>
      </c>
      <c r="J318" s="49">
        <f>IFERROR(IF(Data_Entry!O307/Data_Entry!$H307&lt;0,0,Data_Entry!O307/Data_Entry!$H307),0)</f>
        <v>1.0408866040785407</v>
      </c>
      <c r="K318" s="49">
        <f>IFERROR(IF(Data_Entry!P307/Data_Entry!$H307&lt;0,0,Data_Entry!P307/Data_Entry!$H307),0)</f>
        <v>1.0041494298169451</v>
      </c>
      <c r="L318" s="49">
        <f>IFERROR(IF(Data_Entry!Q307/Data_Entry!$H307&lt;0,0,Data_Entry!Q307/Data_Entry!$H307),0)</f>
        <v>0.99598561331436841</v>
      </c>
      <c r="M318" s="49">
        <f>IFERROR(IF(Data_Entry!R307/Data_Entry!$H307&lt;0,0,Data_Entry!R307/Data_Entry!$H307),0)</f>
        <v>1.0306818334503198</v>
      </c>
      <c r="N318" s="49">
        <f>IFERROR(IF(Data_Entry!S307/Data_Entry!$H307&lt;0,0,Data_Entry!S307/Data_Entry!$H307),0)</f>
        <v>1.0061903839425894</v>
      </c>
      <c r="O318" s="49">
        <f>IFERROR(IF(Data_Entry!T307/Data_Entry!$H307&lt;0,0,Data_Entry!T307/Data_Entry!$H307),0)</f>
        <v>0.99394465918872421</v>
      </c>
      <c r="P318" s="49">
        <f>IFERROR(IF(Data_Entry!U307/Data_Entry!$H307&lt;0,0,Data_Entry!U307/Data_Entry!$H307),0)</f>
        <v>0.91434744828860048</v>
      </c>
      <c r="Q318" s="49">
        <f>IFERROR(IF(Data_Entry!V307/Data_Entry!$H307&lt;0,0,Data_Entry!V307/Data_Entry!$H307),0)</f>
        <v>0.88577409052958178</v>
      </c>
      <c r="R318" s="49">
        <f>IFERROR(IF(Data_Entry!W307/Data_Entry!$H307&lt;0,0,Data_Entry!W307/Data_Entry!$H307),0)</f>
        <v>0.9633303473040612</v>
      </c>
      <c r="S318" s="49">
        <f>IFERROR(IF(Data_Entry!X307/Data_Entry!$H307&lt;0,0,Data_Entry!X307/Data_Entry!$H307),0)</f>
        <v>1.0592551912093384</v>
      </c>
      <c r="T318" s="49">
        <f>IFERROR(IF(Data_Entry!Y307/Data_Entry!$H307&lt;0,0,Data_Entry!Y307/Data_Entry!$H307),0)</f>
        <v>1.0796647324657804</v>
      </c>
      <c r="U318" s="49">
        <f>IFERROR(IF(Data_Entry!Z307/Data_Entry!$H307&lt;0,0,Data_Entry!Z307/Data_Entry!$H307),0)</f>
        <v>1.0306818334503198</v>
      </c>
      <c r="V318" s="49">
        <f>IFERROR(IF(Data_Entry!AA307/Data_Entry!$H307&lt;0,0,Data_Entry!AA307/Data_Entry!$H307),0)</f>
        <v>0.99394465918872421</v>
      </c>
      <c r="W318" s="49">
        <f>IFERROR(IF(Data_Entry!AB307/Data_Entry!$H307&lt;0,0,Data_Entry!AB307/Data_Entry!$H307),0)</f>
        <v>1.0327227875759639</v>
      </c>
      <c r="X318" s="49">
        <f>IFERROR(IF(Data_Entry!AC307/Data_Entry!$I307&lt;0,0,Data_Entry!AC307/Data_Entry!$I307),0)</f>
        <v>0.74968837181694081</v>
      </c>
      <c r="Y318" s="49">
        <f>IFERROR(IF(Data_Entry!AD307/Data_Entry!$I307&lt;0,0,Data_Entry!AD307/Data_Entry!$I307),0)</f>
        <v>0.5733958568291091</v>
      </c>
      <c r="Z318" s="49">
        <f>IFERROR(IF(Data_Entry!AE307/Data_Entry!$I307&lt;0,0,Data_Entry!AE307/Data_Entry!$I307),0)</f>
        <v>0.47723630319938271</v>
      </c>
      <c r="AA318" s="49">
        <f>IFERROR(IF(Data_Entry!AF307/Data_Entry!$I307&lt;0,0,Data_Entry!AF307/Data_Entry!$I307),0)</f>
        <v>0.26532913871905978</v>
      </c>
      <c r="AB318" s="49">
        <f>IFERROR(IF(Data_Entry!AG307/Data_Entry!$I307&lt;0,0,Data_Entry!AG307/Data_Entry!$I307),0)</f>
        <v>0.11574761085059655</v>
      </c>
      <c r="AC318" s="49">
        <f>IFERROR(IF(Data_Entry!AI307/Data_Entry!$I307&lt;0,0,Data_Entry!AI307/Data_Entry!$I307),0)</f>
        <v>0.10381670327061199</v>
      </c>
      <c r="AD318" s="49">
        <f>IFERROR(IF(Data_Entry!AM307/Data_Entry!$H307&lt;0,0,Data_Entry!AM307/Data_Entry!$H307),0)</f>
        <v>1.0306818334503198</v>
      </c>
      <c r="AE318" s="50">
        <f>Data_Entry!AK307</f>
        <v>0</v>
      </c>
      <c r="AF318" s="50">
        <f>Data_Entry!AL307</f>
        <v>0</v>
      </c>
      <c r="AG318" s="153">
        <f>(Data_Entry!O307-Data_Entry!Q307)/Data_Entry!O307</f>
        <v>4.3137254901960784E-2</v>
      </c>
      <c r="AH318" s="79" t="str">
        <f t="shared" si="8"/>
        <v>CAT1</v>
      </c>
      <c r="AI318" s="51">
        <f>SUBTOTAL(3,Tableau1[[#This Row],[ZS]])</f>
        <v>0</v>
      </c>
      <c r="AJ318" s="51" t="e">
        <f t="shared" ca="1" si="9"/>
        <v>#NAME?</v>
      </c>
      <c r="AK318" s="50" t="str">
        <f>IFERROR(IF((Data_Entry!O307-Data_Entry!Q307)/Data_Entry!O307&lt;=10%,"&lt;=10%","&gt;10%"),"&lt;=10%")</f>
        <v>&lt;=10%</v>
      </c>
    </row>
    <row r="319" spans="1:37" s="48" customFormat="1" ht="13" hidden="1" x14ac:dyDescent="0.3">
      <c r="A319" s="31" t="s">
        <v>16</v>
      </c>
      <c r="B319" s="48" t="str">
        <f>Data_Entry!B308</f>
        <v>Goma</v>
      </c>
      <c r="C319" s="48" t="str">
        <f>Data_Entry!C308</f>
        <v xml:space="preserve"> Kibirizi</v>
      </c>
      <c r="D319" s="48" t="str">
        <f>Data_Entry!D308</f>
        <v xml:space="preserve"> Singa</v>
      </c>
      <c r="E319" s="49">
        <f>IFERROR(IF(Data_Entry!J308/Data_Entry!$I308&lt;0,0,Data_Entry!J308/Data_Entry!$I308),0)</f>
        <v>0.88983050847457623</v>
      </c>
      <c r="F319" s="49">
        <f>IFERROR(IF(Data_Entry!K308/Data_Entry!$H308&lt;0,0,Data_Entry!K308/Data_Entry!$H308),0)</f>
        <v>0.77525631354929714</v>
      </c>
      <c r="G319" s="49">
        <f>IFERROR(IF(Data_Entry!L308/Data_Entry!$H308&lt;0,0,Data_Entry!L308/Data_Entry!$H308),0)</f>
        <v>0.91426779046158491</v>
      </c>
      <c r="H319" s="49">
        <f>IFERROR(IF(Data_Entry!M308/Data_Entry!$H308&lt;0,0,Data_Entry!M308/Data_Entry!$H308),0)</f>
        <v>0.90090130229694187</v>
      </c>
      <c r="I319" s="49">
        <f>IFERROR(IF(Data_Entry!N308/Data_Entry!$H308&lt;0,0,Data_Entry!N308/Data_Entry!$H308),0)</f>
        <v>0.88753481413229884</v>
      </c>
      <c r="J319" s="49">
        <f>IFERROR(IF(Data_Entry!O308/Data_Entry!$H308&lt;0,0,Data_Entry!O308/Data_Entry!$H308),0)</f>
        <v>1.0185263981458008</v>
      </c>
      <c r="K319" s="49">
        <f>IFERROR(IF(Data_Entry!P308/Data_Entry!$H308&lt;0,0,Data_Entry!P308/Data_Entry!$H308),0)</f>
        <v>0.9984766658988361</v>
      </c>
      <c r="L319" s="49">
        <f>IFERROR(IF(Data_Entry!Q308/Data_Entry!$H308&lt;0,0,Data_Entry!Q308/Data_Entry!$H308),0)</f>
        <v>0.98912012418358597</v>
      </c>
      <c r="M319" s="49">
        <f>IFERROR(IF(Data_Entry!R308/Data_Entry!$H308&lt;0,0,Data_Entry!R308/Data_Entry!$H308),0)</f>
        <v>0.91159449282865623</v>
      </c>
      <c r="N319" s="49">
        <f>IFERROR(IF(Data_Entry!S308/Data_Entry!$H308&lt;0,0,Data_Entry!S308/Data_Entry!$H308),0)</f>
        <v>0.89956465348047754</v>
      </c>
      <c r="O319" s="49">
        <f>IFERROR(IF(Data_Entry!T308/Data_Entry!$H308&lt;0,0,Data_Entry!T308/Data_Entry!$H308),0)</f>
        <v>0.88753481413229884</v>
      </c>
      <c r="P319" s="49">
        <f>IFERROR(IF(Data_Entry!U308/Data_Entry!$H308&lt;0,0,Data_Entry!U308/Data_Entry!$H308),0)</f>
        <v>0.91426779046158491</v>
      </c>
      <c r="Q319" s="49">
        <f>IFERROR(IF(Data_Entry!V308/Data_Entry!$H308&lt;0,0,Data_Entry!V308/Data_Entry!$H308),0)</f>
        <v>0.89956465348047754</v>
      </c>
      <c r="R319" s="49">
        <f>IFERROR(IF(Data_Entry!W308/Data_Entry!$H308&lt;0,0,Data_Entry!W308/Data_Entry!$H308),0)</f>
        <v>0.89020811176522741</v>
      </c>
      <c r="S319" s="49">
        <f>IFERROR(IF(Data_Entry!X308/Data_Entry!$H308&lt;0,0,Data_Entry!X308/Data_Entry!$H308),0)</f>
        <v>0.95303060613904977</v>
      </c>
      <c r="T319" s="49">
        <f>IFERROR(IF(Data_Entry!Y308/Data_Entry!$H308&lt;0,0,Data_Entry!Y308/Data_Entry!$H308),0)</f>
        <v>0.93298087389208517</v>
      </c>
      <c r="U319" s="49">
        <f>IFERROR(IF(Data_Entry!Z308/Data_Entry!$H308&lt;0,0,Data_Entry!Z308/Data_Entry!$H308),0)</f>
        <v>1.3620451439771273</v>
      </c>
      <c r="V319" s="49">
        <f>IFERROR(IF(Data_Entry!AA308/Data_Entry!$H308&lt;0,0,Data_Entry!AA308/Data_Entry!$H308),0)</f>
        <v>0.98778347536712174</v>
      </c>
      <c r="W319" s="49">
        <f>IFERROR(IF(Data_Entry!AB308/Data_Entry!$H308&lt;0,0,Data_Entry!AB308/Data_Entry!$H308),0)</f>
        <v>0.97174368956955004</v>
      </c>
      <c r="X319" s="49">
        <f>IFERROR(IF(Data_Entry!AC308/Data_Entry!$I308&lt;0,0,Data_Entry!AC308/Data_Entry!$I308),0)</f>
        <v>0.60177266366039495</v>
      </c>
      <c r="Y319" s="49">
        <f>IFERROR(IF(Data_Entry!AD308/Data_Entry!$I308&lt;0,0,Data_Entry!AD308/Data_Entry!$I308),0)</f>
        <v>0.37669102783392938</v>
      </c>
      <c r="Z319" s="49">
        <f>IFERROR(IF(Data_Entry!AE308/Data_Entry!$I308&lt;0,0,Data_Entry!AE308/Data_Entry!$I308),0)</f>
        <v>0.35803141035608771</v>
      </c>
      <c r="AA319" s="49">
        <f>IFERROR(IF(Data_Entry!AF308/Data_Entry!$I308&lt;0,0,Data_Entry!AF308/Data_Entry!$I308),0)</f>
        <v>0.18076504431659152</v>
      </c>
      <c r="AB319" s="49">
        <f>IFERROR(IF(Data_Entry!AG308/Data_Entry!$I308&lt;0,0,Data_Entry!AG308/Data_Entry!$I308),0)</f>
        <v>0.12245373969833619</v>
      </c>
      <c r="AC319" s="49">
        <f>IFERROR(IF(Data_Entry!AI308/Data_Entry!$I308&lt;0,0,Data_Entry!AI308/Data_Entry!$I308),0)</f>
        <v>6.799098118488571E-2</v>
      </c>
      <c r="AD319" s="49">
        <f>IFERROR(IF(Data_Entry!AM308/Data_Entry!$H308&lt;0,0,Data_Entry!AM308/Data_Entry!$H308),0)</f>
        <v>0.95303060613904977</v>
      </c>
      <c r="AE319" s="50">
        <f>Data_Entry!AK308</f>
        <v>0</v>
      </c>
      <c r="AF319" s="50">
        <f>Data_Entry!AL308</f>
        <v>49</v>
      </c>
      <c r="AG319" s="153">
        <f>(Data_Entry!O308-Data_Entry!Q308)/Data_Entry!O308</f>
        <v>2.8871391076115485E-2</v>
      </c>
      <c r="AH319" s="79" t="str">
        <f t="shared" si="8"/>
        <v>CAT1</v>
      </c>
      <c r="AI319" s="51">
        <f>SUBTOTAL(3,Tableau1[[#This Row],[ZS]])</f>
        <v>0</v>
      </c>
      <c r="AJ319" s="51" t="e">
        <f t="shared" ca="1" si="9"/>
        <v>#NAME?</v>
      </c>
      <c r="AK319" s="50" t="str">
        <f>IFERROR(IF((Data_Entry!O308-Data_Entry!Q308)/Data_Entry!O308&lt;=10%,"&lt;=10%","&gt;10%"),"&lt;=10%")</f>
        <v>&lt;=10%</v>
      </c>
    </row>
    <row r="320" spans="1:37" s="48" customFormat="1" ht="13" hidden="1" x14ac:dyDescent="0.3">
      <c r="A320" s="31" t="s">
        <v>16</v>
      </c>
      <c r="B320" s="48" t="str">
        <f>Data_Entry!B309</f>
        <v>Goma</v>
      </c>
      <c r="C320" s="48" t="str">
        <f>Data_Entry!C309</f>
        <v xml:space="preserve"> Kibirizi</v>
      </c>
      <c r="D320" s="48" t="str">
        <f>Data_Entry!D309</f>
        <v xml:space="preserve"> Tulizeni</v>
      </c>
      <c r="E320" s="49">
        <f>IFERROR(IF(Data_Entry!J309/Data_Entry!$I309&lt;0,0,Data_Entry!J309/Data_Entry!$I309),0)</f>
        <v>0.6823351023502654</v>
      </c>
      <c r="F320" s="49">
        <f>IFERROR(IF(Data_Entry!K309/Data_Entry!$H309&lt;0,0,Data_Entry!K309/Data_Entry!$H309),0)</f>
        <v>2.7930212949253599E-2</v>
      </c>
      <c r="G320" s="49">
        <f>IFERROR(IF(Data_Entry!L309/Data_Entry!$H309&lt;0,0,Data_Entry!L309/Data_Entry!$H309),0)</f>
        <v>0.67777316756855399</v>
      </c>
      <c r="H320" s="49">
        <f>IFERROR(IF(Data_Entry!M309/Data_Entry!$H309&lt;0,0,Data_Entry!M309/Data_Entry!$H309),0)</f>
        <v>0.64611892622606659</v>
      </c>
      <c r="I320" s="49">
        <f>IFERROR(IF(Data_Entry!N309/Data_Entry!$H309&lt;0,0,Data_Entry!N309/Data_Entry!$H309),0)</f>
        <v>0.58839648613094242</v>
      </c>
      <c r="J320" s="49">
        <f>IFERROR(IF(Data_Entry!O309/Data_Entry!$H309&lt;0,0,Data_Entry!O309/Data_Entry!$H309),0)</f>
        <v>0.72246150828735978</v>
      </c>
      <c r="K320" s="49">
        <f>IFERROR(IF(Data_Entry!P309/Data_Entry!$H309&lt;0,0,Data_Entry!P309/Data_Entry!$H309),0)</f>
        <v>0.67777316756855399</v>
      </c>
      <c r="L320" s="49">
        <f>IFERROR(IF(Data_Entry!Q309/Data_Entry!$H309&lt;0,0,Data_Entry!Q309/Data_Entry!$H309),0)</f>
        <v>0.66660108238885252</v>
      </c>
      <c r="M320" s="49">
        <f>IFERROR(IF(Data_Entry!R309/Data_Entry!$H309&lt;0,0,Data_Entry!R309/Data_Entry!$H309),0)</f>
        <v>0.74666769284337953</v>
      </c>
      <c r="N320" s="49">
        <f>IFERROR(IF(Data_Entry!S309/Data_Entry!$H309&lt;0,0,Data_Entry!S309/Data_Entry!$H309),0)</f>
        <v>0.68894525274825547</v>
      </c>
      <c r="O320" s="49">
        <f>IFERROR(IF(Data_Entry!T309/Data_Entry!$H309&lt;0,0,Data_Entry!T309/Data_Entry!$H309),0)</f>
        <v>0.66101503979900178</v>
      </c>
      <c r="P320" s="49">
        <f>IFERROR(IF(Data_Entry!U309/Data_Entry!$H309&lt;0,0,Data_Entry!U309/Data_Entry!$H309),0)</f>
        <v>0.65915302560238487</v>
      </c>
      <c r="Q320" s="49">
        <f>IFERROR(IF(Data_Entry!V309/Data_Entry!$H309&lt;0,0,Data_Entry!V309/Data_Entry!$H309),0)</f>
        <v>0.60329259970387772</v>
      </c>
      <c r="R320" s="49">
        <f>IFERROR(IF(Data_Entry!W309/Data_Entry!$H309&lt;0,0,Data_Entry!W309/Data_Entry!$H309),0)</f>
        <v>0.66660108238885252</v>
      </c>
      <c r="S320" s="49">
        <f>IFERROR(IF(Data_Entry!X309/Data_Entry!$H309&lt;0,0,Data_Entry!X309/Data_Entry!$H309),0)</f>
        <v>0.69825532373133992</v>
      </c>
      <c r="T320" s="49">
        <f>IFERROR(IF(Data_Entry!Y309/Data_Entry!$H309&lt;0,0,Data_Entry!Y309/Data_Entry!$H309),0)</f>
        <v>0.46736556335084356</v>
      </c>
      <c r="U320" s="49">
        <f>IFERROR(IF(Data_Entry!Z309/Data_Entry!$H309&lt;0,0,Data_Entry!Z309/Data_Entry!$H309),0)</f>
        <v>0.54370814541213675</v>
      </c>
      <c r="V320" s="49">
        <f>IFERROR(IF(Data_Entry!AA309/Data_Entry!$H309&lt;0,0,Data_Entry!AA309/Data_Entry!$H309),0)</f>
        <v>0.63680885524298203</v>
      </c>
      <c r="W320" s="49">
        <f>IFERROR(IF(Data_Entry!AB309/Data_Entry!$H309&lt;0,0,Data_Entry!AB309/Data_Entry!$H309),0)</f>
        <v>0.4822616769237788</v>
      </c>
      <c r="X320" s="49">
        <f>IFERROR(IF(Data_Entry!AC309/Data_Entry!$I309&lt;0,0,Data_Entry!AC309/Data_Entry!$I309),0)</f>
        <v>0.57836022961117728</v>
      </c>
      <c r="Y320" s="49">
        <f>IFERROR(IF(Data_Entry!AD309/Data_Entry!$I309&lt;0,0,Data_Entry!AD309/Data_Entry!$I309),0)</f>
        <v>0.48900682335102352</v>
      </c>
      <c r="Z320" s="49">
        <f>IFERROR(IF(Data_Entry!AE309/Data_Entry!$I309&lt;0,0,Data_Entry!AE309/Data_Entry!$I309),0)</f>
        <v>0.54911729665330877</v>
      </c>
      <c r="AA320" s="49">
        <f>IFERROR(IF(Data_Entry!AF309/Data_Entry!$I309&lt;0,0,Data_Entry!AF309/Data_Entry!$I309),0)</f>
        <v>0.31354922560381243</v>
      </c>
      <c r="AB320" s="49">
        <f>IFERROR(IF(Data_Entry!AG309/Data_Entry!$I309&lt;0,0,Data_Entry!AG309/Data_Entry!$I309),0)</f>
        <v>0.20307592331853136</v>
      </c>
      <c r="AC320" s="49">
        <f>IFERROR(IF(Data_Entry!AI309/Data_Entry!$I309&lt;0,0,Data_Entry!AI309/Data_Entry!$I309),0)</f>
        <v>9.471461063576303E-2</v>
      </c>
      <c r="AD320" s="49">
        <f>IFERROR(IF(Data_Entry!AM309/Data_Entry!$H309&lt;0,0,Data_Entry!AM309/Data_Entry!$H309),0)</f>
        <v>0.54370814541213675</v>
      </c>
      <c r="AE320" s="50">
        <f>Data_Entry!AK309</f>
        <v>149.0528333333333</v>
      </c>
      <c r="AF320" s="50">
        <f>Data_Entry!AL309</f>
        <v>13</v>
      </c>
      <c r="AG320" s="153">
        <f>(Data_Entry!O309-Data_Entry!Q309)/Data_Entry!O309</f>
        <v>7.7319587628865982E-2</v>
      </c>
      <c r="AH320" s="79" t="str">
        <f t="shared" si="8"/>
        <v>CAT3</v>
      </c>
      <c r="AI320" s="51">
        <f>SUBTOTAL(3,Tableau1[[#This Row],[ZS]])</f>
        <v>0</v>
      </c>
      <c r="AJ320" s="51" t="e">
        <f t="shared" ca="1" si="9"/>
        <v>#NAME?</v>
      </c>
      <c r="AK320" s="50" t="str">
        <f>IFERROR(IF((Data_Entry!O309-Data_Entry!Q309)/Data_Entry!O309&lt;=10%,"&lt;=10%","&gt;10%"),"&lt;=10%")</f>
        <v>&lt;=10%</v>
      </c>
    </row>
    <row r="321" spans="1:37" s="48" customFormat="1" ht="13" hidden="1" x14ac:dyDescent="0.3">
      <c r="A321" s="31" t="s">
        <v>16</v>
      </c>
      <c r="B321" s="48" t="str">
        <f>Data_Entry!B310</f>
        <v>Goma</v>
      </c>
      <c r="C321" s="48" t="str">
        <f>Data_Entry!C310</f>
        <v xml:space="preserve"> Kibirizi</v>
      </c>
      <c r="D321" s="48" t="str">
        <f>Data_Entry!D310</f>
        <v xml:space="preserve"> Vitshumbi</v>
      </c>
      <c r="E321" s="49">
        <f>IFERROR(IF(Data_Entry!J310/Data_Entry!$I310&lt;0,0,Data_Entry!J310/Data_Entry!$I310),0)</f>
        <v>0.98370064279155178</v>
      </c>
      <c r="F321" s="49">
        <f>IFERROR(IF(Data_Entry!K310/Data_Entry!$H310&lt;0,0,Data_Entry!K310/Data_Entry!$H310),0)</f>
        <v>0.97879024682879856</v>
      </c>
      <c r="G321" s="49">
        <f>IFERROR(IF(Data_Entry!L310/Data_Entry!$H310&lt;0,0,Data_Entry!L310/Data_Entry!$H310),0)</f>
        <v>0.96037215078632121</v>
      </c>
      <c r="H321" s="49">
        <f>IFERROR(IF(Data_Entry!M310/Data_Entry!$H310&lt;0,0,Data_Entry!M310/Data_Entry!$H310),0)</f>
        <v>0.94458521132134055</v>
      </c>
      <c r="I321" s="49">
        <f>IFERROR(IF(Data_Entry!N310/Data_Entry!$H310&lt;0,0,Data_Entry!N310/Data_Entry!$H310),0)</f>
        <v>0.94590078961008894</v>
      </c>
      <c r="J321" s="49">
        <f>IFERROR(IF(Data_Entry!O310/Data_Entry!$H310&lt;0,0,Data_Entry!O310/Data_Entry!$H310),0)</f>
        <v>0.98536813827254055</v>
      </c>
      <c r="K321" s="49">
        <f>IFERROR(IF(Data_Entry!P310/Data_Entry!$H310&lt;0,0,Data_Entry!P310/Data_Entry!$H310),0)</f>
        <v>0.98405255998379215</v>
      </c>
      <c r="L321" s="49">
        <f>IFERROR(IF(Data_Entry!Q310/Data_Entry!$H310&lt;0,0,Data_Entry!Q310/Data_Entry!$H310),0)</f>
        <v>0.98405255998379215</v>
      </c>
      <c r="M321" s="49">
        <f>IFERROR(IF(Data_Entry!R310/Data_Entry!$H310&lt;0,0,Data_Entry!R310/Data_Entry!$H310),0)</f>
        <v>0.98536813827254055</v>
      </c>
      <c r="N321" s="49">
        <f>IFERROR(IF(Data_Entry!S310/Data_Entry!$H310&lt;0,0,Data_Entry!S310/Data_Entry!$H310),0)</f>
        <v>0.98405255998379215</v>
      </c>
      <c r="O321" s="49">
        <f>IFERROR(IF(Data_Entry!T310/Data_Entry!$H310&lt;0,0,Data_Entry!T310/Data_Entry!$H310),0)</f>
        <v>0.98799929485003724</v>
      </c>
      <c r="P321" s="49">
        <f>IFERROR(IF(Data_Entry!U310/Data_Entry!$H310&lt;0,0,Data_Entry!U310/Data_Entry!$H310),0)</f>
        <v>0.97615909025130176</v>
      </c>
      <c r="Q321" s="49">
        <f>IFERROR(IF(Data_Entry!V310/Data_Entry!$H310&lt;0,0,Data_Entry!V310/Data_Entry!$H310),0)</f>
        <v>0.97747466854005016</v>
      </c>
      <c r="R321" s="49">
        <f>IFERROR(IF(Data_Entry!W310/Data_Entry!$H310&lt;0,0,Data_Entry!W310/Data_Entry!$H310),0)</f>
        <v>0.97747466854005016</v>
      </c>
      <c r="S321" s="49">
        <f>IFERROR(IF(Data_Entry!X310/Data_Entry!$H310&lt;0,0,Data_Entry!X310/Data_Entry!$H310),0)</f>
        <v>0.99589276458252762</v>
      </c>
      <c r="T321" s="49">
        <f>IFERROR(IF(Data_Entry!Y310/Data_Entry!$H310&lt;0,0,Data_Entry!Y310/Data_Entry!$H310),0)</f>
        <v>1.0064173908925147</v>
      </c>
      <c r="U321" s="49">
        <f>IFERROR(IF(Data_Entry!Z310/Data_Entry!$H310&lt;0,0,Data_Entry!Z310/Data_Entry!$H310),0)</f>
        <v>1.0077329691812631</v>
      </c>
      <c r="V321" s="49">
        <f>IFERROR(IF(Data_Entry!AA310/Data_Entry!$H310&lt;0,0,Data_Entry!AA310/Data_Entry!$H310),0)</f>
        <v>0.99194602971628243</v>
      </c>
      <c r="W321" s="49">
        <f>IFERROR(IF(Data_Entry!AB310/Data_Entry!$H310&lt;0,0,Data_Entry!AB310/Data_Entry!$H310),0)</f>
        <v>0.99589276458252762</v>
      </c>
      <c r="X321" s="49">
        <f>IFERROR(IF(Data_Entry!AC310/Data_Entry!$I310&lt;0,0,Data_Entry!AC310/Data_Entry!$I310),0)</f>
        <v>0.86776859504132231</v>
      </c>
      <c r="Y321" s="49">
        <f>IFERROR(IF(Data_Entry!AD310/Data_Entry!$I310&lt;0,0,Data_Entry!AD310/Data_Entry!$I310),0)</f>
        <v>0.79430670339761245</v>
      </c>
      <c r="Z321" s="49">
        <f>IFERROR(IF(Data_Entry!AE310/Data_Entry!$I310&lt;0,0,Data_Entry!AE310/Data_Entry!$I310),0)</f>
        <v>0.76905417814508714</v>
      </c>
      <c r="AA321" s="49">
        <f>IFERROR(IF(Data_Entry!AF310/Data_Entry!$I310&lt;0,0,Data_Entry!AF310/Data_Entry!$I310),0)</f>
        <v>0.72314049586776852</v>
      </c>
      <c r="AB321" s="49">
        <f>IFERROR(IF(Data_Entry!AG310/Data_Entry!$I310&lt;0,0,Data_Entry!AG310/Data_Entry!$I310),0)</f>
        <v>0.67148760330578505</v>
      </c>
      <c r="AC321" s="49">
        <f>IFERROR(IF(Data_Entry!AI310/Data_Entry!$I310&lt;0,0,Data_Entry!AI310/Data_Entry!$I310),0)</f>
        <v>6.6919191919191906E-2</v>
      </c>
      <c r="AD321" s="49">
        <f>IFERROR(IF(Data_Entry!AM310/Data_Entry!$H310&lt;0,0,Data_Entry!AM310/Data_Entry!$H310),0)</f>
        <v>0.99589276458252762</v>
      </c>
      <c r="AE321" s="50">
        <f>Data_Entry!AK310</f>
        <v>11.121999999999957</v>
      </c>
      <c r="AF321" s="50">
        <f>Data_Entry!AL310</f>
        <v>0</v>
      </c>
      <c r="AG321" s="153">
        <f>(Data_Entry!O310-Data_Entry!Q310)/Data_Entry!O310</f>
        <v>1.3351134846461949E-3</v>
      </c>
      <c r="AH321" s="79" t="str">
        <f t="shared" si="8"/>
        <v>CAT1</v>
      </c>
      <c r="AI321" s="51">
        <f>SUBTOTAL(3,Tableau1[[#This Row],[ZS]])</f>
        <v>0</v>
      </c>
      <c r="AJ321" s="51" t="e">
        <f t="shared" ca="1" si="9"/>
        <v>#NAME?</v>
      </c>
      <c r="AK321" s="50" t="str">
        <f>IFERROR(IF((Data_Entry!O310-Data_Entry!Q310)/Data_Entry!O310&lt;=10%,"&lt;=10%","&gt;10%"),"&lt;=10%")</f>
        <v>&lt;=10%</v>
      </c>
    </row>
    <row r="322" spans="1:37" s="48" customFormat="1" ht="13" hidden="1" x14ac:dyDescent="0.3">
      <c r="A322" s="31" t="s">
        <v>16</v>
      </c>
      <c r="B322" s="48" t="str">
        <f>Data_Entry!B311</f>
        <v>Goma</v>
      </c>
      <c r="C322" s="48" t="str">
        <f>Data_Entry!C311</f>
        <v xml:space="preserve"> Kibua</v>
      </c>
      <c r="D322" s="48" t="str">
        <f>Data_Entry!D311</f>
        <v xml:space="preserve"> Byungu</v>
      </c>
      <c r="E322" s="49">
        <f>IFERROR(IF(Data_Entry!J311/Data_Entry!$I311&lt;0,0,Data_Entry!J311/Data_Entry!$I311),0)</f>
        <v>0.62995096190116928</v>
      </c>
      <c r="F322" s="49">
        <f>IFERROR(IF(Data_Entry!K311/Data_Entry!$H311&lt;0,0,Data_Entry!K311/Data_Entry!$H311),0)</f>
        <v>0.25075686419894527</v>
      </c>
      <c r="G322" s="49">
        <f>IFERROR(IF(Data_Entry!L311/Data_Entry!$H311&lt;0,0,Data_Entry!L311/Data_Entry!$H311),0)</f>
        <v>0.84306187101369534</v>
      </c>
      <c r="H322" s="49">
        <f>IFERROR(IF(Data_Entry!M311/Data_Entry!$H311&lt;0,0,Data_Entry!M311/Data_Entry!$H311),0)</f>
        <v>0.79118114048977561</v>
      </c>
      <c r="I322" s="49">
        <f>IFERROR(IF(Data_Entry!N311/Data_Entry!$H311&lt;0,0,Data_Entry!N311/Data_Entry!$H311),0)</f>
        <v>0.81712150575173548</v>
      </c>
      <c r="J322" s="49">
        <f>IFERROR(IF(Data_Entry!O311/Data_Entry!$H311&lt;0,0,Data_Entry!O311/Data_Entry!$H311),0)</f>
        <v>0.84306187101369534</v>
      </c>
      <c r="K322" s="49">
        <f>IFERROR(IF(Data_Entry!P311/Data_Entry!$H311&lt;0,0,Data_Entry!P311/Data_Entry!$H311),0)</f>
        <v>0.74794719838650925</v>
      </c>
      <c r="L322" s="49">
        <f>IFERROR(IF(Data_Entry!Q311/Data_Entry!$H311&lt;0,0,Data_Entry!Q311/Data_Entry!$H311),0)</f>
        <v>0.81712150575173548</v>
      </c>
      <c r="M322" s="49">
        <f>IFERROR(IF(Data_Entry!R311/Data_Entry!$H311&lt;0,0,Data_Entry!R311/Data_Entry!$H311),0)</f>
        <v>0.84306187101369534</v>
      </c>
      <c r="N322" s="49">
        <f>IFERROR(IF(Data_Entry!S311/Data_Entry!$H311&lt;0,0,Data_Entry!S311/Data_Entry!$H311),0)</f>
        <v>0.77388756364846911</v>
      </c>
      <c r="O322" s="49">
        <f>IFERROR(IF(Data_Entry!T311/Data_Entry!$H311&lt;0,0,Data_Entry!T311/Data_Entry!$H311),0)</f>
        <v>0.81279811154140891</v>
      </c>
      <c r="P322" s="49">
        <f>IFERROR(IF(Data_Entry!U311/Data_Entry!$H311&lt;0,0,Data_Entry!U311/Data_Entry!$H311),0)</f>
        <v>0.84306187101369534</v>
      </c>
      <c r="Q322" s="49">
        <f>IFERROR(IF(Data_Entry!V311/Data_Entry!$H311&lt;0,0,Data_Entry!V311/Data_Entry!$H311),0)</f>
        <v>0.77388756364846911</v>
      </c>
      <c r="R322" s="49">
        <f>IFERROR(IF(Data_Entry!W311/Data_Entry!$H311&lt;0,0,Data_Entry!W311/Data_Entry!$H311),0)</f>
        <v>0.81712150575173548</v>
      </c>
      <c r="S322" s="49">
        <f>IFERROR(IF(Data_Entry!X311/Data_Entry!$H311&lt;0,0,Data_Entry!X311/Data_Entry!$H311),0)</f>
        <v>0.76091738101748918</v>
      </c>
      <c r="T322" s="49">
        <f>IFERROR(IF(Data_Entry!Y311/Data_Entry!$H311&lt;0,0,Data_Entry!Y311/Data_Entry!$H311),0)</f>
        <v>0.95979351469251473</v>
      </c>
      <c r="U322" s="49">
        <f>IFERROR(IF(Data_Entry!Z311/Data_Entry!$H311&lt;0,0,Data_Entry!Z311/Data_Entry!$H311),0)</f>
        <v>0.67877289102128291</v>
      </c>
      <c r="V322" s="49">
        <f>IFERROR(IF(Data_Entry!AA311/Data_Entry!$H311&lt;0,0,Data_Entry!AA311/Data_Entry!$H311),0)</f>
        <v>0.80415132312075555</v>
      </c>
      <c r="W322" s="49">
        <f>IFERROR(IF(Data_Entry!AB311/Data_Entry!$H311&lt;0,0,Data_Entry!AB311/Data_Entry!$H311),0)</f>
        <v>0.68309628523160959</v>
      </c>
      <c r="X322" s="49">
        <f>IFERROR(IF(Data_Entry!AC311/Data_Entry!$I311&lt;0,0,Data_Entry!AC311/Data_Entry!$I311),0)</f>
        <v>0.31308940022632964</v>
      </c>
      <c r="Y322" s="49">
        <f>IFERROR(IF(Data_Entry!AD311/Data_Entry!$I311&lt;0,0,Data_Entry!AD311/Data_Entry!$I311),0)</f>
        <v>0.23010184835910974</v>
      </c>
      <c r="Z322" s="49">
        <f>IFERROR(IF(Data_Entry!AE311/Data_Entry!$I311&lt;0,0,Data_Entry!AE311/Data_Entry!$I311),0)</f>
        <v>0.18483591097698979</v>
      </c>
      <c r="AA322" s="49">
        <f>IFERROR(IF(Data_Entry!AF311/Data_Entry!$I311&lt;0,0,Data_Entry!AF311/Data_Entry!$I311),0)</f>
        <v>0.24141833270463975</v>
      </c>
      <c r="AB322" s="49">
        <f>IFERROR(IF(Data_Entry!AG311/Data_Entry!$I311&lt;0,0,Data_Entry!AG311/Data_Entry!$I311),0)</f>
        <v>8.6759713315729903E-2</v>
      </c>
      <c r="AC322" s="49">
        <f>IFERROR(IF(Data_Entry!AI311/Data_Entry!$I311&lt;0,0,Data_Entry!AI311/Data_Entry!$I311),0)</f>
        <v>0.15729913240286683</v>
      </c>
      <c r="AD322" s="49">
        <f>IFERROR(IF(Data_Entry!AM311/Data_Entry!$H311&lt;0,0,Data_Entry!AM311/Data_Entry!$H311),0)</f>
        <v>0.67877289102128291</v>
      </c>
      <c r="AE322" s="50">
        <f>Data_Entry!AK311</f>
        <v>36.299750000000017</v>
      </c>
      <c r="AF322" s="50">
        <f>Data_Entry!AL311</f>
        <v>19</v>
      </c>
      <c r="AG322" s="153">
        <f>(Data_Entry!O311-Data_Entry!Q311)/Data_Entry!O311</f>
        <v>3.0769230769230771E-2</v>
      </c>
      <c r="AH322" s="79" t="str">
        <f t="shared" si="8"/>
        <v>CAT3</v>
      </c>
      <c r="AI322" s="51">
        <f>SUBTOTAL(3,Tableau1[[#This Row],[ZS]])</f>
        <v>0</v>
      </c>
      <c r="AJ322" s="51" t="e">
        <f t="shared" ca="1" si="9"/>
        <v>#NAME?</v>
      </c>
      <c r="AK322" s="50" t="str">
        <f>IFERROR(IF((Data_Entry!O311-Data_Entry!Q311)/Data_Entry!O311&lt;=10%,"&lt;=10%","&gt;10%"),"&lt;=10%")</f>
        <v>&lt;=10%</v>
      </c>
    </row>
    <row r="323" spans="1:37" s="48" customFormat="1" ht="13" hidden="1" x14ac:dyDescent="0.3">
      <c r="A323" s="31" t="s">
        <v>16</v>
      </c>
      <c r="B323" s="48" t="str">
        <f>Data_Entry!B312</f>
        <v>Goma</v>
      </c>
      <c r="C323" s="48" t="str">
        <f>Data_Entry!C312</f>
        <v xml:space="preserve"> Kibua</v>
      </c>
      <c r="D323" s="48" t="str">
        <f>Data_Entry!D312</f>
        <v xml:space="preserve"> Karambi</v>
      </c>
      <c r="E323" s="49">
        <f>IFERROR(IF(Data_Entry!J312/Data_Entry!$I312&lt;0,0,Data_Entry!J312/Data_Entry!$I312),0)</f>
        <v>1.0563657863618445</v>
      </c>
      <c r="F323" s="49">
        <f>IFERROR(IF(Data_Entry!K312/Data_Entry!$H312&lt;0,0,Data_Entry!K312/Data_Entry!$H312),0)</f>
        <v>0.20329495952736182</v>
      </c>
      <c r="G323" s="49">
        <f>IFERROR(IF(Data_Entry!L312/Data_Entry!$H312&lt;0,0,Data_Entry!L312/Data_Entry!$H312),0)</f>
        <v>0.94419214536041385</v>
      </c>
      <c r="H323" s="49">
        <f>IFERROR(IF(Data_Entry!M312/Data_Entry!$H312&lt;0,0,Data_Entry!M312/Data_Entry!$H312),0)</f>
        <v>0.84480349848037029</v>
      </c>
      <c r="I323" s="49">
        <f>IFERROR(IF(Data_Entry!N312/Data_Entry!$H312&lt;0,0,Data_Entry!N312/Data_Entry!$H312),0)</f>
        <v>0.79962684080762325</v>
      </c>
      <c r="J323" s="49">
        <f>IFERROR(IF(Data_Entry!O312/Data_Entry!$H312&lt;0,0,Data_Entry!O312/Data_Entry!$H312),0)</f>
        <v>1.0435807922404574</v>
      </c>
      <c r="K323" s="49">
        <f>IFERROR(IF(Data_Entry!P312/Data_Entry!$H312&lt;0,0,Data_Entry!P312/Data_Entry!$H312),0)</f>
        <v>0.95322747689496323</v>
      </c>
      <c r="L323" s="49">
        <f>IFERROR(IF(Data_Entry!Q312/Data_Entry!$H312&lt;0,0,Data_Entry!Q312/Data_Entry!$H312),0)</f>
        <v>0.9080508192222162</v>
      </c>
      <c r="M323" s="49">
        <f>IFERROR(IF(Data_Entry!R312/Data_Entry!$H312&lt;0,0,Data_Entry!R312/Data_Entry!$H312),0)</f>
        <v>0.9803334714986115</v>
      </c>
      <c r="N323" s="49">
        <f>IFERROR(IF(Data_Entry!S312/Data_Entry!$H312&lt;0,0,Data_Entry!S312/Data_Entry!$H312),0)</f>
        <v>0.88094482461856793</v>
      </c>
      <c r="O323" s="49">
        <f>IFERROR(IF(Data_Entry!T312/Data_Entry!$H312&lt;0,0,Data_Entry!T312/Data_Entry!$H312),0)</f>
        <v>0.9080508192222162</v>
      </c>
      <c r="P323" s="49">
        <f>IFERROR(IF(Data_Entry!U312/Data_Entry!$H312&lt;0,0,Data_Entry!U312/Data_Entry!$H312),0)</f>
        <v>1.0932751156804792</v>
      </c>
      <c r="Q323" s="49">
        <f>IFERROR(IF(Data_Entry!V312/Data_Entry!$H312&lt;0,0,Data_Entry!V312/Data_Entry!$H312),0)</f>
        <v>0.93515681382586446</v>
      </c>
      <c r="R323" s="49">
        <f>IFERROR(IF(Data_Entry!W312/Data_Entry!$H312&lt;0,0,Data_Entry!W312/Data_Entry!$H312),0)</f>
        <v>0.9080508192222162</v>
      </c>
      <c r="S323" s="49">
        <f>IFERROR(IF(Data_Entry!X312/Data_Entry!$H312&lt;0,0,Data_Entry!X312/Data_Entry!$H312),0)</f>
        <v>0.80866217234217264</v>
      </c>
      <c r="T323" s="49">
        <f>IFERROR(IF(Data_Entry!Y312/Data_Entry!$H312&lt;0,0,Data_Entry!Y312/Data_Entry!$H312),0)</f>
        <v>0.42917824789109721</v>
      </c>
      <c r="U323" s="49">
        <f>IFERROR(IF(Data_Entry!Z312/Data_Entry!$H312&lt;0,0,Data_Entry!Z312/Data_Entry!$H312),0)</f>
        <v>0.84480349848037029</v>
      </c>
      <c r="V323" s="49">
        <f>IFERROR(IF(Data_Entry!AA312/Data_Entry!$H312&lt;0,0,Data_Entry!AA312/Data_Entry!$H312),0)</f>
        <v>0.9080508192222162</v>
      </c>
      <c r="W323" s="49">
        <f>IFERROR(IF(Data_Entry!AB312/Data_Entry!$H312&lt;0,0,Data_Entry!AB312/Data_Entry!$H312),0)</f>
        <v>0.77252084620397499</v>
      </c>
      <c r="X323" s="49">
        <f>IFERROR(IF(Data_Entry!AC312/Data_Entry!$I312&lt;0,0,Data_Entry!AC312/Data_Entry!$I312),0)</f>
        <v>0.26803310997240831</v>
      </c>
      <c r="Y323" s="49">
        <f>IFERROR(IF(Data_Entry!AD312/Data_Entry!$I312&lt;0,0,Data_Entry!AD312/Data_Entry!$I312),0)</f>
        <v>0.20496649586125343</v>
      </c>
      <c r="Z323" s="49">
        <f>IFERROR(IF(Data_Entry!AE312/Data_Entry!$I312&lt;0,0,Data_Entry!AE312/Data_Entry!$I312),0)</f>
        <v>0.13401655498620416</v>
      </c>
      <c r="AA323" s="49">
        <f>IFERROR(IF(Data_Entry!AF312/Data_Entry!$I312&lt;0,0,Data_Entry!AF312/Data_Entry!$I312),0)</f>
        <v>0.16554986204178163</v>
      </c>
      <c r="AB323" s="49">
        <f>IFERROR(IF(Data_Entry!AG312/Data_Entry!$I312&lt;0,0,Data_Entry!AG312/Data_Entry!$I312),0)</f>
        <v>0.1497832085139929</v>
      </c>
      <c r="AC323" s="49">
        <f>IFERROR(IF(Data_Entry!AI312/Data_Entry!$I312&lt;0,0,Data_Entry!AI312/Data_Entry!$I312),0)</f>
        <v>0.19708316909735907</v>
      </c>
      <c r="AD323" s="49">
        <f>IFERROR(IF(Data_Entry!AM312/Data_Entry!$H312&lt;0,0,Data_Entry!AM312/Data_Entry!$H312),0)</f>
        <v>0.80866217234217264</v>
      </c>
      <c r="AE323" s="50">
        <f>Data_Entry!AK312</f>
        <v>0</v>
      </c>
      <c r="AF323" s="50">
        <f>Data_Entry!AL312</f>
        <v>52</v>
      </c>
      <c r="AG323" s="153">
        <f>(Data_Entry!O312-Data_Entry!Q312)/Data_Entry!O312</f>
        <v>0.12987012987012986</v>
      </c>
      <c r="AH323" s="79" t="str">
        <f t="shared" si="8"/>
        <v>CAT2</v>
      </c>
      <c r="AI323" s="51">
        <f>SUBTOTAL(3,Tableau1[[#This Row],[ZS]])</f>
        <v>0</v>
      </c>
      <c r="AJ323" s="51" t="e">
        <f t="shared" ca="1" si="9"/>
        <v>#NAME?</v>
      </c>
      <c r="AK323" s="50" t="str">
        <f>IFERROR(IF((Data_Entry!O312-Data_Entry!Q312)/Data_Entry!O312&lt;=10%,"&lt;=10%","&gt;10%"),"&lt;=10%")</f>
        <v>&gt;10%</v>
      </c>
    </row>
    <row r="324" spans="1:37" s="48" customFormat="1" ht="13" hidden="1" x14ac:dyDescent="0.3">
      <c r="A324" s="31" t="s">
        <v>16</v>
      </c>
      <c r="B324" s="48" t="str">
        <f>Data_Entry!B313</f>
        <v>Goma</v>
      </c>
      <c r="C324" s="48" t="str">
        <f>Data_Entry!C313</f>
        <v xml:space="preserve"> Kibua</v>
      </c>
      <c r="D324" s="48" t="str">
        <f>Data_Entry!D313</f>
        <v xml:space="preserve"> Kasuka</v>
      </c>
      <c r="E324" s="49">
        <f>IFERROR(IF(Data_Entry!J313/Data_Entry!$I313&lt;0,0,Data_Entry!J313/Data_Entry!$I313),0)</f>
        <v>0.76822061720288914</v>
      </c>
      <c r="F324" s="49">
        <f>IFERROR(IF(Data_Entry!K313/Data_Entry!$H313&lt;0,0,Data_Entry!K313/Data_Entry!$H313),0)</f>
        <v>0.4063763458864742</v>
      </c>
      <c r="G324" s="49">
        <f>IFERROR(IF(Data_Entry!L313/Data_Entry!$H313&lt;0,0,Data_Entry!L313/Data_Entry!$H313),0)</f>
        <v>0.72997232501829623</v>
      </c>
      <c r="H324" s="49">
        <f>IFERROR(IF(Data_Entry!M313/Data_Entry!$H313&lt;0,0,Data_Entry!M313/Data_Entry!$H313),0)</f>
        <v>0.79017622811258881</v>
      </c>
      <c r="I324" s="49">
        <f>IFERROR(IF(Data_Entry!N313/Data_Entry!$H313&lt;0,0,Data_Entry!N313/Data_Entry!$H313),0)</f>
        <v>0.86543110698045433</v>
      </c>
      <c r="J324" s="49">
        <f>IFERROR(IF(Data_Entry!O313/Data_Entry!$H313&lt;0,0,Data_Entry!O313/Data_Entry!$H313),0)</f>
        <v>0.88048208275402751</v>
      </c>
      <c r="K324" s="49">
        <f>IFERROR(IF(Data_Entry!P313/Data_Entry!$H313&lt;0,0,Data_Entry!P313/Data_Entry!$H313),0)</f>
        <v>1.0084153768293991</v>
      </c>
      <c r="L324" s="49">
        <f>IFERROR(IF(Data_Entry!Q313/Data_Entry!$H313&lt;0,0,Data_Entry!Q313/Data_Entry!$H313),0)</f>
        <v>1.128823183017984</v>
      </c>
      <c r="M324" s="49">
        <f>IFERROR(IF(Data_Entry!R313/Data_Entry!$H313&lt;0,0,Data_Entry!R313/Data_Entry!$H313),0)</f>
        <v>0.88048208275402751</v>
      </c>
      <c r="N324" s="49">
        <f>IFERROR(IF(Data_Entry!S313/Data_Entry!$H313&lt;0,0,Data_Entry!S313/Data_Entry!$H313),0)</f>
        <v>1.0084153768293991</v>
      </c>
      <c r="O324" s="49">
        <f>IFERROR(IF(Data_Entry!T313/Data_Entry!$H313&lt;0,0,Data_Entry!T313/Data_Entry!$H313),0)</f>
        <v>1.128823183017984</v>
      </c>
      <c r="P324" s="49">
        <f>IFERROR(IF(Data_Entry!U313/Data_Entry!$H313&lt;0,0,Data_Entry!U313/Data_Entry!$H313),0)</f>
        <v>0.90305854641438721</v>
      </c>
      <c r="Q324" s="49">
        <f>IFERROR(IF(Data_Entry!V313/Data_Entry!$H313&lt;0,0,Data_Entry!V313/Data_Entry!$H313),0)</f>
        <v>1.0460428162633317</v>
      </c>
      <c r="R324" s="49">
        <f>IFERROR(IF(Data_Entry!W313/Data_Entry!$H313&lt;0,0,Data_Entry!W313/Data_Entry!$H313),0)</f>
        <v>1.3470623317347941</v>
      </c>
      <c r="S324" s="49">
        <f>IFERROR(IF(Data_Entry!X313/Data_Entry!$H313&lt;0,0,Data_Entry!X313/Data_Entry!$H313),0)</f>
        <v>1.0234663526029721</v>
      </c>
      <c r="T324" s="49">
        <f>IFERROR(IF(Data_Entry!Y313/Data_Entry!$H313&lt;0,0,Data_Entry!Y313/Data_Entry!$H313),0)</f>
        <v>0.49668220052791295</v>
      </c>
      <c r="U324" s="49">
        <f>IFERROR(IF(Data_Entry!Z313/Data_Entry!$H313&lt;0,0,Data_Entry!Z313/Data_Entry!$H313),0)</f>
        <v>1.2943839165272883</v>
      </c>
      <c r="V324" s="49">
        <f>IFERROR(IF(Data_Entry!AA313/Data_Entry!$H313&lt;0,0,Data_Entry!AA313/Data_Entry!$H313),0)</f>
        <v>0.91058403430117374</v>
      </c>
      <c r="W324" s="49">
        <f>IFERROR(IF(Data_Entry!AB313/Data_Entry!$H313&lt;0,0,Data_Entry!AB313/Data_Entry!$H313),0)</f>
        <v>0.98583891316903927</v>
      </c>
      <c r="X324" s="49">
        <f>IFERROR(IF(Data_Entry!AC313/Data_Entry!$I313&lt;0,0,Data_Entry!AC313/Data_Entry!$I313),0)</f>
        <v>0.19041365725541695</v>
      </c>
      <c r="Y324" s="49">
        <f>IFERROR(IF(Data_Entry!AD313/Data_Entry!$I313&lt;0,0,Data_Entry!AD313/Data_Entry!$I313),0)</f>
        <v>0.17071569271175313</v>
      </c>
      <c r="Z324" s="49">
        <f>IFERROR(IF(Data_Entry!AE313/Data_Entry!$I313&lt;0,0,Data_Entry!AE313/Data_Entry!$I313),0)</f>
        <v>0.16414970453053188</v>
      </c>
      <c r="AA324" s="49">
        <f>IFERROR(IF(Data_Entry!AF313/Data_Entry!$I313&lt;0,0,Data_Entry!AF313/Data_Entry!$I313),0)</f>
        <v>0.11818778726198294</v>
      </c>
      <c r="AB324" s="49">
        <f>IFERROR(IF(Data_Entry!AG313/Data_Entry!$I313&lt;0,0,Data_Entry!AG313/Data_Entry!$I313),0)</f>
        <v>7.8791858174655297E-2</v>
      </c>
      <c r="AC324" s="49">
        <f>IFERROR(IF(Data_Entry!AI313/Data_Entry!$I313&lt;0,0,Data_Entry!AI313/Data_Entry!$I313),0)</f>
        <v>0.30072225869993435</v>
      </c>
      <c r="AD324" s="49">
        <f>IFERROR(IF(Data_Entry!AM313/Data_Entry!$H313&lt;0,0,Data_Entry!AM313/Data_Entry!$H313),0)</f>
        <v>1.0234663526029721</v>
      </c>
      <c r="AE324" s="50">
        <f>Data_Entry!AK313</f>
        <v>15.881750000000011</v>
      </c>
      <c r="AF324" s="50">
        <f>Data_Entry!AL313</f>
        <v>0</v>
      </c>
      <c r="AG324" s="153">
        <f>(Data_Entry!O313-Data_Entry!Q313)/Data_Entry!O313</f>
        <v>-0.28205128205128205</v>
      </c>
      <c r="AH324" s="79" t="str">
        <f t="shared" si="8"/>
        <v>CAT3</v>
      </c>
      <c r="AI324" s="51">
        <f>SUBTOTAL(3,Tableau1[[#This Row],[ZS]])</f>
        <v>0</v>
      </c>
      <c r="AJ324" s="51" t="e">
        <f t="shared" ca="1" si="9"/>
        <v>#NAME?</v>
      </c>
      <c r="AK324" s="50" t="str">
        <f>IFERROR(IF((Data_Entry!O313-Data_Entry!Q313)/Data_Entry!O313&lt;=10%,"&lt;=10%","&gt;10%"),"&lt;=10%")</f>
        <v>&lt;=10%</v>
      </c>
    </row>
    <row r="325" spans="1:37" s="48" customFormat="1" ht="13" hidden="1" x14ac:dyDescent="0.3">
      <c r="A325" s="31" t="s">
        <v>16</v>
      </c>
      <c r="B325" s="48" t="str">
        <f>Data_Entry!B314</f>
        <v>Goma</v>
      </c>
      <c r="C325" s="48" t="str">
        <f>Data_Entry!C314</f>
        <v xml:space="preserve"> Kibua</v>
      </c>
      <c r="D325" s="48" t="str">
        <f>Data_Entry!D314</f>
        <v xml:space="preserve"> Katwa</v>
      </c>
      <c r="E325" s="49">
        <f>IFERROR(IF(Data_Entry!J314/Data_Entry!$I314&lt;0,0,Data_Entry!J314/Data_Entry!$I314),0)</f>
        <v>0.74150360453141084</v>
      </c>
      <c r="F325" s="49">
        <f>IFERROR(IF(Data_Entry!K314/Data_Entry!$H314&lt;0,0,Data_Entry!K314/Data_Entry!$H314),0)</f>
        <v>0.24079391169119357</v>
      </c>
      <c r="G325" s="49">
        <f>IFERROR(IF(Data_Entry!L314/Data_Entry!$H314&lt;0,0,Data_Entry!L314/Data_Entry!$H314),0)</f>
        <v>0.69405303958049913</v>
      </c>
      <c r="H325" s="49">
        <f>IFERROR(IF(Data_Entry!M314/Data_Entry!$H314&lt;0,0,Data_Entry!M314/Data_Entry!$H314),0)</f>
        <v>0.79320347380628475</v>
      </c>
      <c r="I325" s="49">
        <f>IFERROR(IF(Data_Entry!N314/Data_Entry!$H314&lt;0,0,Data_Entry!N314/Data_Entry!$H314),0)</f>
        <v>0.59490260535471351</v>
      </c>
      <c r="J325" s="49">
        <f>IFERROR(IF(Data_Entry!O314/Data_Entry!$H314&lt;0,0,Data_Entry!O314/Data_Entry!$H314),0)</f>
        <v>1.6572286863452734</v>
      </c>
      <c r="K325" s="49">
        <f>IFERROR(IF(Data_Entry!P314/Data_Entry!$H314&lt;0,0,Data_Entry!P314/Data_Entry!$H314),0)</f>
        <v>0.97733999451131515</v>
      </c>
      <c r="L325" s="49">
        <f>IFERROR(IF(Data_Entry!Q314/Data_Entry!$H314&lt;0,0,Data_Entry!Q314/Data_Entry!$H314),0)</f>
        <v>0.80028564767955512</v>
      </c>
      <c r="M325" s="49">
        <f>IFERROR(IF(Data_Entry!R314/Data_Entry!$H314&lt;0,0,Data_Entry!R314/Data_Entry!$H314),0)</f>
        <v>1.0127508638776672</v>
      </c>
      <c r="N325" s="49">
        <f>IFERROR(IF(Data_Entry!S314/Data_Entry!$H314&lt;0,0,Data_Entry!S314/Data_Entry!$H314),0)</f>
        <v>0.99858651613112637</v>
      </c>
      <c r="O325" s="49">
        <f>IFERROR(IF(Data_Entry!T314/Data_Entry!$H314&lt;0,0,Data_Entry!T314/Data_Entry!$H314),0)</f>
        <v>0.78612129993301438</v>
      </c>
      <c r="P325" s="49">
        <f>IFERROR(IF(Data_Entry!U314/Data_Entry!$H314&lt;0,0,Data_Entry!U314/Data_Entry!$H314),0)</f>
        <v>1.0198330377509375</v>
      </c>
      <c r="Q325" s="49">
        <f>IFERROR(IF(Data_Entry!V314/Data_Entry!$H314&lt;0,0,Data_Entry!V314/Data_Entry!$H314),0)</f>
        <v>0.99858651613112637</v>
      </c>
      <c r="R325" s="49">
        <f>IFERROR(IF(Data_Entry!W314/Data_Entry!$H314&lt;0,0,Data_Entry!W314/Data_Entry!$H314),0)</f>
        <v>0.87110738641225915</v>
      </c>
      <c r="S325" s="49">
        <f>IFERROR(IF(Data_Entry!X314/Data_Entry!$H314&lt;0,0,Data_Entry!X314/Data_Entry!$H314),0)</f>
        <v>0.89235390803207038</v>
      </c>
      <c r="T325" s="49">
        <f>IFERROR(IF(Data_Entry!Y314/Data_Entry!$H314&lt;0,0,Data_Entry!Y314/Data_Entry!$H314),0)</f>
        <v>0.6232313008477951</v>
      </c>
      <c r="U325" s="49">
        <f>IFERROR(IF(Data_Entry!Z314/Data_Entry!$H314&lt;0,0,Data_Entry!Z314/Data_Entry!$H314),0)</f>
        <v>0.78612129993301438</v>
      </c>
      <c r="V325" s="49">
        <f>IFERROR(IF(Data_Entry!AA314/Data_Entry!$H314&lt;0,0,Data_Entry!AA314/Data_Entry!$H314),0)</f>
        <v>0.75779260443993279</v>
      </c>
      <c r="W325" s="49">
        <f>IFERROR(IF(Data_Entry!AB314/Data_Entry!$H314&lt;0,0,Data_Entry!AB314/Data_Entry!$H314),0)</f>
        <v>0.8569430386657183</v>
      </c>
      <c r="X325" s="49">
        <f>IFERROR(IF(Data_Entry!AC314/Data_Entry!$I314&lt;0,0,Data_Entry!AC314/Data_Entry!$I314),0)</f>
        <v>0.29660144181256437</v>
      </c>
      <c r="Y325" s="49">
        <f>IFERROR(IF(Data_Entry!AD314/Data_Entry!$I314&lt;0,0,Data_Entry!AD314/Data_Entry!$I314),0)</f>
        <v>0.16683831101956745</v>
      </c>
      <c r="Z325" s="49">
        <f>IFERROR(IF(Data_Entry!AE314/Data_Entry!$I314&lt;0,0,Data_Entry!AE314/Data_Entry!$I314),0)</f>
        <v>0.16065911431513902</v>
      </c>
      <c r="AA325" s="49">
        <f>IFERROR(IF(Data_Entry!AF314/Data_Entry!$I314&lt;0,0,Data_Entry!AF314/Data_Entry!$I314),0)</f>
        <v>0.11122554067971163</v>
      </c>
      <c r="AB325" s="49">
        <f>IFERROR(IF(Data_Entry!AG314/Data_Entry!$I314&lt;0,0,Data_Entry!AG314/Data_Entry!$I314),0)</f>
        <v>9.2687950566426355E-2</v>
      </c>
      <c r="AC325" s="49">
        <f>IFERROR(IF(Data_Entry!AI314/Data_Entry!$I314&lt;0,0,Data_Entry!AI314/Data_Entry!$I314),0)</f>
        <v>0.25767250257466529</v>
      </c>
      <c r="AD325" s="49">
        <f>IFERROR(IF(Data_Entry!AM314/Data_Entry!$H314&lt;0,0,Data_Entry!AM314/Data_Entry!$H314),0)</f>
        <v>0.78612129993301438</v>
      </c>
      <c r="AE325" s="50">
        <f>Data_Entry!AK314</f>
        <v>0</v>
      </c>
      <c r="AF325" s="50">
        <f>Data_Entry!AL314</f>
        <v>108</v>
      </c>
      <c r="AG325" s="153">
        <f>(Data_Entry!O314-Data_Entry!Q314)/Data_Entry!O314</f>
        <v>0.51709401709401714</v>
      </c>
      <c r="AH325" s="79" t="str">
        <f t="shared" si="8"/>
        <v>CAT2</v>
      </c>
      <c r="AI325" s="51">
        <f>SUBTOTAL(3,Tableau1[[#This Row],[ZS]])</f>
        <v>0</v>
      </c>
      <c r="AJ325" s="51" t="e">
        <f t="shared" ca="1" si="9"/>
        <v>#NAME?</v>
      </c>
      <c r="AK325" s="50" t="str">
        <f>IFERROR(IF((Data_Entry!O314-Data_Entry!Q314)/Data_Entry!O314&lt;=10%,"&lt;=10%","&gt;10%"),"&lt;=10%")</f>
        <v>&gt;10%</v>
      </c>
    </row>
    <row r="326" spans="1:37" s="48" customFormat="1" ht="13" hidden="1" x14ac:dyDescent="0.3">
      <c r="A326" s="31" t="s">
        <v>16</v>
      </c>
      <c r="B326" s="48" t="str">
        <f>Data_Entry!B315</f>
        <v>Goma</v>
      </c>
      <c r="C326" s="48" t="str">
        <f>Data_Entry!C315</f>
        <v xml:space="preserve"> Kibua</v>
      </c>
      <c r="D326" s="48" t="str">
        <f>Data_Entry!D315</f>
        <v xml:space="preserve"> Kibati</v>
      </c>
      <c r="E326" s="49">
        <f>IFERROR(IF(Data_Entry!J315/Data_Entry!$I315&lt;0,0,Data_Entry!J315/Data_Entry!$I315),0)</f>
        <v>0.87385321100917435</v>
      </c>
      <c r="F326" s="49">
        <f>IFERROR(IF(Data_Entry!K315/Data_Entry!$H315&lt;0,0,Data_Entry!K315/Data_Entry!$H315),0)</f>
        <v>0.26287426723798007</v>
      </c>
      <c r="G326" s="49">
        <f>IFERROR(IF(Data_Entry!L315/Data_Entry!$H315&lt;0,0,Data_Entry!L315/Data_Entry!$H315),0)</f>
        <v>0.65455692542257038</v>
      </c>
      <c r="H326" s="49">
        <f>IFERROR(IF(Data_Entry!M315/Data_Entry!$H315&lt;0,0,Data_Entry!M315/Data_Entry!$H315),0)</f>
        <v>0.63878446938829159</v>
      </c>
      <c r="I326" s="49">
        <f>IFERROR(IF(Data_Entry!N315/Data_Entry!$H315&lt;0,0,Data_Entry!N315/Data_Entry!$H315),0)</f>
        <v>0.64404195473305115</v>
      </c>
      <c r="J326" s="49">
        <f>IFERROR(IF(Data_Entry!O315/Data_Entry!$H315&lt;0,0,Data_Entry!O315/Data_Entry!$H315),0)</f>
        <v>0.96474856076338678</v>
      </c>
      <c r="K326" s="49">
        <f>IFERROR(IF(Data_Entry!P315/Data_Entry!$H315&lt;0,0,Data_Entry!P315/Data_Entry!$H315),0)</f>
        <v>0.89902999395389183</v>
      </c>
      <c r="L326" s="49">
        <f>IFERROR(IF(Data_Entry!Q315/Data_Entry!$H315&lt;0,0,Data_Entry!Q315/Data_Entry!$H315),0)</f>
        <v>0.92531742067768985</v>
      </c>
      <c r="M326" s="49">
        <f>IFERROR(IF(Data_Entry!R315/Data_Entry!$H315&lt;0,0,Data_Entry!R315/Data_Entry!$H315),0)</f>
        <v>0.96474856076338678</v>
      </c>
      <c r="N326" s="49">
        <f>IFERROR(IF(Data_Entry!S315/Data_Entry!$H315&lt;0,0,Data_Entry!S315/Data_Entry!$H315),0)</f>
        <v>0.90165873662627161</v>
      </c>
      <c r="O326" s="49">
        <f>IFERROR(IF(Data_Entry!T315/Data_Entry!$H315&lt;0,0,Data_Entry!T315/Data_Entry!$H315),0)</f>
        <v>0.92531742067768985</v>
      </c>
      <c r="P326" s="49">
        <f>IFERROR(IF(Data_Entry!U315/Data_Entry!$H315&lt;0,0,Data_Entry!U315/Data_Entry!$H315),0)</f>
        <v>0.96474856076338678</v>
      </c>
      <c r="Q326" s="49">
        <f>IFERROR(IF(Data_Entry!V315/Data_Entry!$H315&lt;0,0,Data_Entry!V315/Data_Entry!$H315),0)</f>
        <v>0.8727425672300938</v>
      </c>
      <c r="R326" s="49">
        <f>IFERROR(IF(Data_Entry!W315/Data_Entry!$H315&lt;0,0,Data_Entry!W315/Data_Entry!$H315),0)</f>
        <v>0.92531742067768985</v>
      </c>
      <c r="S326" s="49">
        <f>IFERROR(IF(Data_Entry!X315/Data_Entry!$H315&lt;0,0,Data_Entry!X315/Data_Entry!$H315),0)</f>
        <v>0.93057490602244941</v>
      </c>
      <c r="T326" s="49">
        <f>IFERROR(IF(Data_Entry!Y315/Data_Entry!$H315&lt;0,0,Data_Entry!Y315/Data_Entry!$H315),0)</f>
        <v>0.3627664887884125</v>
      </c>
      <c r="U326" s="49">
        <f>IFERROR(IF(Data_Entry!Z315/Data_Entry!$H315&lt;0,0,Data_Entry!Z315/Data_Entry!$H315),0)</f>
        <v>1.1303593491233141</v>
      </c>
      <c r="V326" s="49">
        <f>IFERROR(IF(Data_Entry!AA315/Data_Entry!$H315&lt;0,0,Data_Entry!AA315/Data_Entry!$H315),0)</f>
        <v>0.88588628059199281</v>
      </c>
      <c r="W326" s="49">
        <f>IFERROR(IF(Data_Entry!AB315/Data_Entry!$H315&lt;0,0,Data_Entry!AB315/Data_Entry!$H315),0)</f>
        <v>0.83331142714439677</v>
      </c>
      <c r="X326" s="49">
        <f>IFERROR(IF(Data_Entry!AC315/Data_Entry!$I315&lt;0,0,Data_Entry!AC315/Data_Entry!$I315),0)</f>
        <v>0.14908256880733944</v>
      </c>
      <c r="Y326" s="49">
        <f>IFERROR(IF(Data_Entry!AD315/Data_Entry!$I315&lt;0,0,Data_Entry!AD315/Data_Entry!$I315),0)</f>
        <v>0.1628440366972477</v>
      </c>
      <c r="Z326" s="49">
        <f>IFERROR(IF(Data_Entry!AE315/Data_Entry!$I315&lt;0,0,Data_Entry!AE315/Data_Entry!$I315),0)</f>
        <v>0.13073394495412843</v>
      </c>
      <c r="AA326" s="49">
        <f>IFERROR(IF(Data_Entry!AF315/Data_Entry!$I315&lt;0,0,Data_Entry!AF315/Data_Entry!$I315),0)</f>
        <v>9.6330275229357804E-2</v>
      </c>
      <c r="AB326" s="49">
        <f>IFERROR(IF(Data_Entry!AG315/Data_Entry!$I315&lt;0,0,Data_Entry!AG315/Data_Entry!$I315),0)</f>
        <v>7.5688073394495417E-2</v>
      </c>
      <c r="AC326" s="49">
        <f>IFERROR(IF(Data_Entry!AI315/Data_Entry!$I315&lt;0,0,Data_Entry!AI315/Data_Entry!$I315),0)</f>
        <v>8.6009174311926603E-2</v>
      </c>
      <c r="AD326" s="49">
        <f>IFERROR(IF(Data_Entry!AM315/Data_Entry!$H315&lt;0,0,Data_Entry!AM315/Data_Entry!$H315),0)</f>
        <v>0.93057490602244941</v>
      </c>
      <c r="AE326" s="50">
        <f>Data_Entry!AK315</f>
        <v>13.410000000000025</v>
      </c>
      <c r="AF326" s="50">
        <f>Data_Entry!AL315</f>
        <v>13</v>
      </c>
      <c r="AG326" s="153">
        <f>(Data_Entry!O315-Data_Entry!Q315)/Data_Entry!O315</f>
        <v>4.0871934604904632E-2</v>
      </c>
      <c r="AH326" s="79" t="str">
        <f t="shared" si="8"/>
        <v>CAT1</v>
      </c>
      <c r="AI326" s="51">
        <f>SUBTOTAL(3,Tableau1[[#This Row],[ZS]])</f>
        <v>0</v>
      </c>
      <c r="AJ326" s="51" t="e">
        <f t="shared" ca="1" si="9"/>
        <v>#NAME?</v>
      </c>
      <c r="AK326" s="50" t="str">
        <f>IFERROR(IF((Data_Entry!O315-Data_Entry!Q315)/Data_Entry!O315&lt;=10%,"&lt;=10%","&gt;10%"),"&lt;=10%")</f>
        <v>&lt;=10%</v>
      </c>
    </row>
    <row r="327" spans="1:37" s="48" customFormat="1" ht="13" hidden="1" x14ac:dyDescent="0.3">
      <c r="A327" s="31" t="s">
        <v>16</v>
      </c>
      <c r="B327" s="48" t="str">
        <f>Data_Entry!B316</f>
        <v>Goma</v>
      </c>
      <c r="C327" s="48" t="str">
        <f>Data_Entry!C316</f>
        <v xml:space="preserve"> Kibua</v>
      </c>
      <c r="D327" s="48" t="str">
        <f>Data_Entry!D316</f>
        <v xml:space="preserve"> Kibua</v>
      </c>
      <c r="E327" s="49">
        <f>IFERROR(IF(Data_Entry!J316/Data_Entry!$I316&lt;0,0,Data_Entry!J316/Data_Entry!$I316),0)</f>
        <v>0.82964601769911495</v>
      </c>
      <c r="F327" s="49">
        <f>IFERROR(IF(Data_Entry!K316/Data_Entry!$H316&lt;0,0,Data_Entry!K316/Data_Entry!$H316),0)</f>
        <v>0.29715115247102974</v>
      </c>
      <c r="G327" s="49">
        <f>IFERROR(IF(Data_Entry!L316/Data_Entry!$H316&lt;0,0,Data_Entry!L316/Data_Entry!$H316),0)</f>
        <v>0.65373253543626542</v>
      </c>
      <c r="H327" s="49">
        <f>IFERROR(IF(Data_Entry!M316/Data_Entry!$H316&lt;0,0,Data_Entry!M316/Data_Entry!$H316),0)</f>
        <v>0.62045160635951013</v>
      </c>
      <c r="I327" s="49">
        <f>IFERROR(IF(Data_Entry!N316/Data_Entry!$H316&lt;0,0,Data_Entry!N316/Data_Entry!$H316),0)</f>
        <v>0.75119811344676313</v>
      </c>
      <c r="J327" s="49">
        <f>IFERROR(IF(Data_Entry!O316/Data_Entry!$H316&lt;0,0,Data_Entry!O316/Data_Entry!$H316),0)</f>
        <v>1.1363060070492177</v>
      </c>
      <c r="K327" s="49">
        <f>IFERROR(IF(Data_Entry!P316/Data_Entry!$H316&lt;0,0,Data_Entry!P316/Data_Entry!$H316),0)</f>
        <v>1.0792529857747799</v>
      </c>
      <c r="L327" s="49">
        <f>IFERROR(IF(Data_Entry!Q316/Data_Entry!$H316&lt;0,0,Data_Entry!Q316/Data_Entry!$H316),0)</f>
        <v>1.0079367091817328</v>
      </c>
      <c r="M327" s="49">
        <f>IFERROR(IF(Data_Entry!R316/Data_Entry!$H316&lt;0,0,Data_Entry!R316/Data_Entry!$H316),0)</f>
        <v>1.1125339148515354</v>
      </c>
      <c r="N327" s="49">
        <f>IFERROR(IF(Data_Entry!S316/Data_Entry!$H316&lt;0,0,Data_Entry!S316/Data_Entry!$H316),0)</f>
        <v>1.0792529857747799</v>
      </c>
      <c r="O327" s="49">
        <f>IFERROR(IF(Data_Entry!T316/Data_Entry!$H316&lt;0,0,Data_Entry!T316/Data_Entry!$H316),0)</f>
        <v>1.0079367091817328</v>
      </c>
      <c r="P327" s="49">
        <f>IFERROR(IF(Data_Entry!U316/Data_Entry!$H316&lt;0,0,Data_Entry!U316/Data_Entry!$H316),0)</f>
        <v>1.1363060070492177</v>
      </c>
      <c r="Q327" s="49">
        <f>IFERROR(IF(Data_Entry!V316/Data_Entry!$H316&lt;0,0,Data_Entry!V316/Data_Entry!$H316),0)</f>
        <v>1.0792529857747799</v>
      </c>
      <c r="R327" s="49">
        <f>IFERROR(IF(Data_Entry!W316/Data_Entry!$H316&lt;0,0,Data_Entry!W316/Data_Entry!$H316),0)</f>
        <v>0.9960506630828917</v>
      </c>
      <c r="S327" s="49">
        <f>IFERROR(IF(Data_Entry!X316/Data_Entry!$H316&lt;0,0,Data_Entry!X316/Data_Entry!$H316),0)</f>
        <v>0.85817252833633384</v>
      </c>
      <c r="T327" s="49">
        <f>IFERROR(IF(Data_Entry!Y316/Data_Entry!$H316&lt;0,0,Data_Entry!Y316/Data_Entry!$H316),0)</f>
        <v>0.58003904962344999</v>
      </c>
      <c r="U327" s="49">
        <f>IFERROR(IF(Data_Entry!Z316/Data_Entry!$H316&lt;0,0,Data_Entry!Z316/Data_Entry!$H316),0)</f>
        <v>0.99367345386312345</v>
      </c>
      <c r="V327" s="49">
        <f>IFERROR(IF(Data_Entry!AA316/Data_Entry!$H316&lt;0,0,Data_Entry!AA316/Data_Entry!$H316),0)</f>
        <v>0.92473438648984452</v>
      </c>
      <c r="W327" s="49">
        <f>IFERROR(IF(Data_Entry!AB316/Data_Entry!$H316&lt;0,0,Data_Entry!AB316/Data_Entry!$H316),0)</f>
        <v>0.66561858153510656</v>
      </c>
      <c r="X327" s="49">
        <f>IFERROR(IF(Data_Entry!AC316/Data_Entry!$I316&lt;0,0,Data_Entry!AC316/Data_Entry!$I316),0)</f>
        <v>9.5409292035398219E-2</v>
      </c>
      <c r="Y327" s="49">
        <f>IFERROR(IF(Data_Entry!AD316/Data_Entry!$I316&lt;0,0,Data_Entry!AD316/Data_Entry!$I316),0)</f>
        <v>9.5409292035398219E-2</v>
      </c>
      <c r="Z327" s="49">
        <f>IFERROR(IF(Data_Entry!AE316/Data_Entry!$I316&lt;0,0,Data_Entry!AE316/Data_Entry!$I316),0)</f>
        <v>0.12652101769911503</v>
      </c>
      <c r="AA327" s="49">
        <f>IFERROR(IF(Data_Entry!AF316/Data_Entry!$I316&lt;0,0,Data_Entry!AF316/Data_Entry!$I316),0)</f>
        <v>9.7483407079646006E-2</v>
      </c>
      <c r="AB327" s="49">
        <f>IFERROR(IF(Data_Entry!AG316/Data_Entry!$I316&lt;0,0,Data_Entry!AG316/Data_Entry!$I316),0)</f>
        <v>8.9186946902654857E-2</v>
      </c>
      <c r="AC327" s="49">
        <f>IFERROR(IF(Data_Entry!AI316/Data_Entry!$I316&lt;0,0,Data_Entry!AI316/Data_Entry!$I316),0)</f>
        <v>0.12092090707964601</v>
      </c>
      <c r="AD327" s="49">
        <f>IFERROR(IF(Data_Entry!AM316/Data_Entry!$H316&lt;0,0,Data_Entry!AM316/Data_Entry!$H316),0)</f>
        <v>0.85817252833633384</v>
      </c>
      <c r="AE327" s="50">
        <f>Data_Entry!AK316</f>
        <v>0</v>
      </c>
      <c r="AF327" s="50">
        <f>Data_Entry!AL316</f>
        <v>117</v>
      </c>
      <c r="AG327" s="153">
        <f>(Data_Entry!O316-Data_Entry!Q316)/Data_Entry!O316</f>
        <v>0.11297071129707113</v>
      </c>
      <c r="AH327" s="79" t="str">
        <f t="shared" si="8"/>
        <v>CAT2</v>
      </c>
      <c r="AI327" s="51">
        <f>SUBTOTAL(3,Tableau1[[#This Row],[ZS]])</f>
        <v>0</v>
      </c>
      <c r="AJ327" s="51" t="e">
        <f t="shared" ca="1" si="9"/>
        <v>#NAME?</v>
      </c>
      <c r="AK327" s="50" t="str">
        <f>IFERROR(IF((Data_Entry!O316-Data_Entry!Q316)/Data_Entry!O316&lt;=10%,"&lt;=10%","&gt;10%"),"&lt;=10%")</f>
        <v>&gt;10%</v>
      </c>
    </row>
    <row r="328" spans="1:37" s="48" customFormat="1" ht="13" hidden="1" x14ac:dyDescent="0.3">
      <c r="A328" s="31" t="s">
        <v>16</v>
      </c>
      <c r="B328" s="48" t="str">
        <f>Data_Entry!B317</f>
        <v>Goma</v>
      </c>
      <c r="C328" s="48" t="str">
        <f>Data_Entry!C317</f>
        <v xml:space="preserve"> Kibua</v>
      </c>
      <c r="D328" s="48" t="str">
        <f>Data_Entry!D317</f>
        <v xml:space="preserve"> Kilungu</v>
      </c>
      <c r="E328" s="49">
        <f>IFERROR(IF(Data_Entry!J317/Data_Entry!$I317&lt;0,0,Data_Entry!J317/Data_Entry!$I317),0)</f>
        <v>0.68705375185235074</v>
      </c>
      <c r="F328" s="49">
        <f>IFERROR(IF(Data_Entry!K317/Data_Entry!$H317&lt;0,0,Data_Entry!K317/Data_Entry!$H317),0)</f>
        <v>0.45394416100812657</v>
      </c>
      <c r="G328" s="49">
        <f>IFERROR(IF(Data_Entry!L317/Data_Entry!$H317&lt;0,0,Data_Entry!L317/Data_Entry!$H317),0)</f>
        <v>0.67628415823659671</v>
      </c>
      <c r="H328" s="49">
        <f>IFERROR(IF(Data_Entry!M317/Data_Entry!$H317&lt;0,0,Data_Entry!M317/Data_Entry!$H317),0)</f>
        <v>0.64385957530744475</v>
      </c>
      <c r="I328" s="49">
        <f>IFERROR(IF(Data_Entry!N317/Data_Entry!$H317&lt;0,0,Data_Entry!N317/Data_Entry!$H317),0)</f>
        <v>0.63459540875625853</v>
      </c>
      <c r="J328" s="49">
        <f>IFERROR(IF(Data_Entry!O317/Data_Entry!$H317&lt;0,0,Data_Entry!O317/Data_Entry!$H317),0)</f>
        <v>0.81061457322879737</v>
      </c>
      <c r="K328" s="49">
        <f>IFERROR(IF(Data_Entry!P317/Data_Entry!$H317&lt;0,0,Data_Entry!P317/Data_Entry!$H317),0)</f>
        <v>0.77355790702405236</v>
      </c>
      <c r="L328" s="49">
        <f>IFERROR(IF(Data_Entry!Q317/Data_Entry!$H317&lt;0,0,Data_Entry!Q317/Data_Entry!$H317),0)</f>
        <v>0.79208624012642492</v>
      </c>
      <c r="M328" s="49">
        <f>IFERROR(IF(Data_Entry!R317/Data_Entry!$H317&lt;0,0,Data_Entry!R317/Data_Entry!$H317),0)</f>
        <v>0.80135040667761115</v>
      </c>
      <c r="N328" s="49">
        <f>IFERROR(IF(Data_Entry!S317/Data_Entry!$H317&lt;0,0,Data_Entry!S317/Data_Entry!$H317),0)</f>
        <v>0.77355790702405236</v>
      </c>
      <c r="O328" s="49">
        <f>IFERROR(IF(Data_Entry!T317/Data_Entry!$H317&lt;0,0,Data_Entry!T317/Data_Entry!$H317),0)</f>
        <v>0.79208624012642492</v>
      </c>
      <c r="P328" s="49">
        <f>IFERROR(IF(Data_Entry!U317/Data_Entry!$H317&lt;0,0,Data_Entry!U317/Data_Entry!$H317),0)</f>
        <v>0.80135040667761115</v>
      </c>
      <c r="Q328" s="49">
        <f>IFERROR(IF(Data_Entry!V317/Data_Entry!$H317&lt;0,0,Data_Entry!V317/Data_Entry!$H317),0)</f>
        <v>0.77355790702405236</v>
      </c>
      <c r="R328" s="49">
        <f>IFERROR(IF(Data_Entry!W317/Data_Entry!$H317&lt;0,0,Data_Entry!W317/Data_Entry!$H317),0)</f>
        <v>0.78745415685083175</v>
      </c>
      <c r="S328" s="49">
        <f>IFERROR(IF(Data_Entry!X317/Data_Entry!$H317&lt;0,0,Data_Entry!X317/Data_Entry!$H317),0)</f>
        <v>0.73186915754371429</v>
      </c>
      <c r="T328" s="49">
        <f>IFERROR(IF(Data_Entry!Y317/Data_Entry!$H317&lt;0,0,Data_Entry!Y317/Data_Entry!$H317),0)</f>
        <v>0.42615166135456778</v>
      </c>
      <c r="U328" s="49">
        <f>IFERROR(IF(Data_Entry!Z317/Data_Entry!$H317&lt;0,0,Data_Entry!Z317/Data_Entry!$H317),0)</f>
        <v>0.65312374185863109</v>
      </c>
      <c r="V328" s="49">
        <f>IFERROR(IF(Data_Entry!AA317/Data_Entry!$H317&lt;0,0,Data_Entry!AA317/Data_Entry!$H317),0)</f>
        <v>0.76429374047286613</v>
      </c>
      <c r="W328" s="49">
        <f>IFERROR(IF(Data_Entry!AB317/Data_Entry!$H317&lt;0,0,Data_Entry!AB317/Data_Entry!$H317),0)</f>
        <v>0.42151957807897467</v>
      </c>
      <c r="X328" s="49">
        <f>IFERROR(IF(Data_Entry!AC317/Data_Entry!$I317&lt;0,0,Data_Entry!AC317/Data_Entry!$I317),0)</f>
        <v>0.22228209618752523</v>
      </c>
      <c r="Y328" s="49">
        <f>IFERROR(IF(Data_Entry!AD317/Data_Entry!$I317&lt;0,0,Data_Entry!AD317/Data_Entry!$I317),0)</f>
        <v>0.24248955947730025</v>
      </c>
      <c r="Z328" s="49">
        <f>IFERROR(IF(Data_Entry!AE317/Data_Entry!$I317&lt;0,0,Data_Entry!AE317/Data_Entry!$I317),0)</f>
        <v>9.6995823790920102E-2</v>
      </c>
      <c r="AA328" s="49">
        <f>IFERROR(IF(Data_Entry!AF317/Data_Entry!$I317&lt;0,0,Data_Entry!AF317/Data_Entry!$I317),0)</f>
        <v>6.4663882527280073E-2</v>
      </c>
      <c r="AB328" s="49">
        <f>IFERROR(IF(Data_Entry!AG317/Data_Entry!$I317&lt;0,0,Data_Entry!AG317/Data_Entry!$I317),0)</f>
        <v>1.6165970631820018E-2</v>
      </c>
      <c r="AC328" s="49">
        <f>IFERROR(IF(Data_Entry!AI317/Data_Entry!$I317&lt;0,0,Data_Entry!AI317/Data_Entry!$I317),0)</f>
        <v>0.23561902195877674</v>
      </c>
      <c r="AD328" s="49">
        <f>IFERROR(IF(Data_Entry!AM317/Data_Entry!$H317&lt;0,0,Data_Entry!AM317/Data_Entry!$H317),0)</f>
        <v>0.65312374185863109</v>
      </c>
      <c r="AE328" s="50">
        <f>Data_Entry!AK317</f>
        <v>40.885583333333358</v>
      </c>
      <c r="AF328" s="50">
        <f>Data_Entry!AL317</f>
        <v>17</v>
      </c>
      <c r="AG328" s="153">
        <f>(Data_Entry!O317-Data_Entry!Q317)/Data_Entry!O317</f>
        <v>2.2857142857142857E-2</v>
      </c>
      <c r="AH328" s="79" t="str">
        <f t="shared" si="8"/>
        <v>CAT3</v>
      </c>
      <c r="AI328" s="51">
        <f>SUBTOTAL(3,Tableau1[[#This Row],[ZS]])</f>
        <v>0</v>
      </c>
      <c r="AJ328" s="51" t="e">
        <f t="shared" ca="1" si="9"/>
        <v>#NAME?</v>
      </c>
      <c r="AK328" s="50" t="str">
        <f>IFERROR(IF((Data_Entry!O317-Data_Entry!Q317)/Data_Entry!O317&lt;=10%,"&lt;=10%","&gt;10%"),"&lt;=10%")</f>
        <v>&lt;=10%</v>
      </c>
    </row>
    <row r="329" spans="1:37" s="48" customFormat="1" ht="13" hidden="1" x14ac:dyDescent="0.3">
      <c r="A329" s="31" t="s">
        <v>16</v>
      </c>
      <c r="B329" s="48" t="str">
        <f>Data_Entry!B318</f>
        <v>Goma</v>
      </c>
      <c r="C329" s="48" t="str">
        <f>Data_Entry!C318</f>
        <v xml:space="preserve"> Kibua</v>
      </c>
      <c r="D329" s="48" t="str">
        <f>Data_Entry!D318</f>
        <v xml:space="preserve"> Kimua</v>
      </c>
      <c r="E329" s="49">
        <f>IFERROR(IF(Data_Entry!J318/Data_Entry!$I318&lt;0,0,Data_Entry!J318/Data_Entry!$I318),0)</f>
        <v>0.71258168239809161</v>
      </c>
      <c r="F329" s="49">
        <f>IFERROR(IF(Data_Entry!K318/Data_Entry!$H318&lt;0,0,Data_Entry!K318/Data_Entry!$H318),0)</f>
        <v>0.4565030735198794</v>
      </c>
      <c r="G329" s="49">
        <f>IFERROR(IF(Data_Entry!L318/Data_Entry!$H318&lt;0,0,Data_Entry!L318/Data_Entry!$H318),0)</f>
        <v>0.81314609970728513</v>
      </c>
      <c r="H329" s="49">
        <f>IFERROR(IF(Data_Entry!M318/Data_Entry!$H318&lt;0,0,Data_Entry!M318/Data_Entry!$H318),0)</f>
        <v>0.7739153668266705</v>
      </c>
      <c r="I329" s="49">
        <f>IFERROR(IF(Data_Entry!N318/Data_Entry!$H318&lt;0,0,Data_Entry!N318/Data_Entry!$H318),0)</f>
        <v>0.74181749446980405</v>
      </c>
      <c r="J329" s="49">
        <f>IFERROR(IF(Data_Entry!O318/Data_Entry!$H318&lt;0,0,Data_Entry!O318/Data_Entry!$H318),0)</f>
        <v>0.92013900756350686</v>
      </c>
      <c r="K329" s="49">
        <f>IFERROR(IF(Data_Entry!P318/Data_Entry!$H318&lt;0,0,Data_Entry!P318/Data_Entry!$H318),0)</f>
        <v>0.866642553635396</v>
      </c>
      <c r="L329" s="49">
        <f>IFERROR(IF(Data_Entry!Q318/Data_Entry!$H318&lt;0,0,Data_Entry!Q318/Data_Entry!$H318),0)</f>
        <v>0.85237683258789976</v>
      </c>
      <c r="M329" s="49">
        <f>IFERROR(IF(Data_Entry!R318/Data_Entry!$H318&lt;0,0,Data_Entry!R318/Data_Entry!$H318),0)</f>
        <v>0.92013900756350686</v>
      </c>
      <c r="N329" s="49">
        <f>IFERROR(IF(Data_Entry!S318/Data_Entry!$H318&lt;0,0,Data_Entry!S318/Data_Entry!$H318),0)</f>
        <v>0.87020898389727008</v>
      </c>
      <c r="O329" s="49">
        <f>IFERROR(IF(Data_Entry!T318/Data_Entry!$H318&lt;0,0,Data_Entry!T318/Data_Entry!$H318),0)</f>
        <v>0.85237683258789976</v>
      </c>
      <c r="P329" s="49">
        <f>IFERROR(IF(Data_Entry!U318/Data_Entry!$H318&lt;0,0,Data_Entry!U318/Data_Entry!$H318),0)</f>
        <v>0.92013900756350686</v>
      </c>
      <c r="Q329" s="49">
        <f>IFERROR(IF(Data_Entry!V318/Data_Entry!$H318&lt;0,0,Data_Entry!V318/Data_Entry!$H318),0)</f>
        <v>0.87734184442101826</v>
      </c>
      <c r="R329" s="49">
        <f>IFERROR(IF(Data_Entry!W318/Data_Entry!$H318&lt;0,0,Data_Entry!W318/Data_Entry!$H318),0)</f>
        <v>0.84524397206415169</v>
      </c>
      <c r="S329" s="49">
        <f>IFERROR(IF(Data_Entry!X318/Data_Entry!$H318&lt;0,0,Data_Entry!X318/Data_Entry!$H318),0)</f>
        <v>0.81314609970728513</v>
      </c>
      <c r="T329" s="49">
        <f>IFERROR(IF(Data_Entry!Y318/Data_Entry!$H318&lt;0,0,Data_Entry!Y318/Data_Entry!$H318),0)</f>
        <v>0.71328605237481157</v>
      </c>
      <c r="U329" s="49">
        <f>IFERROR(IF(Data_Entry!Z318/Data_Entry!$H318&lt;0,0,Data_Entry!Z318/Data_Entry!$H318),0)</f>
        <v>0.81314609970728513</v>
      </c>
      <c r="V329" s="49">
        <f>IFERROR(IF(Data_Entry!AA318/Data_Entry!$H318&lt;0,0,Data_Entry!AA318/Data_Entry!$H318),0)</f>
        <v>0.84524397206415169</v>
      </c>
      <c r="W329" s="49">
        <f>IFERROR(IF(Data_Entry!AB318/Data_Entry!$H318&lt;0,0,Data_Entry!AB318/Data_Entry!$H318),0)</f>
        <v>0.84881040232602578</v>
      </c>
      <c r="X329" s="49">
        <f>IFERROR(IF(Data_Entry!AC318/Data_Entry!$I318&lt;0,0,Data_Entry!AC318/Data_Entry!$I318),0)</f>
        <v>0.19292604501607721</v>
      </c>
      <c r="Y329" s="49">
        <f>IFERROR(IF(Data_Entry!AD318/Data_Entry!$I318&lt;0,0,Data_Entry!AD318/Data_Entry!$I318),0)</f>
        <v>0.19292604501607721</v>
      </c>
      <c r="Z329" s="49">
        <f>IFERROR(IF(Data_Entry!AE318/Data_Entry!$I318&lt;0,0,Data_Entry!AE318/Data_Entry!$I318),0)</f>
        <v>0.13380354734986</v>
      </c>
      <c r="AA329" s="49">
        <f>IFERROR(IF(Data_Entry!AF318/Data_Entry!$I318&lt;0,0,Data_Entry!AF318/Data_Entry!$I318),0)</f>
        <v>7.1569339280157671E-2</v>
      </c>
      <c r="AB329" s="49">
        <f>IFERROR(IF(Data_Entry!AG318/Data_Entry!$I318&lt;0,0,Data_Entry!AG318/Data_Entry!$I318),0)</f>
        <v>7.4681049683642781E-2</v>
      </c>
      <c r="AC329" s="49">
        <f>IFERROR(IF(Data_Entry!AI318/Data_Entry!$I318&lt;0,0,Data_Entry!AI318/Data_Entry!$I318),0)</f>
        <v>0.11668914013069186</v>
      </c>
      <c r="AD329" s="49">
        <f>IFERROR(IF(Data_Entry!AM318/Data_Entry!$H318&lt;0,0,Data_Entry!AM318/Data_Entry!$H318),0)</f>
        <v>0.81314609970728513</v>
      </c>
      <c r="AE329" s="50">
        <f>Data_Entry!AK318</f>
        <v>22.392416666666691</v>
      </c>
      <c r="AF329" s="50">
        <f>Data_Entry!AL318</f>
        <v>30</v>
      </c>
      <c r="AG329" s="153">
        <f>(Data_Entry!O318-Data_Entry!Q318)/Data_Entry!O318</f>
        <v>7.3643410852713184E-2</v>
      </c>
      <c r="AH329" s="79" t="str">
        <f t="shared" si="8"/>
        <v>CAT1</v>
      </c>
      <c r="AI329" s="51">
        <f>SUBTOTAL(3,Tableau1[[#This Row],[ZS]])</f>
        <v>0</v>
      </c>
      <c r="AJ329" s="51" t="e">
        <f t="shared" ca="1" si="9"/>
        <v>#NAME?</v>
      </c>
      <c r="AK329" s="50" t="str">
        <f>IFERROR(IF((Data_Entry!O318-Data_Entry!Q318)/Data_Entry!O318&lt;=10%,"&lt;=10%","&gt;10%"),"&lt;=10%")</f>
        <v>&lt;=10%</v>
      </c>
    </row>
    <row r="330" spans="1:37" s="48" customFormat="1" ht="13" hidden="1" x14ac:dyDescent="0.3">
      <c r="A330" s="31" t="s">
        <v>16</v>
      </c>
      <c r="B330" s="48" t="str">
        <f>Data_Entry!B319</f>
        <v>Goma</v>
      </c>
      <c r="C330" s="48" t="str">
        <f>Data_Entry!C319</f>
        <v xml:space="preserve"> Kibua</v>
      </c>
      <c r="D330" s="48" t="str">
        <f>Data_Entry!D319</f>
        <v xml:space="preserve"> Kishanga</v>
      </c>
      <c r="E330" s="49">
        <f>IFERROR(IF(Data_Entry!J319/Data_Entry!$I319&lt;0,0,Data_Entry!J319/Data_Entry!$I319),0)</f>
        <v>0.69891675322748181</v>
      </c>
      <c r="F330" s="49">
        <f>IFERROR(IF(Data_Entry!K319/Data_Entry!$H319&lt;0,0,Data_Entry!K319/Data_Entry!$H319),0)</f>
        <v>0.77553955060374302</v>
      </c>
      <c r="G330" s="49">
        <f>IFERROR(IF(Data_Entry!L319/Data_Entry!$H319&lt;0,0,Data_Entry!L319/Data_Entry!$H319),0)</f>
        <v>0.87758422831476179</v>
      </c>
      <c r="H330" s="49">
        <f>IFERROR(IF(Data_Entry!M319/Data_Entry!$H319&lt;0,0,Data_Entry!M319/Data_Entry!$H319),0)</f>
        <v>0.857175292772558</v>
      </c>
      <c r="I330" s="49">
        <f>IFERROR(IF(Data_Entry!N319/Data_Entry!$H319&lt;0,0,Data_Entry!N319/Data_Entry!$H319),0)</f>
        <v>0.87758422831476179</v>
      </c>
      <c r="J330" s="49">
        <f>IFERROR(IF(Data_Entry!O319/Data_Entry!$H319&lt;0,0,Data_Entry!O319/Data_Entry!$H319),0)</f>
        <v>0.9745266721402297</v>
      </c>
      <c r="K330" s="49">
        <f>IFERROR(IF(Data_Entry!P319/Data_Entry!$H319&lt;0,0,Data_Entry!P319/Data_Entry!$H319),0)</f>
        <v>0.9541177365980259</v>
      </c>
      <c r="L330" s="49">
        <f>IFERROR(IF(Data_Entry!Q319/Data_Entry!$H319&lt;0,0,Data_Entry!Q319/Data_Entry!$H319),0)</f>
        <v>0.9745266721402297</v>
      </c>
      <c r="M330" s="49">
        <f>IFERROR(IF(Data_Entry!R319/Data_Entry!$H319&lt;0,0,Data_Entry!R319/Data_Entry!$H319),0)</f>
        <v>0.9745266721402297</v>
      </c>
      <c r="N330" s="49">
        <f>IFERROR(IF(Data_Entry!S319/Data_Entry!$H319&lt;0,0,Data_Entry!S319/Data_Entry!$H319),0)</f>
        <v>0.9541177365980259</v>
      </c>
      <c r="O330" s="49">
        <f>IFERROR(IF(Data_Entry!T319/Data_Entry!$H319&lt;0,0,Data_Entry!T319/Data_Entry!$H319),0)</f>
        <v>0.9745266721402297</v>
      </c>
      <c r="P330" s="49">
        <f>IFERROR(IF(Data_Entry!U319/Data_Entry!$H319&lt;0,0,Data_Entry!U319/Data_Entry!$H319),0)</f>
        <v>0.9745266721402297</v>
      </c>
      <c r="Q330" s="49">
        <f>IFERROR(IF(Data_Entry!V319/Data_Entry!$H319&lt;0,0,Data_Entry!V319/Data_Entry!$H319),0)</f>
        <v>0.9541177365980259</v>
      </c>
      <c r="R330" s="49">
        <f>IFERROR(IF(Data_Entry!W319/Data_Entry!$H319&lt;0,0,Data_Entry!W319/Data_Entry!$H319),0)</f>
        <v>0.9745266721402297</v>
      </c>
      <c r="S330" s="49">
        <f>IFERROR(IF(Data_Entry!X319/Data_Entry!$H319&lt;0,0,Data_Entry!X319/Data_Entry!$H319),0)</f>
        <v>0.94391326882692406</v>
      </c>
      <c r="T330" s="49">
        <f>IFERROR(IF(Data_Entry!Y319/Data_Entry!$H319&lt;0,0,Data_Entry!Y319/Data_Entry!$H319),0)</f>
        <v>0.59185913072390917</v>
      </c>
      <c r="U330" s="49">
        <f>IFERROR(IF(Data_Entry!Z319/Data_Entry!$H319&lt;0,0,Data_Entry!Z319/Data_Entry!$H319),0)</f>
        <v>0.90309539774251646</v>
      </c>
      <c r="V330" s="49">
        <f>IFERROR(IF(Data_Entry!AA319/Data_Entry!$H319&lt;0,0,Data_Entry!AA319/Data_Entry!$H319),0)</f>
        <v>0.9745266721402297</v>
      </c>
      <c r="W330" s="49">
        <f>IFERROR(IF(Data_Entry!AB319/Data_Entry!$H319&lt;0,0,Data_Entry!AB319/Data_Entry!$H319),0)</f>
        <v>0.81635742168815051</v>
      </c>
      <c r="X330" s="49">
        <f>IFERROR(IF(Data_Entry!AC319/Data_Entry!$I319&lt;0,0,Data_Entry!AC319/Data_Entry!$I319),0)</f>
        <v>0.12909927288915268</v>
      </c>
      <c r="Y330" s="49">
        <f>IFERROR(IF(Data_Entry!AD319/Data_Entry!$I319&lt;0,0,Data_Entry!AD319/Data_Entry!$I319),0)</f>
        <v>0.14690606914972545</v>
      </c>
      <c r="Z330" s="49">
        <f>IFERROR(IF(Data_Entry!AE319/Data_Entry!$I319&lt;0,0,Data_Entry!AE319/Data_Entry!$I319),0)</f>
        <v>0.24039174951773257</v>
      </c>
      <c r="AA330" s="49">
        <f>IFERROR(IF(Data_Entry!AF319/Data_Entry!$I319&lt;0,0,Data_Entry!AF319/Data_Entry!$I319),0)</f>
        <v>0.2314883513874462</v>
      </c>
      <c r="AB330" s="49">
        <f>IFERROR(IF(Data_Entry!AG319/Data_Entry!$I319&lt;0,0,Data_Entry!AG319/Data_Entry!$I319),0)</f>
        <v>0.2092298560617302</v>
      </c>
      <c r="AC330" s="49">
        <f>IFERROR(IF(Data_Entry!AI319/Data_Entry!$I319&lt;0,0,Data_Entry!AI319/Data_Entry!$I319),0)</f>
        <v>0.2225849532571598</v>
      </c>
      <c r="AD330" s="49">
        <f>IFERROR(IF(Data_Entry!AM319/Data_Entry!$H319&lt;0,0,Data_Entry!AM319/Data_Entry!$H319),0)</f>
        <v>0.90309539774251646</v>
      </c>
      <c r="AE330" s="50">
        <f>Data_Entry!AK319</f>
        <v>4.9925833333333571</v>
      </c>
      <c r="AF330" s="50">
        <f>Data_Entry!AL319</f>
        <v>6</v>
      </c>
      <c r="AG330" s="153">
        <f>(Data_Entry!O319-Data_Entry!Q319)/Data_Entry!O319</f>
        <v>0</v>
      </c>
      <c r="AH330" s="79" t="str">
        <f t="shared" si="8"/>
        <v>CAT1</v>
      </c>
      <c r="AI330" s="51">
        <f>SUBTOTAL(3,Tableau1[[#This Row],[ZS]])</f>
        <v>0</v>
      </c>
      <c r="AJ330" s="51" t="e">
        <f t="shared" ca="1" si="9"/>
        <v>#NAME?</v>
      </c>
      <c r="AK330" s="50" t="str">
        <f>IFERROR(IF((Data_Entry!O319-Data_Entry!Q319)/Data_Entry!O319&lt;=10%,"&lt;=10%","&gt;10%"),"&lt;=10%")</f>
        <v>&lt;=10%</v>
      </c>
    </row>
    <row r="331" spans="1:37" s="48" customFormat="1" ht="13" hidden="1" x14ac:dyDescent="0.3">
      <c r="A331" s="31" t="s">
        <v>16</v>
      </c>
      <c r="B331" s="48" t="str">
        <f>Data_Entry!B320</f>
        <v>Goma</v>
      </c>
      <c r="C331" s="48" t="str">
        <f>Data_Entry!C320</f>
        <v xml:space="preserve"> Kibua</v>
      </c>
      <c r="D331" s="48" t="str">
        <f>Data_Entry!D320</f>
        <v xml:space="preserve"> Langira</v>
      </c>
      <c r="E331" s="49">
        <f>IFERROR(IF(Data_Entry!J320/Data_Entry!$I320&lt;0,0,Data_Entry!J320/Data_Entry!$I320),0)</f>
        <v>0.73342263898191562</v>
      </c>
      <c r="F331" s="49">
        <f>IFERROR(IF(Data_Entry!K320/Data_Entry!$H320&lt;0,0,Data_Entry!K320/Data_Entry!$H320),0)</f>
        <v>5.7575274873958131E-2</v>
      </c>
      <c r="G331" s="49">
        <f>IFERROR(IF(Data_Entry!L320/Data_Entry!$H320&lt;0,0,Data_Entry!L320/Data_Entry!$H320),0)</f>
        <v>0.65635813356312267</v>
      </c>
      <c r="H331" s="49">
        <f>IFERROR(IF(Data_Entry!M320/Data_Entry!$H320&lt;0,0,Data_Entry!M320/Data_Entry!$H320),0)</f>
        <v>0.57575274873958127</v>
      </c>
      <c r="I331" s="49">
        <f>IFERROR(IF(Data_Entry!N320/Data_Entry!$H320&lt;0,0,Data_Entry!N320/Data_Entry!$H320),0)</f>
        <v>0.7024183534622892</v>
      </c>
      <c r="J331" s="49">
        <f>IFERROR(IF(Data_Entry!O320/Data_Entry!$H320&lt;0,0,Data_Entry!O320/Data_Entry!$H320),0)</f>
        <v>0.74847857336145562</v>
      </c>
      <c r="K331" s="49">
        <f>IFERROR(IF(Data_Entry!P320/Data_Entry!$H320&lt;0,0,Data_Entry!P320/Data_Entry!$H320),0)</f>
        <v>0.67938824351270588</v>
      </c>
      <c r="L331" s="49">
        <f>IFERROR(IF(Data_Entry!Q320/Data_Entry!$H320&lt;0,0,Data_Entry!Q320/Data_Entry!$H320),0)</f>
        <v>0.74847857336145562</v>
      </c>
      <c r="M331" s="49">
        <f>IFERROR(IF(Data_Entry!R320/Data_Entry!$H320&lt;0,0,Data_Entry!R320/Data_Entry!$H320),0)</f>
        <v>0.74847857336145562</v>
      </c>
      <c r="N331" s="49">
        <f>IFERROR(IF(Data_Entry!S320/Data_Entry!$H320&lt;0,0,Data_Entry!S320/Data_Entry!$H320),0)</f>
        <v>0.66787318853791433</v>
      </c>
      <c r="O331" s="49">
        <f>IFERROR(IF(Data_Entry!T320/Data_Entry!$H320&lt;0,0,Data_Entry!T320/Data_Entry!$H320),0)</f>
        <v>0.74847857336145562</v>
      </c>
      <c r="P331" s="49">
        <f>IFERROR(IF(Data_Entry!U320/Data_Entry!$H320&lt;0,0,Data_Entry!U320/Data_Entry!$H320),0)</f>
        <v>0.74847857336145562</v>
      </c>
      <c r="Q331" s="49">
        <f>IFERROR(IF(Data_Entry!V320/Data_Entry!$H320&lt;0,0,Data_Entry!V320/Data_Entry!$H320),0)</f>
        <v>0.66787318853791433</v>
      </c>
      <c r="R331" s="49">
        <f>IFERROR(IF(Data_Entry!W320/Data_Entry!$H320&lt;0,0,Data_Entry!W320/Data_Entry!$H320),0)</f>
        <v>0.74847857336145562</v>
      </c>
      <c r="S331" s="49">
        <f>IFERROR(IF(Data_Entry!X320/Data_Entry!$H320&lt;0,0,Data_Entry!X320/Data_Entry!$H320),0)</f>
        <v>0.69090329848749754</v>
      </c>
      <c r="T331" s="49">
        <f>IFERROR(IF(Data_Entry!Y320/Data_Entry!$H320&lt;0,0,Data_Entry!Y320/Data_Entry!$H320),0)</f>
        <v>0.5930253312017687</v>
      </c>
      <c r="U331" s="49">
        <f>IFERROR(IF(Data_Entry!Z320/Data_Entry!$H320&lt;0,0,Data_Entry!Z320/Data_Entry!$H320),0)</f>
        <v>1.013324837781663</v>
      </c>
      <c r="V331" s="49">
        <f>IFERROR(IF(Data_Entry!AA320/Data_Entry!$H320&lt;0,0,Data_Entry!AA320/Data_Entry!$H320),0)</f>
        <v>0.74847857336145562</v>
      </c>
      <c r="W331" s="49">
        <f>IFERROR(IF(Data_Entry!AB320/Data_Entry!$H320&lt;0,0,Data_Entry!AB320/Data_Entry!$H320),0)</f>
        <v>0.67363071602531011</v>
      </c>
      <c r="X331" s="49">
        <f>IFERROR(IF(Data_Entry!AC320/Data_Entry!$I320&lt;0,0,Data_Entry!AC320/Data_Entry!$I320),0)</f>
        <v>0.2813127930341594</v>
      </c>
      <c r="Y331" s="49">
        <f>IFERROR(IF(Data_Entry!AD320/Data_Entry!$I320&lt;0,0,Data_Entry!AD320/Data_Entry!$I320),0)</f>
        <v>0.20093770931011387</v>
      </c>
      <c r="Z331" s="49">
        <f>IFERROR(IF(Data_Entry!AE320/Data_Entry!$I320&lt;0,0,Data_Entry!AE320/Data_Entry!$I320),0)</f>
        <v>0.15572672471533824</v>
      </c>
      <c r="AA331" s="49">
        <f>IFERROR(IF(Data_Entry!AF320/Data_Entry!$I320&lt;0,0,Data_Entry!AF320/Data_Entry!$I320),0)</f>
        <v>0.10046885465505694</v>
      </c>
      <c r="AB331" s="49">
        <f>IFERROR(IF(Data_Entry!AG320/Data_Entry!$I320&lt;0,0,Data_Entry!AG320/Data_Entry!$I320),0)</f>
        <v>3.0140656396517081E-2</v>
      </c>
      <c r="AC331" s="49">
        <f>IFERROR(IF(Data_Entry!AI320/Data_Entry!$I320&lt;0,0,Data_Entry!AI320/Data_Entry!$I320),0)</f>
        <v>0.25117213663764232</v>
      </c>
      <c r="AD331" s="49">
        <f>IFERROR(IF(Data_Entry!AM320/Data_Entry!$H320&lt;0,0,Data_Entry!AM320/Data_Entry!$H320),0)</f>
        <v>0.69090329848749754</v>
      </c>
      <c r="AE331" s="50">
        <f>Data_Entry!AK320</f>
        <v>43.685666666666663</v>
      </c>
      <c r="AF331" s="50">
        <f>Data_Entry!AL320</f>
        <v>10</v>
      </c>
      <c r="AG331" s="153">
        <f>(Data_Entry!O320-Data_Entry!Q320)/Data_Entry!O320</f>
        <v>0</v>
      </c>
      <c r="AH331" s="79" t="str">
        <f t="shared" si="8"/>
        <v>CAT3</v>
      </c>
      <c r="AI331" s="51">
        <f>SUBTOTAL(3,Tableau1[[#This Row],[ZS]])</f>
        <v>0</v>
      </c>
      <c r="AJ331" s="51" t="e">
        <f t="shared" ca="1" si="9"/>
        <v>#NAME?</v>
      </c>
      <c r="AK331" s="50" t="str">
        <f>IFERROR(IF((Data_Entry!O320-Data_Entry!Q320)/Data_Entry!O320&lt;=10%,"&lt;=10%","&gt;10%"),"&lt;=10%")</f>
        <v>&lt;=10%</v>
      </c>
    </row>
    <row r="332" spans="1:37" s="48" customFormat="1" ht="13" hidden="1" x14ac:dyDescent="0.3">
      <c r="A332" s="31" t="s">
        <v>16</v>
      </c>
      <c r="B332" s="48" t="str">
        <f>Data_Entry!B321</f>
        <v>Goma</v>
      </c>
      <c r="C332" s="48" t="str">
        <f>Data_Entry!C321</f>
        <v xml:space="preserve"> Kibua</v>
      </c>
      <c r="D332" s="48" t="str">
        <f>Data_Entry!D321</f>
        <v xml:space="preserve"> Limangi</v>
      </c>
      <c r="E332" s="49">
        <f>IFERROR(IF(Data_Entry!J321/Data_Entry!$I321&lt;0,0,Data_Entry!J321/Data_Entry!$I321),0)</f>
        <v>0.78947368421052633</v>
      </c>
      <c r="F332" s="49">
        <f>IFERROR(IF(Data_Entry!K321/Data_Entry!$H321&lt;0,0,Data_Entry!K321/Data_Entry!$H321),0)</f>
        <v>0.29711193692223548</v>
      </c>
      <c r="G332" s="49">
        <f>IFERROR(IF(Data_Entry!L321/Data_Entry!$H321&lt;0,0,Data_Entry!L321/Data_Entry!$H321),0)</f>
        <v>0.62123404992831055</v>
      </c>
      <c r="H332" s="49">
        <f>IFERROR(IF(Data_Entry!M321/Data_Entry!$H321&lt;0,0,Data_Entry!M321/Data_Entry!$H321),0)</f>
        <v>0.57396624178159128</v>
      </c>
      <c r="I332" s="49">
        <f>IFERROR(IF(Data_Entry!N321/Data_Entry!$H321&lt;0,0,Data_Entry!N321/Data_Entry!$H321),0)</f>
        <v>0.59422387384447095</v>
      </c>
      <c r="J332" s="49">
        <f>IFERROR(IF(Data_Entry!O321/Data_Entry!$H321&lt;0,0,Data_Entry!O321/Data_Entry!$H321),0)</f>
        <v>0.92509853087150584</v>
      </c>
      <c r="K332" s="49">
        <f>IFERROR(IF(Data_Entry!P321/Data_Entry!$H321&lt;0,0,Data_Entry!P321/Data_Entry!$H321),0)</f>
        <v>0.9115934428295861</v>
      </c>
      <c r="L332" s="49">
        <f>IFERROR(IF(Data_Entry!Q321/Data_Entry!$H321&lt;0,0,Data_Entry!Q321/Data_Entry!$H321),0)</f>
        <v>0.9115934428295861</v>
      </c>
      <c r="M332" s="49">
        <f>IFERROR(IF(Data_Entry!R321/Data_Entry!$H321&lt;0,0,Data_Entry!R321/Data_Entry!$H321),0)</f>
        <v>0.92509853087150584</v>
      </c>
      <c r="N332" s="49">
        <f>IFERROR(IF(Data_Entry!S321/Data_Entry!$H321&lt;0,0,Data_Entry!S321/Data_Entry!$H321),0)</f>
        <v>0.9115934428295861</v>
      </c>
      <c r="O332" s="49">
        <f>IFERROR(IF(Data_Entry!T321/Data_Entry!$H321&lt;0,0,Data_Entry!T321/Data_Entry!$H321),0)</f>
        <v>0.9115934428295861</v>
      </c>
      <c r="P332" s="49">
        <f>IFERROR(IF(Data_Entry!U321/Data_Entry!$H321&lt;0,0,Data_Entry!U321/Data_Entry!$H321),0)</f>
        <v>0.92509853087150584</v>
      </c>
      <c r="Q332" s="49">
        <f>IFERROR(IF(Data_Entry!V321/Data_Entry!$H321&lt;0,0,Data_Entry!V321/Data_Entry!$H321),0)</f>
        <v>0.9115934428295861</v>
      </c>
      <c r="R332" s="49">
        <f>IFERROR(IF(Data_Entry!W321/Data_Entry!$H321&lt;0,0,Data_Entry!W321/Data_Entry!$H321),0)</f>
        <v>0.91834598685054603</v>
      </c>
      <c r="S332" s="49">
        <f>IFERROR(IF(Data_Entry!X321/Data_Entry!$H321&lt;0,0,Data_Entry!X321/Data_Entry!$H321),0)</f>
        <v>0.86432563468286683</v>
      </c>
      <c r="T332" s="49">
        <f>IFERROR(IF(Data_Entry!Y321/Data_Entry!$H321&lt;0,0,Data_Entry!Y321/Data_Entry!$H321),0)</f>
        <v>0.78329510643134803</v>
      </c>
      <c r="U332" s="49">
        <f>IFERROR(IF(Data_Entry!Z321/Data_Entry!$H321&lt;0,0,Data_Entry!Z321/Data_Entry!$H321),0)</f>
        <v>1.0669019553116637</v>
      </c>
      <c r="V332" s="49">
        <f>IFERROR(IF(Data_Entry!AA321/Data_Entry!$H321&lt;0,0,Data_Entry!AA321/Data_Entry!$H321),0)</f>
        <v>0.9115934428295861</v>
      </c>
      <c r="W332" s="49">
        <f>IFERROR(IF(Data_Entry!AB321/Data_Entry!$H321&lt;0,0,Data_Entry!AB321/Data_Entry!$H321),0)</f>
        <v>0.51319334559295215</v>
      </c>
      <c r="X332" s="49">
        <f>IFERROR(IF(Data_Entry!AC321/Data_Entry!$I321&lt;0,0,Data_Entry!AC321/Data_Entry!$I321),0)</f>
        <v>0.14139827179890024</v>
      </c>
      <c r="Y332" s="49">
        <f>IFERROR(IF(Data_Entry!AD321/Data_Entry!$I321&lt;0,0,Data_Entry!AD321/Data_Entry!$I321),0)</f>
        <v>0.25333857030636292</v>
      </c>
      <c r="Z332" s="49">
        <f>IFERROR(IF(Data_Entry!AE321/Data_Entry!$I321&lt;0,0,Data_Entry!AE321/Data_Entry!$I321),0)</f>
        <v>0.22977219167321289</v>
      </c>
      <c r="AA332" s="49">
        <f>IFERROR(IF(Data_Entry!AF321/Data_Entry!$I321&lt;0,0,Data_Entry!AF321/Data_Entry!$I321),0)</f>
        <v>0.21798900235663787</v>
      </c>
      <c r="AB332" s="49">
        <f>IFERROR(IF(Data_Entry!AG321/Data_Entry!$I321&lt;0,0,Data_Entry!AG321/Data_Entry!$I321),0)</f>
        <v>0.21209740769835037</v>
      </c>
      <c r="AC332" s="49">
        <f>IFERROR(IF(Data_Entry!AI321/Data_Entry!$I321&lt;0,0,Data_Entry!AI321/Data_Entry!$I321),0)</f>
        <v>0.24567949725058918</v>
      </c>
      <c r="AD332" s="49">
        <f>IFERROR(IF(Data_Entry!AM321/Data_Entry!$H321&lt;0,0,Data_Entry!AM321/Data_Entry!$H321),0)</f>
        <v>0.86432563468286683</v>
      </c>
      <c r="AE332" s="50">
        <f>Data_Entry!AK321</f>
        <v>11.092333333333329</v>
      </c>
      <c r="AF332" s="50">
        <f>Data_Entry!AL321</f>
        <v>9</v>
      </c>
      <c r="AG332" s="153">
        <f>(Data_Entry!O321-Data_Entry!Q321)/Data_Entry!O321</f>
        <v>1.4598540145985401E-2</v>
      </c>
      <c r="AH332" s="79" t="str">
        <f t="shared" si="8"/>
        <v>CAT1</v>
      </c>
      <c r="AI332" s="51">
        <f>SUBTOTAL(3,Tableau1[[#This Row],[ZS]])</f>
        <v>0</v>
      </c>
      <c r="AJ332" s="51" t="e">
        <f t="shared" ca="1" si="9"/>
        <v>#NAME?</v>
      </c>
      <c r="AK332" s="50" t="str">
        <f>IFERROR(IF((Data_Entry!O321-Data_Entry!Q321)/Data_Entry!O321&lt;=10%,"&lt;=10%","&gt;10%"),"&lt;=10%")</f>
        <v>&lt;=10%</v>
      </c>
    </row>
    <row r="333" spans="1:37" s="48" customFormat="1" ht="13" hidden="1" x14ac:dyDescent="0.3">
      <c r="A333" s="31" t="s">
        <v>16</v>
      </c>
      <c r="B333" s="48" t="str">
        <f>Data_Entry!B322</f>
        <v>Goma</v>
      </c>
      <c r="C333" s="48" t="str">
        <f>Data_Entry!C322</f>
        <v xml:space="preserve"> Kibua</v>
      </c>
      <c r="D333" s="48" t="str">
        <f>Data_Entry!D322</f>
        <v xml:space="preserve"> Lubonga</v>
      </c>
      <c r="E333" s="49">
        <f>IFERROR(IF(Data_Entry!J322/Data_Entry!$I322&lt;0,0,Data_Entry!J322/Data_Entry!$I322),0)</f>
        <v>1.0117647058823529</v>
      </c>
      <c r="F333" s="49">
        <f>IFERROR(IF(Data_Entry!K322/Data_Entry!$H322&lt;0,0,Data_Entry!K322/Data_Entry!$H322),0)</f>
        <v>0.49890443283330521</v>
      </c>
      <c r="G333" s="49">
        <f>IFERROR(IF(Data_Entry!L322/Data_Entry!$H322&lt;0,0,Data_Entry!L322/Data_Entry!$H322),0)</f>
        <v>1.1056800943873251</v>
      </c>
      <c r="H333" s="49">
        <f>IFERROR(IF(Data_Entry!M322/Data_Entry!$H322&lt;0,0,Data_Entry!M322/Data_Entry!$H322),0)</f>
        <v>1.1056800943873251</v>
      </c>
      <c r="I333" s="49">
        <f>IFERROR(IF(Data_Entry!N322/Data_Entry!$H322&lt;0,0,Data_Entry!N322/Data_Entry!$H322),0)</f>
        <v>1.0584864318220124</v>
      </c>
      <c r="J333" s="49">
        <f>IFERROR(IF(Data_Entry!O322/Data_Entry!$H322&lt;0,0,Data_Entry!O322/Data_Entry!$H322),0)</f>
        <v>1.0921961907972357</v>
      </c>
      <c r="K333" s="49">
        <f>IFERROR(IF(Data_Entry!P322/Data_Entry!$H322&lt;0,0,Data_Entry!P322/Data_Entry!$H322),0)</f>
        <v>1.1056800943873251</v>
      </c>
      <c r="L333" s="49">
        <f>IFERROR(IF(Data_Entry!Q322/Data_Entry!$H322&lt;0,0,Data_Entry!Q322/Data_Entry!$H322),0)</f>
        <v>1.0584864318220124</v>
      </c>
      <c r="M333" s="49">
        <f>IFERROR(IF(Data_Entry!R322/Data_Entry!$H322&lt;0,0,Data_Entry!R322/Data_Entry!$H322),0)</f>
        <v>1.1056800943873251</v>
      </c>
      <c r="N333" s="49">
        <f>IFERROR(IF(Data_Entry!S322/Data_Entry!$H322&lt;0,0,Data_Entry!S322/Data_Entry!$H322),0)</f>
        <v>1.1056800943873251</v>
      </c>
      <c r="O333" s="49">
        <f>IFERROR(IF(Data_Entry!T322/Data_Entry!$H322&lt;0,0,Data_Entry!T322/Data_Entry!$H322),0)</f>
        <v>1.0584864318220124</v>
      </c>
      <c r="P333" s="49">
        <f>IFERROR(IF(Data_Entry!U322/Data_Entry!$H322&lt;0,0,Data_Entry!U322/Data_Entry!$H322),0)</f>
        <v>1.1056800943873251</v>
      </c>
      <c r="Q333" s="49">
        <f>IFERROR(IF(Data_Entry!V322/Data_Entry!$H322&lt;0,0,Data_Entry!V322/Data_Entry!$H322),0)</f>
        <v>1.1056800943873251</v>
      </c>
      <c r="R333" s="49">
        <f>IFERROR(IF(Data_Entry!W322/Data_Entry!$H322&lt;0,0,Data_Entry!W322/Data_Entry!$H322),0)</f>
        <v>1.0584864318220124</v>
      </c>
      <c r="S333" s="49">
        <f>IFERROR(IF(Data_Entry!X322/Data_Entry!$H322&lt;0,0,Data_Entry!X322/Data_Entry!$H322),0)</f>
        <v>1.0719703354121017</v>
      </c>
      <c r="T333" s="49">
        <f>IFERROR(IF(Data_Entry!Y322/Data_Entry!$H322&lt;0,0,Data_Entry!Y322/Data_Entry!$H322),0)</f>
        <v>0.88993763694589578</v>
      </c>
      <c r="U333" s="49">
        <f>IFERROR(IF(Data_Entry!Z322/Data_Entry!$H322&lt;0,0,Data_Entry!Z322/Data_Entry!$H322),0)</f>
        <v>1.0719703354121017</v>
      </c>
      <c r="V333" s="49">
        <f>IFERROR(IF(Data_Entry!AA322/Data_Entry!$H322&lt;0,0,Data_Entry!AA322/Data_Entry!$H322),0)</f>
        <v>1.0584864318220124</v>
      </c>
      <c r="W333" s="49">
        <f>IFERROR(IF(Data_Entry!AB322/Data_Entry!$H322&lt;0,0,Data_Entry!AB322/Data_Entry!$H322),0)</f>
        <v>1.0517444800269677</v>
      </c>
      <c r="X333" s="49">
        <f>IFERROR(IF(Data_Entry!AC322/Data_Entry!$I322&lt;0,0,Data_Entry!AC322/Data_Entry!$I322),0)</f>
        <v>0.49411764705882355</v>
      </c>
      <c r="Y333" s="49">
        <f>IFERROR(IF(Data_Entry!AD322/Data_Entry!$I322&lt;0,0,Data_Entry!AD322/Data_Entry!$I322),0)</f>
        <v>0.31176470588235294</v>
      </c>
      <c r="Z333" s="49">
        <f>IFERROR(IF(Data_Entry!AE322/Data_Entry!$I322&lt;0,0,Data_Entry!AE322/Data_Entry!$I322),0)</f>
        <v>0.26470588235294118</v>
      </c>
      <c r="AA333" s="49">
        <f>IFERROR(IF(Data_Entry!AF322/Data_Entry!$I322&lt;0,0,Data_Entry!AF322/Data_Entry!$I322),0)</f>
        <v>0.13529411764705881</v>
      </c>
      <c r="AB333" s="49">
        <f>IFERROR(IF(Data_Entry!AG322/Data_Entry!$I322&lt;0,0,Data_Entry!AG322/Data_Entry!$I322),0)</f>
        <v>0.17647058823529413</v>
      </c>
      <c r="AC333" s="49">
        <f>IFERROR(IF(Data_Entry!AI322/Data_Entry!$I322&lt;0,0,Data_Entry!AI322/Data_Entry!$I322),0)</f>
        <v>0.22058823529411764</v>
      </c>
      <c r="AD333" s="49">
        <f>IFERROR(IF(Data_Entry!AM322/Data_Entry!$H322&lt;0,0,Data_Entry!AM322/Data_Entry!$H322),0)</f>
        <v>1.0719703354121017</v>
      </c>
      <c r="AE333" s="50">
        <f>Data_Entry!AK322</f>
        <v>0</v>
      </c>
      <c r="AF333" s="50">
        <f>Data_Entry!AL322</f>
        <v>3</v>
      </c>
      <c r="AG333" s="153">
        <f>(Data_Entry!O322-Data_Entry!Q322)/Data_Entry!O322</f>
        <v>3.0864197530864196E-2</v>
      </c>
      <c r="AH333" s="79" t="str">
        <f t="shared" si="8"/>
        <v>CAT1</v>
      </c>
      <c r="AI333" s="51">
        <f>SUBTOTAL(3,Tableau1[[#This Row],[ZS]])</f>
        <v>0</v>
      </c>
      <c r="AJ333" s="51" t="e">
        <f t="shared" ca="1" si="9"/>
        <v>#NAME?</v>
      </c>
      <c r="AK333" s="50" t="str">
        <f>IFERROR(IF((Data_Entry!O322-Data_Entry!Q322)/Data_Entry!O322&lt;=10%,"&lt;=10%","&gt;10%"),"&lt;=10%")</f>
        <v>&lt;=10%</v>
      </c>
    </row>
    <row r="334" spans="1:37" s="48" customFormat="1" ht="13" hidden="1" x14ac:dyDescent="0.3">
      <c r="A334" s="31" t="s">
        <v>16</v>
      </c>
      <c r="B334" s="48" t="str">
        <f>Data_Entry!B323</f>
        <v>Goma</v>
      </c>
      <c r="C334" s="48" t="str">
        <f>Data_Entry!C323</f>
        <v xml:space="preserve"> Kibua</v>
      </c>
      <c r="D334" s="48" t="str">
        <f>Data_Entry!D323</f>
        <v xml:space="preserve"> Luvungi</v>
      </c>
      <c r="E334" s="49">
        <f>IFERROR(IF(Data_Entry!J323/Data_Entry!$I323&lt;0,0,Data_Entry!J323/Data_Entry!$I323),0)</f>
        <v>0.93495285280485863</v>
      </c>
      <c r="F334" s="49">
        <f>IFERROR(IF(Data_Entry!K323/Data_Entry!$H323&lt;0,0,Data_Entry!K323/Data_Entry!$H323),0)</f>
        <v>0.291249731532775</v>
      </c>
      <c r="G334" s="49">
        <f>IFERROR(IF(Data_Entry!L323/Data_Entry!$H323&lt;0,0,Data_Entry!L323/Data_Entry!$H323),0)</f>
        <v>0.6539380764603816</v>
      </c>
      <c r="H334" s="49">
        <f>IFERROR(IF(Data_Entry!M323/Data_Entry!$H323&lt;0,0,Data_Entry!M323/Data_Entry!$H323),0)</f>
        <v>0.56051835125175564</v>
      </c>
      <c r="I334" s="49">
        <f>IFERROR(IF(Data_Entry!N323/Data_Entry!$H323&lt;0,0,Data_Entry!N323/Data_Entry!$H323),0)</f>
        <v>0.62096640873969011</v>
      </c>
      <c r="J334" s="49">
        <f>IFERROR(IF(Data_Entry!O323/Data_Entry!$H323&lt;0,0,Data_Entry!O323/Data_Entry!$H323),0)</f>
        <v>0.98365475366729671</v>
      </c>
      <c r="K334" s="49">
        <f>IFERROR(IF(Data_Entry!P323/Data_Entry!$H323&lt;0,0,Data_Entry!P323/Data_Entry!$H323),0)</f>
        <v>0.80231058120349341</v>
      </c>
      <c r="L334" s="49">
        <f>IFERROR(IF(Data_Entry!Q323/Data_Entry!$H323&lt;0,0,Data_Entry!Q323/Data_Entry!$H323),0)</f>
        <v>0.92870197413281086</v>
      </c>
      <c r="M334" s="49">
        <f>IFERROR(IF(Data_Entry!R323/Data_Entry!$H323&lt;0,0,Data_Entry!R323/Data_Entry!$H323),0)</f>
        <v>0.95068308594660522</v>
      </c>
      <c r="N334" s="49">
        <f>IFERROR(IF(Data_Entry!S323/Data_Entry!$H323&lt;0,0,Data_Entry!S323/Data_Entry!$H323),0)</f>
        <v>0.80780585915694203</v>
      </c>
      <c r="O334" s="49">
        <f>IFERROR(IF(Data_Entry!T323/Data_Entry!$H323&lt;0,0,Data_Entry!T323/Data_Entry!$H323),0)</f>
        <v>0.92870197413281086</v>
      </c>
      <c r="P334" s="49">
        <f>IFERROR(IF(Data_Entry!U323/Data_Entry!$H323&lt;0,0,Data_Entry!U323/Data_Entry!$H323),0)</f>
        <v>0.98365475366729671</v>
      </c>
      <c r="Q334" s="49">
        <f>IFERROR(IF(Data_Entry!V323/Data_Entry!$H323&lt;0,0,Data_Entry!V323/Data_Entry!$H323),0)</f>
        <v>0.80780585915694203</v>
      </c>
      <c r="R334" s="49">
        <f>IFERROR(IF(Data_Entry!W323/Data_Entry!$H323&lt;0,0,Data_Entry!W323/Data_Entry!$H323),0)</f>
        <v>0.92870197413281086</v>
      </c>
      <c r="S334" s="49">
        <f>IFERROR(IF(Data_Entry!X323/Data_Entry!$H323&lt;0,0,Data_Entry!X323/Data_Entry!$H323),0)</f>
        <v>0.84077752687763352</v>
      </c>
      <c r="T334" s="49">
        <f>IFERROR(IF(Data_Entry!Y323/Data_Entry!$H323&lt;0,0,Data_Entry!Y323/Data_Entry!$H323),0)</f>
        <v>0.45610807013623256</v>
      </c>
      <c r="U334" s="49">
        <f>IFERROR(IF(Data_Entry!Z323/Data_Entry!$H323&lt;0,0,Data_Entry!Z323/Data_Entry!$H323),0)</f>
        <v>1.0276169772948853</v>
      </c>
      <c r="V334" s="49">
        <f>IFERROR(IF(Data_Entry!AA323/Data_Entry!$H323&lt;0,0,Data_Entry!AA323/Data_Entry!$H323),0)</f>
        <v>0.84077752687763352</v>
      </c>
      <c r="W334" s="49">
        <f>IFERROR(IF(Data_Entry!AB323/Data_Entry!$H323&lt;0,0,Data_Entry!AB323/Data_Entry!$H323),0)</f>
        <v>0.85176808278453064</v>
      </c>
      <c r="X334" s="49">
        <f>IFERROR(IF(Data_Entry!AC323/Data_Entry!$I323&lt;0,0,Data_Entry!AC323/Data_Entry!$I323),0)</f>
        <v>0.27808854083426565</v>
      </c>
      <c r="Y334" s="49">
        <f>IFERROR(IF(Data_Entry!AD323/Data_Entry!$I323&lt;0,0,Data_Entry!AD323/Data_Entry!$I323),0)</f>
        <v>0.18699057056097171</v>
      </c>
      <c r="Z334" s="49">
        <f>IFERROR(IF(Data_Entry!AE323/Data_Entry!$I323&lt;0,0,Data_Entry!AE323/Data_Entry!$I323),0)</f>
        <v>0.17740131053220393</v>
      </c>
      <c r="AA334" s="49">
        <f>IFERROR(IF(Data_Entry!AF323/Data_Entry!$I323&lt;0,0,Data_Entry!AF323/Data_Entry!$I323),0)</f>
        <v>0.1438389004315167</v>
      </c>
      <c r="AB334" s="49">
        <f>IFERROR(IF(Data_Entry!AG323/Data_Entry!$I323&lt;0,0,Data_Entry!AG323/Data_Entry!$I323),0)</f>
        <v>0.15342816046028449</v>
      </c>
      <c r="AC334" s="49">
        <f>IFERROR(IF(Data_Entry!AI323/Data_Entry!$I323&lt;0,0,Data_Entry!AI323/Data_Entry!$I323),0)</f>
        <v>0.15966117947898353</v>
      </c>
      <c r="AD334" s="49">
        <f>IFERROR(IF(Data_Entry!AM323/Data_Entry!$H323&lt;0,0,Data_Entry!AM323/Data_Entry!$H323),0)</f>
        <v>0.84077752687763352</v>
      </c>
      <c r="AE334" s="50">
        <f>Data_Entry!AK323</f>
        <v>2.9744166666666558</v>
      </c>
      <c r="AF334" s="50">
        <f>Data_Entry!AL323</f>
        <v>26</v>
      </c>
      <c r="AG334" s="153">
        <f>(Data_Entry!O323-Data_Entry!Q323)/Data_Entry!O323</f>
        <v>5.5865921787709494E-2</v>
      </c>
      <c r="AH334" s="79" t="str">
        <f t="shared" si="8"/>
        <v>CAT1</v>
      </c>
      <c r="AI334" s="51">
        <f>SUBTOTAL(3,Tableau1[[#This Row],[ZS]])</f>
        <v>0</v>
      </c>
      <c r="AJ334" s="51" t="e">
        <f t="shared" ca="1" si="9"/>
        <v>#NAME?</v>
      </c>
      <c r="AK334" s="50" t="str">
        <f>IFERROR(IF((Data_Entry!O323-Data_Entry!Q323)/Data_Entry!O323&lt;=10%,"&lt;=10%","&gt;10%"),"&lt;=10%")</f>
        <v>&lt;=10%</v>
      </c>
    </row>
    <row r="335" spans="1:37" s="48" customFormat="1" ht="13" hidden="1" x14ac:dyDescent="0.3">
      <c r="A335" s="31" t="s">
        <v>16</v>
      </c>
      <c r="B335" s="48" t="str">
        <f>Data_Entry!B324</f>
        <v>Goma</v>
      </c>
      <c r="C335" s="48" t="str">
        <f>Data_Entry!C324</f>
        <v xml:space="preserve"> Kibua</v>
      </c>
      <c r="D335" s="48" t="str">
        <f>Data_Entry!D324</f>
        <v xml:space="preserve"> Machumbi</v>
      </c>
      <c r="E335" s="49">
        <f>IFERROR(IF(Data_Entry!J324/Data_Entry!$I324&lt;0,0,Data_Entry!J324/Data_Entry!$I324),0)</f>
        <v>0.61581525542337312</v>
      </c>
      <c r="F335" s="49">
        <f>IFERROR(IF(Data_Entry!K324/Data_Entry!$H324&lt;0,0,Data_Entry!K324/Data_Entry!$H324),0)</f>
        <v>7.2184648330429244E-2</v>
      </c>
      <c r="G335" s="49">
        <f>IFERROR(IF(Data_Entry!L324/Data_Entry!$H324&lt;0,0,Data_Entry!L324/Data_Entry!$H324),0)</f>
        <v>0.83814397228109516</v>
      </c>
      <c r="H335" s="49">
        <f>IFERROR(IF(Data_Entry!M324/Data_Entry!$H324&lt;0,0,Data_Entry!M324/Data_Entry!$H324),0)</f>
        <v>0.80606190635645991</v>
      </c>
      <c r="I335" s="49">
        <f>IFERROR(IF(Data_Entry!N324/Data_Entry!$H324&lt;0,0,Data_Entry!N324/Data_Entry!$H324),0)</f>
        <v>0.80606190635645991</v>
      </c>
      <c r="J335" s="49">
        <f>IFERROR(IF(Data_Entry!O324/Data_Entry!$H324&lt;0,0,Data_Entry!O324/Data_Entry!$H324),0)</f>
        <v>0.90230810413036555</v>
      </c>
      <c r="K335" s="49">
        <f>IFERROR(IF(Data_Entry!P324/Data_Entry!$H324&lt;0,0,Data_Entry!P324/Data_Entry!$H324),0)</f>
        <v>0.81408242283761867</v>
      </c>
      <c r="L335" s="49">
        <f>IFERROR(IF(Data_Entry!Q324/Data_Entry!$H324&lt;0,0,Data_Entry!Q324/Data_Entry!$H324),0)</f>
        <v>0.87824655468688917</v>
      </c>
      <c r="M335" s="49">
        <f>IFERROR(IF(Data_Entry!R324/Data_Entry!$H324&lt;0,0,Data_Entry!R324/Data_Entry!$H324),0)</f>
        <v>0.90230810413036555</v>
      </c>
      <c r="N335" s="49">
        <f>IFERROR(IF(Data_Entry!S324/Data_Entry!$H324&lt;0,0,Data_Entry!S324/Data_Entry!$H324),0)</f>
        <v>0.95845171949847718</v>
      </c>
      <c r="O335" s="49">
        <f>IFERROR(IF(Data_Entry!T324/Data_Entry!$H324&lt;0,0,Data_Entry!T324/Data_Entry!$H324),0)</f>
        <v>0.96647223597963605</v>
      </c>
      <c r="P335" s="49">
        <f>IFERROR(IF(Data_Entry!U324/Data_Entry!$H324&lt;0,0,Data_Entry!U324/Data_Entry!$H324),0)</f>
        <v>0.99855430190427119</v>
      </c>
      <c r="Q335" s="49">
        <f>IFERROR(IF(Data_Entry!V324/Data_Entry!$H324&lt;0,0,Data_Entry!V324/Data_Entry!$H324),0)</f>
        <v>0.95845171949847718</v>
      </c>
      <c r="R335" s="49">
        <f>IFERROR(IF(Data_Entry!W324/Data_Entry!$H324&lt;0,0,Data_Entry!W324/Data_Entry!$H324),0)</f>
        <v>0.97449275246079481</v>
      </c>
      <c r="S335" s="49">
        <f>IFERROR(IF(Data_Entry!X324/Data_Entry!$H324&lt;0,0,Data_Entry!X324/Data_Entry!$H324),0)</f>
        <v>0.96246197773905662</v>
      </c>
      <c r="T335" s="49">
        <f>IFERROR(IF(Data_Entry!Y324/Data_Entry!$H324&lt;0,0,Data_Entry!Y324/Data_Entry!$H324),0)</f>
        <v>0.25665652739708178</v>
      </c>
      <c r="U335" s="49">
        <f>IFERROR(IF(Data_Entry!Z324/Data_Entry!$H324&lt;0,0,Data_Entry!Z324/Data_Entry!$H324),0)</f>
        <v>0.99053378542311243</v>
      </c>
      <c r="V335" s="49">
        <f>IFERROR(IF(Data_Entry!AA324/Data_Entry!$H324&lt;0,0,Data_Entry!AA324/Data_Entry!$H324),0)</f>
        <v>0.78601061515356285</v>
      </c>
      <c r="W335" s="49">
        <f>IFERROR(IF(Data_Entry!AB324/Data_Entry!$H324&lt;0,0,Data_Entry!AB324/Data_Entry!$H324),0)</f>
        <v>0.76996958219124534</v>
      </c>
      <c r="X335" s="49">
        <f>IFERROR(IF(Data_Entry!AC324/Data_Entry!$I324&lt;0,0,Data_Entry!AC324/Data_Entry!$I324),0)</f>
        <v>0.21343596920923727</v>
      </c>
      <c r="Y335" s="49">
        <f>IFERROR(IF(Data_Entry!AD324/Data_Entry!$I324&lt;0,0,Data_Entry!AD324/Data_Entry!$I324),0)</f>
        <v>0.16794961511546538</v>
      </c>
      <c r="Z335" s="49">
        <f>IFERROR(IF(Data_Entry!AE324/Data_Entry!$I324&lt;0,0,Data_Entry!AE324/Data_Entry!$I324),0)</f>
        <v>0.13995801259622115</v>
      </c>
      <c r="AA335" s="49">
        <f>IFERROR(IF(Data_Entry!AF324/Data_Entry!$I324&lt;0,0,Data_Entry!AF324/Data_Entry!$I324),0)</f>
        <v>0.13296011196641011</v>
      </c>
      <c r="AB335" s="49">
        <f>IFERROR(IF(Data_Entry!AG324/Data_Entry!$I324&lt;0,0,Data_Entry!AG324/Data_Entry!$I324),0)</f>
        <v>0.12246326102169351</v>
      </c>
      <c r="AC335" s="49">
        <f>IFERROR(IF(Data_Entry!AI324/Data_Entry!$I324&lt;0,0,Data_Entry!AI324/Data_Entry!$I324),0)</f>
        <v>0.17494751574527645</v>
      </c>
      <c r="AD335" s="49">
        <f>IFERROR(IF(Data_Entry!AM324/Data_Entry!$H324&lt;0,0,Data_Entry!AM324/Data_Entry!$H324),0)</f>
        <v>0.96246197773905662</v>
      </c>
      <c r="AE335" s="50">
        <f>Data_Entry!AK324</f>
        <v>24.360499999999973</v>
      </c>
      <c r="AF335" s="50">
        <f>Data_Entry!AL324</f>
        <v>0</v>
      </c>
      <c r="AG335" s="153">
        <f>(Data_Entry!O324-Data_Entry!Q324)/Data_Entry!O324</f>
        <v>2.6666666666666668E-2</v>
      </c>
      <c r="AH335" s="79" t="str">
        <f t="shared" si="8"/>
        <v>CAT1</v>
      </c>
      <c r="AI335" s="51">
        <f>SUBTOTAL(3,Tableau1[[#This Row],[ZS]])</f>
        <v>0</v>
      </c>
      <c r="AJ335" s="51" t="e">
        <f t="shared" ca="1" si="9"/>
        <v>#NAME?</v>
      </c>
      <c r="AK335" s="50" t="str">
        <f>IFERROR(IF((Data_Entry!O324-Data_Entry!Q324)/Data_Entry!O324&lt;=10%,"&lt;=10%","&gt;10%"),"&lt;=10%")</f>
        <v>&lt;=10%</v>
      </c>
    </row>
    <row r="336" spans="1:37" s="48" customFormat="1" ht="13" hidden="1" x14ac:dyDescent="0.3">
      <c r="A336" s="31" t="s">
        <v>16</v>
      </c>
      <c r="B336" s="48" t="str">
        <f>Data_Entry!B325</f>
        <v>Goma</v>
      </c>
      <c r="C336" s="48" t="str">
        <f>Data_Entry!C325</f>
        <v xml:space="preserve"> Kibua</v>
      </c>
      <c r="D336" s="48" t="str">
        <f>Data_Entry!D325</f>
        <v xml:space="preserve"> Misau</v>
      </c>
      <c r="E336" s="49">
        <f>IFERROR(IF(Data_Entry!J325/Data_Entry!$I325&lt;0,0,Data_Entry!J325/Data_Entry!$I325),0)</f>
        <v>0.80371610673004201</v>
      </c>
      <c r="F336" s="49">
        <f>IFERROR(IF(Data_Entry!K325/Data_Entry!$H325&lt;0,0,Data_Entry!K325/Data_Entry!$H325),0)</f>
        <v>0.58687099021788824</v>
      </c>
      <c r="G336" s="49">
        <f>IFERROR(IF(Data_Entry!L325/Data_Entry!$H325&lt;0,0,Data_Entry!L325/Data_Entry!$H325),0)</f>
        <v>0.72430280438283667</v>
      </c>
      <c r="H336" s="49">
        <f>IFERROR(IF(Data_Entry!M325/Data_Entry!$H325&lt;0,0,Data_Entry!M325/Data_Entry!$H325),0)</f>
        <v>0.70944531095959906</v>
      </c>
      <c r="I336" s="49">
        <f>IFERROR(IF(Data_Entry!N325/Data_Entry!$H325&lt;0,0,Data_Entry!N325/Data_Entry!$H325),0)</f>
        <v>0.7391602978060744</v>
      </c>
      <c r="J336" s="49">
        <f>IFERROR(IF(Data_Entry!O325/Data_Entry!$H325&lt;0,0,Data_Entry!O325/Data_Entry!$H325),0)</f>
        <v>0.92116459224073588</v>
      </c>
      <c r="K336" s="49">
        <f>IFERROR(IF(Data_Entry!P325/Data_Entry!$H325&lt;0,0,Data_Entry!P325/Data_Entry!$H325),0)</f>
        <v>0.9174502188849265</v>
      </c>
      <c r="L336" s="49">
        <f>IFERROR(IF(Data_Entry!Q325/Data_Entry!$H325&lt;0,0,Data_Entry!Q325/Data_Entry!$H325),0)</f>
        <v>0.94716520573140184</v>
      </c>
      <c r="M336" s="49">
        <f>IFERROR(IF(Data_Entry!R325/Data_Entry!$H325&lt;0,0,Data_Entry!R325/Data_Entry!$H325),0)</f>
        <v>0.92116459224073588</v>
      </c>
      <c r="N336" s="49">
        <f>IFERROR(IF(Data_Entry!S325/Data_Entry!$H325&lt;0,0,Data_Entry!S325/Data_Entry!$H325),0)</f>
        <v>0.9174502188849265</v>
      </c>
      <c r="O336" s="49">
        <f>IFERROR(IF(Data_Entry!T325/Data_Entry!$H325&lt;0,0,Data_Entry!T325/Data_Entry!$H325),0)</f>
        <v>0.94716520573140184</v>
      </c>
      <c r="P336" s="49">
        <f>IFERROR(IF(Data_Entry!U325/Data_Entry!$H325&lt;0,0,Data_Entry!U325/Data_Entry!$H325),0)</f>
        <v>0.9360220856639736</v>
      </c>
      <c r="Q336" s="49">
        <f>IFERROR(IF(Data_Entry!V325/Data_Entry!$H325&lt;0,0,Data_Entry!V325/Data_Entry!$H325),0)</f>
        <v>0.9174502188849265</v>
      </c>
      <c r="R336" s="49">
        <f>IFERROR(IF(Data_Entry!W325/Data_Entry!$H325&lt;0,0,Data_Entry!W325/Data_Entry!$H325),0)</f>
        <v>0.9360220856639736</v>
      </c>
      <c r="S336" s="49">
        <f>IFERROR(IF(Data_Entry!X325/Data_Entry!$H325&lt;0,0,Data_Entry!X325/Data_Entry!$H325),0)</f>
        <v>0.90259272546168878</v>
      </c>
      <c r="T336" s="49">
        <f>IFERROR(IF(Data_Entry!Y325/Data_Entry!$H325&lt;0,0,Data_Entry!Y325/Data_Entry!$H325),0)</f>
        <v>0.84316275176873812</v>
      </c>
      <c r="U336" s="49">
        <f>IFERROR(IF(Data_Entry!Z325/Data_Entry!$H325&lt;0,0,Data_Entry!Z325/Data_Entry!$H325),0)</f>
        <v>0.89144960539426055</v>
      </c>
      <c r="V336" s="49">
        <f>IFERROR(IF(Data_Entry!AA325/Data_Entry!$H325&lt;0,0,Data_Entry!AA325/Data_Entry!$H325),0)</f>
        <v>0.94716520573140184</v>
      </c>
      <c r="W336" s="49">
        <f>IFERROR(IF(Data_Entry!AB325/Data_Entry!$H325&lt;0,0,Data_Entry!AB325/Data_Entry!$H325),0)</f>
        <v>0.54972725665979405</v>
      </c>
      <c r="X336" s="49">
        <f>IFERROR(IF(Data_Entry!AC325/Data_Entry!$I325&lt;0,0,Data_Entry!AC325/Data_Entry!$I325),0)</f>
        <v>0.34028302905909036</v>
      </c>
      <c r="Y336" s="49">
        <f>IFERROR(IF(Data_Entry!AD325/Data_Entry!$I325&lt;0,0,Data_Entry!AD325/Data_Entry!$I325),0)</f>
        <v>0.31435670303554064</v>
      </c>
      <c r="Z336" s="49">
        <f>IFERROR(IF(Data_Entry!AE325/Data_Entry!$I325&lt;0,0,Data_Entry!AE325/Data_Entry!$I325),0)</f>
        <v>0.13287242087069243</v>
      </c>
      <c r="AA336" s="49">
        <f>IFERROR(IF(Data_Entry!AF325/Data_Entry!$I325&lt;0,0,Data_Entry!AF325/Data_Entry!$I325),0)</f>
        <v>0.12315004861186127</v>
      </c>
      <c r="AB336" s="49">
        <f>IFERROR(IF(Data_Entry!AG325/Data_Entry!$I325&lt;0,0,Data_Entry!AG325/Data_Entry!$I325),0)</f>
        <v>0.22037377120017279</v>
      </c>
      <c r="AC336" s="49">
        <f>IFERROR(IF(Data_Entry!AI325/Data_Entry!$I325&lt;0,0,Data_Entry!AI325/Data_Entry!$I325),0)</f>
        <v>0.10791833207302579</v>
      </c>
      <c r="AD336" s="49">
        <f>IFERROR(IF(Data_Entry!AM325/Data_Entry!$H325&lt;0,0,Data_Entry!AM325/Data_Entry!$H325),0)</f>
        <v>0.89144960539426055</v>
      </c>
      <c r="AE336" s="50">
        <f>Data_Entry!AK325</f>
        <v>21.224416666666684</v>
      </c>
      <c r="AF336" s="50">
        <f>Data_Entry!AL325</f>
        <v>5</v>
      </c>
      <c r="AG336" s="153">
        <f>(Data_Entry!O325-Data_Entry!Q325)/Data_Entry!O325</f>
        <v>-2.8225806451612902E-2</v>
      </c>
      <c r="AH336" s="79" t="str">
        <f t="shared" ref="AH336:AH399" si="10">IFERROR(IF(AND(AG336&lt;=10%,J336&gt;=90%),"CAT1",IF(AND(AG336&lt;=10%,J336&lt;90%),"CAT3",IF(AND(AG336&gt;10%,J336&gt;=90%),"CAT2",IF(AND(AG336&gt;10%,J336&lt;90%),"CAT4",)))),"ND")</f>
        <v>CAT1</v>
      </c>
      <c r="AI336" s="51">
        <f>SUBTOTAL(3,Tableau1[[#This Row],[ZS]])</f>
        <v>0</v>
      </c>
      <c r="AJ336" s="51" t="e">
        <f t="shared" ref="AJ336:AJ399" ca="1" si="11">_xlfn.IFS(L336&lt;50%,"&lt;50%",(AND(L336&lt;80%,L336&gt;50%)),"&gt;50%&lt;80%",(AND(L336&gt;=80%,L336&lt;95%)),"&gt;=80%&lt;95%",(AND(L336&gt;=95%,L336&lt;100%)),"95-100%",L336&gt;100%,"&gt;100%")</f>
        <v>#NAME?</v>
      </c>
      <c r="AK336" s="50" t="str">
        <f>IFERROR(IF((Data_Entry!O325-Data_Entry!Q325)/Data_Entry!O325&lt;=10%,"&lt;=10%","&gt;10%"),"&lt;=10%")</f>
        <v>&lt;=10%</v>
      </c>
    </row>
    <row r="337" spans="1:37" s="48" customFormat="1" ht="13" hidden="1" x14ac:dyDescent="0.3">
      <c r="A337" s="31" t="s">
        <v>16</v>
      </c>
      <c r="B337" s="48" t="str">
        <f>Data_Entry!B326</f>
        <v>Goma</v>
      </c>
      <c r="C337" s="48" t="str">
        <f>Data_Entry!C326</f>
        <v xml:space="preserve"> Kibua</v>
      </c>
      <c r="D337" s="48" t="str">
        <f>Data_Entry!D326</f>
        <v xml:space="preserve"> N'Kimba</v>
      </c>
      <c r="E337" s="49">
        <f>IFERROR(IF(Data_Entry!J326/Data_Entry!$I326&lt;0,0,Data_Entry!J326/Data_Entry!$I326),0)</f>
        <v>0.75463371579876437</v>
      </c>
      <c r="F337" s="49">
        <f>IFERROR(IF(Data_Entry!K326/Data_Entry!$H326&lt;0,0,Data_Entry!K326/Data_Entry!$H326),0)</f>
        <v>0.30347708874428769</v>
      </c>
      <c r="G337" s="49">
        <f>IFERROR(IF(Data_Entry!L326/Data_Entry!$H326&lt;0,0,Data_Entry!L326/Data_Entry!$H326),0)</f>
        <v>0.5159110508652891</v>
      </c>
      <c r="H337" s="49">
        <f>IFERROR(IF(Data_Entry!M326/Data_Entry!$H326&lt;0,0,Data_Entry!M326/Data_Entry!$H326),0)</f>
        <v>0.47797641477225311</v>
      </c>
      <c r="I337" s="49">
        <f>IFERROR(IF(Data_Entry!N326/Data_Entry!$H326&lt;0,0,Data_Entry!N326/Data_Entry!$H326),0)</f>
        <v>0.50073719642807468</v>
      </c>
      <c r="J337" s="49">
        <f>IFERROR(IF(Data_Entry!O326/Data_Entry!$H326&lt;0,0,Data_Entry!O326/Data_Entry!$H326),0)</f>
        <v>0.82697506682818389</v>
      </c>
      <c r="K337" s="49">
        <f>IFERROR(IF(Data_Entry!P326/Data_Entry!$H326&lt;0,0,Data_Entry!P326/Data_Entry!$H326),0)</f>
        <v>0.75110579464211202</v>
      </c>
      <c r="L337" s="49">
        <f>IFERROR(IF(Data_Entry!Q326/Data_Entry!$H326&lt;0,0,Data_Entry!Q326/Data_Entry!$H326),0)</f>
        <v>0.81938813960957668</v>
      </c>
      <c r="M337" s="49">
        <f>IFERROR(IF(Data_Entry!R326/Data_Entry!$H326&lt;0,0,Data_Entry!R326/Data_Entry!$H326),0)</f>
        <v>0.82697506682818389</v>
      </c>
      <c r="N337" s="49">
        <f>IFERROR(IF(Data_Entry!S326/Data_Entry!$H326&lt;0,0,Data_Entry!S326/Data_Entry!$H326),0)</f>
        <v>0.75110579464211202</v>
      </c>
      <c r="O337" s="49">
        <f>IFERROR(IF(Data_Entry!T326/Data_Entry!$H326&lt;0,0,Data_Entry!T326/Data_Entry!$H326),0)</f>
        <v>0.81938813960957668</v>
      </c>
      <c r="P337" s="49">
        <f>IFERROR(IF(Data_Entry!U326/Data_Entry!$H326&lt;0,0,Data_Entry!U326/Data_Entry!$H326),0)</f>
        <v>0.82697506682818389</v>
      </c>
      <c r="Q337" s="49">
        <f>IFERROR(IF(Data_Entry!V326/Data_Entry!$H326&lt;0,0,Data_Entry!V326/Data_Entry!$H326),0)</f>
        <v>0.75110579464211202</v>
      </c>
      <c r="R337" s="49">
        <f>IFERROR(IF(Data_Entry!W326/Data_Entry!$H326&lt;0,0,Data_Entry!W326/Data_Entry!$H326),0)</f>
        <v>0.81938813960957668</v>
      </c>
      <c r="S337" s="49">
        <f>IFERROR(IF(Data_Entry!X326/Data_Entry!$H326&lt;0,0,Data_Entry!X326/Data_Entry!$H326),0)</f>
        <v>0.76627964907932633</v>
      </c>
      <c r="T337" s="49">
        <f>IFERROR(IF(Data_Entry!Y326/Data_Entry!$H326&lt;0,0,Data_Entry!Y326/Data_Entry!$H326),0)</f>
        <v>0.45521563311643154</v>
      </c>
      <c r="U337" s="49">
        <f>IFERROR(IF(Data_Entry!Z326/Data_Entry!$H326&lt;0,0,Data_Entry!Z326/Data_Entry!$H326),0)</f>
        <v>1.0166482472933638</v>
      </c>
      <c r="V337" s="49">
        <f>IFERROR(IF(Data_Entry!AA326/Data_Entry!$H326&lt;0,0,Data_Entry!AA326/Data_Entry!$H326),0)</f>
        <v>0.69799730411186167</v>
      </c>
      <c r="W337" s="49">
        <f>IFERROR(IF(Data_Entry!AB326/Data_Entry!$H326&lt;0,0,Data_Entry!AB326/Data_Entry!$H326),0)</f>
        <v>0.50832412364668189</v>
      </c>
      <c r="X337" s="49">
        <f>IFERROR(IF(Data_Entry!AC326/Data_Entry!$I326&lt;0,0,Data_Entry!AC326/Data_Entry!$I326),0)</f>
        <v>0.16548984995586938</v>
      </c>
      <c r="Y337" s="49">
        <f>IFERROR(IF(Data_Entry!AD326/Data_Entry!$I326&lt;0,0,Data_Entry!AD326/Data_Entry!$I326),0)</f>
        <v>0.13239187996469551</v>
      </c>
      <c r="Z337" s="49">
        <f>IFERROR(IF(Data_Entry!AE326/Data_Entry!$I326&lt;0,0,Data_Entry!AE326/Data_Entry!$I326),0)</f>
        <v>0.11915269196822595</v>
      </c>
      <c r="AA337" s="49">
        <f>IFERROR(IF(Data_Entry!AF326/Data_Entry!$I326&lt;0,0,Data_Entry!AF326/Data_Entry!$I326),0)</f>
        <v>0.13901147396293029</v>
      </c>
      <c r="AB337" s="49">
        <f>IFERROR(IF(Data_Entry!AG326/Data_Entry!$I326&lt;0,0,Data_Entry!AG326/Data_Entry!$I326),0)</f>
        <v>0.11253309796999118</v>
      </c>
      <c r="AC337" s="49">
        <f>IFERROR(IF(Data_Entry!AI326/Data_Entry!$I326&lt;0,0,Data_Entry!AI326/Data_Entry!$I326),0)</f>
        <v>0.27603706972639014</v>
      </c>
      <c r="AD337" s="49">
        <f>IFERROR(IF(Data_Entry!AM326/Data_Entry!$H326&lt;0,0,Data_Entry!AM326/Data_Entry!$H326),0)</f>
        <v>0.76627964907932633</v>
      </c>
      <c r="AE337" s="50">
        <f>Data_Entry!AK326</f>
        <v>22.805666666666667</v>
      </c>
      <c r="AF337" s="50">
        <f>Data_Entry!AL326</f>
        <v>8</v>
      </c>
      <c r="AG337" s="153">
        <f>(Data_Entry!O326-Data_Entry!Q326)/Data_Entry!O326</f>
        <v>9.1743119266055051E-3</v>
      </c>
      <c r="AH337" s="79" t="str">
        <f t="shared" si="10"/>
        <v>CAT3</v>
      </c>
      <c r="AI337" s="51">
        <f>SUBTOTAL(3,Tableau1[[#This Row],[ZS]])</f>
        <v>0</v>
      </c>
      <c r="AJ337" s="51" t="e">
        <f t="shared" ca="1" si="11"/>
        <v>#NAME?</v>
      </c>
      <c r="AK337" s="50" t="str">
        <f>IFERROR(IF((Data_Entry!O326-Data_Entry!Q326)/Data_Entry!O326&lt;=10%,"&lt;=10%","&gt;10%"),"&lt;=10%")</f>
        <v>&lt;=10%</v>
      </c>
    </row>
    <row r="338" spans="1:37" s="48" customFormat="1" ht="13" hidden="1" x14ac:dyDescent="0.3">
      <c r="A338" s="31" t="s">
        <v>16</v>
      </c>
      <c r="B338" s="48" t="str">
        <f>Data_Entry!B327</f>
        <v>Goma</v>
      </c>
      <c r="C338" s="48" t="str">
        <f>Data_Entry!C327</f>
        <v xml:space="preserve"> Kibua</v>
      </c>
      <c r="D338" s="48" t="str">
        <f>Data_Entry!D327</f>
        <v xml:space="preserve"> Ngenge</v>
      </c>
      <c r="E338" s="49">
        <f>IFERROR(IF(Data_Entry!J327/Data_Entry!$I327&lt;0,0,Data_Entry!J327/Data_Entry!$I327),0)</f>
        <v>0.90192075716804299</v>
      </c>
      <c r="F338" s="49">
        <f>IFERROR(IF(Data_Entry!K327/Data_Entry!$H327&lt;0,0,Data_Entry!K327/Data_Entry!$H327),0)</f>
        <v>0.4881455864965531</v>
      </c>
      <c r="G338" s="49">
        <f>IFERROR(IF(Data_Entry!L327/Data_Entry!$H327&lt;0,0,Data_Entry!L327/Data_Entry!$H327),0)</f>
        <v>0.85186190584692589</v>
      </c>
      <c r="H338" s="49">
        <f>IFERROR(IF(Data_Entry!M327/Data_Entry!$H327&lt;0,0,Data_Entry!M327/Data_Entry!$H327),0)</f>
        <v>0.77529004914158428</v>
      </c>
      <c r="I338" s="49">
        <f>IFERROR(IF(Data_Entry!N327/Data_Entry!$H327&lt;0,0,Data_Entry!N327/Data_Entry!$H327),0)</f>
        <v>0.79762350734730891</v>
      </c>
      <c r="J338" s="49">
        <f>IFERROR(IF(Data_Entry!O327/Data_Entry!$H327&lt;0,0,Data_Entry!O327/Data_Entry!$H327),0)</f>
        <v>0.9156717864347107</v>
      </c>
      <c r="K338" s="49">
        <f>IFERROR(IF(Data_Entry!P327/Data_Entry!$H327&lt;0,0,Data_Entry!P327/Data_Entry!$H327),0)</f>
        <v>0.86462388196448292</v>
      </c>
      <c r="L338" s="49">
        <f>IFERROR(IF(Data_Entry!Q327/Data_Entry!$H327&lt;0,0,Data_Entry!Q327/Data_Entry!$H327),0)</f>
        <v>0.89652882225837527</v>
      </c>
      <c r="M338" s="49">
        <f>IFERROR(IF(Data_Entry!R327/Data_Entry!$H327&lt;0,0,Data_Entry!R327/Data_Entry!$H327),0)</f>
        <v>0.91248129240532139</v>
      </c>
      <c r="N338" s="49">
        <f>IFERROR(IF(Data_Entry!S327/Data_Entry!$H327&lt;0,0,Data_Entry!S327/Data_Entry!$H327),0)</f>
        <v>0.86462388196448292</v>
      </c>
      <c r="O338" s="49">
        <f>IFERROR(IF(Data_Entry!T327/Data_Entry!$H327&lt;0,0,Data_Entry!T327/Data_Entry!$H327),0)</f>
        <v>0.89652882225837527</v>
      </c>
      <c r="P338" s="49">
        <f>IFERROR(IF(Data_Entry!U327/Data_Entry!$H327&lt;0,0,Data_Entry!U327/Data_Entry!$H327),0)</f>
        <v>0.9156717864347107</v>
      </c>
      <c r="Q338" s="49">
        <f>IFERROR(IF(Data_Entry!V327/Data_Entry!$H327&lt;0,0,Data_Entry!V327/Data_Entry!$H327),0)</f>
        <v>0.86462388196448292</v>
      </c>
      <c r="R338" s="49">
        <f>IFERROR(IF(Data_Entry!W327/Data_Entry!$H327&lt;0,0,Data_Entry!W327/Data_Entry!$H327),0)</f>
        <v>0.89333832822898596</v>
      </c>
      <c r="S338" s="49">
        <f>IFERROR(IF(Data_Entry!X327/Data_Entry!$H327&lt;0,0,Data_Entry!X327/Data_Entry!$H327),0)</f>
        <v>0.93481475061104613</v>
      </c>
      <c r="T338" s="49">
        <f>IFERROR(IF(Data_Entry!Y327/Data_Entry!$H327&lt;0,0,Data_Entry!Y327/Data_Entry!$H327),0)</f>
        <v>0.36052582532098365</v>
      </c>
      <c r="U338" s="49">
        <f>IFERROR(IF(Data_Entry!Z327/Data_Entry!$H327&lt;0,0,Data_Entry!Z327/Data_Entry!$H327),0)</f>
        <v>1.056053523727837</v>
      </c>
      <c r="V338" s="49">
        <f>IFERROR(IF(Data_Entry!AA327/Data_Entry!$H327&lt;0,0,Data_Entry!AA327/Data_Entry!$H327),0)</f>
        <v>0.87419536405265064</v>
      </c>
      <c r="W338" s="49">
        <f>IFERROR(IF(Data_Entry!AB327/Data_Entry!$H327&lt;0,0,Data_Entry!AB327/Data_Entry!$H327),0)</f>
        <v>0.88376684614081835</v>
      </c>
      <c r="X338" s="49">
        <f>IFERROR(IF(Data_Entry!AC327/Data_Entry!$I327&lt;0,0,Data_Entry!AC327/Data_Entry!$I327),0)</f>
        <v>0.40085366985246357</v>
      </c>
      <c r="Y338" s="49">
        <f>IFERROR(IF(Data_Entry!AD327/Data_Entry!$I327&lt;0,0,Data_Entry!AD327/Data_Entry!$I327),0)</f>
        <v>0.3396121369583372</v>
      </c>
      <c r="Z338" s="49">
        <f>IFERROR(IF(Data_Entry!AE327/Data_Entry!$I327&lt;0,0,Data_Entry!AE327/Data_Entry!$I327),0)</f>
        <v>0.29228913426742137</v>
      </c>
      <c r="AA338" s="49">
        <f>IFERROR(IF(Data_Entry!AF327/Data_Entry!$I327&lt;0,0,Data_Entry!AF327/Data_Entry!$I327),0)</f>
        <v>0.25610095573907393</v>
      </c>
      <c r="AB338" s="49">
        <f>IFERROR(IF(Data_Entry!AG327/Data_Entry!$I327&lt;0,0,Data_Entry!AG327/Data_Entry!$I327),0)</f>
        <v>0.21991277721072655</v>
      </c>
      <c r="AC338" s="49">
        <f>IFERROR(IF(Data_Entry!AI327/Data_Entry!$I327&lt;0,0,Data_Entry!AI327/Data_Entry!$I327),0)</f>
        <v>0.11608054189477592</v>
      </c>
      <c r="AD338" s="49">
        <f>IFERROR(IF(Data_Entry!AM327/Data_Entry!$H327&lt;0,0,Data_Entry!AM327/Data_Entry!$H327),0)</f>
        <v>0.93481475061104613</v>
      </c>
      <c r="AE338" s="50">
        <f>Data_Entry!AK327</f>
        <v>26.431083333333333</v>
      </c>
      <c r="AF338" s="50">
        <f>Data_Entry!AL327</f>
        <v>0</v>
      </c>
      <c r="AG338" s="153">
        <f>(Data_Entry!O327-Data_Entry!Q327)/Data_Entry!O327</f>
        <v>2.0905923344947737E-2</v>
      </c>
      <c r="AH338" s="79" t="str">
        <f t="shared" si="10"/>
        <v>CAT1</v>
      </c>
      <c r="AI338" s="51">
        <f>SUBTOTAL(3,Tableau1[[#This Row],[ZS]])</f>
        <v>0</v>
      </c>
      <c r="AJ338" s="51" t="e">
        <f t="shared" ca="1" si="11"/>
        <v>#NAME?</v>
      </c>
      <c r="AK338" s="50" t="str">
        <f>IFERROR(IF((Data_Entry!O327-Data_Entry!Q327)/Data_Entry!O327&lt;=10%,"&lt;=10%","&gt;10%"),"&lt;=10%")</f>
        <v>&lt;=10%</v>
      </c>
    </row>
    <row r="339" spans="1:37" s="48" customFormat="1" ht="13" hidden="1" x14ac:dyDescent="0.3">
      <c r="A339" s="31" t="s">
        <v>16</v>
      </c>
      <c r="B339" s="48" t="str">
        <f>Data_Entry!B328</f>
        <v>Goma</v>
      </c>
      <c r="C339" s="48" t="str">
        <f>Data_Entry!C328</f>
        <v xml:space="preserve"> Kibua</v>
      </c>
      <c r="D339" s="48" t="str">
        <f>Data_Entry!D328</f>
        <v xml:space="preserve"> Ntoto</v>
      </c>
      <c r="E339" s="49">
        <f>IFERROR(IF(Data_Entry!J328/Data_Entry!$I328&lt;0,0,Data_Entry!J328/Data_Entry!$I328),0)</f>
        <v>0.69280343716433934</v>
      </c>
      <c r="F339" s="49">
        <f>IFERROR(IF(Data_Entry!K328/Data_Entry!$H328&lt;0,0,Data_Entry!K328/Data_Entry!$H328),0)</f>
        <v>0.35085667504824281</v>
      </c>
      <c r="G339" s="49">
        <f>IFERROR(IF(Data_Entry!L328/Data_Entry!$H328&lt;0,0,Data_Entry!L328/Data_Entry!$H328),0)</f>
        <v>0.79866058925455274</v>
      </c>
      <c r="H339" s="49">
        <f>IFERROR(IF(Data_Entry!M328/Data_Entry!$H328&lt;0,0,Data_Entry!M328/Data_Entry!$H328),0)</f>
        <v>0.76634484286853033</v>
      </c>
      <c r="I339" s="49">
        <f>IFERROR(IF(Data_Entry!N328/Data_Entry!$H328&lt;0,0,Data_Entry!N328/Data_Entry!$H328),0)</f>
        <v>0.78481098366054314</v>
      </c>
      <c r="J339" s="49">
        <f>IFERROR(IF(Data_Entry!O328/Data_Entry!$H328&lt;0,0,Data_Entry!O328/Data_Entry!$H328),0)</f>
        <v>0.83559287083857825</v>
      </c>
      <c r="K339" s="49">
        <f>IFERROR(IF(Data_Entry!P328/Data_Entry!$H328&lt;0,0,Data_Entry!P328/Data_Entry!$H328),0)</f>
        <v>0.85405901163059106</v>
      </c>
      <c r="L339" s="49">
        <f>IFERROR(IF(Data_Entry!Q328/Data_Entry!$H328&lt;0,0,Data_Entry!Q328/Data_Entry!$H328),0)</f>
        <v>0.82635980044257185</v>
      </c>
      <c r="M339" s="49">
        <f>IFERROR(IF(Data_Entry!R328/Data_Entry!$H328&lt;0,0,Data_Entry!R328/Data_Entry!$H328),0)</f>
        <v>0.83559287083857825</v>
      </c>
      <c r="N339" s="49">
        <f>IFERROR(IF(Data_Entry!S328/Data_Entry!$H328&lt;0,0,Data_Entry!S328/Data_Entry!$H328),0)</f>
        <v>0.85405901163059106</v>
      </c>
      <c r="O339" s="49">
        <f>IFERROR(IF(Data_Entry!T328/Data_Entry!$H328&lt;0,0,Data_Entry!T328/Data_Entry!$H328),0)</f>
        <v>0.82635980044257185</v>
      </c>
      <c r="P339" s="49">
        <f>IFERROR(IF(Data_Entry!U328/Data_Entry!$H328&lt;0,0,Data_Entry!U328/Data_Entry!$H328),0)</f>
        <v>0.83097633564057505</v>
      </c>
      <c r="Q339" s="49">
        <f>IFERROR(IF(Data_Entry!V328/Data_Entry!$H328&lt;0,0,Data_Entry!V328/Data_Entry!$H328),0)</f>
        <v>0.85405901163059106</v>
      </c>
      <c r="R339" s="49">
        <f>IFERROR(IF(Data_Entry!W328/Data_Entry!$H328&lt;0,0,Data_Entry!W328/Data_Entry!$H328),0)</f>
        <v>0.83097633564057505</v>
      </c>
      <c r="S339" s="49">
        <f>IFERROR(IF(Data_Entry!X328/Data_Entry!$H328&lt;0,0,Data_Entry!X328/Data_Entry!$H328),0)</f>
        <v>0.83097633564057505</v>
      </c>
      <c r="T339" s="49">
        <f>IFERROR(IF(Data_Entry!Y328/Data_Entry!$H328&lt;0,0,Data_Entry!Y328/Data_Entry!$H328),0)</f>
        <v>0.60014957574041539</v>
      </c>
      <c r="U339" s="49">
        <f>IFERROR(IF(Data_Entry!Z328/Data_Entry!$H328&lt;0,0,Data_Entry!Z328/Data_Entry!$H328),0)</f>
        <v>0.74787870207651752</v>
      </c>
      <c r="V339" s="49">
        <f>IFERROR(IF(Data_Entry!AA328/Data_Entry!$H328&lt;0,0,Data_Entry!AA328/Data_Entry!$H328),0)</f>
        <v>0.82635980044257185</v>
      </c>
      <c r="W339" s="49">
        <f>IFERROR(IF(Data_Entry!AB328/Data_Entry!$H328&lt;0,0,Data_Entry!AB328/Data_Entry!$H328),0)</f>
        <v>0.60014957574041539</v>
      </c>
      <c r="X339" s="49">
        <f>IFERROR(IF(Data_Entry!AC328/Data_Entry!$I328&lt;0,0,Data_Entry!AC328/Data_Entry!$I328),0)</f>
        <v>0.27389903329752951</v>
      </c>
      <c r="Y339" s="49">
        <f>IFERROR(IF(Data_Entry!AD328/Data_Entry!$I328&lt;0,0,Data_Entry!AD328/Data_Entry!$I328),0)</f>
        <v>0.17722878625134264</v>
      </c>
      <c r="Z339" s="49">
        <f>IFERROR(IF(Data_Entry!AE328/Data_Entry!$I328&lt;0,0,Data_Entry!AE328/Data_Entry!$I328),0)</f>
        <v>0.23764769065520944</v>
      </c>
      <c r="AA339" s="49">
        <f>IFERROR(IF(Data_Entry!AF328/Data_Entry!$I328&lt;0,0,Data_Entry!AF328/Data_Entry!$I328),0)</f>
        <v>0.12889366272824918</v>
      </c>
      <c r="AB339" s="49">
        <f>IFERROR(IF(Data_Entry!AG328/Data_Entry!$I328&lt;0,0,Data_Entry!AG328/Data_Entry!$I328),0)</f>
        <v>0.10472610096670247</v>
      </c>
      <c r="AC339" s="49">
        <f>IFERROR(IF(Data_Entry!AI328/Data_Entry!$I328&lt;0,0,Data_Entry!AI328/Data_Entry!$I328),0)</f>
        <v>0.18447905477980664</v>
      </c>
      <c r="AD339" s="49">
        <f>IFERROR(IF(Data_Entry!AM328/Data_Entry!$H328&lt;0,0,Data_Entry!AM328/Data_Entry!$H328),0)</f>
        <v>0.74787870207651752</v>
      </c>
      <c r="AE339" s="50">
        <f>Data_Entry!AK328</f>
        <v>35.612666666666655</v>
      </c>
      <c r="AF339" s="50">
        <f>Data_Entry!AL328</f>
        <v>1</v>
      </c>
      <c r="AG339" s="153">
        <f>(Data_Entry!O328-Data_Entry!Q328)/Data_Entry!O328</f>
        <v>1.1049723756906077E-2</v>
      </c>
      <c r="AH339" s="79" t="str">
        <f t="shared" si="10"/>
        <v>CAT3</v>
      </c>
      <c r="AI339" s="51">
        <f>SUBTOTAL(3,Tableau1[[#This Row],[ZS]])</f>
        <v>0</v>
      </c>
      <c r="AJ339" s="51" t="e">
        <f t="shared" ca="1" si="11"/>
        <v>#NAME?</v>
      </c>
      <c r="AK339" s="50" t="str">
        <f>IFERROR(IF((Data_Entry!O328-Data_Entry!Q328)/Data_Entry!O328&lt;=10%,"&lt;=10%","&gt;10%"),"&lt;=10%")</f>
        <v>&lt;=10%</v>
      </c>
    </row>
    <row r="340" spans="1:37" s="48" customFormat="1" ht="13" hidden="1" x14ac:dyDescent="0.3">
      <c r="A340" s="31" t="s">
        <v>16</v>
      </c>
      <c r="B340" s="48" t="str">
        <f>Data_Entry!B329</f>
        <v>Goma</v>
      </c>
      <c r="C340" s="48" t="str">
        <f>Data_Entry!C329</f>
        <v xml:space="preserve"> Kibua</v>
      </c>
      <c r="D340" s="48" t="str">
        <f>Data_Entry!D329</f>
        <v xml:space="preserve"> Robe</v>
      </c>
      <c r="E340" s="49">
        <f>IFERROR(IF(Data_Entry!J329/Data_Entry!$I329&lt;0,0,Data_Entry!J329/Data_Entry!$I329),0)</f>
        <v>0.73643410852713176</v>
      </c>
      <c r="F340" s="49">
        <f>IFERROR(IF(Data_Entry!K329/Data_Entry!$H329&lt;0,0,Data_Entry!K329/Data_Entry!$H329),0)</f>
        <v>0.74631838475378165</v>
      </c>
      <c r="G340" s="49">
        <f>IFERROR(IF(Data_Entry!L329/Data_Entry!$H329&lt;0,0,Data_Entry!L329/Data_Entry!$H329),0)</f>
        <v>0.75520312742942197</v>
      </c>
      <c r="H340" s="49">
        <f>IFERROR(IF(Data_Entry!M329/Data_Entry!$H329&lt;0,0,Data_Entry!M329/Data_Entry!$H329),0)</f>
        <v>0.72854889940250123</v>
      </c>
      <c r="I340" s="49">
        <f>IFERROR(IF(Data_Entry!N329/Data_Entry!$H329&lt;0,0,Data_Entry!N329/Data_Entry!$H329),0)</f>
        <v>0.75520312742942197</v>
      </c>
      <c r="J340" s="49">
        <f>IFERROR(IF(Data_Entry!O329/Data_Entry!$H329&lt;0,0,Data_Entry!O329/Data_Entry!$H329),0)</f>
        <v>0.84405055418582453</v>
      </c>
      <c r="K340" s="49">
        <f>IFERROR(IF(Data_Entry!P329/Data_Entry!$H329&lt;0,0,Data_Entry!P329/Data_Entry!$H329),0)</f>
        <v>0.79962684080762325</v>
      </c>
      <c r="L340" s="49">
        <f>IFERROR(IF(Data_Entry!Q329/Data_Entry!$H329&lt;0,0,Data_Entry!Q329/Data_Entry!$H329),0)</f>
        <v>0.85293529686146474</v>
      </c>
      <c r="M340" s="49">
        <f>IFERROR(IF(Data_Entry!R329/Data_Entry!$H329&lt;0,0,Data_Entry!R329/Data_Entry!$H329),0)</f>
        <v>0.84405055418582453</v>
      </c>
      <c r="N340" s="49">
        <f>IFERROR(IF(Data_Entry!S329/Data_Entry!$H329&lt;0,0,Data_Entry!S329/Data_Entry!$H329),0)</f>
        <v>0.79962684080762325</v>
      </c>
      <c r="O340" s="49">
        <f>IFERROR(IF(Data_Entry!T329/Data_Entry!$H329&lt;0,0,Data_Entry!T329/Data_Entry!$H329),0)</f>
        <v>0.85293529686146474</v>
      </c>
      <c r="P340" s="49">
        <f>IFERROR(IF(Data_Entry!U329/Data_Entry!$H329&lt;0,0,Data_Entry!U329/Data_Entry!$H329),0)</f>
        <v>0.84405055418582453</v>
      </c>
      <c r="Q340" s="49">
        <f>IFERROR(IF(Data_Entry!V329/Data_Entry!$H329&lt;0,0,Data_Entry!V329/Data_Entry!$H329),0)</f>
        <v>0.79962684080762325</v>
      </c>
      <c r="R340" s="49">
        <f>IFERROR(IF(Data_Entry!W329/Data_Entry!$H329&lt;0,0,Data_Entry!W329/Data_Entry!$H329),0)</f>
        <v>0.85293529686146474</v>
      </c>
      <c r="S340" s="49">
        <f>IFERROR(IF(Data_Entry!X329/Data_Entry!$H329&lt;0,0,Data_Entry!X329/Data_Entry!$H329),0)</f>
        <v>0.85293529686146474</v>
      </c>
      <c r="T340" s="49">
        <f>IFERROR(IF(Data_Entry!Y329/Data_Entry!$H329&lt;0,0,Data_Entry!Y329/Data_Entry!$H329),0)</f>
        <v>0.52419981786277525</v>
      </c>
      <c r="U340" s="49">
        <f>IFERROR(IF(Data_Entry!Z329/Data_Entry!$H329&lt;0,0,Data_Entry!Z329/Data_Entry!$H329),0)</f>
        <v>1.5903689389396063</v>
      </c>
      <c r="V340" s="49">
        <f>IFERROR(IF(Data_Entry!AA329/Data_Entry!$H329&lt;0,0,Data_Entry!AA329/Data_Entry!$H329),0)</f>
        <v>0.85293529686146474</v>
      </c>
      <c r="W340" s="49">
        <f>IFERROR(IF(Data_Entry!AB329/Data_Entry!$H329&lt;0,0,Data_Entry!AB329/Data_Entry!$H329),0)</f>
        <v>0.49754558983585445</v>
      </c>
      <c r="X340" s="49">
        <f>IFERROR(IF(Data_Entry!AC329/Data_Entry!$I329&lt;0,0,Data_Entry!AC329/Data_Entry!$I329),0)</f>
        <v>0.20155038759689922</v>
      </c>
      <c r="Y340" s="49">
        <f>IFERROR(IF(Data_Entry!AD329/Data_Entry!$I329&lt;0,0,Data_Entry!AD329/Data_Entry!$I329),0)</f>
        <v>0.22480620155038761</v>
      </c>
      <c r="Z340" s="49">
        <f>IFERROR(IF(Data_Entry!AE329/Data_Entry!$I329&lt;0,0,Data_Entry!AE329/Data_Entry!$I329),0)</f>
        <v>0.12403100775193798</v>
      </c>
      <c r="AA340" s="49">
        <f>IFERROR(IF(Data_Entry!AF329/Data_Entry!$I329&lt;0,0,Data_Entry!AF329/Data_Entry!$I329),0)</f>
        <v>0.13178294573643412</v>
      </c>
      <c r="AB340" s="49">
        <f>IFERROR(IF(Data_Entry!AG329/Data_Entry!$I329&lt;0,0,Data_Entry!AG329/Data_Entry!$I329),0)</f>
        <v>8.5271317829457363E-2</v>
      </c>
      <c r="AC340" s="49">
        <f>IFERROR(IF(Data_Entry!AI329/Data_Entry!$I329&lt;0,0,Data_Entry!AI329/Data_Entry!$I329),0)</f>
        <v>0.3232558139534884</v>
      </c>
      <c r="AD340" s="49">
        <f>IFERROR(IF(Data_Entry!AM329/Data_Entry!$H329&lt;0,0,Data_Entry!AM329/Data_Entry!$H329),0)</f>
        <v>0.85293529686146474</v>
      </c>
      <c r="AE340" s="50">
        <f>Data_Entry!AK329</f>
        <v>17.552499999999981</v>
      </c>
      <c r="AF340" s="50">
        <f>Data_Entry!AL329</f>
        <v>0</v>
      </c>
      <c r="AG340" s="153">
        <f>(Data_Entry!O329-Data_Entry!Q329)/Data_Entry!O329</f>
        <v>-1.0526315789473684E-2</v>
      </c>
      <c r="AH340" s="79" t="str">
        <f t="shared" si="10"/>
        <v>CAT3</v>
      </c>
      <c r="AI340" s="51">
        <f>SUBTOTAL(3,Tableau1[[#This Row],[ZS]])</f>
        <v>0</v>
      </c>
      <c r="AJ340" s="51" t="e">
        <f t="shared" ca="1" si="11"/>
        <v>#NAME?</v>
      </c>
      <c r="AK340" s="50" t="str">
        <f>IFERROR(IF((Data_Entry!O329-Data_Entry!Q329)/Data_Entry!O329&lt;=10%,"&lt;=10%","&gt;10%"),"&lt;=10%")</f>
        <v>&lt;=10%</v>
      </c>
    </row>
    <row r="341" spans="1:37" s="48" customFormat="1" ht="13" hidden="1" x14ac:dyDescent="0.3">
      <c r="A341" s="31" t="s">
        <v>16</v>
      </c>
      <c r="B341" s="48" t="str">
        <f>Data_Entry!B330</f>
        <v>Goma</v>
      </c>
      <c r="C341" s="48" t="str">
        <f>Data_Entry!C330</f>
        <v xml:space="preserve"> Kirotshe</v>
      </c>
      <c r="D341" s="48" t="str">
        <f>Data_Entry!D330</f>
        <v xml:space="preserve"> Bishange</v>
      </c>
      <c r="E341" s="49">
        <f>IFERROR(IF(Data_Entry!J330/Data_Entry!$I330&lt;0,0,Data_Entry!J330/Data_Entry!$I330),0)</f>
        <v>1.4535779302618683</v>
      </c>
      <c r="F341" s="49">
        <f>IFERROR(IF(Data_Entry!K330/Data_Entry!$H330&lt;0,0,Data_Entry!K330/Data_Entry!$H330),0)</f>
        <v>1.1556013159409986</v>
      </c>
      <c r="G341" s="49">
        <f>IFERROR(IF(Data_Entry!L330/Data_Entry!$H330&lt;0,0,Data_Entry!L330/Data_Entry!$H330),0)</f>
        <v>1.1748613378733486</v>
      </c>
      <c r="H341" s="49">
        <f>IFERROR(IF(Data_Entry!M330/Data_Entry!$H330&lt;0,0,Data_Entry!M330/Data_Entry!$H330),0)</f>
        <v>1.0689312172454237</v>
      </c>
      <c r="I341" s="49">
        <f>IFERROR(IF(Data_Entry!N330/Data_Entry!$H330&lt;0,0,Data_Entry!N330/Data_Entry!$H330),0)</f>
        <v>1.1652313269071737</v>
      </c>
      <c r="J341" s="49">
        <f>IFERROR(IF(Data_Entry!O330/Data_Entry!$H330&lt;0,0,Data_Entry!O330/Data_Entry!$H330),0)</f>
        <v>1.1941213598056986</v>
      </c>
      <c r="K341" s="49">
        <f>IFERROR(IF(Data_Entry!P330/Data_Entry!$H330&lt;0,0,Data_Entry!P330/Data_Entry!$H330),0)</f>
        <v>1.0689312172454237</v>
      </c>
      <c r="L341" s="49">
        <f>IFERROR(IF(Data_Entry!Q330/Data_Entry!$H330&lt;0,0,Data_Entry!Q330/Data_Entry!$H330),0)</f>
        <v>1.1652313269071737</v>
      </c>
      <c r="M341" s="49">
        <f>IFERROR(IF(Data_Entry!R330/Data_Entry!$H330&lt;0,0,Data_Entry!R330/Data_Entry!$H330),0)</f>
        <v>1.1941213598056986</v>
      </c>
      <c r="N341" s="49">
        <f>IFERROR(IF(Data_Entry!S330/Data_Entry!$H330&lt;0,0,Data_Entry!S330/Data_Entry!$H330),0)</f>
        <v>1.0641162117623362</v>
      </c>
      <c r="O341" s="49">
        <f>IFERROR(IF(Data_Entry!T330/Data_Entry!$H330&lt;0,0,Data_Entry!T330/Data_Entry!$H330),0)</f>
        <v>1.1796763433564361</v>
      </c>
      <c r="P341" s="49">
        <f>IFERROR(IF(Data_Entry!U330/Data_Entry!$H330&lt;0,0,Data_Entry!U330/Data_Entry!$H330),0)</f>
        <v>1.1941213598056986</v>
      </c>
      <c r="Q341" s="49">
        <f>IFERROR(IF(Data_Entry!V330/Data_Entry!$H330&lt;0,0,Data_Entry!V330/Data_Entry!$H330),0)</f>
        <v>1.0641162117623362</v>
      </c>
      <c r="R341" s="49">
        <f>IFERROR(IF(Data_Entry!W330/Data_Entry!$H330&lt;0,0,Data_Entry!W330/Data_Entry!$H330),0)</f>
        <v>1.1796763433564361</v>
      </c>
      <c r="S341" s="49">
        <f>IFERROR(IF(Data_Entry!X330/Data_Entry!$H330&lt;0,0,Data_Entry!X330/Data_Entry!$H330),0)</f>
        <v>1.1026362556270362</v>
      </c>
      <c r="T341" s="49">
        <f>IFERROR(IF(Data_Entry!Y330/Data_Entry!$H330&lt;0,0,Data_Entry!Y330/Data_Entry!$H330),0)</f>
        <v>0.6500257402168117</v>
      </c>
      <c r="U341" s="49">
        <f>IFERROR(IF(Data_Entry!Z330/Data_Entry!$H330&lt;0,0,Data_Entry!Z330/Data_Entry!$H330),0)</f>
        <v>1.1026362556270362</v>
      </c>
      <c r="V341" s="49">
        <f>IFERROR(IF(Data_Entry!AA330/Data_Entry!$H330&lt;0,0,Data_Entry!AA330/Data_Entry!$H330),0)</f>
        <v>1.1796763433564361</v>
      </c>
      <c r="W341" s="49">
        <f>IFERROR(IF(Data_Entry!AB330/Data_Entry!$H330&lt;0,0,Data_Entry!AB330/Data_Entry!$H330),0)</f>
        <v>1.0304111733807237</v>
      </c>
      <c r="X341" s="49">
        <f>IFERROR(IF(Data_Entry!AC330/Data_Entry!$I330&lt;0,0,Data_Entry!AC330/Data_Entry!$I330),0)</f>
        <v>0.25206553703963036</v>
      </c>
      <c r="Y341" s="49">
        <f>IFERROR(IF(Data_Entry!AD330/Data_Entry!$I330&lt;0,0,Data_Entry!AD330/Data_Entry!$I330),0)</f>
        <v>0.10922839938383981</v>
      </c>
      <c r="Z341" s="49">
        <f>IFERROR(IF(Data_Entry!AE330/Data_Entry!$I330&lt;0,0,Data_Entry!AE330/Data_Entry!$I330),0)</f>
        <v>0.14703822993978435</v>
      </c>
      <c r="AA341" s="49">
        <f>IFERROR(IF(Data_Entry!AF330/Data_Entry!$I330&lt;0,0,Data_Entry!AF330/Data_Entry!$I330),0)</f>
        <v>0.14703822993978435</v>
      </c>
      <c r="AB341" s="49">
        <f>IFERROR(IF(Data_Entry!AG330/Data_Entry!$I330&lt;0,0,Data_Entry!AG330/Data_Entry!$I330),0)</f>
        <v>0.11763058395182749</v>
      </c>
      <c r="AC341" s="49">
        <f>IFERROR(IF(Data_Entry!AI330/Data_Entry!$I330&lt;0,0,Data_Entry!AI330/Data_Entry!$I330),0)</f>
        <v>0.2449236801568408</v>
      </c>
      <c r="AD341" s="49">
        <f>IFERROR(IF(Data_Entry!AM330/Data_Entry!$H330&lt;0,0,Data_Entry!AM330/Data_Entry!$H330),0)</f>
        <v>1.1026362556270362</v>
      </c>
      <c r="AE341" s="50">
        <f>Data_Entry!AK330</f>
        <v>0</v>
      </c>
      <c r="AF341" s="50">
        <f>Data_Entry!AL330</f>
        <v>19</v>
      </c>
      <c r="AG341" s="153">
        <f>(Data_Entry!O330-Data_Entry!Q330)/Data_Entry!O330</f>
        <v>2.4193548387096774E-2</v>
      </c>
      <c r="AH341" s="79" t="str">
        <f t="shared" si="10"/>
        <v>CAT1</v>
      </c>
      <c r="AI341" s="51">
        <f>SUBTOTAL(3,Tableau1[[#This Row],[ZS]])</f>
        <v>0</v>
      </c>
      <c r="AJ341" s="51" t="e">
        <f t="shared" ca="1" si="11"/>
        <v>#NAME?</v>
      </c>
      <c r="AK341" s="50" t="str">
        <f>IFERROR(IF((Data_Entry!O330-Data_Entry!Q330)/Data_Entry!O330&lt;=10%,"&lt;=10%","&gt;10%"),"&lt;=10%")</f>
        <v>&lt;=10%</v>
      </c>
    </row>
    <row r="342" spans="1:37" s="48" customFormat="1" ht="13" hidden="1" x14ac:dyDescent="0.3">
      <c r="A342" s="31" t="s">
        <v>16</v>
      </c>
      <c r="B342" s="48" t="str">
        <f>Data_Entry!B331</f>
        <v>Goma</v>
      </c>
      <c r="C342" s="48" t="str">
        <f>Data_Entry!C331</f>
        <v xml:space="preserve"> Kirotshe</v>
      </c>
      <c r="D342" s="48" t="str">
        <f>Data_Entry!D331</f>
        <v xml:space="preserve"> Bitonga</v>
      </c>
      <c r="E342" s="49">
        <f>IFERROR(IF(Data_Entry!J331/Data_Entry!$I331&lt;0,0,Data_Entry!J331/Data_Entry!$I331),0)</f>
        <v>0.78833056255697975</v>
      </c>
      <c r="F342" s="49">
        <f>IFERROR(IF(Data_Entry!K331/Data_Entry!$H331&lt;0,0,Data_Entry!K331/Data_Entry!$H331),0)</f>
        <v>2.9503044268549616E-2</v>
      </c>
      <c r="G342" s="49">
        <f>IFERROR(IF(Data_Entry!L331/Data_Entry!$H331&lt;0,0,Data_Entry!L331/Data_Entry!$H331),0)</f>
        <v>0.26737133868373092</v>
      </c>
      <c r="H342" s="49">
        <f>IFERROR(IF(Data_Entry!M331/Data_Entry!$H331&lt;0,0,Data_Entry!M331/Data_Entry!$H331),0)</f>
        <v>0.22680465281447518</v>
      </c>
      <c r="I342" s="49">
        <f>IFERROR(IF(Data_Entry!N331/Data_Entry!$H331&lt;0,0,Data_Entry!N331/Data_Entry!$H331),0)</f>
        <v>0.24155617494874998</v>
      </c>
      <c r="J342" s="49">
        <f>IFERROR(IF(Data_Entry!O331/Data_Entry!$H331&lt;0,0,Data_Entry!O331/Data_Entry!$H331),0)</f>
        <v>0.23418041388161259</v>
      </c>
      <c r="K342" s="49">
        <f>IFERROR(IF(Data_Entry!P331/Data_Entry!$H331&lt;0,0,Data_Entry!P331/Data_Entry!$H331),0)</f>
        <v>0.21574101121376907</v>
      </c>
      <c r="L342" s="49">
        <f>IFERROR(IF(Data_Entry!Q331/Data_Entry!$H331&lt;0,0,Data_Entry!Q331/Data_Entry!$H331),0)</f>
        <v>0.22864859308125954</v>
      </c>
      <c r="M342" s="49">
        <f>IFERROR(IF(Data_Entry!R331/Data_Entry!$H331&lt;0,0,Data_Entry!R331/Data_Entry!$H331),0)</f>
        <v>0.26737133868373092</v>
      </c>
      <c r="N342" s="49">
        <f>IFERROR(IF(Data_Entry!S331/Data_Entry!$H331&lt;0,0,Data_Entry!S331/Data_Entry!$H331),0)</f>
        <v>0.22680465281447518</v>
      </c>
      <c r="O342" s="49">
        <f>IFERROR(IF(Data_Entry!T331/Data_Entry!$H331&lt;0,0,Data_Entry!T331/Data_Entry!$H331),0)</f>
        <v>0.24155617494874998</v>
      </c>
      <c r="P342" s="49">
        <f>IFERROR(IF(Data_Entry!U331/Data_Entry!$H331&lt;0,0,Data_Entry!U331/Data_Entry!$H331),0)</f>
        <v>0.26737133868373092</v>
      </c>
      <c r="Q342" s="49">
        <f>IFERROR(IF(Data_Entry!V331/Data_Entry!$H331&lt;0,0,Data_Entry!V331/Data_Entry!$H331),0)</f>
        <v>0.22680465281447518</v>
      </c>
      <c r="R342" s="49">
        <f>IFERROR(IF(Data_Entry!W331/Data_Entry!$H331&lt;0,0,Data_Entry!W331/Data_Entry!$H331),0)</f>
        <v>0.24155617494874998</v>
      </c>
      <c r="S342" s="49">
        <f>IFERROR(IF(Data_Entry!X331/Data_Entry!$H331&lt;0,0,Data_Entry!X331/Data_Entry!$H331),0)</f>
        <v>0.25077587628267173</v>
      </c>
      <c r="T342" s="49">
        <f>IFERROR(IF(Data_Entry!Y331/Data_Entry!$H331&lt;0,0,Data_Entry!Y331/Data_Entry!$H331),0)</f>
        <v>9.0353073072433204E-2</v>
      </c>
      <c r="U342" s="49">
        <f>IFERROR(IF(Data_Entry!Z331/Data_Entry!$H331&lt;0,0,Data_Entry!Z331/Data_Entry!$H331),0)</f>
        <v>0.2489319360158874</v>
      </c>
      <c r="V342" s="49">
        <f>IFERROR(IF(Data_Entry!AA331/Data_Entry!$H331&lt;0,0,Data_Entry!AA331/Data_Entry!$H331),0)</f>
        <v>0.24155617494874998</v>
      </c>
      <c r="W342" s="49">
        <f>IFERROR(IF(Data_Entry!AB331/Data_Entry!$H331&lt;0,0,Data_Entry!AB331/Data_Entry!$H331),0)</f>
        <v>0.25077587628267173</v>
      </c>
      <c r="X342" s="49">
        <f>IFERROR(IF(Data_Entry!AC331/Data_Entry!$I331&lt;0,0,Data_Entry!AC331/Data_Entry!$I331),0)</f>
        <v>0.10457446238000752</v>
      </c>
      <c r="Y342" s="49">
        <f>IFERROR(IF(Data_Entry!AD331/Data_Entry!$I331&lt;0,0,Data_Entry!AD331/Data_Entry!$I331),0)</f>
        <v>3.0567919772617583E-2</v>
      </c>
      <c r="Z342" s="49">
        <f>IFERROR(IF(Data_Entry!AE331/Data_Entry!$I331&lt;0,0,Data_Entry!AE331/Data_Entry!$I331),0)</f>
        <v>1.1261865179385424E-2</v>
      </c>
      <c r="AA342" s="49">
        <f>IFERROR(IF(Data_Entry!AF331/Data_Entry!$I331&lt;0,0,Data_Entry!AF331/Data_Entry!$I331),0)</f>
        <v>4.8265136483080394E-3</v>
      </c>
      <c r="AB342" s="49">
        <f>IFERROR(IF(Data_Entry!AG331/Data_Entry!$I331&lt;0,0,Data_Entry!AG331/Data_Entry!$I331),0)</f>
        <v>2.0914892476001503E-2</v>
      </c>
      <c r="AC342" s="49">
        <f>IFERROR(IF(Data_Entry!AI331/Data_Entry!$I331&lt;0,0,Data_Entry!AI331/Data_Entry!$I331),0)</f>
        <v>8.0441894138467321E-2</v>
      </c>
      <c r="AD342" s="49">
        <f>IFERROR(IF(Data_Entry!AM331/Data_Entry!$H331&lt;0,0,Data_Entry!AM331/Data_Entry!$H331),0)</f>
        <v>0.2489319360158874</v>
      </c>
      <c r="AE342" s="50">
        <f>Data_Entry!AK331</f>
        <v>415.31691666666666</v>
      </c>
      <c r="AF342" s="50">
        <f>Data_Entry!AL331</f>
        <v>0</v>
      </c>
      <c r="AG342" s="153">
        <f>(Data_Entry!O331-Data_Entry!Q331)/Data_Entry!O331</f>
        <v>2.3622047244094488E-2</v>
      </c>
      <c r="AH342" s="79" t="str">
        <f t="shared" si="10"/>
        <v>CAT3</v>
      </c>
      <c r="AI342" s="51">
        <f>SUBTOTAL(3,Tableau1[[#This Row],[ZS]])</f>
        <v>0</v>
      </c>
      <c r="AJ342" s="51" t="e">
        <f t="shared" ca="1" si="11"/>
        <v>#NAME?</v>
      </c>
      <c r="AK342" s="50" t="str">
        <f>IFERROR(IF((Data_Entry!O331-Data_Entry!Q331)/Data_Entry!O331&lt;=10%,"&lt;=10%","&gt;10%"),"&lt;=10%")</f>
        <v>&lt;=10%</v>
      </c>
    </row>
    <row r="343" spans="1:37" s="48" customFormat="1" ht="13" hidden="1" x14ac:dyDescent="0.3">
      <c r="A343" s="31" t="s">
        <v>16</v>
      </c>
      <c r="B343" s="48" t="str">
        <f>Data_Entry!B332</f>
        <v>Goma</v>
      </c>
      <c r="C343" s="48" t="str">
        <f>Data_Entry!C332</f>
        <v xml:space="preserve"> Kirotshe</v>
      </c>
      <c r="D343" s="48" t="str">
        <f>Data_Entry!D332</f>
        <v xml:space="preserve"> Bulengero</v>
      </c>
      <c r="E343" s="49">
        <f>IFERROR(IF(Data_Entry!J332/Data_Entry!$I332&lt;0,0,Data_Entry!J332/Data_Entry!$I332),0)</f>
        <v>1.0416221985058698</v>
      </c>
      <c r="F343" s="49">
        <f>IFERROR(IF(Data_Entry!K332/Data_Entry!$H332&lt;0,0,Data_Entry!K332/Data_Entry!$H332),0)</f>
        <v>0.67764890080822482</v>
      </c>
      <c r="G343" s="49">
        <f>IFERROR(IF(Data_Entry!L332/Data_Entry!$H332&lt;0,0,Data_Entry!L332/Data_Entry!$H332),0)</f>
        <v>1.0299284737915619</v>
      </c>
      <c r="H343" s="49">
        <f>IFERROR(IF(Data_Entry!M332/Data_Entry!$H332&lt;0,0,Data_Entry!M332/Data_Entry!$H332),0)</f>
        <v>0.99323268493913097</v>
      </c>
      <c r="I343" s="49">
        <f>IFERROR(IF(Data_Entry!N332/Data_Entry!$H332&lt;0,0,Data_Entry!N332/Data_Entry!$H332),0)</f>
        <v>1.0299284737915619</v>
      </c>
      <c r="J343" s="49">
        <f>IFERROR(IF(Data_Entry!O332/Data_Entry!$H332&lt;0,0,Data_Entry!O332/Data_Entry!$H332),0)</f>
        <v>1.0299284737915619</v>
      </c>
      <c r="K343" s="49">
        <f>IFERROR(IF(Data_Entry!P332/Data_Entry!$H332&lt;0,0,Data_Entry!P332/Data_Entry!$H332),0)</f>
        <v>0.99323268493913097</v>
      </c>
      <c r="L343" s="49">
        <f>IFERROR(IF(Data_Entry!Q332/Data_Entry!$H332&lt;0,0,Data_Entry!Q332/Data_Entry!$H332),0)</f>
        <v>1.0299284737915619</v>
      </c>
      <c r="M343" s="49">
        <f>IFERROR(IF(Data_Entry!R332/Data_Entry!$H332&lt;0,0,Data_Entry!R332/Data_Entry!$H332),0)</f>
        <v>1.0274820878680666</v>
      </c>
      <c r="N343" s="49">
        <f>IFERROR(IF(Data_Entry!S332/Data_Entry!$H332&lt;0,0,Data_Entry!S332/Data_Entry!$H332),0)</f>
        <v>0.99323268493913097</v>
      </c>
      <c r="O343" s="49">
        <f>IFERROR(IF(Data_Entry!T332/Data_Entry!$H332&lt;0,0,Data_Entry!T332/Data_Entry!$H332),0)</f>
        <v>1.0299284737915619</v>
      </c>
      <c r="P343" s="49">
        <f>IFERROR(IF(Data_Entry!U332/Data_Entry!$H332&lt;0,0,Data_Entry!U332/Data_Entry!$H332),0)</f>
        <v>1.0299284737915619</v>
      </c>
      <c r="Q343" s="49">
        <f>IFERROR(IF(Data_Entry!V332/Data_Entry!$H332&lt;0,0,Data_Entry!V332/Data_Entry!$H332),0)</f>
        <v>0.99323268493913097</v>
      </c>
      <c r="R343" s="49">
        <f>IFERROR(IF(Data_Entry!W332/Data_Entry!$H332&lt;0,0,Data_Entry!W332/Data_Entry!$H332),0)</f>
        <v>1.0299284737915619</v>
      </c>
      <c r="S343" s="49">
        <f>IFERROR(IF(Data_Entry!X332/Data_Entry!$H332&lt;0,0,Data_Entry!X332/Data_Entry!$H332),0)</f>
        <v>1.0299284737915619</v>
      </c>
      <c r="T343" s="49">
        <f>IFERROR(IF(Data_Entry!Y332/Data_Entry!$H332&lt;0,0,Data_Entry!Y332/Data_Entry!$H332),0)</f>
        <v>0.1272120680217606</v>
      </c>
      <c r="U343" s="49">
        <f>IFERROR(IF(Data_Entry!Z332/Data_Entry!$H332&lt;0,0,Data_Entry!Z332/Data_Entry!$H332),0)</f>
        <v>1.0299284737915619</v>
      </c>
      <c r="V343" s="49">
        <f>IFERROR(IF(Data_Entry!AA332/Data_Entry!$H332&lt;0,0,Data_Entry!AA332/Data_Entry!$H332),0)</f>
        <v>1.0299284737915619</v>
      </c>
      <c r="W343" s="49">
        <f>IFERROR(IF(Data_Entry!AB332/Data_Entry!$H332&lt;0,0,Data_Entry!AB332/Data_Entry!$H332),0)</f>
        <v>0.68498805857871103</v>
      </c>
      <c r="X343" s="49">
        <f>IFERROR(IF(Data_Entry!AC332/Data_Entry!$I332&lt;0,0,Data_Entry!AC332/Data_Entry!$I332),0)</f>
        <v>0.86446104589114192</v>
      </c>
      <c r="Y343" s="49">
        <f>IFERROR(IF(Data_Entry!AD332/Data_Entry!$I332&lt;0,0,Data_Entry!AD332/Data_Entry!$I332),0)</f>
        <v>0.59765208110992529</v>
      </c>
      <c r="Z343" s="49">
        <f>IFERROR(IF(Data_Entry!AE332/Data_Entry!$I332&lt;0,0,Data_Entry!AE332/Data_Entry!$I332),0)</f>
        <v>0.4439701173959445</v>
      </c>
      <c r="AA343" s="49">
        <f>IFERROR(IF(Data_Entry!AF332/Data_Entry!$I332&lt;0,0,Data_Entry!AF332/Data_Entry!$I332),0)</f>
        <v>2.9882604055496264E-2</v>
      </c>
      <c r="AB343" s="49">
        <f>IFERROR(IF(Data_Entry!AG332/Data_Entry!$I332&lt;0,0,Data_Entry!AG332/Data_Entry!$I332),0)</f>
        <v>2.9882604055496264E-2</v>
      </c>
      <c r="AC343" s="49">
        <f>IFERROR(IF(Data_Entry!AI332/Data_Entry!$I332&lt;0,0,Data_Entry!AI332/Data_Entry!$I332),0)</f>
        <v>0.12443970117395944</v>
      </c>
      <c r="AD343" s="49">
        <f>IFERROR(IF(Data_Entry!AM332/Data_Entry!$H332&lt;0,0,Data_Entry!AM332/Data_Entry!$H332),0)</f>
        <v>1.0299284737915619</v>
      </c>
      <c r="AE343" s="50">
        <f>Data_Entry!AK332</f>
        <v>0</v>
      </c>
      <c r="AF343" s="50">
        <f>Data_Entry!AL332</f>
        <v>0</v>
      </c>
      <c r="AG343" s="153">
        <f>(Data_Entry!O332-Data_Entry!Q332)/Data_Entry!O332</f>
        <v>0</v>
      </c>
      <c r="AH343" s="79" t="str">
        <f t="shared" si="10"/>
        <v>CAT1</v>
      </c>
      <c r="AI343" s="51">
        <f>SUBTOTAL(3,Tableau1[[#This Row],[ZS]])</f>
        <v>0</v>
      </c>
      <c r="AJ343" s="51" t="e">
        <f t="shared" ca="1" si="11"/>
        <v>#NAME?</v>
      </c>
      <c r="AK343" s="50" t="str">
        <f>IFERROR(IF((Data_Entry!O332-Data_Entry!Q332)/Data_Entry!O332&lt;=10%,"&lt;=10%","&gt;10%"),"&lt;=10%")</f>
        <v>&lt;=10%</v>
      </c>
    </row>
    <row r="344" spans="1:37" s="48" customFormat="1" ht="13" hidden="1" x14ac:dyDescent="0.3">
      <c r="A344" s="31" t="s">
        <v>16</v>
      </c>
      <c r="B344" s="48" t="str">
        <f>Data_Entry!B333</f>
        <v>Goma</v>
      </c>
      <c r="C344" s="48" t="str">
        <f>Data_Entry!C333</f>
        <v xml:space="preserve"> Kirotshe</v>
      </c>
      <c r="D344" s="48" t="str">
        <f>Data_Entry!D333</f>
        <v xml:space="preserve"> Buroha</v>
      </c>
      <c r="E344" s="49">
        <f>IFERROR(IF(Data_Entry!J333/Data_Entry!$I333&lt;0,0,Data_Entry!J333/Data_Entry!$I333),0)</f>
        <v>0</v>
      </c>
      <c r="F344" s="49">
        <f>IFERROR(IF(Data_Entry!K333/Data_Entry!$H333&lt;0,0,Data_Entry!K333/Data_Entry!$H333),0)</f>
        <v>0</v>
      </c>
      <c r="G344" s="49">
        <f>IFERROR(IF(Data_Entry!L333/Data_Entry!$H333&lt;0,0,Data_Entry!L333/Data_Entry!$H333),0)</f>
        <v>1.0908182307087374E-2</v>
      </c>
      <c r="H344" s="49">
        <f>IFERROR(IF(Data_Entry!M333/Data_Entry!$H333&lt;0,0,Data_Entry!M333/Data_Entry!$H333),0)</f>
        <v>9.5446595187014521E-3</v>
      </c>
      <c r="I344" s="49">
        <f>IFERROR(IF(Data_Entry!N333/Data_Entry!$H333&lt;0,0,Data_Entry!N333/Data_Entry!$H333),0)</f>
        <v>8.1811367303155306E-3</v>
      </c>
      <c r="J344" s="49">
        <f>IFERROR(IF(Data_Entry!O333/Data_Entry!$H333&lt;0,0,Data_Entry!O333/Data_Entry!$H333),0)</f>
        <v>1.0908182307087374E-2</v>
      </c>
      <c r="K344" s="49">
        <f>IFERROR(IF(Data_Entry!P333/Data_Entry!$H333&lt;0,0,Data_Entry!P333/Data_Entry!$H333),0)</f>
        <v>9.5446595187014521E-3</v>
      </c>
      <c r="L344" s="49">
        <f>IFERROR(IF(Data_Entry!Q333/Data_Entry!$H333&lt;0,0,Data_Entry!Q333/Data_Entry!$H333),0)</f>
        <v>8.1811367303155306E-3</v>
      </c>
      <c r="M344" s="49">
        <f>IFERROR(IF(Data_Entry!R333/Data_Entry!$H333&lt;0,0,Data_Entry!R333/Data_Entry!$H333),0)</f>
        <v>1.0908182307087374E-2</v>
      </c>
      <c r="N344" s="49">
        <f>IFERROR(IF(Data_Entry!S333/Data_Entry!$H333&lt;0,0,Data_Entry!S333/Data_Entry!$H333),0)</f>
        <v>9.5446595187014521E-3</v>
      </c>
      <c r="O344" s="49">
        <f>IFERROR(IF(Data_Entry!T333/Data_Entry!$H333&lt;0,0,Data_Entry!T333/Data_Entry!$H333),0)</f>
        <v>8.1811367303155306E-3</v>
      </c>
      <c r="P344" s="49">
        <f>IFERROR(IF(Data_Entry!U333/Data_Entry!$H333&lt;0,0,Data_Entry!U333/Data_Entry!$H333),0)</f>
        <v>1.0908182307087374E-2</v>
      </c>
      <c r="Q344" s="49">
        <f>IFERROR(IF(Data_Entry!V333/Data_Entry!$H333&lt;0,0,Data_Entry!V333/Data_Entry!$H333),0)</f>
        <v>9.5446595187014521E-3</v>
      </c>
      <c r="R344" s="49">
        <f>IFERROR(IF(Data_Entry!W333/Data_Entry!$H333&lt;0,0,Data_Entry!W333/Data_Entry!$H333),0)</f>
        <v>8.1811367303155306E-3</v>
      </c>
      <c r="S344" s="49">
        <f>IFERROR(IF(Data_Entry!X333/Data_Entry!$H333&lt;0,0,Data_Entry!X333/Data_Entry!$H333),0)</f>
        <v>9.5446595187014521E-3</v>
      </c>
      <c r="T344" s="49">
        <f>IFERROR(IF(Data_Entry!Y333/Data_Entry!$H333&lt;0,0,Data_Entry!Y333/Data_Entry!$H333),0)</f>
        <v>1.3635227883859217E-3</v>
      </c>
      <c r="U344" s="49">
        <f>IFERROR(IF(Data_Entry!Z333/Data_Entry!$H333&lt;0,0,Data_Entry!Z333/Data_Entry!$H333),0)</f>
        <v>9.5446595187014521E-3</v>
      </c>
      <c r="V344" s="49">
        <f>IFERROR(IF(Data_Entry!AA333/Data_Entry!$H333&lt;0,0,Data_Entry!AA333/Data_Entry!$H333),0)</f>
        <v>8.1811367303155306E-3</v>
      </c>
      <c r="W344" s="49">
        <f>IFERROR(IF(Data_Entry!AB333/Data_Entry!$H333&lt;0,0,Data_Entry!AB333/Data_Entry!$H333),0)</f>
        <v>1.3635227883859217E-3</v>
      </c>
      <c r="X344" s="49">
        <f>IFERROR(IF(Data_Entry!AC333/Data_Entry!$I333&lt;0,0,Data_Entry!AC333/Data_Entry!$I333),0)</f>
        <v>9.517389062933734E-3</v>
      </c>
      <c r="Y344" s="49">
        <f>IFERROR(IF(Data_Entry!AD333/Data_Entry!$I333&lt;0,0,Data_Entry!AD333/Data_Entry!$I333),0)</f>
        <v>7.1380417972003009E-3</v>
      </c>
      <c r="Z344" s="49">
        <f>IFERROR(IF(Data_Entry!AE333/Data_Entry!$I333&lt;0,0,Data_Entry!AE333/Data_Entry!$I333),0)</f>
        <v>2.3793472657334335E-3</v>
      </c>
      <c r="AA344" s="49">
        <f>IFERROR(IF(Data_Entry!AF333/Data_Entry!$I333&lt;0,0,Data_Entry!AF333/Data_Entry!$I333),0)</f>
        <v>2.3793472657334335E-3</v>
      </c>
      <c r="AB344" s="49">
        <f>IFERROR(IF(Data_Entry!AG333/Data_Entry!$I333&lt;0,0,Data_Entry!AG333/Data_Entry!$I333),0)</f>
        <v>1.1896736328667167E-3</v>
      </c>
      <c r="AC344" s="49">
        <f>IFERROR(IF(Data_Entry!AI333/Data_Entry!$I333&lt;0,0,Data_Entry!AI333/Data_Entry!$I333),0)</f>
        <v>5.448705238529563E-2</v>
      </c>
      <c r="AD344" s="49">
        <f>IFERROR(IF(Data_Entry!AM333/Data_Entry!$H333&lt;0,0,Data_Entry!AM333/Data_Entry!$H333),0)</f>
        <v>9.5446595187014521E-3</v>
      </c>
      <c r="AE344" s="50">
        <f>Data_Entry!AK333</f>
        <v>725.39441666666676</v>
      </c>
      <c r="AF344" s="50">
        <f>Data_Entry!AL333</f>
        <v>1</v>
      </c>
      <c r="AG344" s="153">
        <f>(Data_Entry!O333-Data_Entry!Q333)/Data_Entry!O333</f>
        <v>0.25</v>
      </c>
      <c r="AH344" s="79" t="str">
        <f t="shared" si="10"/>
        <v>CAT4</v>
      </c>
      <c r="AI344" s="51">
        <f>SUBTOTAL(3,Tableau1[[#This Row],[ZS]])</f>
        <v>0</v>
      </c>
      <c r="AJ344" s="51" t="e">
        <f t="shared" ca="1" si="11"/>
        <v>#NAME?</v>
      </c>
      <c r="AK344" s="50" t="str">
        <f>IFERROR(IF((Data_Entry!O333-Data_Entry!Q333)/Data_Entry!O333&lt;=10%,"&lt;=10%","&gt;10%"),"&lt;=10%")</f>
        <v>&gt;10%</v>
      </c>
    </row>
    <row r="345" spans="1:37" s="48" customFormat="1" ht="13" hidden="1" x14ac:dyDescent="0.3">
      <c r="A345" s="31" t="s">
        <v>16</v>
      </c>
      <c r="B345" s="48" t="str">
        <f>Data_Entry!B334</f>
        <v>Goma</v>
      </c>
      <c r="C345" s="48" t="str">
        <f>Data_Entry!C334</f>
        <v xml:space="preserve"> Kirotshe</v>
      </c>
      <c r="D345" s="48" t="str">
        <f>Data_Entry!D334</f>
        <v xml:space="preserve"> Bushuhe</v>
      </c>
      <c r="E345" s="49">
        <f>IFERROR(IF(Data_Entry!J334/Data_Entry!$I334&lt;0,0,Data_Entry!J334/Data_Entry!$I334),0)</f>
        <v>0</v>
      </c>
      <c r="F345" s="49">
        <f>IFERROR(IF(Data_Entry!K334/Data_Entry!$H334&lt;0,0,Data_Entry!K334/Data_Entry!$H334),0)</f>
        <v>0</v>
      </c>
      <c r="G345" s="49">
        <f>IFERROR(IF(Data_Entry!L334/Data_Entry!$H334&lt;0,0,Data_Entry!L334/Data_Entry!$H334),0)</f>
        <v>0</v>
      </c>
      <c r="H345" s="49">
        <f>IFERROR(IF(Data_Entry!M334/Data_Entry!$H334&lt;0,0,Data_Entry!M334/Data_Entry!$H334),0)</f>
        <v>0</v>
      </c>
      <c r="I345" s="49">
        <f>IFERROR(IF(Data_Entry!N334/Data_Entry!$H334&lt;0,0,Data_Entry!N334/Data_Entry!$H334),0)</f>
        <v>0</v>
      </c>
      <c r="J345" s="49">
        <f>IFERROR(IF(Data_Entry!O334/Data_Entry!$H334&lt;0,0,Data_Entry!O334/Data_Entry!$H334),0)</f>
        <v>0</v>
      </c>
      <c r="K345" s="49">
        <f>IFERROR(IF(Data_Entry!P334/Data_Entry!$H334&lt;0,0,Data_Entry!P334/Data_Entry!$H334),0)</f>
        <v>5.7396271932774613E-2</v>
      </c>
      <c r="L345" s="49">
        <f>IFERROR(IF(Data_Entry!Q334/Data_Entry!$H334&lt;0,0,Data_Entry!Q334/Data_Entry!$H334),0)</f>
        <v>5.3809004936976199E-2</v>
      </c>
      <c r="M345" s="49">
        <f>IFERROR(IF(Data_Entry!R334/Data_Entry!$H334&lt;0,0,Data_Entry!R334/Data_Entry!$H334),0)</f>
        <v>6.2777172426472239E-2</v>
      </c>
      <c r="N345" s="49">
        <f>IFERROR(IF(Data_Entry!S334/Data_Entry!$H334&lt;0,0,Data_Entry!S334/Data_Entry!$H334),0)</f>
        <v>5.7396271932774613E-2</v>
      </c>
      <c r="O345" s="49">
        <f>IFERROR(IF(Data_Entry!T334/Data_Entry!$H334&lt;0,0,Data_Entry!T334/Data_Entry!$H334),0)</f>
        <v>5.3809004936976199E-2</v>
      </c>
      <c r="P345" s="49">
        <f>IFERROR(IF(Data_Entry!U334/Data_Entry!$H334&lt;0,0,Data_Entry!U334/Data_Entry!$H334),0)</f>
        <v>6.2777172426472239E-2</v>
      </c>
      <c r="Q345" s="49">
        <f>IFERROR(IF(Data_Entry!V334/Data_Entry!$H334&lt;0,0,Data_Entry!V334/Data_Entry!$H334),0)</f>
        <v>5.7396271932774613E-2</v>
      </c>
      <c r="R345" s="49">
        <f>IFERROR(IF(Data_Entry!W334/Data_Entry!$H334&lt;0,0,Data_Entry!W334/Data_Entry!$H334),0)</f>
        <v>5.3809004936976199E-2</v>
      </c>
      <c r="S345" s="49">
        <f>IFERROR(IF(Data_Entry!X334/Data_Entry!$H334&lt;0,0,Data_Entry!X334/Data_Entry!$H334),0)</f>
        <v>7.1745339915968265E-2</v>
      </c>
      <c r="T345" s="49">
        <f>IFERROR(IF(Data_Entry!Y334/Data_Entry!$H334&lt;0,0,Data_Entry!Y334/Data_Entry!$H334),0)</f>
        <v>3.0491769464286514E-2</v>
      </c>
      <c r="U345" s="49">
        <f>IFERROR(IF(Data_Entry!Z334/Data_Entry!$H334&lt;0,0,Data_Entry!Z334/Data_Entry!$H334),0)</f>
        <v>7.1745339915968265E-2</v>
      </c>
      <c r="V345" s="49">
        <f>IFERROR(IF(Data_Entry!AA334/Data_Entry!$H334&lt;0,0,Data_Entry!AA334/Data_Entry!$H334),0)</f>
        <v>0</v>
      </c>
      <c r="W345" s="49">
        <f>IFERROR(IF(Data_Entry!AB334/Data_Entry!$H334&lt;0,0,Data_Entry!AB334/Data_Entry!$H334),0)</f>
        <v>0</v>
      </c>
      <c r="X345" s="49">
        <f>IFERROR(IF(Data_Entry!AC334/Data_Entry!$I334&lt;0,0,Data_Entry!AC334/Data_Entry!$I334),0)</f>
        <v>3.1298904538341159E-3</v>
      </c>
      <c r="Y345" s="49">
        <f>IFERROR(IF(Data_Entry!AD334/Data_Entry!$I334&lt;0,0,Data_Entry!AD334/Data_Entry!$I334),0)</f>
        <v>0</v>
      </c>
      <c r="Z345" s="49">
        <f>IFERROR(IF(Data_Entry!AE334/Data_Entry!$I334&lt;0,0,Data_Entry!AE334/Data_Entry!$I334),0)</f>
        <v>1.5649452269170579E-3</v>
      </c>
      <c r="AA345" s="49">
        <f>IFERROR(IF(Data_Entry!AF334/Data_Entry!$I334&lt;0,0,Data_Entry!AF334/Data_Entry!$I334),0)</f>
        <v>3.1298904538341159E-3</v>
      </c>
      <c r="AB345" s="49">
        <f>IFERROR(IF(Data_Entry!AG334/Data_Entry!$I334&lt;0,0,Data_Entry!AG334/Data_Entry!$I334),0)</f>
        <v>0</v>
      </c>
      <c r="AC345" s="49">
        <f>IFERROR(IF(Data_Entry!AI334/Data_Entry!$I334&lt;0,0,Data_Entry!AI334/Data_Entry!$I334),0)</f>
        <v>6.5258215962441316E-2</v>
      </c>
      <c r="AD345" s="49">
        <f>IFERROR(IF(Data_Entry!AM334/Data_Entry!$H334&lt;0,0,Data_Entry!AM334/Data_Entry!$H334),0)</f>
        <v>7.1745339915968265E-2</v>
      </c>
      <c r="AE345" s="50">
        <f>Data_Entry!AK334</f>
        <v>0</v>
      </c>
      <c r="AF345" s="50">
        <f>Data_Entry!AL334</f>
        <v>0</v>
      </c>
      <c r="AG345" s="153" t="e">
        <f>(Data_Entry!O334-Data_Entry!Q334)/Data_Entry!O334</f>
        <v>#VALUE!</v>
      </c>
      <c r="AH345" s="79" t="str">
        <f t="shared" si="10"/>
        <v>ND</v>
      </c>
      <c r="AI345" s="51">
        <f>SUBTOTAL(3,Tableau1[[#This Row],[ZS]])</f>
        <v>0</v>
      </c>
      <c r="AJ345" s="51" t="e">
        <f t="shared" ca="1" si="11"/>
        <v>#NAME?</v>
      </c>
      <c r="AK345" s="50" t="str">
        <f>IFERROR(IF((Data_Entry!O334-Data_Entry!Q334)/Data_Entry!O334&lt;=10%,"&lt;=10%","&gt;10%"),"&lt;=10%")</f>
        <v>&lt;=10%</v>
      </c>
    </row>
    <row r="346" spans="1:37" s="48" customFormat="1" ht="13" hidden="1" x14ac:dyDescent="0.3">
      <c r="A346" s="31" t="s">
        <v>16</v>
      </c>
      <c r="B346" s="48" t="str">
        <f>Data_Entry!B335</f>
        <v>Goma</v>
      </c>
      <c r="C346" s="48" t="str">
        <f>Data_Entry!C335</f>
        <v xml:space="preserve"> Kirotshe</v>
      </c>
      <c r="D346" s="48" t="str">
        <f>Data_Entry!D335</f>
        <v xml:space="preserve"> Bweremana</v>
      </c>
      <c r="E346" s="49">
        <f>IFERROR(IF(Data_Entry!J335/Data_Entry!$I335&lt;0,0,Data_Entry!J335/Data_Entry!$I335),0)</f>
        <v>1.1496221067548416</v>
      </c>
      <c r="F346" s="49">
        <f>IFERROR(IF(Data_Entry!K335/Data_Entry!$H335&lt;0,0,Data_Entry!K335/Data_Entry!$H335),0)</f>
        <v>0.17459967272712504</v>
      </c>
      <c r="G346" s="49">
        <f>IFERROR(IF(Data_Entry!L335/Data_Entry!$H335&lt;0,0,Data_Entry!L335/Data_Entry!$H335),0)</f>
        <v>1.1775326765317735</v>
      </c>
      <c r="H346" s="49">
        <f>IFERROR(IF(Data_Entry!M335/Data_Entry!$H335&lt;0,0,Data_Entry!M335/Data_Entry!$H335),0)</f>
        <v>1.1105351276946209</v>
      </c>
      <c r="I346" s="49">
        <f>IFERROR(IF(Data_Entry!N335/Data_Entry!$H335&lt;0,0,Data_Entry!N335/Data_Entry!$H335),0)</f>
        <v>0.95217728498862386</v>
      </c>
      <c r="J346" s="49">
        <f>IFERROR(IF(Data_Entry!O335/Data_Entry!$H335&lt;0,0,Data_Entry!O335/Data_Entry!$H335),0)</f>
        <v>1.1775326765317735</v>
      </c>
      <c r="K346" s="49">
        <f>IFERROR(IF(Data_Entry!P335/Data_Entry!$H335&lt;0,0,Data_Entry!P335/Data_Entry!$H335),0)</f>
        <v>1.1105351276946209</v>
      </c>
      <c r="L346" s="49">
        <f>IFERROR(IF(Data_Entry!Q335/Data_Entry!$H335&lt;0,0,Data_Entry!Q335/Data_Entry!$H335),0)</f>
        <v>0.95217728498862386</v>
      </c>
      <c r="M346" s="49">
        <f>IFERROR(IF(Data_Entry!R335/Data_Entry!$H335&lt;0,0,Data_Entry!R335/Data_Entry!$H335),0)</f>
        <v>1.1775326765317735</v>
      </c>
      <c r="N346" s="49">
        <f>IFERROR(IF(Data_Entry!S335/Data_Entry!$H335&lt;0,0,Data_Entry!S335/Data_Entry!$H335),0)</f>
        <v>0.9988725462993665</v>
      </c>
      <c r="O346" s="49">
        <f>IFERROR(IF(Data_Entry!T335/Data_Entry!$H335&lt;0,0,Data_Entry!T335/Data_Entry!$H335),0)</f>
        <v>0.95217728498862386</v>
      </c>
      <c r="P346" s="49">
        <f>IFERROR(IF(Data_Entry!U335/Data_Entry!$H335&lt;0,0,Data_Entry!U335/Data_Entry!$H335),0)</f>
        <v>1.1775326765317735</v>
      </c>
      <c r="Q346" s="49">
        <f>IFERROR(IF(Data_Entry!V335/Data_Entry!$H335&lt;0,0,Data_Entry!V335/Data_Entry!$H335),0)</f>
        <v>1.1105351276946209</v>
      </c>
      <c r="R346" s="49">
        <f>IFERROR(IF(Data_Entry!W335/Data_Entry!$H335&lt;0,0,Data_Entry!W335/Data_Entry!$H335),0)</f>
        <v>0.95217728498862386</v>
      </c>
      <c r="S346" s="49">
        <f>IFERROR(IF(Data_Entry!X335/Data_Entry!$H335&lt;0,0,Data_Entry!X335/Data_Entry!$H335),0)</f>
        <v>1.0394771213521863</v>
      </c>
      <c r="T346" s="49">
        <f>IFERROR(IF(Data_Entry!Y335/Data_Entry!$H335&lt;0,0,Data_Entry!Y335/Data_Entry!$H335),0)</f>
        <v>0.37965277674386494</v>
      </c>
      <c r="U346" s="49">
        <f>IFERROR(IF(Data_Entry!Z335/Data_Entry!$H335&lt;0,0,Data_Entry!Z335/Data_Entry!$H335),0)</f>
        <v>1.0394771213521863</v>
      </c>
      <c r="V346" s="49">
        <f>IFERROR(IF(Data_Entry!AA335/Data_Entry!$H335&lt;0,0,Data_Entry!AA335/Data_Entry!$H335),0)</f>
        <v>0.94811682748334181</v>
      </c>
      <c r="W346" s="49">
        <f>IFERROR(IF(Data_Entry!AB335/Data_Entry!$H335&lt;0,0,Data_Entry!AB335/Data_Entry!$H335),0)</f>
        <v>0</v>
      </c>
      <c r="X346" s="49">
        <f>IFERROR(IF(Data_Entry!AC335/Data_Entry!$I335&lt;0,0,Data_Entry!AC335/Data_Entry!$I335),0)</f>
        <v>0.2710203117619272</v>
      </c>
      <c r="Y346" s="49">
        <f>IFERROR(IF(Data_Entry!AD335/Data_Entry!$I335&lt;0,0,Data_Entry!AD335/Data_Entry!$I335),0)</f>
        <v>0.16473783656117144</v>
      </c>
      <c r="Z346" s="49">
        <f>IFERROR(IF(Data_Entry!AE335/Data_Entry!$I335&lt;0,0,Data_Entry!AE335/Data_Entry!$I335),0)</f>
        <v>0.16296646197449219</v>
      </c>
      <c r="AA346" s="49">
        <f>IFERROR(IF(Data_Entry!AF335/Data_Entry!$I335&lt;0,0,Data_Entry!AF335/Data_Entry!$I335),0)</f>
        <v>0.10982522437411429</v>
      </c>
      <c r="AB346" s="49">
        <f>IFERROR(IF(Data_Entry!AG335/Data_Entry!$I335&lt;0,0,Data_Entry!AG335/Data_Entry!$I335),0)</f>
        <v>0.13285309400094472</v>
      </c>
      <c r="AC346" s="49">
        <f>IFERROR(IF(Data_Entry!AI335/Data_Entry!$I335&lt;0,0,Data_Entry!AI335/Data_Entry!$I335),0)</f>
        <v>8.8568729333963148E-2</v>
      </c>
      <c r="AD346" s="49">
        <f>IFERROR(IF(Data_Entry!AM335/Data_Entry!$H335&lt;0,0,Data_Entry!AM335/Data_Entry!$H335),0)</f>
        <v>1.0394771213521863</v>
      </c>
      <c r="AE346" s="50">
        <f>Data_Entry!AK335</f>
        <v>0</v>
      </c>
      <c r="AF346" s="50">
        <f>Data_Entry!AL335</f>
        <v>68</v>
      </c>
      <c r="AG346" s="153">
        <f>(Data_Entry!O335-Data_Entry!Q335)/Data_Entry!O335</f>
        <v>0.19137931034482758</v>
      </c>
      <c r="AH346" s="79" t="str">
        <f t="shared" si="10"/>
        <v>CAT2</v>
      </c>
      <c r="AI346" s="51">
        <f>SUBTOTAL(3,Tableau1[[#This Row],[ZS]])</f>
        <v>0</v>
      </c>
      <c r="AJ346" s="51" t="e">
        <f t="shared" ca="1" si="11"/>
        <v>#NAME?</v>
      </c>
      <c r="AK346" s="50" t="str">
        <f>IFERROR(IF((Data_Entry!O335-Data_Entry!Q335)/Data_Entry!O335&lt;=10%,"&lt;=10%","&gt;10%"),"&lt;=10%")</f>
        <v>&gt;10%</v>
      </c>
    </row>
    <row r="347" spans="1:37" s="48" customFormat="1" ht="13" hidden="1" x14ac:dyDescent="0.3">
      <c r="A347" s="31" t="s">
        <v>16</v>
      </c>
      <c r="B347" s="48" t="str">
        <f>Data_Entry!B336</f>
        <v>Goma</v>
      </c>
      <c r="C347" s="48" t="str">
        <f>Data_Entry!C336</f>
        <v xml:space="preserve"> Kirotshe</v>
      </c>
      <c r="D347" s="48" t="str">
        <f>Data_Entry!D336</f>
        <v xml:space="preserve"> Humule</v>
      </c>
      <c r="E347" s="49">
        <f>IFERROR(IF(Data_Entry!J336/Data_Entry!$I336&lt;0,0,Data_Entry!J336/Data_Entry!$I336),0)</f>
        <v>0.5874768313320976</v>
      </c>
      <c r="F347" s="49">
        <f>IFERROR(IF(Data_Entry!K336/Data_Entry!$H336&lt;0,0,Data_Entry!K336/Data_Entry!$H336),0)</f>
        <v>0.29925594719240889</v>
      </c>
      <c r="G347" s="49">
        <f>IFERROR(IF(Data_Entry!L336/Data_Entry!$H336&lt;0,0,Data_Entry!L336/Data_Entry!$H336),0)</f>
        <v>0.85897540397821071</v>
      </c>
      <c r="H347" s="49">
        <f>IFERROR(IF(Data_Entry!M336/Data_Entry!$H336&lt;0,0,Data_Entry!M336/Data_Entry!$H336),0)</f>
        <v>0.78139052878017878</v>
      </c>
      <c r="I347" s="49">
        <f>IFERROR(IF(Data_Entry!N336/Data_Entry!$H336&lt;0,0,Data_Entry!N336/Data_Entry!$H336),0)</f>
        <v>0.83403740837884321</v>
      </c>
      <c r="J347" s="49">
        <f>IFERROR(IF(Data_Entry!O336/Data_Entry!$H336&lt;0,0,Data_Entry!O336/Data_Entry!$H336),0)</f>
        <v>0.85620451557828092</v>
      </c>
      <c r="K347" s="49">
        <f>IFERROR(IF(Data_Entry!P336/Data_Entry!$H336&lt;0,0,Data_Entry!P336/Data_Entry!$H336),0)</f>
        <v>0.80632852437954616</v>
      </c>
      <c r="L347" s="49">
        <f>IFERROR(IF(Data_Entry!Q336/Data_Entry!$H336&lt;0,0,Data_Entry!Q336/Data_Entry!$H336),0)</f>
        <v>0.81187030117940551</v>
      </c>
      <c r="M347" s="49">
        <f>IFERROR(IF(Data_Entry!R336/Data_Entry!$H336&lt;0,0,Data_Entry!R336/Data_Entry!$H336),0)</f>
        <v>0.85897540397821071</v>
      </c>
      <c r="N347" s="49">
        <f>IFERROR(IF(Data_Entry!S336/Data_Entry!$H336&lt;0,0,Data_Entry!S336/Data_Entry!$H336),0)</f>
        <v>0.80632852437954616</v>
      </c>
      <c r="O347" s="49">
        <f>IFERROR(IF(Data_Entry!T336/Data_Entry!$H336&lt;0,0,Data_Entry!T336/Data_Entry!$H336),0)</f>
        <v>0.836808296778773</v>
      </c>
      <c r="P347" s="49">
        <f>IFERROR(IF(Data_Entry!U336/Data_Entry!$H336&lt;0,0,Data_Entry!U336/Data_Entry!$H336),0)</f>
        <v>0.85897540397821071</v>
      </c>
      <c r="Q347" s="49">
        <f>IFERROR(IF(Data_Entry!V336/Data_Entry!$H336&lt;0,0,Data_Entry!V336/Data_Entry!$H336),0)</f>
        <v>0.78139052878017878</v>
      </c>
      <c r="R347" s="49">
        <f>IFERROR(IF(Data_Entry!W336/Data_Entry!$H336&lt;0,0,Data_Entry!W336/Data_Entry!$H336),0)</f>
        <v>0.83403740837884321</v>
      </c>
      <c r="S347" s="49">
        <f>IFERROR(IF(Data_Entry!X336/Data_Entry!$H336&lt;0,0,Data_Entry!X336/Data_Entry!$H336),0)</f>
        <v>1.2385871147685812</v>
      </c>
      <c r="T347" s="49">
        <f>IFERROR(IF(Data_Entry!Y336/Data_Entry!$H336&lt;0,0,Data_Entry!Y336/Data_Entry!$H336),0)</f>
        <v>1.0307704847738528</v>
      </c>
      <c r="U347" s="49">
        <f>IFERROR(IF(Data_Entry!Z336/Data_Entry!$H336&lt;0,0,Data_Entry!Z336/Data_Entry!$H336),0)</f>
        <v>1.2164200075691436</v>
      </c>
      <c r="V347" s="49">
        <f>IFERROR(IF(Data_Entry!AA336/Data_Entry!$H336&lt;0,0,Data_Entry!AA336/Data_Entry!$H336),0)</f>
        <v>0.83957918517870267</v>
      </c>
      <c r="W347" s="49">
        <f>IFERROR(IF(Data_Entry!AB336/Data_Entry!$H336&lt;0,0,Data_Entry!AB336/Data_Entry!$H336),0)</f>
        <v>0.43502947878896475</v>
      </c>
      <c r="X347" s="49">
        <f>IFERROR(IF(Data_Entry!AC336/Data_Entry!$I336&lt;0,0,Data_Entry!AC336/Data_Entry!$I336),0)</f>
        <v>0.4230800225642678</v>
      </c>
      <c r="Y347" s="49">
        <f>IFERROR(IF(Data_Entry!AD336/Data_Entry!$I336&lt;0,0,Data_Entry!AD336/Data_Entry!$I336),0)</f>
        <v>0.20791361108872591</v>
      </c>
      <c r="Z347" s="49">
        <f>IFERROR(IF(Data_Entry!AE336/Data_Entry!$I336&lt;0,0,Data_Entry!AE336/Data_Entry!$I336),0)</f>
        <v>0.1353856072205657</v>
      </c>
      <c r="AA347" s="49">
        <f>IFERROR(IF(Data_Entry!AF336/Data_Entry!$I336&lt;0,0,Data_Entry!AF336/Data_Entry!$I336),0)</f>
        <v>6.5275203481344177E-2</v>
      </c>
      <c r="AB347" s="49">
        <f>IFERROR(IF(Data_Entry!AG336/Data_Entry!$I336&lt;0,0,Data_Entry!AG336/Data_Entry!$I336),0)</f>
        <v>4.3516802320896115E-2</v>
      </c>
      <c r="AC347" s="49">
        <f>IFERROR(IF(Data_Entry!AI336/Data_Entry!$I336&lt;0,0,Data_Entry!AI336/Data_Entry!$I336),0)</f>
        <v>0.12088000644693367</v>
      </c>
      <c r="AD347" s="49">
        <f>IFERROR(IF(Data_Entry!AM336/Data_Entry!$H336&lt;0,0,Data_Entry!AM336/Data_Entry!$H336),0)</f>
        <v>1.2164200075691436</v>
      </c>
      <c r="AE347" s="50">
        <f>Data_Entry!AK336</f>
        <v>51.895083333333332</v>
      </c>
      <c r="AF347" s="50">
        <f>Data_Entry!AL336</f>
        <v>0</v>
      </c>
      <c r="AG347" s="153">
        <f>(Data_Entry!O336-Data_Entry!Q336)/Data_Entry!O336</f>
        <v>5.1779935275080909E-2</v>
      </c>
      <c r="AH347" s="79" t="str">
        <f t="shared" si="10"/>
        <v>CAT3</v>
      </c>
      <c r="AI347" s="51">
        <f>SUBTOTAL(3,Tableau1[[#This Row],[ZS]])</f>
        <v>0</v>
      </c>
      <c r="AJ347" s="51" t="e">
        <f t="shared" ca="1" si="11"/>
        <v>#NAME?</v>
      </c>
      <c r="AK347" s="50" t="str">
        <f>IFERROR(IF((Data_Entry!O336-Data_Entry!Q336)/Data_Entry!O336&lt;=10%,"&lt;=10%","&gt;10%"),"&lt;=10%")</f>
        <v>&lt;=10%</v>
      </c>
    </row>
    <row r="348" spans="1:37" s="48" customFormat="1" ht="13" hidden="1" x14ac:dyDescent="0.3">
      <c r="A348" s="31" t="s">
        <v>16</v>
      </c>
      <c r="B348" s="48" t="str">
        <f>Data_Entry!B337</f>
        <v>Goma</v>
      </c>
      <c r="C348" s="48" t="str">
        <f>Data_Entry!C337</f>
        <v xml:space="preserve"> Kirotshe</v>
      </c>
      <c r="D348" s="48" t="str">
        <f>Data_Entry!D337</f>
        <v xml:space="preserve"> Kabase</v>
      </c>
      <c r="E348" s="49">
        <f>IFERROR(IF(Data_Entry!J337/Data_Entry!$I337&lt;0,0,Data_Entry!J337/Data_Entry!$I337),0)</f>
        <v>0.20897832817337464</v>
      </c>
      <c r="F348" s="49">
        <f>IFERROR(IF(Data_Entry!K337/Data_Entry!$H337&lt;0,0,Data_Entry!K337/Data_Entry!$H337),0)</f>
        <v>2.3655971210683035E-2</v>
      </c>
      <c r="G348" s="49">
        <f>IFERROR(IF(Data_Entry!L337/Data_Entry!$H337&lt;0,0,Data_Entry!L337/Data_Entry!$H337),0)</f>
        <v>0.31639861494288557</v>
      </c>
      <c r="H348" s="49">
        <f>IFERROR(IF(Data_Entry!M337/Data_Entry!$H337&lt;0,0,Data_Entry!M337/Data_Entry!$H337),0)</f>
        <v>0.26612967612018412</v>
      </c>
      <c r="I348" s="49">
        <f>IFERROR(IF(Data_Entry!N337/Data_Entry!$H337&lt;0,0,Data_Entry!N337/Data_Entry!$H337),0)</f>
        <v>0.26317267971884878</v>
      </c>
      <c r="J348" s="49">
        <f>IFERROR(IF(Data_Entry!O337/Data_Entry!$H337&lt;0,0,Data_Entry!O337/Data_Entry!$H337),0)</f>
        <v>0.31639861494288557</v>
      </c>
      <c r="K348" s="49">
        <f>IFERROR(IF(Data_Entry!P337/Data_Entry!$H337&lt;0,0,Data_Entry!P337/Data_Entry!$H337),0)</f>
        <v>0.26612967612018412</v>
      </c>
      <c r="L348" s="49">
        <f>IFERROR(IF(Data_Entry!Q337/Data_Entry!$H337&lt;0,0,Data_Entry!Q337/Data_Entry!$H337),0)</f>
        <v>0.26317267971884878</v>
      </c>
      <c r="M348" s="49">
        <f>IFERROR(IF(Data_Entry!R337/Data_Entry!$H337&lt;0,0,Data_Entry!R337/Data_Entry!$H337),0)</f>
        <v>0.31639861494288557</v>
      </c>
      <c r="N348" s="49">
        <f>IFERROR(IF(Data_Entry!S337/Data_Entry!$H337&lt;0,0,Data_Entry!S337/Data_Entry!$H337),0)</f>
        <v>0.27204366892285486</v>
      </c>
      <c r="O348" s="49">
        <f>IFERROR(IF(Data_Entry!T337/Data_Entry!$H337&lt;0,0,Data_Entry!T337/Data_Entry!$H337),0)</f>
        <v>0.26317267971884878</v>
      </c>
      <c r="P348" s="49">
        <f>IFERROR(IF(Data_Entry!U337/Data_Entry!$H337&lt;0,0,Data_Entry!U337/Data_Entry!$H337),0)</f>
        <v>0.31639861494288557</v>
      </c>
      <c r="Q348" s="49">
        <f>IFERROR(IF(Data_Entry!V337/Data_Entry!$H337&lt;0,0,Data_Entry!V337/Data_Entry!$H337),0)</f>
        <v>0.25430169051484264</v>
      </c>
      <c r="R348" s="49">
        <f>IFERROR(IF(Data_Entry!W337/Data_Entry!$H337&lt;0,0,Data_Entry!W337/Data_Entry!$H337),0)</f>
        <v>0.26317267971884878</v>
      </c>
      <c r="S348" s="49">
        <f>IFERROR(IF(Data_Entry!X337/Data_Entry!$H337&lt;0,0,Data_Entry!X337/Data_Entry!$H337),0)</f>
        <v>0.28978564733086715</v>
      </c>
      <c r="T348" s="49">
        <f>IFERROR(IF(Data_Entry!Y337/Data_Entry!$H337&lt;0,0,Data_Entry!Y337/Data_Entry!$H337),0)</f>
        <v>0</v>
      </c>
      <c r="U348" s="49">
        <f>IFERROR(IF(Data_Entry!Z337/Data_Entry!$H337&lt;0,0,Data_Entry!Z337/Data_Entry!$H337),0)</f>
        <v>0.28978564733086715</v>
      </c>
      <c r="V348" s="49">
        <f>IFERROR(IF(Data_Entry!AA337/Data_Entry!$H337&lt;0,0,Data_Entry!AA337/Data_Entry!$H337),0)</f>
        <v>0.26317267971884878</v>
      </c>
      <c r="W348" s="49">
        <f>IFERROR(IF(Data_Entry!AB337/Data_Entry!$H337&lt;0,0,Data_Entry!AB337/Data_Entry!$H337),0)</f>
        <v>0</v>
      </c>
      <c r="X348" s="49">
        <f>IFERROR(IF(Data_Entry!AC337/Data_Entry!$I337&lt;0,0,Data_Entry!AC337/Data_Entry!$I337),0)</f>
        <v>7.9979360165118682E-2</v>
      </c>
      <c r="Y348" s="49">
        <f>IFERROR(IF(Data_Entry!AD337/Data_Entry!$I337&lt;0,0,Data_Entry!AD337/Data_Entry!$I337),0)</f>
        <v>5.41795665634675E-2</v>
      </c>
      <c r="Z348" s="49">
        <f>IFERROR(IF(Data_Entry!AE337/Data_Entry!$I337&lt;0,0,Data_Entry!AE337/Data_Entry!$I337),0)</f>
        <v>3.6119711042311667E-2</v>
      </c>
      <c r="AA348" s="49">
        <f>IFERROR(IF(Data_Entry!AF337/Data_Entry!$I337&lt;0,0,Data_Entry!AF337/Data_Entry!$I337),0)</f>
        <v>1.2899896800825594E-2</v>
      </c>
      <c r="AB348" s="49">
        <f>IFERROR(IF(Data_Entry!AG337/Data_Entry!$I337&lt;0,0,Data_Entry!AG337/Data_Entry!$I337),0)</f>
        <v>1.2899896800825594E-2</v>
      </c>
      <c r="AC348" s="49">
        <f>IFERROR(IF(Data_Entry!AI337/Data_Entry!$I337&lt;0,0,Data_Entry!AI337/Data_Entry!$I337),0)</f>
        <v>0.12899896800825594</v>
      </c>
      <c r="AD348" s="49">
        <f>IFERROR(IF(Data_Entry!AM337/Data_Entry!$H337&lt;0,0,Data_Entry!AM337/Data_Entry!$H337),0)</f>
        <v>0.28978564733086715</v>
      </c>
      <c r="AE348" s="50">
        <f>Data_Entry!AK337</f>
        <v>231.18100000000004</v>
      </c>
      <c r="AF348" s="50">
        <f>Data_Entry!AL337</f>
        <v>9</v>
      </c>
      <c r="AG348" s="153">
        <f>(Data_Entry!O337-Data_Entry!Q337)/Data_Entry!O337</f>
        <v>0.16822429906542055</v>
      </c>
      <c r="AH348" s="79" t="str">
        <f t="shared" si="10"/>
        <v>CAT4</v>
      </c>
      <c r="AI348" s="51">
        <f>SUBTOTAL(3,Tableau1[[#This Row],[ZS]])</f>
        <v>0</v>
      </c>
      <c r="AJ348" s="51" t="e">
        <f t="shared" ca="1" si="11"/>
        <v>#NAME?</v>
      </c>
      <c r="AK348" s="50" t="str">
        <f>IFERROR(IF((Data_Entry!O337-Data_Entry!Q337)/Data_Entry!O337&lt;=10%,"&lt;=10%","&gt;10%"),"&lt;=10%")</f>
        <v>&gt;10%</v>
      </c>
    </row>
    <row r="349" spans="1:37" s="48" customFormat="1" ht="13" hidden="1" x14ac:dyDescent="0.3">
      <c r="A349" s="31" t="s">
        <v>16</v>
      </c>
      <c r="B349" s="48" t="str">
        <f>Data_Entry!B338</f>
        <v>Goma</v>
      </c>
      <c r="C349" s="48" t="str">
        <f>Data_Entry!C338</f>
        <v xml:space="preserve"> Kirotshe</v>
      </c>
      <c r="D349" s="48" t="str">
        <f>Data_Entry!D338</f>
        <v xml:space="preserve"> Kabingu</v>
      </c>
      <c r="E349" s="49">
        <f>IFERROR(IF(Data_Entry!J338/Data_Entry!$I338&lt;0,0,Data_Entry!J338/Data_Entry!$I338),0)</f>
        <v>0.96523793452581841</v>
      </c>
      <c r="F349" s="49">
        <f>IFERROR(IF(Data_Entry!K338/Data_Entry!$H338&lt;0,0,Data_Entry!K338/Data_Entry!$H338),0)</f>
        <v>0.79297003056802762</v>
      </c>
      <c r="G349" s="49">
        <f>IFERROR(IF(Data_Entry!L338/Data_Entry!$H338&lt;0,0,Data_Entry!L338/Data_Entry!$H338),0)</f>
        <v>1.1140261892858145</v>
      </c>
      <c r="H349" s="49">
        <f>IFERROR(IF(Data_Entry!M338/Data_Entry!$H338&lt;0,0,Data_Entry!M338/Data_Entry!$H338),0)</f>
        <v>0.91288257177587573</v>
      </c>
      <c r="I349" s="49">
        <f>IFERROR(IF(Data_Entry!N338/Data_Entry!$H338&lt;0,0,Data_Entry!N338/Data_Entry!$H338),0)</f>
        <v>1.0637402849083297</v>
      </c>
      <c r="J349" s="49">
        <f>IFERROR(IF(Data_Entry!O338/Data_Entry!$H338&lt;0,0,Data_Entry!O338/Data_Entry!$H338),0)</f>
        <v>1.106289896304663</v>
      </c>
      <c r="K349" s="49">
        <f>IFERROR(IF(Data_Entry!P338/Data_Entry!$H338&lt;0,0,Data_Entry!P338/Data_Entry!$H338),0)</f>
        <v>0.91675071826645149</v>
      </c>
      <c r="L349" s="49">
        <f>IFERROR(IF(Data_Entry!Q338/Data_Entry!$H338&lt;0,0,Data_Entry!Q338/Data_Entry!$H338),0)</f>
        <v>1.0676084313989056</v>
      </c>
      <c r="M349" s="49">
        <f>IFERROR(IF(Data_Entry!R338/Data_Entry!$H338&lt;0,0,Data_Entry!R338/Data_Entry!$H338),0)</f>
        <v>1.1449713612104204</v>
      </c>
      <c r="N349" s="49">
        <f>IFERROR(IF(Data_Entry!S338/Data_Entry!$H338&lt;0,0,Data_Entry!S338/Data_Entry!$H338),0)</f>
        <v>0.88193739985126973</v>
      </c>
      <c r="O349" s="49">
        <f>IFERROR(IF(Data_Entry!T338/Data_Entry!$H338&lt;0,0,Data_Entry!T338/Data_Entry!$H338),0)</f>
        <v>1.0598721384177541</v>
      </c>
      <c r="P349" s="49">
        <f>IFERROR(IF(Data_Entry!U338/Data_Entry!$H338&lt;0,0,Data_Entry!U338/Data_Entry!$H338),0)</f>
        <v>1.106289896304663</v>
      </c>
      <c r="Q349" s="49">
        <f>IFERROR(IF(Data_Entry!V338/Data_Entry!$H338&lt;0,0,Data_Entry!V338/Data_Entry!$H338),0)</f>
        <v>0.87806925336069408</v>
      </c>
      <c r="R349" s="49">
        <f>IFERROR(IF(Data_Entry!W338/Data_Entry!$H338&lt;0,0,Data_Entry!W338/Data_Entry!$H338),0)</f>
        <v>1.1488395077009961</v>
      </c>
      <c r="S349" s="49">
        <f>IFERROR(IF(Data_Entry!X338/Data_Entry!$H338&lt;0,0,Data_Entry!X338/Data_Entry!$H338),0)</f>
        <v>0.95930032966278467</v>
      </c>
      <c r="T349" s="49">
        <f>IFERROR(IF(Data_Entry!Y338/Data_Entry!$H338&lt;0,0,Data_Entry!Y338/Data_Entry!$H338),0)</f>
        <v>0.16633029909475702</v>
      </c>
      <c r="U349" s="49">
        <f>IFERROR(IF(Data_Entry!Z338/Data_Entry!$H338&lt;0,0,Data_Entry!Z338/Data_Entry!$H338),0)</f>
        <v>0.99024550158739066</v>
      </c>
      <c r="V349" s="49">
        <f>IFERROR(IF(Data_Entry!AA338/Data_Entry!$H338&lt;0,0,Data_Entry!AA338/Data_Entry!$H338),0)</f>
        <v>1.1797846796256022</v>
      </c>
      <c r="W349" s="49">
        <f>IFERROR(IF(Data_Entry!AB338/Data_Entry!$H338&lt;0,0,Data_Entry!AB338/Data_Entry!$H338),0)</f>
        <v>0.95930032966278467</v>
      </c>
      <c r="X349" s="49">
        <f>IFERROR(IF(Data_Entry!AC338/Data_Entry!$I338&lt;0,0,Data_Entry!AC338/Data_Entry!$I338),0)</f>
        <v>0.63111711103611201</v>
      </c>
      <c r="Y349" s="49">
        <f>IFERROR(IF(Data_Entry!AD338/Data_Entry!$I338&lt;0,0,Data_Entry!AD338/Data_Entry!$I338),0)</f>
        <v>0.3746203172460344</v>
      </c>
      <c r="Z349" s="49">
        <f>IFERROR(IF(Data_Entry!AE338/Data_Entry!$I338&lt;0,0,Data_Entry!AE338/Data_Entry!$I338),0)</f>
        <v>5.0624367195410053E-2</v>
      </c>
      <c r="AA349" s="49">
        <f>IFERROR(IF(Data_Entry!AF338/Data_Entry!$I338&lt;0,0,Data_Entry!AF338/Data_Entry!$I338),0)</f>
        <v>3.3749578130273369E-3</v>
      </c>
      <c r="AB349" s="49">
        <f>IFERROR(IF(Data_Entry!AG338/Data_Entry!$I338&lt;0,0,Data_Entry!AG338/Data_Entry!$I338),0)</f>
        <v>0</v>
      </c>
      <c r="AC349" s="49">
        <f>IFERROR(IF(Data_Entry!AI338/Data_Entry!$I338&lt;0,0,Data_Entry!AI338/Data_Entry!$I338),0)</f>
        <v>0.14073574080323997</v>
      </c>
      <c r="AD349" s="49">
        <f>IFERROR(IF(Data_Entry!AM338/Data_Entry!$H338&lt;0,0,Data_Entry!AM338/Data_Entry!$H338),0)</f>
        <v>0.95930032966278467</v>
      </c>
      <c r="AE349" s="50">
        <f>Data_Entry!AK338</f>
        <v>0</v>
      </c>
      <c r="AF349" s="50">
        <f>Data_Entry!AL338</f>
        <v>38</v>
      </c>
      <c r="AG349" s="153">
        <f>(Data_Entry!O338-Data_Entry!Q338)/Data_Entry!O338</f>
        <v>3.4965034965034968E-2</v>
      </c>
      <c r="AH349" s="79" t="str">
        <f t="shared" si="10"/>
        <v>CAT1</v>
      </c>
      <c r="AI349" s="51">
        <f>SUBTOTAL(3,Tableau1[[#This Row],[ZS]])</f>
        <v>0</v>
      </c>
      <c r="AJ349" s="51" t="e">
        <f t="shared" ca="1" si="11"/>
        <v>#NAME?</v>
      </c>
      <c r="AK349" s="50" t="str">
        <f>IFERROR(IF((Data_Entry!O338-Data_Entry!Q338)/Data_Entry!O338&lt;=10%,"&lt;=10%","&gt;10%"),"&lt;=10%")</f>
        <v>&lt;=10%</v>
      </c>
    </row>
    <row r="350" spans="1:37" s="48" customFormat="1" ht="13" hidden="1" x14ac:dyDescent="0.3">
      <c r="A350" s="31" t="s">
        <v>16</v>
      </c>
      <c r="B350" s="48" t="str">
        <f>Data_Entry!B339</f>
        <v>Goma</v>
      </c>
      <c r="C350" s="48" t="str">
        <f>Data_Entry!C339</f>
        <v xml:space="preserve"> Kirotshe</v>
      </c>
      <c r="D350" s="48" t="str">
        <f>Data_Entry!D339</f>
        <v xml:space="preserve"> Kaduki</v>
      </c>
      <c r="E350" s="49">
        <f>IFERROR(IF(Data_Entry!J339/Data_Entry!$I339&lt;0,0,Data_Entry!J339/Data_Entry!$I339),0)</f>
        <v>0.12856224555388901</v>
      </c>
      <c r="F350" s="49">
        <f>IFERROR(IF(Data_Entry!K339/Data_Entry!$H339&lt;0,0,Data_Entry!K339/Data_Entry!$H339),0)</f>
        <v>4.6046649553685169E-2</v>
      </c>
      <c r="G350" s="49">
        <f>IFERROR(IF(Data_Entry!L339/Data_Entry!$H339&lt;0,0,Data_Entry!L339/Data_Entry!$H339),0)</f>
        <v>0.19339592812547771</v>
      </c>
      <c r="H350" s="49">
        <f>IFERROR(IF(Data_Entry!M339/Data_Entry!$H339&lt;0,0,Data_Entry!M339/Data_Entry!$H339),0)</f>
        <v>0.16208420642897181</v>
      </c>
      <c r="I350" s="49">
        <f>IFERROR(IF(Data_Entry!N339/Data_Entry!$H339&lt;0,0,Data_Entry!N339/Data_Entry!$H339),0)</f>
        <v>0.19339592812547771</v>
      </c>
      <c r="J350" s="49">
        <f>IFERROR(IF(Data_Entry!O339/Data_Entry!$H339&lt;0,0,Data_Entry!O339/Data_Entry!$H339),0)</f>
        <v>0.19339592812547771</v>
      </c>
      <c r="K350" s="49">
        <f>IFERROR(IF(Data_Entry!P339/Data_Entry!$H339&lt;0,0,Data_Entry!P339/Data_Entry!$H339),0)</f>
        <v>0.16208420642897181</v>
      </c>
      <c r="L350" s="49">
        <f>IFERROR(IF(Data_Entry!Q339/Data_Entry!$H339&lt;0,0,Data_Entry!Q339/Data_Entry!$H339),0)</f>
        <v>0.19339592812547771</v>
      </c>
      <c r="M350" s="49">
        <f>IFERROR(IF(Data_Entry!R339/Data_Entry!$H339&lt;0,0,Data_Entry!R339/Data_Entry!$H339),0)</f>
        <v>0.19339592812547771</v>
      </c>
      <c r="N350" s="49">
        <f>IFERROR(IF(Data_Entry!S339/Data_Entry!$H339&lt;0,0,Data_Entry!S339/Data_Entry!$H339),0)</f>
        <v>0.16208420642897181</v>
      </c>
      <c r="O350" s="49">
        <f>IFERROR(IF(Data_Entry!T339/Data_Entry!$H339&lt;0,0,Data_Entry!T339/Data_Entry!$H339),0)</f>
        <v>0.19339592812547771</v>
      </c>
      <c r="P350" s="49">
        <f>IFERROR(IF(Data_Entry!U339/Data_Entry!$H339&lt;0,0,Data_Entry!U339/Data_Entry!$H339),0)</f>
        <v>0.19339592812547771</v>
      </c>
      <c r="Q350" s="49">
        <f>IFERROR(IF(Data_Entry!V339/Data_Entry!$H339&lt;0,0,Data_Entry!V339/Data_Entry!$H339),0)</f>
        <v>0.16208420642897181</v>
      </c>
      <c r="R350" s="49">
        <f>IFERROR(IF(Data_Entry!W339/Data_Entry!$H339&lt;0,0,Data_Entry!W339/Data_Entry!$H339),0)</f>
        <v>0.19339592812547771</v>
      </c>
      <c r="S350" s="49">
        <f>IFERROR(IF(Data_Entry!X339/Data_Entry!$H339&lt;0,0,Data_Entry!X339/Data_Entry!$H339),0)</f>
        <v>0.16024234044682439</v>
      </c>
      <c r="T350" s="49">
        <f>IFERROR(IF(Data_Entry!Y339/Data_Entry!$H339&lt;0,0,Data_Entry!Y339/Data_Entry!$H339),0)</f>
        <v>0.16760980437541403</v>
      </c>
      <c r="U350" s="49">
        <f>IFERROR(IF(Data_Entry!Z339/Data_Entry!$H339&lt;0,0,Data_Entry!Z339/Data_Entry!$H339),0)</f>
        <v>0.16024234044682439</v>
      </c>
      <c r="V350" s="49">
        <f>IFERROR(IF(Data_Entry!AA339/Data_Entry!$H339&lt;0,0,Data_Entry!AA339/Data_Entry!$H339),0)</f>
        <v>0.19339592812547771</v>
      </c>
      <c r="W350" s="49">
        <f>IFERROR(IF(Data_Entry!AB339/Data_Entry!$H339&lt;0,0,Data_Entry!AB339/Data_Entry!$H339),0)</f>
        <v>0.16024234044682439</v>
      </c>
      <c r="X350" s="49">
        <f>IFERROR(IF(Data_Entry!AC339/Data_Entry!$I339&lt;0,0,Data_Entry!AC339/Data_Entry!$I339),0)</f>
        <v>9.4814656095993141E-2</v>
      </c>
      <c r="Y350" s="49">
        <f>IFERROR(IF(Data_Entry!AD339/Data_Entry!$I339&lt;0,0,Data_Entry!AD339/Data_Entry!$I339),0)</f>
        <v>9.9635740304263989E-2</v>
      </c>
      <c r="Z350" s="49">
        <f>IFERROR(IF(Data_Entry!AE339/Data_Entry!$I339&lt;0,0,Data_Entry!AE339/Data_Entry!$I339),0)</f>
        <v>1.6070280694236126E-2</v>
      </c>
      <c r="AA350" s="49">
        <f>IFERROR(IF(Data_Entry!AF339/Data_Entry!$I339&lt;0,0,Data_Entry!AF339/Data_Entry!$I339),0)</f>
        <v>4.8210842082708379E-3</v>
      </c>
      <c r="AB350" s="49">
        <f>IFERROR(IF(Data_Entry!AG339/Data_Entry!$I339&lt;0,0,Data_Entry!AG339/Data_Entry!$I339),0)</f>
        <v>3.2140561388472252E-3</v>
      </c>
      <c r="AC350" s="49">
        <f>IFERROR(IF(Data_Entry!AI339/Data_Entry!$I339&lt;0,0,Data_Entry!AI339/Data_Entry!$I339),0)</f>
        <v>4.6925219627169487E-2</v>
      </c>
      <c r="AD350" s="49">
        <f>IFERROR(IF(Data_Entry!AM339/Data_Entry!$H339&lt;0,0,Data_Entry!AM339/Data_Entry!$H339),0)</f>
        <v>0.16024234044682439</v>
      </c>
      <c r="AE350" s="50">
        <f>Data_Entry!AK339</f>
        <v>437.92766666666671</v>
      </c>
      <c r="AF350" s="50">
        <f>Data_Entry!AL339</f>
        <v>18</v>
      </c>
      <c r="AG350" s="153">
        <f>(Data_Entry!O339-Data_Entry!Q339)/Data_Entry!O339</f>
        <v>0</v>
      </c>
      <c r="AH350" s="79" t="str">
        <f t="shared" si="10"/>
        <v>CAT3</v>
      </c>
      <c r="AI350" s="51">
        <f>SUBTOTAL(3,Tableau1[[#This Row],[ZS]])</f>
        <v>0</v>
      </c>
      <c r="AJ350" s="51" t="e">
        <f t="shared" ca="1" si="11"/>
        <v>#NAME?</v>
      </c>
      <c r="AK350" s="50" t="str">
        <f>IFERROR(IF((Data_Entry!O339-Data_Entry!Q339)/Data_Entry!O339&lt;=10%,"&lt;=10%","&gt;10%"),"&lt;=10%")</f>
        <v>&lt;=10%</v>
      </c>
    </row>
    <row r="351" spans="1:37" s="48" customFormat="1" ht="13" hidden="1" x14ac:dyDescent="0.3">
      <c r="A351" s="31" t="s">
        <v>16</v>
      </c>
      <c r="B351" s="48" t="str">
        <f>Data_Entry!B340</f>
        <v>Goma</v>
      </c>
      <c r="C351" s="48" t="str">
        <f>Data_Entry!C340</f>
        <v xml:space="preserve"> Kirotshe</v>
      </c>
      <c r="D351" s="48" t="str">
        <f>Data_Entry!D340</f>
        <v xml:space="preserve"> Karuba</v>
      </c>
      <c r="E351" s="49">
        <f>IFERROR(IF(Data_Entry!J340/Data_Entry!$I340&lt;0,0,Data_Entry!J340/Data_Entry!$I340),0)</f>
        <v>0.59670116429495468</v>
      </c>
      <c r="F351" s="49">
        <f>IFERROR(IF(Data_Entry!K340/Data_Entry!$H340&lt;0,0,Data_Entry!K340/Data_Entry!$H340),0)</f>
        <v>8.7108982604150842E-2</v>
      </c>
      <c r="G351" s="49">
        <f>IFERROR(IF(Data_Entry!L340/Data_Entry!$H340&lt;0,0,Data_Entry!L340/Data_Entry!$H340),0)</f>
        <v>0.54304110431949348</v>
      </c>
      <c r="H351" s="49">
        <f>IFERROR(IF(Data_Entry!M340/Data_Entry!$H340&lt;0,0,Data_Entry!M340/Data_Entry!$H340),0)</f>
        <v>0.35584946085099917</v>
      </c>
      <c r="I351" s="49">
        <f>IFERROR(IF(Data_Entry!N340/Data_Entry!$H340&lt;0,0,Data_Entry!N340/Data_Entry!$H340),0)</f>
        <v>0.2502066521608588</v>
      </c>
      <c r="J351" s="49">
        <f>IFERROR(IF(Data_Entry!O340/Data_Entry!$H340&lt;0,0,Data_Entry!O340/Data_Entry!$H340),0)</f>
        <v>0.6635109738784255</v>
      </c>
      <c r="K351" s="49">
        <f>IFERROR(IF(Data_Entry!P340/Data_Entry!$H340&lt;0,0,Data_Entry!P340/Data_Entry!$H340),0)</f>
        <v>0.52080051301630603</v>
      </c>
      <c r="L351" s="49">
        <f>IFERROR(IF(Data_Entry!Q340/Data_Entry!$H340&lt;0,0,Data_Entry!Q340/Data_Entry!$H340),0)</f>
        <v>0.30580813041882743</v>
      </c>
      <c r="M351" s="49">
        <f>IFERROR(IF(Data_Entry!R340/Data_Entry!$H340&lt;0,0,Data_Entry!R340/Data_Entry!$H340),0)</f>
        <v>0.6635109738784255</v>
      </c>
      <c r="N351" s="49">
        <f>IFERROR(IF(Data_Entry!S340/Data_Entry!$H340&lt;0,0,Data_Entry!S340/Data_Entry!$H340),0)</f>
        <v>0.52080051301630603</v>
      </c>
      <c r="O351" s="49">
        <f>IFERROR(IF(Data_Entry!T340/Data_Entry!$H340&lt;0,0,Data_Entry!T340/Data_Entry!$H340),0)</f>
        <v>0.30395474781022846</v>
      </c>
      <c r="P351" s="49">
        <f>IFERROR(IF(Data_Entry!U340/Data_Entry!$H340&lt;0,0,Data_Entry!U340/Data_Entry!$H340),0)</f>
        <v>0.6635109738784255</v>
      </c>
      <c r="Q351" s="49">
        <f>IFERROR(IF(Data_Entry!V340/Data_Entry!$H340&lt;0,0,Data_Entry!V340/Data_Entry!$H340),0)</f>
        <v>0.52080051301630603</v>
      </c>
      <c r="R351" s="49">
        <f>IFERROR(IF(Data_Entry!W340/Data_Entry!$H340&lt;0,0,Data_Entry!W340/Data_Entry!$H340),0)</f>
        <v>0.30580813041882743</v>
      </c>
      <c r="S351" s="49">
        <f>IFERROR(IF(Data_Entry!X340/Data_Entry!$H340&lt;0,0,Data_Entry!X340/Data_Entry!$H340),0)</f>
        <v>0.37252990432838978</v>
      </c>
      <c r="T351" s="49">
        <f>IFERROR(IF(Data_Entry!Y340/Data_Entry!$H340&lt;0,0,Data_Entry!Y340/Data_Entry!$H340),0)</f>
        <v>8.7108982604150842E-2</v>
      </c>
      <c r="U351" s="49">
        <f>IFERROR(IF(Data_Entry!Z340/Data_Entry!$H340&lt;0,0,Data_Entry!Z340/Data_Entry!$H340),0)</f>
        <v>0.37252990432838978</v>
      </c>
      <c r="V351" s="49">
        <f>IFERROR(IF(Data_Entry!AA340/Data_Entry!$H340&lt;0,0,Data_Entry!AA340/Data_Entry!$H340),0)</f>
        <v>0.28542092172423894</v>
      </c>
      <c r="W351" s="49">
        <f>IFERROR(IF(Data_Entry!AB340/Data_Entry!$H340&lt;0,0,Data_Entry!AB340/Data_Entry!$H340),0)</f>
        <v>0.1575375217309111</v>
      </c>
      <c r="X351" s="49">
        <f>IFERROR(IF(Data_Entry!AC340/Data_Entry!$I340&lt;0,0,Data_Entry!AC340/Data_Entry!$I340),0)</f>
        <v>0.13260025873221215</v>
      </c>
      <c r="Y351" s="49">
        <f>IFERROR(IF(Data_Entry!AD340/Data_Entry!$I340&lt;0,0,Data_Entry!AD340/Data_Entry!$I340),0)</f>
        <v>7.600258732212159E-2</v>
      </c>
      <c r="Z351" s="49">
        <f>IFERROR(IF(Data_Entry!AE340/Data_Entry!$I340&lt;0,0,Data_Entry!AE340/Data_Entry!$I340),0)</f>
        <v>4.2043984476067262E-2</v>
      </c>
      <c r="AA351" s="49">
        <f>IFERROR(IF(Data_Entry!AF340/Data_Entry!$I340&lt;0,0,Data_Entry!AF340/Data_Entry!$I340),0)</f>
        <v>2.9107373868046568E-2</v>
      </c>
      <c r="AB351" s="49">
        <f>IFERROR(IF(Data_Entry!AG340/Data_Entry!$I340&lt;0,0,Data_Entry!AG340/Data_Entry!$I340),0)</f>
        <v>2.7490297542043979E-2</v>
      </c>
      <c r="AC351" s="49">
        <f>IFERROR(IF(Data_Entry!AI340/Data_Entry!$I340&lt;0,0,Data_Entry!AI340/Data_Entry!$I340),0)</f>
        <v>8.0853816300129361E-2</v>
      </c>
      <c r="AD351" s="49">
        <f>IFERROR(IF(Data_Entry!AM340/Data_Entry!$H340&lt;0,0,Data_Entry!AM340/Data_Entry!$H340),0)</f>
        <v>0.37252990432838978</v>
      </c>
      <c r="AE351" s="50">
        <f>Data_Entry!AK340</f>
        <v>181.55399999999997</v>
      </c>
      <c r="AF351" s="50">
        <f>Data_Entry!AL340</f>
        <v>157</v>
      </c>
      <c r="AG351" s="153">
        <f>(Data_Entry!O340-Data_Entry!Q340)/Data_Entry!O340</f>
        <v>0.53910614525139666</v>
      </c>
      <c r="AH351" s="79" t="str">
        <f t="shared" si="10"/>
        <v>CAT4</v>
      </c>
      <c r="AI351" s="51">
        <f>SUBTOTAL(3,Tableau1[[#This Row],[ZS]])</f>
        <v>0</v>
      </c>
      <c r="AJ351" s="51" t="e">
        <f t="shared" ca="1" si="11"/>
        <v>#NAME?</v>
      </c>
      <c r="AK351" s="50" t="str">
        <f>IFERROR(IF((Data_Entry!O340-Data_Entry!Q340)/Data_Entry!O340&lt;=10%,"&lt;=10%","&gt;10%"),"&lt;=10%")</f>
        <v>&gt;10%</v>
      </c>
    </row>
    <row r="352" spans="1:37" s="48" customFormat="1" ht="13" hidden="1" x14ac:dyDescent="0.3">
      <c r="A352" s="31" t="s">
        <v>16</v>
      </c>
      <c r="B352" s="48" t="str">
        <f>Data_Entry!B341</f>
        <v>Goma</v>
      </c>
      <c r="C352" s="48" t="str">
        <f>Data_Entry!C341</f>
        <v xml:space="preserve"> Kirotshe</v>
      </c>
      <c r="D352" s="48" t="str">
        <f>Data_Entry!D341</f>
        <v xml:space="preserve"> Kashebere</v>
      </c>
      <c r="E352" s="49">
        <f>IFERROR(IF(Data_Entry!J341/Data_Entry!$I341&lt;0,0,Data_Entry!J341/Data_Entry!$I341),0)</f>
        <v>0.51896921975662125</v>
      </c>
      <c r="F352" s="49">
        <f>IFERROR(IF(Data_Entry!K341/Data_Entry!$H341&lt;0,0,Data_Entry!K341/Data_Entry!$H341),0)</f>
        <v>7.7940244445219284E-2</v>
      </c>
      <c r="G352" s="49">
        <f>IFERROR(IF(Data_Entry!L341/Data_Entry!$H341&lt;0,0,Data_Entry!L341/Data_Entry!$H341),0)</f>
        <v>0.5989092467895798</v>
      </c>
      <c r="H352" s="49">
        <f>IFERROR(IF(Data_Entry!M341/Data_Entry!$H341&lt;0,0,Data_Entry!M341/Data_Entry!$H341),0)</f>
        <v>0.39585439941914008</v>
      </c>
      <c r="I352" s="49">
        <f>IFERROR(IF(Data_Entry!N341/Data_Entry!$H341&lt;0,0,Data_Entry!N341/Data_Entry!$H341),0)</f>
        <v>0.1722889614052216</v>
      </c>
      <c r="J352" s="49">
        <f>IFERROR(IF(Data_Entry!O341/Data_Entry!$H341&lt;0,0,Data_Entry!O341/Data_Entry!$H341),0)</f>
        <v>0.5989092467895798</v>
      </c>
      <c r="K352" s="49">
        <f>IFERROR(IF(Data_Entry!P341/Data_Entry!$H341&lt;0,0,Data_Entry!P341/Data_Entry!$H341),0)</f>
        <v>0.39585439941914008</v>
      </c>
      <c r="L352" s="49">
        <f>IFERROR(IF(Data_Entry!Q341/Data_Entry!$H341&lt;0,0,Data_Entry!Q341/Data_Entry!$H341),0)</f>
        <v>0.23382073333565787</v>
      </c>
      <c r="M352" s="49">
        <f>IFERROR(IF(Data_Entry!R341/Data_Entry!$H341&lt;0,0,Data_Entry!R341/Data_Entry!$H341),0)</f>
        <v>0.67069631404175545</v>
      </c>
      <c r="N352" s="49">
        <f>IFERROR(IF(Data_Entry!S341/Data_Entry!$H341&lt;0,0,Data_Entry!S341/Data_Entry!$H341),0)</f>
        <v>0.45533511228522849</v>
      </c>
      <c r="O352" s="49">
        <f>IFERROR(IF(Data_Entry!T341/Data_Entry!$H341&lt;0,0,Data_Entry!T341/Data_Entry!$H341),0)</f>
        <v>0.23382073333565787</v>
      </c>
      <c r="P352" s="49">
        <f>IFERROR(IF(Data_Entry!U341/Data_Entry!$H341&lt;0,0,Data_Entry!U341/Data_Entry!$H341),0)</f>
        <v>0.55173488830957862</v>
      </c>
      <c r="Q352" s="49">
        <f>IFERROR(IF(Data_Entry!V341/Data_Entry!$H341&lt;0,0,Data_Entry!V341/Data_Entry!$H341),0)</f>
        <v>0.1640847251478301</v>
      </c>
      <c r="R352" s="49">
        <f>IFERROR(IF(Data_Entry!W341/Data_Entry!$H341&lt;0,0,Data_Entry!W341/Data_Entry!$H341),0)</f>
        <v>0.12306354386087257</v>
      </c>
      <c r="S352" s="49">
        <f>IFERROR(IF(Data_Entry!X341/Data_Entry!$H341&lt;0,0,Data_Entry!X341/Data_Entry!$H341),0)</f>
        <v>0.25638238304348449</v>
      </c>
      <c r="T352" s="49">
        <f>IFERROR(IF(Data_Entry!Y341/Data_Entry!$H341&lt;0,0,Data_Entry!Y341/Data_Entry!$H341),0)</f>
        <v>8.2042362573915041E-3</v>
      </c>
      <c r="U352" s="49">
        <f>IFERROR(IF(Data_Entry!Z341/Data_Entry!$H341&lt;0,0,Data_Entry!Z341/Data_Entry!$H341),0)</f>
        <v>0.25638238304348449</v>
      </c>
      <c r="V352" s="49">
        <f>IFERROR(IF(Data_Entry!AA341/Data_Entry!$H341&lt;0,0,Data_Entry!AA341/Data_Entry!$H341),0)</f>
        <v>0.28099509181565901</v>
      </c>
      <c r="W352" s="49">
        <f>IFERROR(IF(Data_Entry!AB341/Data_Entry!$H341&lt;0,0,Data_Entry!AB341/Data_Entry!$H341),0)</f>
        <v>5.7429653801740532E-2</v>
      </c>
      <c r="X352" s="49">
        <f>IFERROR(IF(Data_Entry!AC341/Data_Entry!$I341&lt;0,0,Data_Entry!AC341/Data_Entry!$I341),0)</f>
        <v>9.3056549749463119E-2</v>
      </c>
      <c r="Y352" s="49">
        <f>IFERROR(IF(Data_Entry!AD341/Data_Entry!$I341&lt;0,0,Data_Entry!AD341/Data_Entry!$I341),0)</f>
        <v>3.5790980672870433E-2</v>
      </c>
      <c r="Z352" s="49">
        <f>IFERROR(IF(Data_Entry!AE341/Data_Entry!$I341&lt;0,0,Data_Entry!AE341/Data_Entry!$I341),0)</f>
        <v>3.0422333571939866E-2</v>
      </c>
      <c r="AA352" s="49">
        <f>IFERROR(IF(Data_Entry!AF341/Data_Entry!$I341&lt;0,0,Data_Entry!AF341/Data_Entry!$I341),0)</f>
        <v>7.1581961345740866E-3</v>
      </c>
      <c r="AB352" s="49">
        <f>IFERROR(IF(Data_Entry!AG341/Data_Entry!$I341&lt;0,0,Data_Entry!AG341/Data_Entry!$I341),0)</f>
        <v>1.7895490336435216E-3</v>
      </c>
      <c r="AC352" s="49">
        <f>IFERROR(IF(Data_Entry!AI341/Data_Entry!$I341&lt;0,0,Data_Entry!AI341/Data_Entry!$I341),0)</f>
        <v>8.9477451682176079E-2</v>
      </c>
      <c r="AD352" s="49">
        <f>IFERROR(IF(Data_Entry!AM341/Data_Entry!$H341&lt;0,0,Data_Entry!AM341/Data_Entry!$H341),0)</f>
        <v>0.25638238304348449</v>
      </c>
      <c r="AE352" s="50">
        <f>Data_Entry!AK341</f>
        <v>195.553</v>
      </c>
      <c r="AF352" s="50">
        <f>Data_Entry!AL341</f>
        <v>167</v>
      </c>
      <c r="AG352" s="153">
        <f>(Data_Entry!O341-Data_Entry!Q341)/Data_Entry!O341</f>
        <v>0.6095890410958904</v>
      </c>
      <c r="AH352" s="79" t="str">
        <f t="shared" si="10"/>
        <v>CAT4</v>
      </c>
      <c r="AI352" s="51">
        <f>SUBTOTAL(3,Tableau1[[#This Row],[ZS]])</f>
        <v>0</v>
      </c>
      <c r="AJ352" s="51" t="e">
        <f t="shared" ca="1" si="11"/>
        <v>#NAME?</v>
      </c>
      <c r="AK352" s="50" t="str">
        <f>IFERROR(IF((Data_Entry!O341-Data_Entry!Q341)/Data_Entry!O341&lt;=10%,"&lt;=10%","&gt;10%"),"&lt;=10%")</f>
        <v>&gt;10%</v>
      </c>
    </row>
    <row r="353" spans="1:37" s="48" customFormat="1" ht="13" hidden="1" x14ac:dyDescent="0.3">
      <c r="A353" s="31" t="s">
        <v>16</v>
      </c>
      <c r="B353" s="48" t="str">
        <f>Data_Entry!B342</f>
        <v>Goma</v>
      </c>
      <c r="C353" s="48" t="str">
        <f>Data_Entry!C342</f>
        <v xml:space="preserve"> Kirotshe</v>
      </c>
      <c r="D353" s="48" t="str">
        <f>Data_Entry!D342</f>
        <v xml:space="preserve"> Kasura</v>
      </c>
      <c r="E353" s="49">
        <f>IFERROR(IF(Data_Entry!J342/Data_Entry!$I342&lt;0,0,Data_Entry!J342/Data_Entry!$I342),0)</f>
        <v>1.0066501995059853</v>
      </c>
      <c r="F353" s="49">
        <f>IFERROR(IF(Data_Entry!K342/Data_Entry!$H342&lt;0,0,Data_Entry!K342/Data_Entry!$H342),0)</f>
        <v>0.85061577635294683</v>
      </c>
      <c r="G353" s="49">
        <f>IFERROR(IF(Data_Entry!L342/Data_Entry!$H342&lt;0,0,Data_Entry!L342/Data_Entry!$H342),0)</f>
        <v>0.93946657941285516</v>
      </c>
      <c r="H353" s="49">
        <f>IFERROR(IF(Data_Entry!M342/Data_Entry!$H342&lt;0,0,Data_Entry!M342/Data_Entry!$H342),0)</f>
        <v>0.86106881200705365</v>
      </c>
      <c r="I353" s="49">
        <f>IFERROR(IF(Data_Entry!N342/Data_Entry!$H342&lt;0,0,Data_Entry!N342/Data_Entry!$H342),0)</f>
        <v>0.86368207092058036</v>
      </c>
      <c r="J353" s="49">
        <f>IFERROR(IF(Data_Entry!O342/Data_Entry!$H342&lt;0,0,Data_Entry!O342/Data_Entry!$H342),0)</f>
        <v>1.102795261508275</v>
      </c>
      <c r="K353" s="49">
        <f>IFERROR(IF(Data_Entry!P342/Data_Entry!$H342&lt;0,0,Data_Entry!P342/Data_Entry!$H342),0)</f>
        <v>1.0034914227942597</v>
      </c>
      <c r="L353" s="49">
        <f>IFERROR(IF(Data_Entry!Q342/Data_Entry!$H342&lt;0,0,Data_Entry!Q342/Data_Entry!$H342),0)</f>
        <v>1.0061046817077866</v>
      </c>
      <c r="M353" s="49">
        <f>IFERROR(IF(Data_Entry!R342/Data_Entry!$H342&lt;0,0,Data_Entry!R342/Data_Entry!$H342),0)</f>
        <v>1.102795261508275</v>
      </c>
      <c r="N353" s="49">
        <f>IFERROR(IF(Data_Entry!S342/Data_Entry!$H342&lt;0,0,Data_Entry!S342/Data_Entry!$H342),0)</f>
        <v>1.0047980522510231</v>
      </c>
      <c r="O353" s="49">
        <f>IFERROR(IF(Data_Entry!T342/Data_Entry!$H342&lt;0,0,Data_Entry!T342/Data_Entry!$H342),0)</f>
        <v>1.0061046817077866</v>
      </c>
      <c r="P353" s="49">
        <f>IFERROR(IF(Data_Entry!U342/Data_Entry!$H342&lt;0,0,Data_Entry!U342/Data_Entry!$H342),0)</f>
        <v>1.1014886320515118</v>
      </c>
      <c r="Q353" s="49">
        <f>IFERROR(IF(Data_Entry!V342/Data_Entry!$H342&lt;0,0,Data_Entry!V342/Data_Entry!$H342),0)</f>
        <v>1.0061046817077866</v>
      </c>
      <c r="R353" s="49">
        <f>IFERROR(IF(Data_Entry!W342/Data_Entry!$H342&lt;0,0,Data_Entry!W342/Data_Entry!$H342),0)</f>
        <v>1.0061046817077866</v>
      </c>
      <c r="S353" s="49">
        <f>IFERROR(IF(Data_Entry!X342/Data_Entry!$H342&lt;0,0,Data_Entry!X342/Data_Entry!$H342),0)</f>
        <v>1.0635963778053743</v>
      </c>
      <c r="T353" s="49">
        <f>IFERROR(IF(Data_Entry!Y342/Data_Entry!$H342&lt;0,0,Data_Entry!Y342/Data_Entry!$H342),0)</f>
        <v>0.94338646778314528</v>
      </c>
      <c r="U353" s="49">
        <f>IFERROR(IF(Data_Entry!Z342/Data_Entry!$H342&lt;0,0,Data_Entry!Z342/Data_Entry!$H342),0)</f>
        <v>1.0649030072621377</v>
      </c>
      <c r="V353" s="49">
        <f>IFERROR(IF(Data_Entry!AA342/Data_Entry!$H342&lt;0,0,Data_Entry!AA342/Data_Entry!$H342),0)</f>
        <v>0.99042512822662621</v>
      </c>
      <c r="W353" s="49">
        <f>IFERROR(IF(Data_Entry!AB342/Data_Entry!$H342&lt;0,0,Data_Entry!AB342/Data_Entry!$H342),0)</f>
        <v>1.0191709762754202</v>
      </c>
      <c r="X353" s="49">
        <f>IFERROR(IF(Data_Entry!AC342/Data_Entry!$I342&lt;0,0,Data_Entry!AC342/Data_Entry!$I342),0)</f>
        <v>0.28614858445753377</v>
      </c>
      <c r="Y353" s="49">
        <f>IFERROR(IF(Data_Entry!AD342/Data_Entry!$I342&lt;0,0,Data_Entry!AD342/Data_Entry!$I342),0)</f>
        <v>0.2656279688390652</v>
      </c>
      <c r="Z353" s="49">
        <f>IFERROR(IF(Data_Entry!AE342/Data_Entry!$I342&lt;0,0,Data_Entry!AE342/Data_Entry!$I342),0)</f>
        <v>0.20178605358160748</v>
      </c>
      <c r="AA353" s="49">
        <f>IFERROR(IF(Data_Entry!AF342/Data_Entry!$I342&lt;0,0,Data_Entry!AF342/Data_Entry!$I342),0)</f>
        <v>0.18240547216416494</v>
      </c>
      <c r="AB353" s="49">
        <f>IFERROR(IF(Data_Entry!AG342/Data_Entry!$I342&lt;0,0,Data_Entry!AG342/Data_Entry!$I342),0)</f>
        <v>0.19152574577237319</v>
      </c>
      <c r="AC353" s="49">
        <f>IFERROR(IF(Data_Entry!AI342/Data_Entry!$I342&lt;0,0,Data_Entry!AI342/Data_Entry!$I342),0)</f>
        <v>3.7963138894166831E-2</v>
      </c>
      <c r="AD353" s="49">
        <f>IFERROR(IF(Data_Entry!AM342/Data_Entry!$H342&lt;0,0,Data_Entry!AM342/Data_Entry!$H342),0)</f>
        <v>1.0635963778053743</v>
      </c>
      <c r="AE353" s="50">
        <f>Data_Entry!AK342</f>
        <v>0</v>
      </c>
      <c r="AF353" s="50">
        <f>Data_Entry!AL342</f>
        <v>30</v>
      </c>
      <c r="AG353" s="153">
        <f>(Data_Entry!O342-Data_Entry!Q342)/Data_Entry!O342</f>
        <v>8.7677725118483416E-2</v>
      </c>
      <c r="AH353" s="79" t="str">
        <f t="shared" si="10"/>
        <v>CAT1</v>
      </c>
      <c r="AI353" s="51">
        <f>SUBTOTAL(3,Tableau1[[#This Row],[ZS]])</f>
        <v>0</v>
      </c>
      <c r="AJ353" s="51" t="e">
        <f t="shared" ca="1" si="11"/>
        <v>#NAME?</v>
      </c>
      <c r="AK353" s="50" t="str">
        <f>IFERROR(IF((Data_Entry!O342-Data_Entry!Q342)/Data_Entry!O342&lt;=10%,"&lt;=10%","&gt;10%"),"&lt;=10%")</f>
        <v>&lt;=10%</v>
      </c>
    </row>
    <row r="354" spans="1:37" s="48" customFormat="1" ht="13" hidden="1" x14ac:dyDescent="0.3">
      <c r="A354" s="31" t="s">
        <v>16</v>
      </c>
      <c r="B354" s="48" t="str">
        <f>Data_Entry!B343</f>
        <v>Goma</v>
      </c>
      <c r="C354" s="48" t="str">
        <f>Data_Entry!C343</f>
        <v xml:space="preserve"> Kirotshe</v>
      </c>
      <c r="D354" s="48" t="str">
        <f>Data_Entry!D343</f>
        <v xml:space="preserve"> Katovu</v>
      </c>
      <c r="E354" s="49">
        <f>IFERROR(IF(Data_Entry!J343/Data_Entry!$I343&lt;0,0,Data_Entry!J343/Data_Entry!$I343),0)</f>
        <v>0.88581573537656511</v>
      </c>
      <c r="F354" s="49">
        <f>IFERROR(IF(Data_Entry!K343/Data_Entry!$H343&lt;0,0,Data_Entry!K343/Data_Entry!$H343),0)</f>
        <v>0.71967910022977266</v>
      </c>
      <c r="G354" s="49">
        <f>IFERROR(IF(Data_Entry!L343/Data_Entry!$H343&lt;0,0,Data_Entry!L343/Data_Entry!$H343),0)</f>
        <v>0.97349449718580849</v>
      </c>
      <c r="H354" s="49">
        <f>IFERROR(IF(Data_Entry!M343/Data_Entry!$H343&lt;0,0,Data_Entry!M343/Data_Entry!$H343),0)</f>
        <v>0.87710890340503533</v>
      </c>
      <c r="I354" s="49">
        <f>IFERROR(IF(Data_Entry!N343/Data_Entry!$H343&lt;0,0,Data_Entry!N343/Data_Entry!$H343),0)</f>
        <v>0.91887599404337039</v>
      </c>
      <c r="J354" s="49">
        <f>IFERROR(IF(Data_Entry!O343/Data_Entry!$H343&lt;0,0,Data_Entry!O343/Data_Entry!$H343),0)</f>
        <v>0.97028164405978279</v>
      </c>
      <c r="K354" s="49">
        <f>IFERROR(IF(Data_Entry!P343/Data_Entry!$H343&lt;0,0,Data_Entry!P343/Data_Entry!$H343),0)</f>
        <v>0.77108475024618495</v>
      </c>
      <c r="L354" s="49">
        <f>IFERROR(IF(Data_Entry!Q343/Data_Entry!$H343&lt;0,0,Data_Entry!Q343/Data_Entry!$H343),0)</f>
        <v>0.81606469401054571</v>
      </c>
      <c r="M354" s="49">
        <f>IFERROR(IF(Data_Entry!R343/Data_Entry!$H343&lt;0,0,Data_Entry!R343/Data_Entry!$H343),0)</f>
        <v>0.97670735031183431</v>
      </c>
      <c r="N354" s="49">
        <f>IFERROR(IF(Data_Entry!S343/Data_Entry!$H343&lt;0,0,Data_Entry!S343/Data_Entry!$H343),0)</f>
        <v>0.87389605027900963</v>
      </c>
      <c r="O354" s="49">
        <f>IFERROR(IF(Data_Entry!T343/Data_Entry!$H343&lt;0,0,Data_Entry!T343/Data_Entry!$H343),0)</f>
        <v>0.91887599404337039</v>
      </c>
      <c r="P354" s="49">
        <f>IFERROR(IF(Data_Entry!U343/Data_Entry!$H343&lt;0,0,Data_Entry!U343/Data_Entry!$H343),0)</f>
        <v>0.97670735031183431</v>
      </c>
      <c r="Q354" s="49">
        <f>IFERROR(IF(Data_Entry!V343/Data_Entry!$H343&lt;0,0,Data_Entry!V343/Data_Entry!$H343),0)</f>
        <v>0.87389605027900963</v>
      </c>
      <c r="R354" s="49">
        <f>IFERROR(IF(Data_Entry!W343/Data_Entry!$H343&lt;0,0,Data_Entry!W343/Data_Entry!$H343),0)</f>
        <v>0.91887599404337039</v>
      </c>
      <c r="S354" s="49">
        <f>IFERROR(IF(Data_Entry!X343/Data_Entry!$H343&lt;0,0,Data_Entry!X343/Data_Entry!$H343),0)</f>
        <v>1.0570286784624785</v>
      </c>
      <c r="T354" s="49">
        <f>IFERROR(IF(Data_Entry!Y343/Data_Entry!$H343&lt;0,0,Data_Entry!Y343/Data_Entry!$H343),0)</f>
        <v>0.18313262818346893</v>
      </c>
      <c r="U354" s="49">
        <f>IFERROR(IF(Data_Entry!Z343/Data_Entry!$H343&lt;0,0,Data_Entry!Z343/Data_Entry!$H343),0)</f>
        <v>1.0570286784624785</v>
      </c>
      <c r="V354" s="49">
        <f>IFERROR(IF(Data_Entry!AA343/Data_Entry!$H343&lt;0,0,Data_Entry!AA343/Data_Entry!$H343),0)</f>
        <v>0.91887599404337039</v>
      </c>
      <c r="W354" s="49">
        <f>IFERROR(IF(Data_Entry!AB343/Data_Entry!$H343&lt;0,0,Data_Entry!AB343/Data_Entry!$H343),0)</f>
        <v>1.0570286784624785</v>
      </c>
      <c r="X354" s="49">
        <f>IFERROR(IF(Data_Entry!AC343/Data_Entry!$I343&lt;0,0,Data_Entry!AC343/Data_Entry!$I343),0)</f>
        <v>0.17099607549990656</v>
      </c>
      <c r="Y354" s="49">
        <f>IFERROR(IF(Data_Entry!AD343/Data_Entry!$I343&lt;0,0,Data_Entry!AD343/Data_Entry!$I343),0)</f>
        <v>0.11212857409829938</v>
      </c>
      <c r="Z354" s="49">
        <f>IFERROR(IF(Data_Entry!AE343/Data_Entry!$I343&lt;0,0,Data_Entry!AE343/Data_Entry!$I343),0)</f>
        <v>8.9702859278639496E-2</v>
      </c>
      <c r="AA354" s="49">
        <f>IFERROR(IF(Data_Entry!AF343/Data_Entry!$I343&lt;0,0,Data_Entry!AF343/Data_Entry!$I343),0)</f>
        <v>9.8112502336011959E-2</v>
      </c>
      <c r="AB354" s="49">
        <f>IFERROR(IF(Data_Entry!AG343/Data_Entry!$I343&lt;0,0,Data_Entry!AG343/Data_Entry!$I343),0)</f>
        <v>8.1293216221267048E-2</v>
      </c>
      <c r="AC354" s="49">
        <f>IFERROR(IF(Data_Entry!AI343/Data_Entry!$I343&lt;0,0,Data_Entry!AI343/Data_Entry!$I343),0)</f>
        <v>0.16342739674827134</v>
      </c>
      <c r="AD354" s="49">
        <f>IFERROR(IF(Data_Entry!AM343/Data_Entry!$H343&lt;0,0,Data_Entry!AM343/Data_Entry!$H343),0)</f>
        <v>1.0570286784624785</v>
      </c>
      <c r="AE354" s="50">
        <f>Data_Entry!AK343</f>
        <v>9.2498333333332994</v>
      </c>
      <c r="AF354" s="50">
        <f>Data_Entry!AL343</f>
        <v>0</v>
      </c>
      <c r="AG354" s="153">
        <f>(Data_Entry!O343-Data_Entry!Q343)/Data_Entry!O343</f>
        <v>0.15894039735099338</v>
      </c>
      <c r="AH354" s="79" t="str">
        <f t="shared" si="10"/>
        <v>CAT2</v>
      </c>
      <c r="AI354" s="51">
        <f>SUBTOTAL(3,Tableau1[[#This Row],[ZS]])</f>
        <v>0</v>
      </c>
      <c r="AJ354" s="51" t="e">
        <f t="shared" ca="1" si="11"/>
        <v>#NAME?</v>
      </c>
      <c r="AK354" s="50" t="str">
        <f>IFERROR(IF((Data_Entry!O343-Data_Entry!Q343)/Data_Entry!O343&lt;=10%,"&lt;=10%","&gt;10%"),"&lt;=10%")</f>
        <v>&gt;10%</v>
      </c>
    </row>
    <row r="355" spans="1:37" s="48" customFormat="1" ht="13" hidden="1" x14ac:dyDescent="0.3">
      <c r="A355" s="31" t="s">
        <v>16</v>
      </c>
      <c r="B355" s="48" t="str">
        <f>Data_Entry!B344</f>
        <v>Goma</v>
      </c>
      <c r="C355" s="48" t="str">
        <f>Data_Entry!C344</f>
        <v xml:space="preserve"> Kirotshe</v>
      </c>
      <c r="D355" s="48" t="str">
        <f>Data_Entry!D344</f>
        <v xml:space="preserve"> Kausa</v>
      </c>
      <c r="E355" s="49">
        <f>IFERROR(IF(Data_Entry!J344/Data_Entry!$I344&lt;0,0,Data_Entry!J344/Data_Entry!$I344),0)</f>
        <v>0.22810618039901759</v>
      </c>
      <c r="F355" s="49">
        <f>IFERROR(IF(Data_Entry!K344/Data_Entry!$H344&lt;0,0,Data_Entry!K344/Data_Entry!$H344),0)</f>
        <v>1.8509008729793251E-2</v>
      </c>
      <c r="G355" s="49">
        <f>IFERROR(IF(Data_Entry!L344/Data_Entry!$H344&lt;0,0,Data_Entry!L344/Data_Entry!$H344),0)</f>
        <v>0.26375337439955382</v>
      </c>
      <c r="H355" s="49">
        <f>IFERROR(IF(Data_Entry!M344/Data_Entry!$H344&lt;0,0,Data_Entry!M344/Data_Entry!$H344),0)</f>
        <v>0.1469152567927339</v>
      </c>
      <c r="I355" s="49">
        <f>IFERROR(IF(Data_Entry!N344/Data_Entry!$H344&lt;0,0,Data_Entry!N344/Data_Entry!$H344),0)</f>
        <v>0.11221086542437157</v>
      </c>
      <c r="J355" s="49">
        <f>IFERROR(IF(Data_Entry!O344/Data_Entry!$H344&lt;0,0,Data_Entry!O344/Data_Entry!$H344),0)</f>
        <v>0.37596423982392535</v>
      </c>
      <c r="K355" s="49">
        <f>IFERROR(IF(Data_Entry!P344/Data_Entry!$H344&lt;0,0,Data_Entry!P344/Data_Entry!$H344),0)</f>
        <v>0.27532150485567458</v>
      </c>
      <c r="L355" s="49">
        <f>IFERROR(IF(Data_Entry!Q344/Data_Entry!$H344&lt;0,0,Data_Entry!Q344/Data_Entry!$H344),0)</f>
        <v>0.17583558293303586</v>
      </c>
      <c r="M355" s="49">
        <f>IFERROR(IF(Data_Entry!R344/Data_Entry!$H344&lt;0,0,Data_Entry!R344/Data_Entry!$H344),0)</f>
        <v>0.31002589622403692</v>
      </c>
      <c r="N355" s="49">
        <f>IFERROR(IF(Data_Entry!S344/Data_Entry!$H344&lt;0,0,Data_Entry!S344/Data_Entry!$H344),0)</f>
        <v>0.17467876988742378</v>
      </c>
      <c r="O355" s="49">
        <f>IFERROR(IF(Data_Entry!T344/Data_Entry!$H344&lt;0,0,Data_Entry!T344/Data_Entry!$H344),0)</f>
        <v>0.15385613506640639</v>
      </c>
      <c r="P355" s="49">
        <f>IFERROR(IF(Data_Entry!U344/Data_Entry!$H344&lt;0,0,Data_Entry!U344/Data_Entry!$H344),0)</f>
        <v>0.37596423982392535</v>
      </c>
      <c r="Q355" s="49">
        <f>IFERROR(IF(Data_Entry!V344/Data_Entry!$H344&lt;0,0,Data_Entry!V344/Data_Entry!$H344),0)</f>
        <v>0.27416469181006248</v>
      </c>
      <c r="R355" s="49">
        <f>IFERROR(IF(Data_Entry!W344/Data_Entry!$H344&lt;0,0,Data_Entry!W344/Data_Entry!$H344),0)</f>
        <v>0.17583558293303586</v>
      </c>
      <c r="S355" s="49">
        <f>IFERROR(IF(Data_Entry!X344/Data_Entry!$H344&lt;0,0,Data_Entry!X344/Data_Entry!$H344),0)</f>
        <v>0.19897184384527741</v>
      </c>
      <c r="T355" s="49">
        <f>IFERROR(IF(Data_Entry!Y344/Data_Entry!$H344&lt;0,0,Data_Entry!Y344/Data_Entry!$H344),0)</f>
        <v>9.4858669740190402E-2</v>
      </c>
      <c r="U355" s="49">
        <f>IFERROR(IF(Data_Entry!Z344/Data_Entry!$H344&lt;0,0,Data_Entry!Z344/Data_Entry!$H344),0)</f>
        <v>0.17467876988742378</v>
      </c>
      <c r="V355" s="49">
        <f>IFERROR(IF(Data_Entry!AA344/Data_Entry!$H344&lt;0,0,Data_Entry!AA344/Data_Entry!$H344),0)</f>
        <v>0.1156813045612078</v>
      </c>
      <c r="W355" s="49">
        <f>IFERROR(IF(Data_Entry!AB344/Data_Entry!$H344&lt;0,0,Data_Entry!AB344/Data_Entry!$H344),0)</f>
        <v>1.0411317410508703E-2</v>
      </c>
      <c r="X355" s="49">
        <f>IFERROR(IF(Data_Entry!AC344/Data_Entry!$I344&lt;0,0,Data_Entry!AC344/Data_Entry!$I344),0)</f>
        <v>2.4223665175116912E-2</v>
      </c>
      <c r="Y355" s="49">
        <f>IFERROR(IF(Data_Entry!AD344/Data_Entry!$I344&lt;0,0,Data_Entry!AD344/Data_Entry!$I344),0)</f>
        <v>1.4130471352151532E-2</v>
      </c>
      <c r="Z355" s="49">
        <f>IFERROR(IF(Data_Entry!AE344/Data_Entry!$I344&lt;0,0,Data_Entry!AE344/Data_Entry!$I344),0)</f>
        <v>0</v>
      </c>
      <c r="AA355" s="49">
        <f>IFERROR(IF(Data_Entry!AF344/Data_Entry!$I344&lt;0,0,Data_Entry!AF344/Data_Entry!$I344),0)</f>
        <v>0</v>
      </c>
      <c r="AB355" s="49">
        <f>IFERROR(IF(Data_Entry!AG344/Data_Entry!$I344&lt;0,0,Data_Entry!AG344/Data_Entry!$I344),0)</f>
        <v>0</v>
      </c>
      <c r="AC355" s="49">
        <f>IFERROR(IF(Data_Entry!AI344/Data_Entry!$I344&lt;0,0,Data_Entry!AI344/Data_Entry!$I344),0)</f>
        <v>5.8843319987888165E-2</v>
      </c>
      <c r="AD355" s="49">
        <f>IFERROR(IF(Data_Entry!AM344/Data_Entry!$H344&lt;0,0,Data_Entry!AM344/Data_Entry!$H344),0)</f>
        <v>0.17467876988742378</v>
      </c>
      <c r="AE355" s="50">
        <f>Data_Entry!AK344</f>
        <v>539.44391666666661</v>
      </c>
      <c r="AF355" s="50">
        <f>Data_Entry!AL344</f>
        <v>153</v>
      </c>
      <c r="AG355" s="153">
        <f>(Data_Entry!O344-Data_Entry!Q344)/Data_Entry!O344</f>
        <v>0.53230769230769226</v>
      </c>
      <c r="AH355" s="79" t="str">
        <f t="shared" si="10"/>
        <v>CAT4</v>
      </c>
      <c r="AI355" s="51">
        <f>SUBTOTAL(3,Tableau1[[#This Row],[ZS]])</f>
        <v>0</v>
      </c>
      <c r="AJ355" s="51" t="e">
        <f t="shared" ca="1" si="11"/>
        <v>#NAME?</v>
      </c>
      <c r="AK355" s="50" t="str">
        <f>IFERROR(IF((Data_Entry!O344-Data_Entry!Q344)/Data_Entry!O344&lt;=10%,"&lt;=10%","&gt;10%"),"&lt;=10%")</f>
        <v>&gt;10%</v>
      </c>
    </row>
    <row r="356" spans="1:37" s="48" customFormat="1" ht="13" hidden="1" x14ac:dyDescent="0.3">
      <c r="A356" s="31" t="s">
        <v>16</v>
      </c>
      <c r="B356" s="48" t="str">
        <f>Data_Entry!B345</f>
        <v>Goma</v>
      </c>
      <c r="C356" s="48" t="str">
        <f>Data_Entry!C345</f>
        <v xml:space="preserve"> Kirotshe</v>
      </c>
      <c r="D356" s="48" t="str">
        <f>Data_Entry!D345</f>
        <v xml:space="preserve"> Kihindo</v>
      </c>
      <c r="E356" s="49">
        <f>IFERROR(IF(Data_Entry!J345/Data_Entry!$I345&lt;0,0,Data_Entry!J345/Data_Entry!$I345),0)</f>
        <v>0.12612402195492234</v>
      </c>
      <c r="F356" s="49">
        <f>IFERROR(IF(Data_Entry!K345/Data_Entry!$H345&lt;0,0,Data_Entry!K345/Data_Entry!$H345),0)</f>
        <v>0.22486294904411494</v>
      </c>
      <c r="G356" s="49">
        <f>IFERROR(IF(Data_Entry!L345/Data_Entry!$H345&lt;0,0,Data_Entry!L345/Data_Entry!$H345),0)</f>
        <v>0.32123278434873564</v>
      </c>
      <c r="H356" s="49">
        <f>IFERROR(IF(Data_Entry!M345/Data_Entry!$H345&lt;0,0,Data_Entry!M345/Data_Entry!$H345),0)</f>
        <v>0.28910950591386209</v>
      </c>
      <c r="I356" s="49">
        <f>IFERROR(IF(Data_Entry!N345/Data_Entry!$H345&lt;0,0,Data_Entry!N345/Data_Entry!$H345),0)</f>
        <v>0.30517114513129884</v>
      </c>
      <c r="J356" s="49">
        <f>IFERROR(IF(Data_Entry!O345/Data_Entry!$H345&lt;0,0,Data_Entry!O345/Data_Entry!$H345),0)</f>
        <v>0.32123278434873564</v>
      </c>
      <c r="K356" s="49">
        <f>IFERROR(IF(Data_Entry!P345/Data_Entry!$H345&lt;0,0,Data_Entry!P345/Data_Entry!$H345),0)</f>
        <v>0.28910950591386209</v>
      </c>
      <c r="L356" s="49">
        <f>IFERROR(IF(Data_Entry!Q345/Data_Entry!$H345&lt;0,0,Data_Entry!Q345/Data_Entry!$H345),0)</f>
        <v>0.30517114513129884</v>
      </c>
      <c r="M356" s="49">
        <f>IFERROR(IF(Data_Entry!R345/Data_Entry!$H345&lt;0,0,Data_Entry!R345/Data_Entry!$H345),0)</f>
        <v>0.32123278434873564</v>
      </c>
      <c r="N356" s="49">
        <f>IFERROR(IF(Data_Entry!S345/Data_Entry!$H345&lt;0,0,Data_Entry!S345/Data_Entry!$H345),0)</f>
        <v>0.28910950591386209</v>
      </c>
      <c r="O356" s="49">
        <f>IFERROR(IF(Data_Entry!T345/Data_Entry!$H345&lt;0,0,Data_Entry!T345/Data_Entry!$H345),0)</f>
        <v>0.30517114513129884</v>
      </c>
      <c r="P356" s="49">
        <f>IFERROR(IF(Data_Entry!U345/Data_Entry!$H345&lt;0,0,Data_Entry!U345/Data_Entry!$H345),0)</f>
        <v>0.32123278434873564</v>
      </c>
      <c r="Q356" s="49">
        <f>IFERROR(IF(Data_Entry!V345/Data_Entry!$H345&lt;0,0,Data_Entry!V345/Data_Entry!$H345),0)</f>
        <v>0.28910950591386209</v>
      </c>
      <c r="R356" s="49">
        <f>IFERROR(IF(Data_Entry!W345/Data_Entry!$H345&lt;0,0,Data_Entry!W345/Data_Entry!$H345),0)</f>
        <v>0.29312491571822125</v>
      </c>
      <c r="S356" s="49">
        <f>IFERROR(IF(Data_Entry!X345/Data_Entry!$H345&lt;0,0,Data_Entry!X345/Data_Entry!$H345),0)</f>
        <v>0.20478590002231897</v>
      </c>
      <c r="T356" s="49">
        <f>IFERROR(IF(Data_Entry!Y345/Data_Entry!$H345&lt;0,0,Data_Entry!Y345/Data_Entry!$H345),0)</f>
        <v>7.2277376478465521E-2</v>
      </c>
      <c r="U356" s="49">
        <f>IFERROR(IF(Data_Entry!Z345/Data_Entry!$H345&lt;0,0,Data_Entry!Z345/Data_Entry!$H345),0)</f>
        <v>0.20478590002231897</v>
      </c>
      <c r="V356" s="49">
        <f>IFERROR(IF(Data_Entry!AA345/Data_Entry!$H345&lt;0,0,Data_Entry!AA345/Data_Entry!$H345),0)</f>
        <v>0.30517114513129884</v>
      </c>
      <c r="W356" s="49">
        <f>IFERROR(IF(Data_Entry!AB345/Data_Entry!$H345&lt;0,0,Data_Entry!AB345/Data_Entry!$H345),0)</f>
        <v>0.22887835884847413</v>
      </c>
      <c r="X356" s="49">
        <f>IFERROR(IF(Data_Entry!AC345/Data_Entry!$I345&lt;0,0,Data_Entry!AC345/Data_Entry!$I345),0)</f>
        <v>2.8027560434427185E-2</v>
      </c>
      <c r="Y356" s="49">
        <f>IFERROR(IF(Data_Entry!AD345/Data_Entry!$I345&lt;0,0,Data_Entry!AD345/Data_Entry!$I345),0)</f>
        <v>2.8027560434427185E-2</v>
      </c>
      <c r="Z356" s="49">
        <f>IFERROR(IF(Data_Entry!AE345/Data_Entry!$I345&lt;0,0,Data_Entry!AE345/Data_Entry!$I345),0)</f>
        <v>2.8027560434427185E-2</v>
      </c>
      <c r="AA356" s="49">
        <f>IFERROR(IF(Data_Entry!AF345/Data_Entry!$I345&lt;0,0,Data_Entry!AF345/Data_Entry!$I345),0)</f>
        <v>2.8027560434427185E-2</v>
      </c>
      <c r="AB356" s="49">
        <f>IFERROR(IF(Data_Entry!AG345/Data_Entry!$I345&lt;0,0,Data_Entry!AG345/Data_Entry!$I345),0)</f>
        <v>1.0510335162910195E-2</v>
      </c>
      <c r="AC356" s="49">
        <f>IFERROR(IF(Data_Entry!AI345/Data_Entry!$I345&lt;0,0,Data_Entry!AI345/Data_Entry!$I345),0)</f>
        <v>0.11666472030830315</v>
      </c>
      <c r="AD356" s="49">
        <f>IFERROR(IF(Data_Entry!AM345/Data_Entry!$H345&lt;0,0,Data_Entry!AM345/Data_Entry!$H345),0)</f>
        <v>0.20478590002231897</v>
      </c>
      <c r="AE356" s="50">
        <f>Data_Entry!AK345</f>
        <v>169.04058333333336</v>
      </c>
      <c r="AF356" s="50">
        <f>Data_Entry!AL345</f>
        <v>29</v>
      </c>
      <c r="AG356" s="153">
        <f>(Data_Entry!O345-Data_Entry!Q345)/Data_Entry!O345</f>
        <v>0.05</v>
      </c>
      <c r="AH356" s="79" t="str">
        <f t="shared" si="10"/>
        <v>CAT3</v>
      </c>
      <c r="AI356" s="51">
        <f>SUBTOTAL(3,Tableau1[[#This Row],[ZS]])</f>
        <v>0</v>
      </c>
      <c r="AJ356" s="51" t="e">
        <f t="shared" ca="1" si="11"/>
        <v>#NAME?</v>
      </c>
      <c r="AK356" s="50" t="str">
        <f>IFERROR(IF((Data_Entry!O345-Data_Entry!Q345)/Data_Entry!O345&lt;=10%,"&lt;=10%","&gt;10%"),"&lt;=10%")</f>
        <v>&lt;=10%</v>
      </c>
    </row>
    <row r="357" spans="1:37" s="48" customFormat="1" ht="13" hidden="1" x14ac:dyDescent="0.3">
      <c r="A357" s="31" t="s">
        <v>16</v>
      </c>
      <c r="B357" s="48" t="str">
        <f>Data_Entry!B346</f>
        <v>Goma</v>
      </c>
      <c r="C357" s="48" t="str">
        <f>Data_Entry!C346</f>
        <v xml:space="preserve"> Kirotshe</v>
      </c>
      <c r="D357" s="48" t="str">
        <f>Data_Entry!D346</f>
        <v xml:space="preserve"> Kimoka</v>
      </c>
      <c r="E357" s="49">
        <f>IFERROR(IF(Data_Entry!J346/Data_Entry!$I346&lt;0,0,Data_Entry!J346/Data_Entry!$I346),0)</f>
        <v>8.8669950738916245E-2</v>
      </c>
      <c r="F357" s="49">
        <f>IFERROR(IF(Data_Entry!K346/Data_Entry!$H346&lt;0,0,Data_Entry!K346/Data_Entry!$H346),0)</f>
        <v>5.0077294549614265E-2</v>
      </c>
      <c r="G357" s="49">
        <f>IFERROR(IF(Data_Entry!L346/Data_Entry!$H346&lt;0,0,Data_Entry!L346/Data_Entry!$H346),0)</f>
        <v>0.10162745070362894</v>
      </c>
      <c r="H357" s="49">
        <f>IFERROR(IF(Data_Entry!M346/Data_Entry!$H346&lt;0,0,Data_Entry!M346/Data_Entry!$H346),0)</f>
        <v>9.4263142681626846E-2</v>
      </c>
      <c r="I357" s="49">
        <f>IFERROR(IF(Data_Entry!N346/Data_Entry!$H346&lt;0,0,Data_Entry!N346/Data_Entry!$H346),0)</f>
        <v>0.11046462033003146</v>
      </c>
      <c r="J357" s="49">
        <f>IFERROR(IF(Data_Entry!O346/Data_Entry!$H346&lt;0,0,Data_Entry!O346/Data_Entry!$H346),0)</f>
        <v>0.10162745070362894</v>
      </c>
      <c r="K357" s="49">
        <f>IFERROR(IF(Data_Entry!P346/Data_Entry!$H346&lt;0,0,Data_Entry!P346/Data_Entry!$H346),0)</f>
        <v>9.4263142681626846E-2</v>
      </c>
      <c r="L357" s="49">
        <f>IFERROR(IF(Data_Entry!Q346/Data_Entry!$H346&lt;0,0,Data_Entry!Q346/Data_Entry!$H346),0)</f>
        <v>9.5736004286027271E-2</v>
      </c>
      <c r="M357" s="49">
        <f>IFERROR(IF(Data_Entry!R346/Data_Entry!$H346&lt;0,0,Data_Entry!R346/Data_Entry!$H346),0)</f>
        <v>0.10162745070362894</v>
      </c>
      <c r="N357" s="49">
        <f>IFERROR(IF(Data_Entry!S346/Data_Entry!$H346&lt;0,0,Data_Entry!S346/Data_Entry!$H346),0)</f>
        <v>9.4263142681626846E-2</v>
      </c>
      <c r="O357" s="49">
        <f>IFERROR(IF(Data_Entry!T346/Data_Entry!$H346&lt;0,0,Data_Entry!T346/Data_Entry!$H346),0)</f>
        <v>9.5736004286027271E-2</v>
      </c>
      <c r="P357" s="49">
        <f>IFERROR(IF(Data_Entry!U346/Data_Entry!$H346&lt;0,0,Data_Entry!U346/Data_Entry!$H346),0)</f>
        <v>0.10162745070362894</v>
      </c>
      <c r="Q357" s="49">
        <f>IFERROR(IF(Data_Entry!V346/Data_Entry!$H346&lt;0,0,Data_Entry!V346/Data_Entry!$H346),0)</f>
        <v>9.4263142681626846E-2</v>
      </c>
      <c r="R357" s="49">
        <f>IFERROR(IF(Data_Entry!W346/Data_Entry!$H346&lt;0,0,Data_Entry!W346/Data_Entry!$H346),0)</f>
        <v>9.5736004286027271E-2</v>
      </c>
      <c r="S357" s="49">
        <f>IFERROR(IF(Data_Entry!X346/Data_Entry!$H346&lt;0,0,Data_Entry!X346/Data_Entry!$H346),0)</f>
        <v>8.8371696264025162E-2</v>
      </c>
      <c r="T357" s="49">
        <f>IFERROR(IF(Data_Entry!Y346/Data_Entry!$H346&lt;0,0,Data_Entry!Y346/Data_Entry!$H346),0)</f>
        <v>8.1007388242023068E-2</v>
      </c>
      <c r="U357" s="49">
        <f>IFERROR(IF(Data_Entry!Z346/Data_Entry!$H346&lt;0,0,Data_Entry!Z346/Data_Entry!$H346),0)</f>
        <v>8.9844557868425587E-2</v>
      </c>
      <c r="V357" s="49">
        <f>IFERROR(IF(Data_Entry!AA346/Data_Entry!$H346&lt;0,0,Data_Entry!AA346/Data_Entry!$H346),0)</f>
        <v>0.11046462033003146</v>
      </c>
      <c r="W357" s="49">
        <f>IFERROR(IF(Data_Entry!AB346/Data_Entry!$H346&lt;0,0,Data_Entry!AB346/Data_Entry!$H346),0)</f>
        <v>0.10015458909922853</v>
      </c>
      <c r="X357" s="49">
        <f>IFERROR(IF(Data_Entry!AC346/Data_Entry!$I346&lt;0,0,Data_Entry!AC346/Data_Entry!$I346),0)</f>
        <v>3.4696937245662876E-2</v>
      </c>
      <c r="Y357" s="49">
        <f>IFERROR(IF(Data_Entry!AD346/Data_Entry!$I346&lt;0,0,Data_Entry!AD346/Data_Entry!$I346),0)</f>
        <v>6.1683443992289561E-2</v>
      </c>
      <c r="Z357" s="49">
        <f>IFERROR(IF(Data_Entry!AE346/Data_Entry!$I346&lt;0,0,Data_Entry!AE346/Data_Entry!$I346),0)</f>
        <v>2.4416363246947952E-2</v>
      </c>
      <c r="AA357" s="49">
        <f>IFERROR(IF(Data_Entry!AF346/Data_Entry!$I346&lt;0,0,Data_Entry!AF346/Data_Entry!$I346),0)</f>
        <v>8.9955022488755615E-3</v>
      </c>
      <c r="AB357" s="49">
        <f>IFERROR(IF(Data_Entry!AG346/Data_Entry!$I346&lt;0,0,Data_Entry!AG346/Data_Entry!$I346),0)</f>
        <v>5.140286999357464E-3</v>
      </c>
      <c r="AC357" s="49">
        <f>IFERROR(IF(Data_Entry!AI346/Data_Entry!$I346&lt;0,0,Data_Entry!AI346/Data_Entry!$I346),0)</f>
        <v>4.2792889269650879E-2</v>
      </c>
      <c r="AD357" s="49">
        <f>IFERROR(IF(Data_Entry!AM346/Data_Entry!$H346&lt;0,0,Data_Entry!AM346/Data_Entry!$H346),0)</f>
        <v>8.8371696264025162E-2</v>
      </c>
      <c r="AE357" s="50">
        <f>Data_Entry!AK346</f>
        <v>609.95041666666668</v>
      </c>
      <c r="AF357" s="50">
        <f>Data_Entry!AL346</f>
        <v>9</v>
      </c>
      <c r="AG357" s="153">
        <f>(Data_Entry!O346-Data_Entry!Q346)/Data_Entry!O346</f>
        <v>5.7971014492753624E-2</v>
      </c>
      <c r="AH357" s="79" t="str">
        <f t="shared" si="10"/>
        <v>CAT3</v>
      </c>
      <c r="AI357" s="51">
        <f>SUBTOTAL(3,Tableau1[[#This Row],[ZS]])</f>
        <v>0</v>
      </c>
      <c r="AJ357" s="51" t="e">
        <f t="shared" ca="1" si="11"/>
        <v>#NAME?</v>
      </c>
      <c r="AK357" s="50" t="str">
        <f>IFERROR(IF((Data_Entry!O346-Data_Entry!Q346)/Data_Entry!O346&lt;=10%,"&lt;=10%","&gt;10%"),"&lt;=10%")</f>
        <v>&lt;=10%</v>
      </c>
    </row>
    <row r="358" spans="1:37" s="48" customFormat="1" ht="13" hidden="1" x14ac:dyDescent="0.3">
      <c r="A358" s="31" t="s">
        <v>16</v>
      </c>
      <c r="B358" s="48" t="str">
        <f>Data_Entry!B347</f>
        <v>Goma</v>
      </c>
      <c r="C358" s="48" t="str">
        <f>Data_Entry!C347</f>
        <v xml:space="preserve"> Kirotshe</v>
      </c>
      <c r="D358" s="48" t="str">
        <f>Data_Entry!D347</f>
        <v xml:space="preserve"> Kionde</v>
      </c>
      <c r="E358" s="49">
        <f>IFERROR(IF(Data_Entry!J347/Data_Entry!$I347&lt;0,0,Data_Entry!J347/Data_Entry!$I347),0)</f>
        <v>9.8039215686274522E-2</v>
      </c>
      <c r="F358" s="49">
        <f>IFERROR(IF(Data_Entry!K347/Data_Entry!$H347&lt;0,0,Data_Entry!K347/Data_Entry!$H347),0)</f>
        <v>2.0698974809347653E-2</v>
      </c>
      <c r="G358" s="49">
        <f>IFERROR(IF(Data_Entry!L347/Data_Entry!$H347&lt;0,0,Data_Entry!L347/Data_Entry!$H347),0)</f>
        <v>0.29865663653487329</v>
      </c>
      <c r="H358" s="49">
        <f>IFERROR(IF(Data_Entry!M347/Data_Entry!$H347&lt;0,0,Data_Entry!M347/Data_Entry!$H347),0)</f>
        <v>0.25725868691617798</v>
      </c>
      <c r="I358" s="49">
        <f>IFERROR(IF(Data_Entry!N347/Data_Entry!$H347&lt;0,0,Data_Entry!N347/Data_Entry!$H347),0)</f>
        <v>0.23064571930415959</v>
      </c>
      <c r="J358" s="49">
        <f>IFERROR(IF(Data_Entry!O347/Data_Entry!$H347&lt;0,0,Data_Entry!O347/Data_Entry!$H347),0)</f>
        <v>0.29865663653487329</v>
      </c>
      <c r="K358" s="49">
        <f>IFERROR(IF(Data_Entry!P347/Data_Entry!$H347&lt;0,0,Data_Entry!P347/Data_Entry!$H347),0)</f>
        <v>0.25725868691617798</v>
      </c>
      <c r="L358" s="49">
        <f>IFERROR(IF(Data_Entry!Q347/Data_Entry!$H347&lt;0,0,Data_Entry!Q347/Data_Entry!$H347),0)</f>
        <v>0.23064571930415959</v>
      </c>
      <c r="M358" s="49">
        <f>IFERROR(IF(Data_Entry!R347/Data_Entry!$H347&lt;0,0,Data_Entry!R347/Data_Entry!$H347),0)</f>
        <v>0.29865663653487329</v>
      </c>
      <c r="N358" s="49">
        <f>IFERROR(IF(Data_Entry!S347/Data_Entry!$H347&lt;0,0,Data_Entry!S347/Data_Entry!$H347),0)</f>
        <v>0.26021568331751338</v>
      </c>
      <c r="O358" s="49">
        <f>IFERROR(IF(Data_Entry!T347/Data_Entry!$H347&lt;0,0,Data_Entry!T347/Data_Entry!$H347),0)</f>
        <v>0.23064571930415959</v>
      </c>
      <c r="P358" s="49">
        <f>IFERROR(IF(Data_Entry!U347/Data_Entry!$H347&lt;0,0,Data_Entry!U347/Data_Entry!$H347),0)</f>
        <v>0.29865663653487329</v>
      </c>
      <c r="Q358" s="49">
        <f>IFERROR(IF(Data_Entry!V347/Data_Entry!$H347&lt;0,0,Data_Entry!V347/Data_Entry!$H347),0)</f>
        <v>0.25725868691617798</v>
      </c>
      <c r="R358" s="49">
        <f>IFERROR(IF(Data_Entry!W347/Data_Entry!$H347&lt;0,0,Data_Entry!W347/Data_Entry!$H347),0)</f>
        <v>0.23064571930415959</v>
      </c>
      <c r="S358" s="49">
        <f>IFERROR(IF(Data_Entry!X347/Data_Entry!$H347&lt;0,0,Data_Entry!X347/Data_Entry!$H347),0)</f>
        <v>0.2424737049095011</v>
      </c>
      <c r="T358" s="49">
        <f>IFERROR(IF(Data_Entry!Y347/Data_Entry!$H347&lt;0,0,Data_Entry!Y347/Data_Entry!$H347),0)</f>
        <v>8.8709892040061383E-2</v>
      </c>
      <c r="U358" s="49">
        <f>IFERROR(IF(Data_Entry!Z347/Data_Entry!$H347&lt;0,0,Data_Entry!Z347/Data_Entry!$H347),0)</f>
        <v>0.24543070131083647</v>
      </c>
      <c r="V358" s="49">
        <f>IFERROR(IF(Data_Entry!AA347/Data_Entry!$H347&lt;0,0,Data_Entry!AA347/Data_Entry!$H347),0)</f>
        <v>0.23064571930415959</v>
      </c>
      <c r="W358" s="49">
        <f>IFERROR(IF(Data_Entry!AB347/Data_Entry!$H347&lt;0,0,Data_Entry!AB347/Data_Entry!$H347),0)</f>
        <v>0.23360271570549496</v>
      </c>
      <c r="X358" s="49">
        <f>IFERROR(IF(Data_Entry!AC347/Data_Entry!$I347&lt;0,0,Data_Entry!AC347/Data_Entry!$I347),0)</f>
        <v>0.11093911248710012</v>
      </c>
      <c r="Y358" s="49">
        <f>IFERROR(IF(Data_Entry!AD347/Data_Entry!$I347&lt;0,0,Data_Entry!AD347/Data_Entry!$I347),0)</f>
        <v>9.8039215686274522E-2</v>
      </c>
      <c r="Z358" s="49">
        <f>IFERROR(IF(Data_Entry!AE347/Data_Entry!$I347&lt;0,0,Data_Entry!AE347/Data_Entry!$I347),0)</f>
        <v>5.1599587203302377E-2</v>
      </c>
      <c r="AA358" s="49">
        <f>IFERROR(IF(Data_Entry!AF347/Data_Entry!$I347&lt;0,0,Data_Entry!AF347/Data_Entry!$I347),0)</f>
        <v>6.7079463364293088E-2</v>
      </c>
      <c r="AB358" s="49">
        <f>IFERROR(IF(Data_Entry!AG347/Data_Entry!$I347&lt;0,0,Data_Entry!AG347/Data_Entry!$I347),0)</f>
        <v>3.3539731682146544E-2</v>
      </c>
      <c r="AC358" s="49">
        <f>IFERROR(IF(Data_Entry!AI347/Data_Entry!$I347&lt;0,0,Data_Entry!AI347/Data_Entry!$I347),0)</f>
        <v>0.15041279669762642</v>
      </c>
      <c r="AD358" s="49">
        <f>IFERROR(IF(Data_Entry!AM347/Data_Entry!$H347&lt;0,0,Data_Entry!AM347/Data_Entry!$H347),0)</f>
        <v>0.2424737049095011</v>
      </c>
      <c r="AE358" s="50">
        <f>Data_Entry!AK347</f>
        <v>237.18100000000004</v>
      </c>
      <c r="AF358" s="50">
        <f>Data_Entry!AL347</f>
        <v>19</v>
      </c>
      <c r="AG358" s="153">
        <f>(Data_Entry!O347-Data_Entry!Q347)/Data_Entry!O347</f>
        <v>0.22772277227722773</v>
      </c>
      <c r="AH358" s="79" t="str">
        <f t="shared" si="10"/>
        <v>CAT4</v>
      </c>
      <c r="AI358" s="51">
        <f>SUBTOTAL(3,Tableau1[[#This Row],[ZS]])</f>
        <v>0</v>
      </c>
      <c r="AJ358" s="51" t="e">
        <f t="shared" ca="1" si="11"/>
        <v>#NAME?</v>
      </c>
      <c r="AK358" s="50" t="str">
        <f>IFERROR(IF((Data_Entry!O347-Data_Entry!Q347)/Data_Entry!O347&lt;=10%,"&lt;=10%","&gt;10%"),"&lt;=10%")</f>
        <v>&gt;10%</v>
      </c>
    </row>
    <row r="359" spans="1:37" s="48" customFormat="1" ht="13" hidden="1" x14ac:dyDescent="0.3">
      <c r="A359" s="31" t="s">
        <v>16</v>
      </c>
      <c r="B359" s="48" t="str">
        <f>Data_Entry!B348</f>
        <v>Goma</v>
      </c>
      <c r="C359" s="48" t="str">
        <f>Data_Entry!C348</f>
        <v xml:space="preserve"> Kirotshe</v>
      </c>
      <c r="D359" s="48" t="str">
        <f>Data_Entry!D348</f>
        <v xml:space="preserve"> Kirotshe</v>
      </c>
      <c r="E359" s="49">
        <f>IFERROR(IF(Data_Entry!J348/Data_Entry!$I348&lt;0,0,Data_Entry!J348/Data_Entry!$I348),0)</f>
        <v>0.14048854575370207</v>
      </c>
      <c r="F359" s="49">
        <f>IFERROR(IF(Data_Entry!K348/Data_Entry!$H348&lt;0,0,Data_Entry!K348/Data_Entry!$H348),0)</f>
        <v>1.0879620983017275E-2</v>
      </c>
      <c r="G359" s="49">
        <f>IFERROR(IF(Data_Entry!L348/Data_Entry!$H348&lt;0,0,Data_Entry!L348/Data_Entry!$H348),0)</f>
        <v>0.10879620983017274</v>
      </c>
      <c r="H359" s="49">
        <f>IFERROR(IF(Data_Entry!M348/Data_Entry!$H348&lt;0,0,Data_Entry!M348/Data_Entry!$H348),0)</f>
        <v>0.10226843724036237</v>
      </c>
      <c r="I359" s="49">
        <f>IFERROR(IF(Data_Entry!N348/Data_Entry!$H348&lt;0,0,Data_Entry!N348/Data_Entry!$H348),0)</f>
        <v>0.10009251304375892</v>
      </c>
      <c r="J359" s="49">
        <f>IFERROR(IF(Data_Entry!O348/Data_Entry!$H348&lt;0,0,Data_Entry!O348/Data_Entry!$H348),0)</f>
        <v>0.10879620983017274</v>
      </c>
      <c r="K359" s="49">
        <f>IFERROR(IF(Data_Entry!P348/Data_Entry!$H348&lt;0,0,Data_Entry!P348/Data_Entry!$H348),0)</f>
        <v>0.10226843724036237</v>
      </c>
      <c r="L359" s="49">
        <f>IFERROR(IF(Data_Entry!Q348/Data_Entry!$H348&lt;0,0,Data_Entry!Q348/Data_Entry!$H348),0)</f>
        <v>0.10009251304375892</v>
      </c>
      <c r="M359" s="49">
        <f>IFERROR(IF(Data_Entry!R348/Data_Entry!$H348&lt;0,0,Data_Entry!R348/Data_Entry!$H348),0)</f>
        <v>0.10879620983017274</v>
      </c>
      <c r="N359" s="49">
        <f>IFERROR(IF(Data_Entry!S348/Data_Entry!$H348&lt;0,0,Data_Entry!S348/Data_Entry!$H348),0)</f>
        <v>0.10226843724036237</v>
      </c>
      <c r="O359" s="49">
        <f>IFERROR(IF(Data_Entry!T348/Data_Entry!$H348&lt;0,0,Data_Entry!T348/Data_Entry!$H348),0)</f>
        <v>0.10009251304375892</v>
      </c>
      <c r="P359" s="49">
        <f>IFERROR(IF(Data_Entry!U348/Data_Entry!$H348&lt;0,0,Data_Entry!U348/Data_Entry!$H348),0)</f>
        <v>0.10879620983017274</v>
      </c>
      <c r="Q359" s="49">
        <f>IFERROR(IF(Data_Entry!V348/Data_Entry!$H348&lt;0,0,Data_Entry!V348/Data_Entry!$H348),0)</f>
        <v>0.10226843724036237</v>
      </c>
      <c r="R359" s="49">
        <f>IFERROR(IF(Data_Entry!W348/Data_Entry!$H348&lt;0,0,Data_Entry!W348/Data_Entry!$H348),0)</f>
        <v>0.10009251304375892</v>
      </c>
      <c r="S359" s="49">
        <f>IFERROR(IF(Data_Entry!X348/Data_Entry!$H348&lt;0,0,Data_Entry!X348/Data_Entry!$H348),0)</f>
        <v>9.3564740453948553E-2</v>
      </c>
      <c r="T359" s="49">
        <f>IFERROR(IF(Data_Entry!Y348/Data_Entry!$H348&lt;0,0,Data_Entry!Y348/Data_Entry!$H348),0)</f>
        <v>4.1342559735465641E-2</v>
      </c>
      <c r="U359" s="49">
        <f>IFERROR(IF(Data_Entry!Z348/Data_Entry!$H348&lt;0,0,Data_Entry!Z348/Data_Entry!$H348),0)</f>
        <v>9.3564740453948553E-2</v>
      </c>
      <c r="V359" s="49">
        <f>IFERROR(IF(Data_Entry!AA348/Data_Entry!$H348&lt;0,0,Data_Entry!AA348/Data_Entry!$H348),0)</f>
        <v>0.10009251304375892</v>
      </c>
      <c r="W359" s="49">
        <f>IFERROR(IF(Data_Entry!AB348/Data_Entry!$H348&lt;0,0,Data_Entry!AB348/Data_Entry!$H348),0)</f>
        <v>9.3564740453948553E-2</v>
      </c>
      <c r="X359" s="49">
        <f>IFERROR(IF(Data_Entry!AC348/Data_Entry!$I348&lt;0,0,Data_Entry!AC348/Data_Entry!$I348),0)</f>
        <v>3.0375901784584228E-2</v>
      </c>
      <c r="Y359" s="49">
        <f>IFERROR(IF(Data_Entry!AD348/Data_Entry!$I348&lt;0,0,Data_Entry!AD348/Data_Entry!$I348),0)</f>
        <v>1.7086444753828627E-2</v>
      </c>
      <c r="Z359" s="49">
        <f>IFERROR(IF(Data_Entry!AE348/Data_Entry!$I348&lt;0,0,Data_Entry!AE348/Data_Entry!$I348),0)</f>
        <v>1.5187950892292114E-2</v>
      </c>
      <c r="AA359" s="49">
        <f>IFERROR(IF(Data_Entry!AF348/Data_Entry!$I348&lt;0,0,Data_Entry!AF348/Data_Entry!$I348),0)</f>
        <v>1.1390963169219085E-2</v>
      </c>
      <c r="AB359" s="49">
        <f>IFERROR(IF(Data_Entry!AG348/Data_Entry!$I348&lt;0,0,Data_Entry!AG348/Data_Entry!$I348),0)</f>
        <v>9.492469307682572E-3</v>
      </c>
      <c r="AC359" s="49">
        <f>IFERROR(IF(Data_Entry!AI348/Data_Entry!$I348&lt;0,0,Data_Entry!AI348/Data_Entry!$I348),0)</f>
        <v>4.7462346538412858E-2</v>
      </c>
      <c r="AD359" s="49">
        <f>IFERROR(IF(Data_Entry!AM348/Data_Entry!$H348&lt;0,0,Data_Entry!AM348/Data_Entry!$H348),0)</f>
        <v>9.3564740453948553E-2</v>
      </c>
      <c r="AE359" s="50">
        <f>Data_Entry!AK348</f>
        <v>409.57483333333334</v>
      </c>
      <c r="AF359" s="50">
        <f>Data_Entry!AL348</f>
        <v>7</v>
      </c>
      <c r="AG359" s="153">
        <f>(Data_Entry!O348-Data_Entry!Q348)/Data_Entry!O348</f>
        <v>0.08</v>
      </c>
      <c r="AH359" s="79" t="str">
        <f t="shared" si="10"/>
        <v>CAT3</v>
      </c>
      <c r="AI359" s="51">
        <f>SUBTOTAL(3,Tableau1[[#This Row],[ZS]])</f>
        <v>0</v>
      </c>
      <c r="AJ359" s="51" t="e">
        <f t="shared" ca="1" si="11"/>
        <v>#NAME?</v>
      </c>
      <c r="AK359" s="50" t="str">
        <f>IFERROR(IF((Data_Entry!O348-Data_Entry!Q348)/Data_Entry!O348&lt;=10%,"&lt;=10%","&gt;10%"),"&lt;=10%")</f>
        <v>&lt;=10%</v>
      </c>
    </row>
    <row r="360" spans="1:37" s="48" customFormat="1" ht="13" hidden="1" x14ac:dyDescent="0.3">
      <c r="A360" s="31" t="s">
        <v>16</v>
      </c>
      <c r="B360" s="48" t="str">
        <f>Data_Entry!B349</f>
        <v>Goma</v>
      </c>
      <c r="C360" s="48" t="str">
        <f>Data_Entry!C349</f>
        <v xml:space="preserve"> Kirotshe</v>
      </c>
      <c r="D360" s="48" t="str">
        <f>Data_Entry!D349</f>
        <v xml:space="preserve"> Kyabondo</v>
      </c>
      <c r="E360" s="49">
        <f>IFERROR(IF(Data_Entry!J349/Data_Entry!$I349&lt;0,0,Data_Entry!J349/Data_Entry!$I349),0)</f>
        <v>0.25025799793601655</v>
      </c>
      <c r="F360" s="49">
        <f>IFERROR(IF(Data_Entry!K349/Data_Entry!$H349&lt;0,0,Data_Entry!K349/Data_Entry!$H349),0)</f>
        <v>0.13897883086276283</v>
      </c>
      <c r="G360" s="49">
        <f>IFERROR(IF(Data_Entry!L349/Data_Entry!$H349&lt;0,0,Data_Entry!L349/Data_Entry!$H349),0)</f>
        <v>0.25134469411350724</v>
      </c>
      <c r="H360" s="49">
        <f>IFERROR(IF(Data_Entry!M349/Data_Entry!$H349&lt;0,0,Data_Entry!M349/Data_Entry!$H349),0)</f>
        <v>0.31935561134422097</v>
      </c>
      <c r="I360" s="49">
        <f>IFERROR(IF(Data_Entry!N349/Data_Entry!$H349&lt;0,0,Data_Entry!N349/Data_Entry!$H349),0)</f>
        <v>0.30457062933754409</v>
      </c>
      <c r="J360" s="49">
        <f>IFERROR(IF(Data_Entry!O349/Data_Entry!$H349&lt;0,0,Data_Entry!O349/Data_Entry!$H349),0)</f>
        <v>0.25134469411350724</v>
      </c>
      <c r="K360" s="49">
        <f>IFERROR(IF(Data_Entry!P349/Data_Entry!$H349&lt;0,0,Data_Entry!P349/Data_Entry!$H349),0)</f>
        <v>0.31935561134422097</v>
      </c>
      <c r="L360" s="49">
        <f>IFERROR(IF(Data_Entry!Q349/Data_Entry!$H349&lt;0,0,Data_Entry!Q349/Data_Entry!$H349),0)</f>
        <v>0.30457062933754409</v>
      </c>
      <c r="M360" s="49">
        <f>IFERROR(IF(Data_Entry!R349/Data_Entry!$H349&lt;0,0,Data_Entry!R349/Data_Entry!$H349),0)</f>
        <v>0.25725868691617798</v>
      </c>
      <c r="N360" s="49">
        <f>IFERROR(IF(Data_Entry!S349/Data_Entry!$H349&lt;0,0,Data_Entry!S349/Data_Entry!$H349),0)</f>
        <v>0.31935561134422097</v>
      </c>
      <c r="O360" s="49">
        <f>IFERROR(IF(Data_Entry!T349/Data_Entry!$H349&lt;0,0,Data_Entry!T349/Data_Entry!$H349),0)</f>
        <v>0.30457062933754409</v>
      </c>
      <c r="P360" s="49">
        <f>IFERROR(IF(Data_Entry!U349/Data_Entry!$H349&lt;0,0,Data_Entry!U349/Data_Entry!$H349),0)</f>
        <v>0.25134469411350724</v>
      </c>
      <c r="Q360" s="49">
        <f>IFERROR(IF(Data_Entry!V349/Data_Entry!$H349&lt;0,0,Data_Entry!V349/Data_Entry!$H349),0)</f>
        <v>0.31935561134422097</v>
      </c>
      <c r="R360" s="49">
        <f>IFERROR(IF(Data_Entry!W349/Data_Entry!$H349&lt;0,0,Data_Entry!W349/Data_Entry!$H349),0)</f>
        <v>0.30457062933754409</v>
      </c>
      <c r="S360" s="49">
        <f>IFERROR(IF(Data_Entry!X349/Data_Entry!$H349&lt;0,0,Data_Entry!X349/Data_Entry!$H349),0)</f>
        <v>0.31048462214021483</v>
      </c>
      <c r="T360" s="49">
        <f>IFERROR(IF(Data_Entry!Y349/Data_Entry!$H349&lt;0,0,Data_Entry!Y349/Data_Entry!$H349),0)</f>
        <v>0.19220476608679965</v>
      </c>
      <c r="U360" s="49">
        <f>IFERROR(IF(Data_Entry!Z349/Data_Entry!$H349&lt;0,0,Data_Entry!Z349/Data_Entry!$H349),0)</f>
        <v>0.31048462214021483</v>
      </c>
      <c r="V360" s="49">
        <f>IFERROR(IF(Data_Entry!AA349/Data_Entry!$H349&lt;0,0,Data_Entry!AA349/Data_Entry!$H349),0)</f>
        <v>0.30457062933754409</v>
      </c>
      <c r="W360" s="49">
        <f>IFERROR(IF(Data_Entry!AB349/Data_Entry!$H349&lt;0,0,Data_Entry!AB349/Data_Entry!$H349),0)</f>
        <v>0.31048462214021483</v>
      </c>
      <c r="X360" s="49">
        <f>IFERROR(IF(Data_Entry!AC349/Data_Entry!$I349&lt;0,0,Data_Entry!AC349/Data_Entry!$I349),0)</f>
        <v>0.11351909184726523</v>
      </c>
      <c r="Y360" s="49">
        <f>IFERROR(IF(Data_Entry!AD349/Data_Entry!$I349&lt;0,0,Data_Entry!AD349/Data_Entry!$I349),0)</f>
        <v>5.41795665634675E-2</v>
      </c>
      <c r="Z360" s="49">
        <f>IFERROR(IF(Data_Entry!AE349/Data_Entry!$I349&lt;0,0,Data_Entry!AE349/Data_Entry!$I349),0)</f>
        <v>4.1279669762641906E-2</v>
      </c>
      <c r="AA360" s="49">
        <f>IFERROR(IF(Data_Entry!AF349/Data_Entry!$I349&lt;0,0,Data_Entry!AF349/Data_Entry!$I349),0)</f>
        <v>5.1599587203302382E-3</v>
      </c>
      <c r="AB360" s="49">
        <f>IFERROR(IF(Data_Entry!AG349/Data_Entry!$I349&lt;0,0,Data_Entry!AG349/Data_Entry!$I349),0)</f>
        <v>7.7399380804953569E-3</v>
      </c>
      <c r="AC360" s="49">
        <f>IFERROR(IF(Data_Entry!AI349/Data_Entry!$I349&lt;0,0,Data_Entry!AI349/Data_Entry!$I349),0)</f>
        <v>0.15041279669762642</v>
      </c>
      <c r="AD360" s="49">
        <f>IFERROR(IF(Data_Entry!AM349/Data_Entry!$H349&lt;0,0,Data_Entry!AM349/Data_Entry!$H349),0)</f>
        <v>0.31048462214021483</v>
      </c>
      <c r="AE360" s="50">
        <f>Data_Entry!AK349</f>
        <v>253.18100000000004</v>
      </c>
      <c r="AF360" s="50">
        <f>Data_Entry!AL349</f>
        <v>0</v>
      </c>
      <c r="AG360" s="153">
        <f>(Data_Entry!O349-Data_Entry!Q349)/Data_Entry!O349</f>
        <v>-0.21176470588235294</v>
      </c>
      <c r="AH360" s="79" t="str">
        <f t="shared" si="10"/>
        <v>CAT3</v>
      </c>
      <c r="AI360" s="51">
        <f>SUBTOTAL(3,Tableau1[[#This Row],[ZS]])</f>
        <v>0</v>
      </c>
      <c r="AJ360" s="51" t="e">
        <f t="shared" ca="1" si="11"/>
        <v>#NAME?</v>
      </c>
      <c r="AK360" s="50" t="str">
        <f>IFERROR(IF((Data_Entry!O349-Data_Entry!Q349)/Data_Entry!O349&lt;=10%,"&lt;=10%","&gt;10%"),"&lt;=10%")</f>
        <v>&lt;=10%</v>
      </c>
    </row>
    <row r="361" spans="1:37" s="48" customFormat="1" ht="13" hidden="1" x14ac:dyDescent="0.3">
      <c r="A361" s="31" t="s">
        <v>16</v>
      </c>
      <c r="B361" s="48" t="str">
        <f>Data_Entry!B350</f>
        <v>Goma</v>
      </c>
      <c r="C361" s="48" t="str">
        <f>Data_Entry!C350</f>
        <v xml:space="preserve"> Kirotshe</v>
      </c>
      <c r="D361" s="48" t="str">
        <f>Data_Entry!D350</f>
        <v xml:space="preserve"> Luzirantaka</v>
      </c>
      <c r="E361" s="49">
        <f>IFERROR(IF(Data_Entry!J350/Data_Entry!$I350&lt;0,0,Data_Entry!J350/Data_Entry!$I350),0)</f>
        <v>1.2997495129418313</v>
      </c>
      <c r="F361" s="49">
        <f>IFERROR(IF(Data_Entry!K350/Data_Entry!$H350&lt;0,0,Data_Entry!K350/Data_Entry!$H350),0)</f>
        <v>1.0654272833916953</v>
      </c>
      <c r="G361" s="49">
        <f>IFERROR(IF(Data_Entry!L350/Data_Entry!$H350&lt;0,0,Data_Entry!L350/Data_Entry!$H350),0)</f>
        <v>1.6364197496405382</v>
      </c>
      <c r="H361" s="49">
        <f>IFERROR(IF(Data_Entry!M350/Data_Entry!$H350&lt;0,0,Data_Entry!M350/Data_Entry!$H350),0)</f>
        <v>1.2791507204792509</v>
      </c>
      <c r="I361" s="49">
        <f>IFERROR(IF(Data_Entry!N350/Data_Entry!$H350&lt;0,0,Data_Entry!N350/Data_Entry!$H350),0)</f>
        <v>1.3525184675391582</v>
      </c>
      <c r="J361" s="49">
        <f>IFERROR(IF(Data_Entry!O350/Data_Entry!$H350&lt;0,0,Data_Entry!O350/Data_Entry!$H350),0)</f>
        <v>1.5917611209953773</v>
      </c>
      <c r="K361" s="49">
        <f>IFERROR(IF(Data_Entry!P350/Data_Entry!$H350&lt;0,0,Data_Entry!P350/Data_Entry!$H350),0)</f>
        <v>1.2727709163870851</v>
      </c>
      <c r="L361" s="49">
        <f>IFERROR(IF(Data_Entry!Q350/Data_Entry!$H350&lt;0,0,Data_Entry!Q350/Data_Entry!$H350),0)</f>
        <v>1.4035569002764849</v>
      </c>
      <c r="M361" s="49">
        <f>IFERROR(IF(Data_Entry!R350/Data_Entry!$H350&lt;0,0,Data_Entry!R350/Data_Entry!$H350),0)</f>
        <v>1.4258862145990654</v>
      </c>
      <c r="N361" s="49">
        <f>IFERROR(IF(Data_Entry!S350/Data_Entry!$H350&lt;0,0,Data_Entry!S350/Data_Entry!$H350),0)</f>
        <v>1.1579344427281</v>
      </c>
      <c r="O361" s="49">
        <f>IFERROR(IF(Data_Entry!T350/Data_Entry!$H350&lt;0,0,Data_Entry!T350/Data_Entry!$H350),0)</f>
        <v>1.2791507204792509</v>
      </c>
      <c r="P361" s="49">
        <f>IFERROR(IF(Data_Entry!U350/Data_Entry!$H350&lt;0,0,Data_Entry!U350/Data_Entry!$H350),0)</f>
        <v>1.6236601414562064</v>
      </c>
      <c r="Q361" s="49">
        <f>IFERROR(IF(Data_Entry!V350/Data_Entry!$H350&lt;0,0,Data_Entry!V350/Data_Entry!$H350),0)</f>
        <v>1.2727709163870851</v>
      </c>
      <c r="R361" s="49">
        <f>IFERROR(IF(Data_Entry!W350/Data_Entry!$H350&lt;0,0,Data_Entry!W350/Data_Entry!$H350),0)</f>
        <v>1.3971770961843191</v>
      </c>
      <c r="S361" s="49">
        <f>IFERROR(IF(Data_Entry!X350/Data_Entry!$H350&lt;0,0,Data_Entry!X350/Data_Entry!$H350),0)</f>
        <v>1.4896842555207237</v>
      </c>
      <c r="T361" s="49">
        <f>IFERROR(IF(Data_Entry!Y350/Data_Entry!$H350&lt;0,0,Data_Entry!Y350/Data_Entry!$H350),0)</f>
        <v>9.2507159336404687E-2</v>
      </c>
      <c r="U361" s="49">
        <f>IFERROR(IF(Data_Entry!Z350/Data_Entry!$H350&lt;0,0,Data_Entry!Z350/Data_Entry!$H350),0)</f>
        <v>1.4896842555207237</v>
      </c>
      <c r="V361" s="49">
        <f>IFERROR(IF(Data_Entry!AA350/Data_Entry!$H350&lt;0,0,Data_Entry!AA350/Data_Entry!$H350),0)</f>
        <v>1.3525184675391582</v>
      </c>
      <c r="W361" s="49">
        <f>IFERROR(IF(Data_Entry!AB350/Data_Entry!$H350&lt;0,0,Data_Entry!AB350/Data_Entry!$H350),0)</f>
        <v>0.83256443402764213</v>
      </c>
      <c r="X361" s="49">
        <f>IFERROR(IF(Data_Entry!AC350/Data_Entry!$I350&lt;0,0,Data_Entry!AC350/Data_Entry!$I350),0)</f>
        <v>0.40634567214027273</v>
      </c>
      <c r="Y361" s="49">
        <f>IFERROR(IF(Data_Entry!AD350/Data_Entry!$I350&lt;0,0,Data_Entry!AD350/Data_Entry!$I350),0)</f>
        <v>0.43417756749234621</v>
      </c>
      <c r="Z361" s="49">
        <f>IFERROR(IF(Data_Entry!AE350/Data_Entry!$I350&lt;0,0,Data_Entry!AE350/Data_Entry!$I350),0)</f>
        <v>0.24770386863345392</v>
      </c>
      <c r="AA361" s="49">
        <f>IFERROR(IF(Data_Entry!AF350/Data_Entry!$I350&lt;0,0,Data_Entry!AF350/Data_Entry!$I350),0)</f>
        <v>0.19204007792930697</v>
      </c>
      <c r="AB361" s="49">
        <f>IFERROR(IF(Data_Entry!AG350/Data_Entry!$I350&lt;0,0,Data_Entry!AG350/Data_Entry!$I350),0)</f>
        <v>0.14472585583078207</v>
      </c>
      <c r="AC361" s="49">
        <f>IFERROR(IF(Data_Entry!AI350/Data_Entry!$I350&lt;0,0,Data_Entry!AI350/Data_Entry!$I350),0)</f>
        <v>9.268021152240466E-2</v>
      </c>
      <c r="AD361" s="49">
        <f>IFERROR(IF(Data_Entry!AM350/Data_Entry!$H350&lt;0,0,Data_Entry!AM350/Data_Entry!$H350),0)</f>
        <v>1.4896842555207237</v>
      </c>
      <c r="AE361" s="50">
        <f>Data_Entry!AK350</f>
        <v>0</v>
      </c>
      <c r="AF361" s="50">
        <f>Data_Entry!AL350</f>
        <v>32</v>
      </c>
      <c r="AG361" s="153">
        <f>(Data_Entry!O350-Data_Entry!Q350)/Data_Entry!O350</f>
        <v>0.11823647294589178</v>
      </c>
      <c r="AH361" s="79" t="str">
        <f t="shared" si="10"/>
        <v>CAT2</v>
      </c>
      <c r="AI361" s="51">
        <f>SUBTOTAL(3,Tableau1[[#This Row],[ZS]])</f>
        <v>0</v>
      </c>
      <c r="AJ361" s="51" t="e">
        <f t="shared" ca="1" si="11"/>
        <v>#NAME?</v>
      </c>
      <c r="AK361" s="50" t="str">
        <f>IFERROR(IF((Data_Entry!O350-Data_Entry!Q350)/Data_Entry!O350&lt;=10%,"&lt;=10%","&gt;10%"),"&lt;=10%")</f>
        <v>&gt;10%</v>
      </c>
    </row>
    <row r="362" spans="1:37" s="48" customFormat="1" ht="13" hidden="1" x14ac:dyDescent="0.3">
      <c r="A362" s="31" t="s">
        <v>16</v>
      </c>
      <c r="B362" s="48" t="str">
        <f>Data_Entry!B351</f>
        <v>Goma</v>
      </c>
      <c r="C362" s="48" t="str">
        <f>Data_Entry!C351</f>
        <v xml:space="preserve"> Kirotshe</v>
      </c>
      <c r="D362" s="48" t="str">
        <f>Data_Entry!D351</f>
        <v xml:space="preserve"> Matanda</v>
      </c>
      <c r="E362" s="49">
        <f>IFERROR(IF(Data_Entry!J351/Data_Entry!$I351&lt;0,0,Data_Entry!J351/Data_Entry!$I351),0)</f>
        <v>0.72195403127026447</v>
      </c>
      <c r="F362" s="49">
        <f>IFERROR(IF(Data_Entry!K351/Data_Entry!$H351&lt;0,0,Data_Entry!K351/Data_Entry!$H351),0)</f>
        <v>0.15855415130071179</v>
      </c>
      <c r="G362" s="49">
        <f>IFERROR(IF(Data_Entry!L351/Data_Entry!$H351&lt;0,0,Data_Entry!L351/Data_Entry!$H351),0)</f>
        <v>0.48804949697250344</v>
      </c>
      <c r="H362" s="49">
        <f>IFERROR(IF(Data_Entry!M351/Data_Entry!$H351&lt;0,0,Data_Entry!M351/Data_Entry!$H351),0)</f>
        <v>0.34683720597030704</v>
      </c>
      <c r="I362" s="49">
        <f>IFERROR(IF(Data_Entry!N351/Data_Entry!$H351&lt;0,0,Data_Entry!N351/Data_Entry!$H351),0)</f>
        <v>0.29233421646068736</v>
      </c>
      <c r="J362" s="49">
        <f>IFERROR(IF(Data_Entry!O351/Data_Entry!$H351&lt;0,0,Data_Entry!O351/Data_Entry!$H351),0)</f>
        <v>0.69615182055468772</v>
      </c>
      <c r="K362" s="49">
        <f>IFERROR(IF(Data_Entry!P351/Data_Entry!$H351&lt;0,0,Data_Entry!P351/Data_Entry!$H351),0)</f>
        <v>0.55246212093841762</v>
      </c>
      <c r="L362" s="49">
        <f>IFERROR(IF(Data_Entry!Q351/Data_Entry!$H351&lt;0,0,Data_Entry!Q351/Data_Entry!$H351),0)</f>
        <v>0.51282358311323972</v>
      </c>
      <c r="M362" s="49">
        <f>IFERROR(IF(Data_Entry!R351/Data_Entry!$H351&lt;0,0,Data_Entry!R351/Data_Entry!$H351),0)</f>
        <v>0.69615182055468772</v>
      </c>
      <c r="N362" s="49">
        <f>IFERROR(IF(Data_Entry!S351/Data_Entry!$H351&lt;0,0,Data_Entry!S351/Data_Entry!$H351),0)</f>
        <v>0.55246212093841762</v>
      </c>
      <c r="O362" s="49">
        <f>IFERROR(IF(Data_Entry!T351/Data_Entry!$H351&lt;0,0,Data_Entry!T351/Data_Entry!$H351),0)</f>
        <v>0.51282358311323972</v>
      </c>
      <c r="P362" s="49">
        <f>IFERROR(IF(Data_Entry!U351/Data_Entry!$H351&lt;0,0,Data_Entry!U351/Data_Entry!$H351),0)</f>
        <v>0.69615182055468772</v>
      </c>
      <c r="Q362" s="49">
        <f>IFERROR(IF(Data_Entry!V351/Data_Entry!$H351&lt;0,0,Data_Entry!V351/Data_Entry!$H351),0)</f>
        <v>0.55246212093841762</v>
      </c>
      <c r="R362" s="49">
        <f>IFERROR(IF(Data_Entry!W351/Data_Entry!$H351&lt;0,0,Data_Entry!W351/Data_Entry!$H351),0)</f>
        <v>0.52768803479768145</v>
      </c>
      <c r="S362" s="49">
        <f>IFERROR(IF(Data_Entry!X351/Data_Entry!$H351&lt;0,0,Data_Entry!X351/Data_Entry!$H351),0)</f>
        <v>0.51282358311323972</v>
      </c>
      <c r="T362" s="49">
        <f>IFERROR(IF(Data_Entry!Y351/Data_Entry!$H351&lt;0,0,Data_Entry!Y351/Data_Entry!$H351),0)</f>
        <v>2.7251494754809837E-2</v>
      </c>
      <c r="U362" s="49">
        <f>IFERROR(IF(Data_Entry!Z351/Data_Entry!$H351&lt;0,0,Data_Entry!Z351/Data_Entry!$H351),0)</f>
        <v>0.51282358311323972</v>
      </c>
      <c r="V362" s="49">
        <f>IFERROR(IF(Data_Entry!AA351/Data_Entry!$H351&lt;0,0,Data_Entry!AA351/Data_Entry!$H351),0)</f>
        <v>0.31463089398734995</v>
      </c>
      <c r="W362" s="49">
        <f>IFERROR(IF(Data_Entry!AB351/Data_Entry!$H351&lt;0,0,Data_Entry!AB351/Data_Entry!$H351),0)</f>
        <v>0</v>
      </c>
      <c r="X362" s="49">
        <f>IFERROR(IF(Data_Entry!AC351/Data_Entry!$I351&lt;0,0,Data_Entry!AC351/Data_Entry!$I351),0)</f>
        <v>0.49715397362922409</v>
      </c>
      <c r="Y362" s="49">
        <f>IFERROR(IF(Data_Entry!AD351/Data_Entry!$I351&lt;0,0,Data_Entry!AD351/Data_Entry!$I351),0)</f>
        <v>0.39123856185604156</v>
      </c>
      <c r="Z362" s="49">
        <f>IFERROR(IF(Data_Entry!AE351/Data_Entry!$I351&lt;0,0,Data_Entry!AE351/Data_Entry!$I351),0)</f>
        <v>2.5938468189350822E-2</v>
      </c>
      <c r="AA362" s="49">
        <f>IFERROR(IF(Data_Entry!AF351/Data_Entry!$I351&lt;0,0,Data_Entry!AF351/Data_Entry!$I351),0)</f>
        <v>0</v>
      </c>
      <c r="AB362" s="49">
        <f>IFERROR(IF(Data_Entry!AG351/Data_Entry!$I351&lt;0,0,Data_Entry!AG351/Data_Entry!$I351),0)</f>
        <v>0</v>
      </c>
      <c r="AC362" s="49">
        <f>IFERROR(IF(Data_Entry!AI351/Data_Entry!$I351&lt;0,0,Data_Entry!AI351/Data_Entry!$I351),0)</f>
        <v>0.10807695078896176</v>
      </c>
      <c r="AD362" s="49">
        <f>IFERROR(IF(Data_Entry!AM351/Data_Entry!$H351&lt;0,0,Data_Entry!AM351/Data_Entry!$H351),0)</f>
        <v>0.51282358311323972</v>
      </c>
      <c r="AE362" s="50">
        <f>Data_Entry!AK351</f>
        <v>122.64758333333333</v>
      </c>
      <c r="AF362" s="50">
        <f>Data_Entry!AL351</f>
        <v>74</v>
      </c>
      <c r="AG362" s="153">
        <f>(Data_Entry!O351-Data_Entry!Q351)/Data_Entry!O351</f>
        <v>0.26334519572953735</v>
      </c>
      <c r="AH362" s="79" t="str">
        <f t="shared" si="10"/>
        <v>CAT4</v>
      </c>
      <c r="AI362" s="51">
        <f>SUBTOTAL(3,Tableau1[[#This Row],[ZS]])</f>
        <v>0</v>
      </c>
      <c r="AJ362" s="51" t="e">
        <f t="shared" ca="1" si="11"/>
        <v>#NAME?</v>
      </c>
      <c r="AK362" s="50" t="str">
        <f>IFERROR(IF((Data_Entry!O351-Data_Entry!Q351)/Data_Entry!O351&lt;=10%,"&lt;=10%","&gt;10%"),"&lt;=10%")</f>
        <v>&gt;10%</v>
      </c>
    </row>
    <row r="363" spans="1:37" s="48" customFormat="1" ht="13" hidden="1" x14ac:dyDescent="0.3">
      <c r="A363" s="31" t="s">
        <v>16</v>
      </c>
      <c r="B363" s="48" t="str">
        <f>Data_Entry!B352</f>
        <v>Goma</v>
      </c>
      <c r="C363" s="48" t="str">
        <f>Data_Entry!C352</f>
        <v xml:space="preserve"> Kirotshe</v>
      </c>
      <c r="D363" s="48" t="str">
        <f>Data_Entry!D352</f>
        <v xml:space="preserve"> Mitumbala</v>
      </c>
      <c r="E363" s="49">
        <f>IFERROR(IF(Data_Entry!J352/Data_Entry!$I352&lt;0,0,Data_Entry!J352/Data_Entry!$I352),0)</f>
        <v>6.3197026022304828E-2</v>
      </c>
      <c r="F363" s="49">
        <f>IFERROR(IF(Data_Entry!K352/Data_Entry!$H352&lt;0,0,Data_Entry!K352/Data_Entry!$H352),0)</f>
        <v>1.7042852121302497E-2</v>
      </c>
      <c r="G363" s="49">
        <f>IFERROR(IF(Data_Entry!L352/Data_Entry!$H352&lt;0,0,Data_Entry!L352/Data_Entry!$H352),0)</f>
        <v>0.18747137333432745</v>
      </c>
      <c r="H363" s="49">
        <f>IFERROR(IF(Data_Entry!M352/Data_Entry!$H352&lt;0,0,Data_Entry!M352/Data_Entry!$H352),0)</f>
        <v>0.12782139090976874</v>
      </c>
      <c r="I363" s="49">
        <f>IFERROR(IF(Data_Entry!N352/Data_Entry!$H352&lt;0,0,Data_Entry!N352/Data_Entry!$H352),0)</f>
        <v>0.17468923424335059</v>
      </c>
      <c r="J363" s="49">
        <f>IFERROR(IF(Data_Entry!O352/Data_Entry!$H352&lt;0,0,Data_Entry!O352/Data_Entry!$H352),0)</f>
        <v>0.18747137333432745</v>
      </c>
      <c r="K363" s="49">
        <f>IFERROR(IF(Data_Entry!P352/Data_Entry!$H352&lt;0,0,Data_Entry!P352/Data_Entry!$H352),0)</f>
        <v>0.12782139090976874</v>
      </c>
      <c r="L363" s="49">
        <f>IFERROR(IF(Data_Entry!Q352/Data_Entry!$H352&lt;0,0,Data_Entry!Q352/Data_Entry!$H352),0)</f>
        <v>0.17468923424335059</v>
      </c>
      <c r="M363" s="49">
        <f>IFERROR(IF(Data_Entry!R352/Data_Entry!$H352&lt;0,0,Data_Entry!R352/Data_Entry!$H352),0)</f>
        <v>0.18747137333432745</v>
      </c>
      <c r="N363" s="49">
        <f>IFERROR(IF(Data_Entry!S352/Data_Entry!$H352&lt;0,0,Data_Entry!S352/Data_Entry!$H352),0)</f>
        <v>0.12782139090976874</v>
      </c>
      <c r="O363" s="49">
        <f>IFERROR(IF(Data_Entry!T352/Data_Entry!$H352&lt;0,0,Data_Entry!T352/Data_Entry!$H352),0)</f>
        <v>0.17468923424335059</v>
      </c>
      <c r="P363" s="49">
        <f>IFERROR(IF(Data_Entry!U352/Data_Entry!$H352&lt;0,0,Data_Entry!U352/Data_Entry!$H352),0)</f>
        <v>0.18747137333432745</v>
      </c>
      <c r="Q363" s="49">
        <f>IFERROR(IF(Data_Entry!V352/Data_Entry!$H352&lt;0,0,Data_Entry!V352/Data_Entry!$H352),0)</f>
        <v>0.12782139090976874</v>
      </c>
      <c r="R363" s="49">
        <f>IFERROR(IF(Data_Entry!W352/Data_Entry!$H352&lt;0,0,Data_Entry!W352/Data_Entry!$H352),0)</f>
        <v>0.17468923424335059</v>
      </c>
      <c r="S363" s="49">
        <f>IFERROR(IF(Data_Entry!X352/Data_Entry!$H352&lt;0,0,Data_Entry!X352/Data_Entry!$H352),0)</f>
        <v>0.14486424303107123</v>
      </c>
      <c r="T363" s="49">
        <f>IFERROR(IF(Data_Entry!Y352/Data_Entry!$H352&lt;0,0,Data_Entry!Y352/Data_Entry!$H352),0)</f>
        <v>5.964998242455874E-2</v>
      </c>
      <c r="U363" s="49">
        <f>IFERROR(IF(Data_Entry!Z352/Data_Entry!$H352&lt;0,0,Data_Entry!Z352/Data_Entry!$H352),0)</f>
        <v>0.14486424303107123</v>
      </c>
      <c r="V363" s="49">
        <f>IFERROR(IF(Data_Entry!AA352/Data_Entry!$H352&lt;0,0,Data_Entry!AA352/Data_Entry!$H352),0)</f>
        <v>0.20025351242530434</v>
      </c>
      <c r="W363" s="49">
        <f>IFERROR(IF(Data_Entry!AB352/Data_Entry!$H352&lt;0,0,Data_Entry!AB352/Data_Entry!$H352),0)</f>
        <v>0.12782139090976874</v>
      </c>
      <c r="X363" s="49">
        <f>IFERROR(IF(Data_Entry!AC352/Data_Entry!$I352&lt;0,0,Data_Entry!AC352/Data_Entry!$I352),0)</f>
        <v>6.3197026022304828E-2</v>
      </c>
      <c r="Y363" s="49">
        <f>IFERROR(IF(Data_Entry!AD352/Data_Entry!$I352&lt;0,0,Data_Entry!AD352/Data_Entry!$I352),0)</f>
        <v>3.717472118959108E-2</v>
      </c>
      <c r="Z363" s="49">
        <f>IFERROR(IF(Data_Entry!AE352/Data_Entry!$I352&lt;0,0,Data_Entry!AE352/Data_Entry!$I352),0)</f>
        <v>1.1152416356877323E-2</v>
      </c>
      <c r="AA363" s="49">
        <f>IFERROR(IF(Data_Entry!AF352/Data_Entry!$I352&lt;0,0,Data_Entry!AF352/Data_Entry!$I352),0)</f>
        <v>3.7174721189591076E-3</v>
      </c>
      <c r="AB363" s="49">
        <f>IFERROR(IF(Data_Entry!AG352/Data_Entry!$I352&lt;0,0,Data_Entry!AG352/Data_Entry!$I352),0)</f>
        <v>1.1152416356877323E-2</v>
      </c>
      <c r="AC363" s="49">
        <f>IFERROR(IF(Data_Entry!AI352/Data_Entry!$I352&lt;0,0,Data_Entry!AI352/Data_Entry!$I352),0)</f>
        <v>0.18587360594795538</v>
      </c>
      <c r="AD363" s="49">
        <f>IFERROR(IF(Data_Entry!AM352/Data_Entry!$H352&lt;0,0,Data_Entry!AM352/Data_Entry!$H352),0)</f>
        <v>0.14486424303107123</v>
      </c>
      <c r="AE363" s="50">
        <f>Data_Entry!AK352</f>
        <v>190.70250000000004</v>
      </c>
      <c r="AF363" s="50">
        <f>Data_Entry!AL352</f>
        <v>10</v>
      </c>
      <c r="AG363" s="153">
        <f>(Data_Entry!O352-Data_Entry!Q352)/Data_Entry!O352</f>
        <v>6.8181818181818177E-2</v>
      </c>
      <c r="AH363" s="79" t="str">
        <f t="shared" si="10"/>
        <v>CAT3</v>
      </c>
      <c r="AI363" s="51">
        <f>SUBTOTAL(3,Tableau1[[#This Row],[ZS]])</f>
        <v>0</v>
      </c>
      <c r="AJ363" s="51" t="e">
        <f t="shared" ca="1" si="11"/>
        <v>#NAME?</v>
      </c>
      <c r="AK363" s="50" t="str">
        <f>IFERROR(IF((Data_Entry!O352-Data_Entry!Q352)/Data_Entry!O352&lt;=10%,"&lt;=10%","&gt;10%"),"&lt;=10%")</f>
        <v>&lt;=10%</v>
      </c>
    </row>
    <row r="364" spans="1:37" s="48" customFormat="1" ht="13" hidden="1" x14ac:dyDescent="0.3">
      <c r="A364" s="31" t="s">
        <v>16</v>
      </c>
      <c r="B364" s="48" t="str">
        <f>Data_Entry!B353</f>
        <v>Goma</v>
      </c>
      <c r="C364" s="48" t="str">
        <f>Data_Entry!C353</f>
        <v xml:space="preserve"> Kirotshe</v>
      </c>
      <c r="D364" s="48" t="str">
        <f>Data_Entry!D353</f>
        <v xml:space="preserve"> Mumba</v>
      </c>
      <c r="E364" s="49">
        <f>IFERROR(IF(Data_Entry!J353/Data_Entry!$I353&lt;0,0,Data_Entry!J353/Data_Entry!$I353),0)</f>
        <v>1.5708737864077671</v>
      </c>
      <c r="F364" s="49">
        <f>IFERROR(IF(Data_Entry!K353/Data_Entry!$H353&lt;0,0,Data_Entry!K353/Data_Entry!$H353),0)</f>
        <v>0.58753164380894085</v>
      </c>
      <c r="G364" s="49">
        <f>IFERROR(IF(Data_Entry!L353/Data_Entry!$H353&lt;0,0,Data_Entry!L353/Data_Entry!$H353),0)</f>
        <v>1.0660138537291011</v>
      </c>
      <c r="H364" s="49">
        <f>IFERROR(IF(Data_Entry!M353/Data_Entry!$H353&lt;0,0,Data_Entry!M353/Data_Entry!$H353),0)</f>
        <v>0.87684646841182845</v>
      </c>
      <c r="I364" s="49">
        <f>IFERROR(IF(Data_Entry!N353/Data_Entry!$H353&lt;0,0,Data_Entry!N353/Data_Entry!$H353),0)</f>
        <v>0.92135644142765727</v>
      </c>
      <c r="J364" s="49">
        <f>IFERROR(IF(Data_Entry!O353/Data_Entry!$H353&lt;0,0,Data_Entry!O353/Data_Entry!$H353),0)</f>
        <v>1.6290650123793362</v>
      </c>
      <c r="K364" s="49">
        <f>IFERROR(IF(Data_Entry!P353/Data_Entry!$H353&lt;0,0,Data_Entry!P353/Data_Entry!$H353),0)</f>
        <v>1.5088880852365982</v>
      </c>
      <c r="L364" s="49">
        <f>IFERROR(IF(Data_Entry!Q353/Data_Entry!$H353&lt;0,0,Data_Entry!Q353/Data_Entry!$H353),0)</f>
        <v>1.5689765488079672</v>
      </c>
      <c r="M364" s="49">
        <f>IFERROR(IF(Data_Entry!R353/Data_Entry!$H353&lt;0,0,Data_Entry!R353/Data_Entry!$H353),0)</f>
        <v>1.6290650123793362</v>
      </c>
      <c r="N364" s="49">
        <f>IFERROR(IF(Data_Entry!S353/Data_Entry!$H353&lt;0,0,Data_Entry!S353/Data_Entry!$H353),0)</f>
        <v>1.5022115892842238</v>
      </c>
      <c r="O364" s="49">
        <f>IFERROR(IF(Data_Entry!T353/Data_Entry!$H353&lt;0,0,Data_Entry!T353/Data_Entry!$H353),0)</f>
        <v>1.5689765488079672</v>
      </c>
      <c r="P364" s="49">
        <f>IFERROR(IF(Data_Entry!U353/Data_Entry!$H353&lt;0,0,Data_Entry!U353/Data_Entry!$H353),0)</f>
        <v>1.3419756864272401</v>
      </c>
      <c r="Q364" s="49">
        <f>IFERROR(IF(Data_Entry!V353/Data_Entry!$H353&lt;0,0,Data_Entry!V353/Data_Entry!$H353),0)</f>
        <v>1.1795142849194646</v>
      </c>
      <c r="R364" s="49">
        <f>IFERROR(IF(Data_Entry!W353/Data_Entry!$H353&lt;0,0,Data_Entry!W353/Data_Entry!$H353),0)</f>
        <v>1.2507302417447907</v>
      </c>
      <c r="S364" s="49">
        <f>IFERROR(IF(Data_Entry!X353/Data_Entry!$H353&lt;0,0,Data_Entry!X353/Data_Entry!$H353),0)</f>
        <v>1.206220268728962</v>
      </c>
      <c r="T364" s="49">
        <f>IFERROR(IF(Data_Entry!Y353/Data_Entry!$H353&lt;0,0,Data_Entry!Y353/Data_Entry!$H353),0)</f>
        <v>0.83233649539599963</v>
      </c>
      <c r="U364" s="49">
        <f>IFERROR(IF(Data_Entry!Z353/Data_Entry!$H353&lt;0,0,Data_Entry!Z353/Data_Entry!$H353),0)</f>
        <v>1.2373772498400422</v>
      </c>
      <c r="V364" s="49">
        <f>IFERROR(IF(Data_Entry!AA353/Data_Entry!$H353&lt;0,0,Data_Entry!AA353/Data_Entry!$H353),0)</f>
        <v>1.5778785434111329</v>
      </c>
      <c r="W364" s="49">
        <f>IFERROR(IF(Data_Entry!AB353/Data_Entry!$H353&lt;0,0,Data_Entry!AB353/Data_Entry!$H353),0)</f>
        <v>1.1995437727765876</v>
      </c>
      <c r="X364" s="49">
        <f>IFERROR(IF(Data_Entry!AC353/Data_Entry!$I353&lt;0,0,Data_Entry!AC353/Data_Entry!$I353),0)</f>
        <v>0.83495145631067957</v>
      </c>
      <c r="Y364" s="49">
        <f>IFERROR(IF(Data_Entry!AD353/Data_Entry!$I353&lt;0,0,Data_Entry!AD353/Data_Entry!$I353),0)</f>
        <v>0.62330097087378644</v>
      </c>
      <c r="Z364" s="49">
        <f>IFERROR(IF(Data_Entry!AE353/Data_Entry!$I353&lt;0,0,Data_Entry!AE353/Data_Entry!$I353),0)</f>
        <v>0.60388349514563111</v>
      </c>
      <c r="AA364" s="49">
        <f>IFERROR(IF(Data_Entry!AF353/Data_Entry!$I353&lt;0,0,Data_Entry!AF353/Data_Entry!$I353),0)</f>
        <v>0.59029126213592231</v>
      </c>
      <c r="AB364" s="49">
        <f>IFERROR(IF(Data_Entry!AG353/Data_Entry!$I353&lt;0,0,Data_Entry!AG353/Data_Entry!$I353),0)</f>
        <v>0.65436893203883495</v>
      </c>
      <c r="AC364" s="49">
        <f>IFERROR(IF(Data_Entry!AI353/Data_Entry!$I353&lt;0,0,Data_Entry!AI353/Data_Entry!$I353),0)</f>
        <v>0.11320388349514562</v>
      </c>
      <c r="AD364" s="49">
        <f>IFERROR(IF(Data_Entry!AM353/Data_Entry!$H353&lt;0,0,Data_Entry!AM353/Data_Entry!$H353),0)</f>
        <v>1.206220268728962</v>
      </c>
      <c r="AE364" s="50">
        <f>Data_Entry!AK353</f>
        <v>0</v>
      </c>
      <c r="AF364" s="50">
        <f>Data_Entry!AL353</f>
        <v>190</v>
      </c>
      <c r="AG364" s="153">
        <f>(Data_Entry!O353-Data_Entry!Q353)/Data_Entry!O353</f>
        <v>3.6885245901639344E-2</v>
      </c>
      <c r="AH364" s="79" t="str">
        <f t="shared" si="10"/>
        <v>CAT1</v>
      </c>
      <c r="AI364" s="51">
        <f>SUBTOTAL(3,Tableau1[[#This Row],[ZS]])</f>
        <v>0</v>
      </c>
      <c r="AJ364" s="51" t="e">
        <f t="shared" ca="1" si="11"/>
        <v>#NAME?</v>
      </c>
      <c r="AK364" s="50" t="str">
        <f>IFERROR(IF((Data_Entry!O353-Data_Entry!Q353)/Data_Entry!O353&lt;=10%,"&lt;=10%","&gt;10%"),"&lt;=10%")</f>
        <v>&lt;=10%</v>
      </c>
    </row>
    <row r="365" spans="1:37" s="48" customFormat="1" ht="13" hidden="1" x14ac:dyDescent="0.3">
      <c r="A365" s="31" t="s">
        <v>16</v>
      </c>
      <c r="B365" s="48" t="str">
        <f>Data_Entry!B354</f>
        <v>Goma</v>
      </c>
      <c r="C365" s="48" t="str">
        <f>Data_Entry!C354</f>
        <v xml:space="preserve"> Kirotshe</v>
      </c>
      <c r="D365" s="48" t="str">
        <f>Data_Entry!D354</f>
        <v xml:space="preserve"> Murambi</v>
      </c>
      <c r="E365" s="49">
        <f>IFERROR(IF(Data_Entry!J354/Data_Entry!$I354&lt;0,0,Data_Entry!J354/Data_Entry!$I354),0)</f>
        <v>0</v>
      </c>
      <c r="F365" s="49">
        <f>IFERROR(IF(Data_Entry!K354/Data_Entry!$H354&lt;0,0,Data_Entry!K354/Data_Entry!$H354),0)</f>
        <v>0</v>
      </c>
      <c r="G365" s="49">
        <f>IFERROR(IF(Data_Entry!L354/Data_Entry!$H354&lt;0,0,Data_Entry!L354/Data_Entry!$H354),0)</f>
        <v>0</v>
      </c>
      <c r="H365" s="49">
        <f>IFERROR(IF(Data_Entry!M354/Data_Entry!$H354&lt;0,0,Data_Entry!M354/Data_Entry!$H354),0)</f>
        <v>0</v>
      </c>
      <c r="I365" s="49">
        <f>IFERROR(IF(Data_Entry!N354/Data_Entry!$H354&lt;0,0,Data_Entry!N354/Data_Entry!$H354),0)</f>
        <v>0</v>
      </c>
      <c r="J365" s="49">
        <f>IFERROR(IF(Data_Entry!O354/Data_Entry!$H354&lt;0,0,Data_Entry!O354/Data_Entry!$H354),0)</f>
        <v>0</v>
      </c>
      <c r="K365" s="49">
        <f>IFERROR(IF(Data_Entry!P354/Data_Entry!$H354&lt;0,0,Data_Entry!P354/Data_Entry!$H354),0)</f>
        <v>0</v>
      </c>
      <c r="L365" s="49">
        <f>IFERROR(IF(Data_Entry!Q354/Data_Entry!$H354&lt;0,0,Data_Entry!Q354/Data_Entry!$H354),0)</f>
        <v>0</v>
      </c>
      <c r="M365" s="49">
        <f>IFERROR(IF(Data_Entry!R354/Data_Entry!$H354&lt;0,0,Data_Entry!R354/Data_Entry!$H354),0)</f>
        <v>0</v>
      </c>
      <c r="N365" s="49">
        <f>IFERROR(IF(Data_Entry!S354/Data_Entry!$H354&lt;0,0,Data_Entry!S354/Data_Entry!$H354),0)</f>
        <v>0</v>
      </c>
      <c r="O365" s="49">
        <f>IFERROR(IF(Data_Entry!T354/Data_Entry!$H354&lt;0,0,Data_Entry!T354/Data_Entry!$H354),0)</f>
        <v>0</v>
      </c>
      <c r="P365" s="49">
        <f>IFERROR(IF(Data_Entry!U354/Data_Entry!$H354&lt;0,0,Data_Entry!U354/Data_Entry!$H354),0)</f>
        <v>0</v>
      </c>
      <c r="Q365" s="49">
        <f>IFERROR(IF(Data_Entry!V354/Data_Entry!$H354&lt;0,0,Data_Entry!V354/Data_Entry!$H354),0)</f>
        <v>0</v>
      </c>
      <c r="R365" s="49">
        <f>IFERROR(IF(Data_Entry!W354/Data_Entry!$H354&lt;0,0,Data_Entry!W354/Data_Entry!$H354),0)</f>
        <v>0</v>
      </c>
      <c r="S365" s="49">
        <f>IFERROR(IF(Data_Entry!X354/Data_Entry!$H354&lt;0,0,Data_Entry!X354/Data_Entry!$H354),0)</f>
        <v>0</v>
      </c>
      <c r="T365" s="49">
        <f>IFERROR(IF(Data_Entry!Y354/Data_Entry!$H354&lt;0,0,Data_Entry!Y354/Data_Entry!$H354),0)</f>
        <v>0</v>
      </c>
      <c r="U365" s="49">
        <f>IFERROR(IF(Data_Entry!Z354/Data_Entry!$H354&lt;0,0,Data_Entry!Z354/Data_Entry!$H354),0)</f>
        <v>0</v>
      </c>
      <c r="V365" s="49">
        <f>IFERROR(IF(Data_Entry!AA354/Data_Entry!$H354&lt;0,0,Data_Entry!AA354/Data_Entry!$H354),0)</f>
        <v>0</v>
      </c>
      <c r="W365" s="49">
        <f>IFERROR(IF(Data_Entry!AB354/Data_Entry!$H354&lt;0,0,Data_Entry!AB354/Data_Entry!$H354),0)</f>
        <v>0</v>
      </c>
      <c r="X365" s="49">
        <f>IFERROR(IF(Data_Entry!AC354/Data_Entry!$I354&lt;0,0,Data_Entry!AC354/Data_Entry!$I354),0)</f>
        <v>0</v>
      </c>
      <c r="Y365" s="49">
        <f>IFERROR(IF(Data_Entry!AD354/Data_Entry!$I354&lt;0,0,Data_Entry!AD354/Data_Entry!$I354),0)</f>
        <v>0</v>
      </c>
      <c r="Z365" s="49">
        <f>IFERROR(IF(Data_Entry!AE354/Data_Entry!$I354&lt;0,0,Data_Entry!AE354/Data_Entry!$I354),0)</f>
        <v>0</v>
      </c>
      <c r="AA365" s="49">
        <f>IFERROR(IF(Data_Entry!AF354/Data_Entry!$I354&lt;0,0,Data_Entry!AF354/Data_Entry!$I354),0)</f>
        <v>0</v>
      </c>
      <c r="AB365" s="49">
        <f>IFERROR(IF(Data_Entry!AG354/Data_Entry!$I354&lt;0,0,Data_Entry!AG354/Data_Entry!$I354),0)</f>
        <v>0</v>
      </c>
      <c r="AC365" s="49">
        <f>IFERROR(IF(Data_Entry!AI354/Data_Entry!$I354&lt;0,0,Data_Entry!AI354/Data_Entry!$I354),0)</f>
        <v>7.7776625531473589E-2</v>
      </c>
      <c r="AD365" s="49">
        <f>IFERROR(IF(Data_Entry!AM354/Data_Entry!$H354&lt;0,0,Data_Entry!AM354/Data_Entry!$H354),0)</f>
        <v>0</v>
      </c>
      <c r="AE365" s="50">
        <f>Data_Entry!AK354</f>
        <v>0</v>
      </c>
      <c r="AF365" s="50">
        <f>Data_Entry!AL354</f>
        <v>0</v>
      </c>
      <c r="AG365" s="153" t="e">
        <f>(Data_Entry!O354-Data_Entry!Q354)/Data_Entry!O354</f>
        <v>#VALUE!</v>
      </c>
      <c r="AH365" s="79" t="str">
        <f t="shared" si="10"/>
        <v>ND</v>
      </c>
      <c r="AI365" s="51">
        <f>SUBTOTAL(3,Tableau1[[#This Row],[ZS]])</f>
        <v>0</v>
      </c>
      <c r="AJ365" s="51" t="e">
        <f t="shared" ca="1" si="11"/>
        <v>#NAME?</v>
      </c>
      <c r="AK365" s="50" t="str">
        <f>IFERROR(IF((Data_Entry!O354-Data_Entry!Q354)/Data_Entry!O354&lt;=10%,"&lt;=10%","&gt;10%"),"&lt;=10%")</f>
        <v>&lt;=10%</v>
      </c>
    </row>
    <row r="366" spans="1:37" s="48" customFormat="1" ht="13" hidden="1" x14ac:dyDescent="0.3">
      <c r="A366" s="31" t="s">
        <v>16</v>
      </c>
      <c r="B366" s="48" t="str">
        <f>Data_Entry!B355</f>
        <v>Goma</v>
      </c>
      <c r="C366" s="48" t="str">
        <f>Data_Entry!C355</f>
        <v xml:space="preserve"> Kirotshe</v>
      </c>
      <c r="D366" s="48" t="str">
        <f>Data_Entry!D355</f>
        <v xml:space="preserve"> Mushaki</v>
      </c>
      <c r="E366" s="49">
        <f>IFERROR(IF(Data_Entry!J355/Data_Entry!$I355&lt;0,0,Data_Entry!J355/Data_Entry!$I355),0)</f>
        <v>0.88913587107529857</v>
      </c>
      <c r="F366" s="49">
        <f>IFERROR(IF(Data_Entry!K355/Data_Entry!$H355&lt;0,0,Data_Entry!K355/Data_Entry!$H355),0)</f>
        <v>0.53819470706205408</v>
      </c>
      <c r="G366" s="49">
        <f>IFERROR(IF(Data_Entry!L355/Data_Entry!$H355&lt;0,0,Data_Entry!L355/Data_Entry!$H355),0)</f>
        <v>1.028620653142269</v>
      </c>
      <c r="H366" s="49">
        <f>IFERROR(IF(Data_Entry!M355/Data_Entry!$H355&lt;0,0,Data_Entry!M355/Data_Entry!$H355),0)</f>
        <v>0.88531437019675163</v>
      </c>
      <c r="I366" s="49">
        <f>IFERROR(IF(Data_Entry!N355/Data_Entry!$H355&lt;0,0,Data_Entry!N355/Data_Entry!$H355),0)</f>
        <v>0.92671396304767883</v>
      </c>
      <c r="J366" s="49">
        <f>IFERROR(IF(Data_Entry!O355/Data_Entry!$H355&lt;0,0,Data_Entry!O355/Data_Entry!$H355),0)</f>
        <v>1.0986815025822996</v>
      </c>
      <c r="K366" s="49">
        <f>IFERROR(IF(Data_Entry!P355/Data_Entry!$H355&lt;0,0,Data_Entry!P355/Data_Entry!$H355),0)</f>
        <v>0.95855980370223826</v>
      </c>
      <c r="L366" s="49">
        <f>IFERROR(IF(Data_Entry!Q355/Data_Entry!$H355&lt;0,0,Data_Entry!Q355/Data_Entry!$H355),0)</f>
        <v>0.99040564435679768</v>
      </c>
      <c r="M366" s="49">
        <f>IFERROR(IF(Data_Entry!R355/Data_Entry!$H355&lt;0,0,Data_Entry!R355/Data_Entry!$H355),0)</f>
        <v>1.0986815025822996</v>
      </c>
      <c r="N366" s="49">
        <f>IFERROR(IF(Data_Entry!S355/Data_Entry!$H355&lt;0,0,Data_Entry!S355/Data_Entry!$H355),0)</f>
        <v>0.95855980370223826</v>
      </c>
      <c r="O366" s="49">
        <f>IFERROR(IF(Data_Entry!T355/Data_Entry!$H355&lt;0,0,Data_Entry!T355/Data_Entry!$H355),0)</f>
        <v>0.99040564435679768</v>
      </c>
      <c r="P366" s="49">
        <f>IFERROR(IF(Data_Entry!U355/Data_Entry!$H355&lt;0,0,Data_Entry!U355/Data_Entry!$H355),0)</f>
        <v>1.0986815025822996</v>
      </c>
      <c r="Q366" s="49">
        <f>IFERROR(IF(Data_Entry!V355/Data_Entry!$H355&lt;0,0,Data_Entry!V355/Data_Entry!$H355),0)</f>
        <v>0.95855980370223826</v>
      </c>
      <c r="R366" s="49">
        <f>IFERROR(IF(Data_Entry!W355/Data_Entry!$H355&lt;0,0,Data_Entry!W355/Data_Entry!$H355),0)</f>
        <v>0.99040564435679768</v>
      </c>
      <c r="S366" s="49">
        <f>IFERROR(IF(Data_Entry!X355/Data_Entry!$H355&lt;0,0,Data_Entry!X355/Data_Entry!$H355),0)</f>
        <v>1.0063285646840774</v>
      </c>
      <c r="T366" s="49">
        <f>IFERROR(IF(Data_Entry!Y355/Data_Entry!$H355&lt;0,0,Data_Entry!Y355/Data_Entry!$H355),0)</f>
        <v>0.62417847682936445</v>
      </c>
      <c r="U366" s="49">
        <f>IFERROR(IF(Data_Entry!Z355/Data_Entry!$H355&lt;0,0,Data_Entry!Z355/Data_Entry!$H355),0)</f>
        <v>1.0063285646840774</v>
      </c>
      <c r="V366" s="49">
        <f>IFERROR(IF(Data_Entry!AA355/Data_Entry!$H355&lt;0,0,Data_Entry!AA355/Data_Entry!$H355),0)</f>
        <v>0.99040564435679768</v>
      </c>
      <c r="W366" s="49">
        <f>IFERROR(IF(Data_Entry!AB355/Data_Entry!$H355&lt;0,0,Data_Entry!AB355/Data_Entry!$H355),0)</f>
        <v>0.92671396304767883</v>
      </c>
      <c r="X366" s="49">
        <f>IFERROR(IF(Data_Entry!AC355/Data_Entry!$I355&lt;0,0,Data_Entry!AC355/Data_Entry!$I355),0)</f>
        <v>1.3392609058071685</v>
      </c>
      <c r="Y366" s="49">
        <f>IFERROR(IF(Data_Entry!AD355/Data_Entry!$I355&lt;0,0,Data_Entry!AD355/Data_Entry!$I355),0)</f>
        <v>0.7835509863851069</v>
      </c>
      <c r="Z366" s="49">
        <f>IFERROR(IF(Data_Entry!AE355/Data_Entry!$I355&lt;0,0,Data_Entry!AE355/Data_Entry!$I355),0)</f>
        <v>0.28341205890525145</v>
      </c>
      <c r="AA366" s="49">
        <f>IFERROR(IF(Data_Entry!AF355/Data_Entry!$I355&lt;0,0,Data_Entry!AF355/Data_Entry!$I355),0)</f>
        <v>0.19449847179772156</v>
      </c>
      <c r="AB366" s="49">
        <f>IFERROR(IF(Data_Entry!AG355/Data_Entry!$I355&lt;0,0,Data_Entry!AG355/Data_Entry!$I355),0)</f>
        <v>0</v>
      </c>
      <c r="AC366" s="49">
        <f>IFERROR(IF(Data_Entry!AI355/Data_Entry!$I355&lt;0,0,Data_Entry!AI355/Data_Entry!$I355),0)</f>
        <v>0.1389274798555154</v>
      </c>
      <c r="AD366" s="49">
        <f>IFERROR(IF(Data_Entry!AM355/Data_Entry!$H355&lt;0,0,Data_Entry!AM355/Data_Entry!$H355),0)</f>
        <v>1.0063285646840774</v>
      </c>
      <c r="AE366" s="50">
        <f>Data_Entry!AK355</f>
        <v>0</v>
      </c>
      <c r="AF366" s="50">
        <f>Data_Entry!AL355</f>
        <v>29</v>
      </c>
      <c r="AG366" s="153">
        <f>(Data_Entry!O355-Data_Entry!Q355)/Data_Entry!O355</f>
        <v>9.8550724637681164E-2</v>
      </c>
      <c r="AH366" s="79" t="str">
        <f t="shared" si="10"/>
        <v>CAT1</v>
      </c>
      <c r="AI366" s="51">
        <f>SUBTOTAL(3,Tableau1[[#This Row],[ZS]])</f>
        <v>0</v>
      </c>
      <c r="AJ366" s="51" t="e">
        <f t="shared" ca="1" si="11"/>
        <v>#NAME?</v>
      </c>
      <c r="AK366" s="50" t="str">
        <f>IFERROR(IF((Data_Entry!O355-Data_Entry!Q355)/Data_Entry!O355&lt;=10%,"&lt;=10%","&gt;10%"),"&lt;=10%")</f>
        <v>&lt;=10%</v>
      </c>
    </row>
    <row r="367" spans="1:37" s="48" customFormat="1" ht="13" hidden="1" x14ac:dyDescent="0.3">
      <c r="A367" s="31" t="s">
        <v>16</v>
      </c>
      <c r="B367" s="48" t="str">
        <f>Data_Entry!B356</f>
        <v>Goma</v>
      </c>
      <c r="C367" s="48" t="str">
        <f>Data_Entry!C356</f>
        <v xml:space="preserve"> Kirotshe</v>
      </c>
      <c r="D367" s="48" t="str">
        <f>Data_Entry!D356</f>
        <v xml:space="preserve"> Ngungu</v>
      </c>
      <c r="E367" s="49">
        <f>IFERROR(IF(Data_Entry!J356/Data_Entry!$I356&lt;0,0,Data_Entry!J356/Data_Entry!$I356),0)</f>
        <v>0.79564543222638573</v>
      </c>
      <c r="F367" s="49">
        <f>IFERROR(IF(Data_Entry!K356/Data_Entry!$H356&lt;0,0,Data_Entry!K356/Data_Entry!$H356),0)</f>
        <v>0.19882180493914831</v>
      </c>
      <c r="G367" s="49">
        <f>IFERROR(IF(Data_Entry!L356/Data_Entry!$H356&lt;0,0,Data_Entry!L356/Data_Entry!$H356),0)</f>
        <v>0.79750869243747757</v>
      </c>
      <c r="H367" s="49">
        <f>IFERROR(IF(Data_Entry!M356/Data_Entry!$H356&lt;0,0,Data_Entry!M356/Data_Entry!$H356),0)</f>
        <v>0.73308598469183173</v>
      </c>
      <c r="I367" s="49">
        <f>IFERROR(IF(Data_Entry!N356/Data_Entry!$H356&lt;0,0,Data_Entry!N356/Data_Entry!$H356),0)</f>
        <v>0.73308598469183173</v>
      </c>
      <c r="J367" s="49">
        <f>IFERROR(IF(Data_Entry!O356/Data_Entry!$H356&lt;0,0,Data_Entry!O356/Data_Entry!$H356),0)</f>
        <v>0.79750869243747757</v>
      </c>
      <c r="K367" s="49">
        <f>IFERROR(IF(Data_Entry!P356/Data_Entry!$H356&lt;0,0,Data_Entry!P356/Data_Entry!$H356),0)</f>
        <v>0.73308598469183173</v>
      </c>
      <c r="L367" s="49">
        <f>IFERROR(IF(Data_Entry!Q356/Data_Entry!$H356&lt;0,0,Data_Entry!Q356/Data_Entry!$H356),0)</f>
        <v>0.73308598469183173</v>
      </c>
      <c r="M367" s="49">
        <f>IFERROR(IF(Data_Entry!R356/Data_Entry!$H356&lt;0,0,Data_Entry!R356/Data_Entry!$H356),0)</f>
        <v>0.69087800375502928</v>
      </c>
      <c r="N367" s="49">
        <f>IFERROR(IF(Data_Entry!S356/Data_Entry!$H356&lt;0,0,Data_Entry!S356/Data_Entry!$H356),0)</f>
        <v>0.62867676869026778</v>
      </c>
      <c r="O367" s="49">
        <f>IFERROR(IF(Data_Entry!T356/Data_Entry!$H356&lt;0,0,Data_Entry!T356/Data_Entry!$H356),0)</f>
        <v>0.57091847898727499</v>
      </c>
      <c r="P367" s="49">
        <f>IFERROR(IF(Data_Entry!U356/Data_Entry!$H356&lt;0,0,Data_Entry!U356/Data_Entry!$H356),0)</f>
        <v>0.79750869243747757</v>
      </c>
      <c r="Q367" s="49">
        <f>IFERROR(IF(Data_Entry!V356/Data_Entry!$H356&lt;0,0,Data_Entry!V356/Data_Entry!$H356),0)</f>
        <v>0.73308598469183173</v>
      </c>
      <c r="R367" s="49">
        <f>IFERROR(IF(Data_Entry!W356/Data_Entry!$H356&lt;0,0,Data_Entry!W356/Data_Entry!$H356),0)</f>
        <v>0.73308598469183173</v>
      </c>
      <c r="S367" s="49">
        <f>IFERROR(IF(Data_Entry!X356/Data_Entry!$H356&lt;0,0,Data_Entry!X356/Data_Entry!$H356),0)</f>
        <v>0.73975040273448478</v>
      </c>
      <c r="T367" s="49">
        <f>IFERROR(IF(Data_Entry!Y356/Data_Entry!$H356&lt;0,0,Data_Entry!Y356/Data_Entry!$H356),0)</f>
        <v>7.7751543830951852E-3</v>
      </c>
      <c r="U367" s="49">
        <f>IFERROR(IF(Data_Entry!Z356/Data_Entry!$H356&lt;0,0,Data_Entry!Z356/Data_Entry!$H356),0)</f>
        <v>0.73975040273448478</v>
      </c>
      <c r="V367" s="49">
        <f>IFERROR(IF(Data_Entry!AA356/Data_Entry!$H356&lt;0,0,Data_Entry!AA356/Data_Entry!$H356),0)</f>
        <v>0.73308598469183173</v>
      </c>
      <c r="W367" s="49">
        <f>IFERROR(IF(Data_Entry!AB356/Data_Entry!$H356&lt;0,0,Data_Entry!AB356/Data_Entry!$H356),0)</f>
        <v>3.3322090213265079E-3</v>
      </c>
      <c r="X367" s="49">
        <f>IFERROR(IF(Data_Entry!AC356/Data_Entry!$I356&lt;0,0,Data_Entry!AC356/Data_Entry!$I356),0)</f>
        <v>0.19479260886419431</v>
      </c>
      <c r="Y367" s="49">
        <f>IFERROR(IF(Data_Entry!AD356/Data_Entry!$I356&lt;0,0,Data_Entry!AD356/Data_Entry!$I356),0)</f>
        <v>0.11241762501615195</v>
      </c>
      <c r="Z367" s="49">
        <f>IFERROR(IF(Data_Entry!AE356/Data_Entry!$I356&lt;0,0,Data_Entry!AE356/Data_Entry!$I356),0)</f>
        <v>0.13083085669983199</v>
      </c>
      <c r="AA367" s="49">
        <f>IFERROR(IF(Data_Entry!AF356/Data_Entry!$I356&lt;0,0,Data_Entry!AF356/Data_Entry!$I356),0)</f>
        <v>0.10854115518800878</v>
      </c>
      <c r="AB367" s="49">
        <f>IFERROR(IF(Data_Entry!AG356/Data_Entry!$I356&lt;0,0,Data_Entry!AG356/Data_Entry!$I356),0)</f>
        <v>9.4973510789507679E-2</v>
      </c>
      <c r="AC367" s="49">
        <f>IFERROR(IF(Data_Entry!AI356/Data_Entry!$I356&lt;0,0,Data_Entry!AI356/Data_Entry!$I356),0)</f>
        <v>4.0412197958392557E-2</v>
      </c>
      <c r="AD367" s="49">
        <f>IFERROR(IF(Data_Entry!AM356/Data_Entry!$H356&lt;0,0,Data_Entry!AM356/Data_Entry!$H356),0)</f>
        <v>0.73975040273448478</v>
      </c>
      <c r="AE367" s="50">
        <f>Data_Entry!AK356</f>
        <v>182.30366666666669</v>
      </c>
      <c r="AF367" s="50">
        <f>Data_Entry!AL356</f>
        <v>52</v>
      </c>
      <c r="AG367" s="153">
        <f>(Data_Entry!O356-Data_Entry!Q356)/Data_Entry!O356</f>
        <v>8.0779944289693595E-2</v>
      </c>
      <c r="AH367" s="79" t="str">
        <f t="shared" si="10"/>
        <v>CAT3</v>
      </c>
      <c r="AI367" s="51">
        <f>SUBTOTAL(3,Tableau1[[#This Row],[ZS]])</f>
        <v>0</v>
      </c>
      <c r="AJ367" s="51" t="e">
        <f t="shared" ca="1" si="11"/>
        <v>#NAME?</v>
      </c>
      <c r="AK367" s="50" t="str">
        <f>IFERROR(IF((Data_Entry!O356-Data_Entry!Q356)/Data_Entry!O356&lt;=10%,"&lt;=10%","&gt;10%"),"&lt;=10%")</f>
        <v>&lt;=10%</v>
      </c>
    </row>
    <row r="368" spans="1:37" s="48" customFormat="1" ht="13" hidden="1" x14ac:dyDescent="0.3">
      <c r="A368" s="31" t="s">
        <v>16</v>
      </c>
      <c r="B368" s="48" t="str">
        <f>Data_Entry!B357</f>
        <v>Goma</v>
      </c>
      <c r="C368" s="48" t="str">
        <f>Data_Entry!C357</f>
        <v xml:space="preserve"> Kirotshe</v>
      </c>
      <c r="D368" s="48" t="str">
        <f>Data_Entry!D357</f>
        <v xml:space="preserve"> Nzulo</v>
      </c>
      <c r="E368" s="49">
        <f>IFERROR(IF(Data_Entry!J357/Data_Entry!$I357&lt;0,0,Data_Entry!J357/Data_Entry!$I357),0)</f>
        <v>1.3052208835341366</v>
      </c>
      <c r="F368" s="49">
        <f>IFERROR(IF(Data_Entry!K357/Data_Entry!$H357&lt;0,0,Data_Entry!K357/Data_Entry!$H357),0)</f>
        <v>0.49865172245812289</v>
      </c>
      <c r="G368" s="49">
        <f>IFERROR(IF(Data_Entry!L357/Data_Entry!$H357&lt;0,0,Data_Entry!L357/Data_Entry!$H357),0)</f>
        <v>1.8603545030168431</v>
      </c>
      <c r="H368" s="49">
        <f>IFERROR(IF(Data_Entry!M357/Data_Entry!$H357&lt;0,0,Data_Entry!M357/Data_Entry!$H357),0)</f>
        <v>1.7798030709274539</v>
      </c>
      <c r="I368" s="49">
        <f>IFERROR(IF(Data_Entry!N357/Data_Entry!$H357&lt;0,0,Data_Entry!N357/Data_Entry!$H357),0)</f>
        <v>1.5880139469050991</v>
      </c>
      <c r="J368" s="49">
        <f>IFERROR(IF(Data_Entry!O357/Data_Entry!$H357&lt;0,0,Data_Entry!O357/Data_Entry!$H357),0)</f>
        <v>1.856518720536396</v>
      </c>
      <c r="K368" s="49">
        <f>IFERROR(IF(Data_Entry!P357/Data_Entry!$H357&lt;0,0,Data_Entry!P357/Data_Entry!$H357),0)</f>
        <v>1.8411755906146077</v>
      </c>
      <c r="L368" s="49">
        <f>IFERROR(IF(Data_Entry!Q357/Data_Entry!$H357&lt;0,0,Data_Entry!Q357/Data_Entry!$H357),0)</f>
        <v>1.5880139469050991</v>
      </c>
      <c r="M368" s="49">
        <f>IFERROR(IF(Data_Entry!R357/Data_Entry!$H357&lt;0,0,Data_Entry!R357/Data_Entry!$H357),0)</f>
        <v>1.8411755906146077</v>
      </c>
      <c r="N368" s="49">
        <f>IFERROR(IF(Data_Entry!S357/Data_Entry!$H357&lt;0,0,Data_Entry!S357/Data_Entry!$H357),0)</f>
        <v>1.8411755906146077</v>
      </c>
      <c r="O368" s="49">
        <f>IFERROR(IF(Data_Entry!T357/Data_Entry!$H357&lt;0,0,Data_Entry!T357/Data_Entry!$H357),0)</f>
        <v>1.5880139469050991</v>
      </c>
      <c r="P368" s="49">
        <f>IFERROR(IF(Data_Entry!U357/Data_Entry!$H357&lt;0,0,Data_Entry!U357/Data_Entry!$H357),0)</f>
        <v>1.8373398081341605</v>
      </c>
      <c r="Q368" s="49">
        <f>IFERROR(IF(Data_Entry!V357/Data_Entry!$H357&lt;0,0,Data_Entry!V357/Data_Entry!$H357),0)</f>
        <v>1.8411755906146077</v>
      </c>
      <c r="R368" s="49">
        <f>IFERROR(IF(Data_Entry!W357/Data_Entry!$H357&lt;0,0,Data_Entry!W357/Data_Entry!$H357),0)</f>
        <v>1.5880139469050991</v>
      </c>
      <c r="S368" s="49">
        <f>IFERROR(IF(Data_Entry!X357/Data_Entry!$H357&lt;0,0,Data_Entry!X357/Data_Entry!$H357),0)</f>
        <v>1.3463596506369317</v>
      </c>
      <c r="T368" s="49">
        <f>IFERROR(IF(Data_Entry!Y357/Data_Entry!$H357&lt;0,0,Data_Entry!Y357/Data_Entry!$H357),0)</f>
        <v>0.46796546261454608</v>
      </c>
      <c r="U368" s="49">
        <f>IFERROR(IF(Data_Entry!Z357/Data_Entry!$H357&lt;0,0,Data_Entry!Z357/Data_Entry!$H357),0)</f>
        <v>1.3501954331173789</v>
      </c>
      <c r="V368" s="49">
        <f>IFERROR(IF(Data_Entry!AA357/Data_Entry!$H357&lt;0,0,Data_Entry!AA357/Data_Entry!$H357),0)</f>
        <v>1.664729596514041</v>
      </c>
      <c r="W368" s="49">
        <f>IFERROR(IF(Data_Entry!AB357/Data_Entry!$H357&lt;0,0,Data_Entry!AB357/Data_Entry!$H357),0)</f>
        <v>1.1775852214972595</v>
      </c>
      <c r="X368" s="49">
        <f>IFERROR(IF(Data_Entry!AC357/Data_Entry!$I357&lt;0,0,Data_Entry!AC357/Data_Entry!$I357),0)</f>
        <v>0.53882195448460501</v>
      </c>
      <c r="Y368" s="49">
        <f>IFERROR(IF(Data_Entry!AD357/Data_Entry!$I357&lt;0,0,Data_Entry!AD357/Data_Entry!$I357),0)</f>
        <v>0.21084337349397589</v>
      </c>
      <c r="Z368" s="49">
        <f>IFERROR(IF(Data_Entry!AE357/Data_Entry!$I357&lt;0,0,Data_Entry!AE357/Data_Entry!$I357),0)</f>
        <v>0.34805890227576974</v>
      </c>
      <c r="AA368" s="49">
        <f>IFERROR(IF(Data_Entry!AF357/Data_Entry!$I357&lt;0,0,Data_Entry!AF357/Data_Entry!$I357),0)</f>
        <v>0.16733601070950468</v>
      </c>
      <c r="AB368" s="49">
        <f>IFERROR(IF(Data_Entry!AG357/Data_Entry!$I357&lt;0,0,Data_Entry!AG357/Data_Entry!$I357),0)</f>
        <v>9.7054886211512717E-2</v>
      </c>
      <c r="AC368" s="49">
        <f>IFERROR(IF(Data_Entry!AI357/Data_Entry!$I357&lt;0,0,Data_Entry!AI357/Data_Entry!$I357),0)</f>
        <v>0.16733601070950468</v>
      </c>
      <c r="AD368" s="49">
        <f>IFERROR(IF(Data_Entry!AM357/Data_Entry!$H357&lt;0,0,Data_Entry!AM357/Data_Entry!$H357),0)</f>
        <v>1.3463596506369317</v>
      </c>
      <c r="AE368" s="50">
        <f>Data_Entry!AK357</f>
        <v>0</v>
      </c>
      <c r="AF368" s="50">
        <f>Data_Entry!AL357</f>
        <v>133</v>
      </c>
      <c r="AG368" s="153">
        <f>(Data_Entry!O357-Data_Entry!Q357)/Data_Entry!O357</f>
        <v>0.14462809917355371</v>
      </c>
      <c r="AH368" s="79" t="str">
        <f t="shared" si="10"/>
        <v>CAT2</v>
      </c>
      <c r="AI368" s="51">
        <f>SUBTOTAL(3,Tableau1[[#This Row],[ZS]])</f>
        <v>0</v>
      </c>
      <c r="AJ368" s="51" t="e">
        <f t="shared" ca="1" si="11"/>
        <v>#NAME?</v>
      </c>
      <c r="AK368" s="50" t="str">
        <f>IFERROR(IF((Data_Entry!O357-Data_Entry!Q357)/Data_Entry!O357&lt;=10%,"&lt;=10%","&gt;10%"),"&lt;=10%")</f>
        <v>&gt;10%</v>
      </c>
    </row>
    <row r="369" spans="1:37" s="48" customFormat="1" ht="13" hidden="1" x14ac:dyDescent="0.3">
      <c r="A369" s="31" t="s">
        <v>16</v>
      </c>
      <c r="B369" s="48" t="str">
        <f>Data_Entry!B358</f>
        <v>Goma</v>
      </c>
      <c r="C369" s="48" t="str">
        <f>Data_Entry!C358</f>
        <v xml:space="preserve"> Kirotshe</v>
      </c>
      <c r="D369" s="48" t="str">
        <f>Data_Entry!D358</f>
        <v xml:space="preserve"> Rubaya</v>
      </c>
      <c r="E369" s="49">
        <f>IFERROR(IF(Data_Entry!J358/Data_Entry!$I358&lt;0,0,Data_Entry!J358/Data_Entry!$I358),0)</f>
        <v>0.84740120785581807</v>
      </c>
      <c r="F369" s="49">
        <f>IFERROR(IF(Data_Entry!K358/Data_Entry!$H358&lt;0,0,Data_Entry!K358/Data_Entry!$H358),0)</f>
        <v>0.97123347605251353</v>
      </c>
      <c r="G369" s="49">
        <f>IFERROR(IF(Data_Entry!L358/Data_Entry!$H358&lt;0,0,Data_Entry!L358/Data_Entry!$H358),0)</f>
        <v>0.96142303690046793</v>
      </c>
      <c r="H369" s="49">
        <f>IFERROR(IF(Data_Entry!M358/Data_Entry!$H358&lt;0,0,Data_Entry!M358/Data_Entry!$H358),0)</f>
        <v>0.96959840286050603</v>
      </c>
      <c r="I369" s="49">
        <f>IFERROR(IF(Data_Entry!N358/Data_Entry!$H358&lt;0,0,Data_Entry!N358/Data_Entry!$H358),0)</f>
        <v>0.98267898839656675</v>
      </c>
      <c r="J369" s="49">
        <f>IFERROR(IF(Data_Entry!O358/Data_Entry!$H358&lt;0,0,Data_Entry!O358/Data_Entry!$H358),0)</f>
        <v>0.96142303690046793</v>
      </c>
      <c r="K369" s="49">
        <f>IFERROR(IF(Data_Entry!P358/Data_Entry!$H358&lt;0,0,Data_Entry!P358/Data_Entry!$H358),0)</f>
        <v>0.96959840286050603</v>
      </c>
      <c r="L369" s="49">
        <f>IFERROR(IF(Data_Entry!Q358/Data_Entry!$H358&lt;0,0,Data_Entry!Q358/Data_Entry!$H358),0)</f>
        <v>0.98267898839656675</v>
      </c>
      <c r="M369" s="49">
        <f>IFERROR(IF(Data_Entry!R358/Data_Entry!$H358&lt;0,0,Data_Entry!R358/Data_Entry!$H358),0)</f>
        <v>0.96142303690046793</v>
      </c>
      <c r="N369" s="49">
        <f>IFERROR(IF(Data_Entry!S358/Data_Entry!$H358&lt;0,0,Data_Entry!S358/Data_Entry!$H358),0)</f>
        <v>0.96959840286050603</v>
      </c>
      <c r="O369" s="49">
        <f>IFERROR(IF(Data_Entry!T358/Data_Entry!$H358&lt;0,0,Data_Entry!T358/Data_Entry!$H358),0)</f>
        <v>0.98267898839656675</v>
      </c>
      <c r="P369" s="49">
        <f>IFERROR(IF(Data_Entry!U358/Data_Entry!$H358&lt;0,0,Data_Entry!U358/Data_Entry!$H358),0)</f>
        <v>0.96142303690046793</v>
      </c>
      <c r="Q369" s="49">
        <f>IFERROR(IF(Data_Entry!V358/Data_Entry!$H358&lt;0,0,Data_Entry!V358/Data_Entry!$H358),0)</f>
        <v>0.96959840286050603</v>
      </c>
      <c r="R369" s="49">
        <f>IFERROR(IF(Data_Entry!W358/Data_Entry!$H358&lt;0,0,Data_Entry!W358/Data_Entry!$H358),0)</f>
        <v>0.98267898839656675</v>
      </c>
      <c r="S369" s="49">
        <f>IFERROR(IF(Data_Entry!X358/Data_Entry!$H358&lt;0,0,Data_Entry!X358/Data_Entry!$H358),0)</f>
        <v>1.0121103058527035</v>
      </c>
      <c r="T369" s="49">
        <f>IFERROR(IF(Data_Entry!Y358/Data_Entry!$H358&lt;0,0,Data_Entry!Y358/Data_Entry!$H358),0)</f>
        <v>0.99085435435660474</v>
      </c>
      <c r="U369" s="49">
        <f>IFERROR(IF(Data_Entry!Z358/Data_Entry!$H358&lt;0,0,Data_Entry!Z358/Data_Entry!$H358),0)</f>
        <v>1.0104752326606958</v>
      </c>
      <c r="V369" s="49">
        <f>IFERROR(IF(Data_Entry!AA358/Data_Entry!$H358&lt;0,0,Data_Entry!AA358/Data_Entry!$H358),0)</f>
        <v>0.98267898839656675</v>
      </c>
      <c r="W369" s="49">
        <f>IFERROR(IF(Data_Entry!AB358/Data_Entry!$H358&lt;0,0,Data_Entry!AB358/Data_Entry!$H358),0)</f>
        <v>1.0088401594686884</v>
      </c>
      <c r="X369" s="49">
        <f>IFERROR(IF(Data_Entry!AC358/Data_Entry!$I358&lt;0,0,Data_Entry!AC358/Data_Entry!$I358),0)</f>
        <v>0.16263255504303581</v>
      </c>
      <c r="Y369" s="49">
        <f>IFERROR(IF(Data_Entry!AD358/Data_Entry!$I358&lt;0,0,Data_Entry!AD358/Data_Entry!$I358),0)</f>
        <v>0.13124732512244994</v>
      </c>
      <c r="Z369" s="49">
        <f>IFERROR(IF(Data_Entry!AE358/Data_Entry!$I358&lt;0,0,Data_Entry!AE358/Data_Entry!$I358),0)</f>
        <v>0.1198345142422369</v>
      </c>
      <c r="AA369" s="49">
        <f>IFERROR(IF(Data_Entry!AF358/Data_Entry!$I358&lt;0,0,Data_Entry!AF358/Data_Entry!$I358),0)</f>
        <v>8.7022682961624423E-2</v>
      </c>
      <c r="AB369" s="49">
        <f>IFERROR(IF(Data_Entry!AG358/Data_Entry!$I358&lt;0,0,Data_Entry!AG358/Data_Entry!$I358),0)</f>
        <v>8.0602976841504581E-2</v>
      </c>
      <c r="AC369" s="49">
        <f>IFERROR(IF(Data_Entry!AI358/Data_Entry!$I358&lt;0,0,Data_Entry!AI358/Data_Entry!$I358),0)</f>
        <v>4.158542964477626E-2</v>
      </c>
      <c r="AD369" s="49">
        <f>IFERROR(IF(Data_Entry!AM358/Data_Entry!$H358&lt;0,0,Data_Entry!AM358/Data_Entry!$H358),0)</f>
        <v>1.0104752326606958</v>
      </c>
      <c r="AE369" s="50">
        <f>Data_Entry!AK358</f>
        <v>47.186833333333425</v>
      </c>
      <c r="AF369" s="50">
        <f>Data_Entry!AL358</f>
        <v>0</v>
      </c>
      <c r="AG369" s="153">
        <f>(Data_Entry!O358-Data_Entry!Q358)/Data_Entry!O358</f>
        <v>-2.2108843537414966E-2</v>
      </c>
      <c r="AH369" s="79" t="str">
        <f t="shared" si="10"/>
        <v>CAT1</v>
      </c>
      <c r="AI369" s="51">
        <f>SUBTOTAL(3,Tableau1[[#This Row],[ZS]])</f>
        <v>0</v>
      </c>
      <c r="AJ369" s="51" t="e">
        <f t="shared" ca="1" si="11"/>
        <v>#NAME?</v>
      </c>
      <c r="AK369" s="50" t="str">
        <f>IFERROR(IF((Data_Entry!O358-Data_Entry!Q358)/Data_Entry!O358&lt;=10%,"&lt;=10%","&gt;10%"),"&lt;=10%")</f>
        <v>&lt;=10%</v>
      </c>
    </row>
    <row r="370" spans="1:37" s="48" customFormat="1" ht="13" hidden="1" x14ac:dyDescent="0.3">
      <c r="A370" s="31" t="s">
        <v>16</v>
      </c>
      <c r="B370" s="48" t="str">
        <f>Data_Entry!B359</f>
        <v>Goma</v>
      </c>
      <c r="C370" s="48" t="str">
        <f>Data_Entry!C359</f>
        <v xml:space="preserve"> Kirotshe</v>
      </c>
      <c r="D370" s="48" t="str">
        <f>Data_Entry!D359</f>
        <v xml:space="preserve"> Ruhegeri</v>
      </c>
      <c r="E370" s="49">
        <f>IFERROR(IF(Data_Entry!J359/Data_Entry!$I359&lt;0,0,Data_Entry!J359/Data_Entry!$I359),0)</f>
        <v>0.5854253481044821</v>
      </c>
      <c r="F370" s="49">
        <f>IFERROR(IF(Data_Entry!K359/Data_Entry!$H359&lt;0,0,Data_Entry!K359/Data_Entry!$H359),0)</f>
        <v>0.28306741401900104</v>
      </c>
      <c r="G370" s="49">
        <f>IFERROR(IF(Data_Entry!L359/Data_Entry!$H359&lt;0,0,Data_Entry!L359/Data_Entry!$H359),0)</f>
        <v>0.83522360432766973</v>
      </c>
      <c r="H370" s="49">
        <f>IFERROR(IF(Data_Entry!M359/Data_Entry!$H359&lt;0,0,Data_Entry!M359/Data_Entry!$H359),0)</f>
        <v>0.71640518362833605</v>
      </c>
      <c r="I370" s="49">
        <f>IFERROR(IF(Data_Entry!N359/Data_Entry!$H359&lt;0,0,Data_Entry!N359/Data_Entry!$H359),0)</f>
        <v>0.7688250751133362</v>
      </c>
      <c r="J370" s="49">
        <f>IFERROR(IF(Data_Entry!O359/Data_Entry!$H359&lt;0,0,Data_Entry!O359/Data_Entry!$H359),0)</f>
        <v>0.85269690148933652</v>
      </c>
      <c r="K370" s="49">
        <f>IFERROR(IF(Data_Entry!P359/Data_Entry!$H359&lt;0,0,Data_Entry!P359/Data_Entry!$H359),0)</f>
        <v>0.71640518362833605</v>
      </c>
      <c r="L370" s="49">
        <f>IFERROR(IF(Data_Entry!Q359/Data_Entry!$H359&lt;0,0,Data_Entry!Q359/Data_Entry!$H359),0)</f>
        <v>0.7688250751133362</v>
      </c>
      <c r="M370" s="49">
        <f>IFERROR(IF(Data_Entry!R359/Data_Entry!$H359&lt;0,0,Data_Entry!R359/Data_Entry!$H359),0)</f>
        <v>0.83522360432766973</v>
      </c>
      <c r="N370" s="49">
        <f>IFERROR(IF(Data_Entry!S359/Data_Entry!$H359&lt;0,0,Data_Entry!S359/Data_Entry!$H359),0)</f>
        <v>0.74785711851933612</v>
      </c>
      <c r="O370" s="49">
        <f>IFERROR(IF(Data_Entry!T359/Data_Entry!$H359&lt;0,0,Data_Entry!T359/Data_Entry!$H359),0)</f>
        <v>0.7688250751133362</v>
      </c>
      <c r="P370" s="49">
        <f>IFERROR(IF(Data_Entry!U359/Data_Entry!$H359&lt;0,0,Data_Entry!U359/Data_Entry!$H359),0)</f>
        <v>0.85269690148933652</v>
      </c>
      <c r="Q370" s="49">
        <f>IFERROR(IF(Data_Entry!V359/Data_Entry!$H359&lt;0,0,Data_Entry!V359/Data_Entry!$H359),0)</f>
        <v>0.7618357562486695</v>
      </c>
      <c r="R370" s="49">
        <f>IFERROR(IF(Data_Entry!W359/Data_Entry!$H359&lt;0,0,Data_Entry!W359/Data_Entry!$H359),0)</f>
        <v>0.7688250751133362</v>
      </c>
      <c r="S370" s="49">
        <f>IFERROR(IF(Data_Entry!X359/Data_Entry!$H359&lt;0,0,Data_Entry!X359/Data_Entry!$H359),0)</f>
        <v>0.60108142236133555</v>
      </c>
      <c r="T370" s="49">
        <f>IFERROR(IF(Data_Entry!Y359/Data_Entry!$H359&lt;0,0,Data_Entry!Y359/Data_Entry!$H359),0)</f>
        <v>0.26209945742500096</v>
      </c>
      <c r="U370" s="49">
        <f>IFERROR(IF(Data_Entry!Z359/Data_Entry!$H359&lt;0,0,Data_Entry!Z359/Data_Entry!$H359),0)</f>
        <v>0.52769357428233532</v>
      </c>
      <c r="V370" s="49">
        <f>IFERROR(IF(Data_Entry!AA359/Data_Entry!$H359&lt;0,0,Data_Entry!AA359/Data_Entry!$H359),0)</f>
        <v>0.7688250751133362</v>
      </c>
      <c r="W370" s="49">
        <f>IFERROR(IF(Data_Entry!AB359/Data_Entry!$H359&lt;0,0,Data_Entry!AB359/Data_Entry!$H359),0)</f>
        <v>0.60108142236133555</v>
      </c>
      <c r="X370" s="49">
        <f>IFERROR(IF(Data_Entry!AC359/Data_Entry!$I359&lt;0,0,Data_Entry!AC359/Data_Entry!$I359),0)</f>
        <v>0.15245451773554222</v>
      </c>
      <c r="Y370" s="49">
        <f>IFERROR(IF(Data_Entry!AD359/Data_Entry!$I359&lt;0,0,Data_Entry!AD359/Data_Entry!$I359),0)</f>
        <v>5.1834536030084352E-2</v>
      </c>
      <c r="Z370" s="49">
        <f>IFERROR(IF(Data_Entry!AE359/Data_Entry!$I359&lt;0,0,Data_Entry!AE359/Data_Entry!$I359),0)</f>
        <v>0</v>
      </c>
      <c r="AA370" s="49">
        <f>IFERROR(IF(Data_Entry!AF359/Data_Entry!$I359&lt;0,0,Data_Entry!AF359/Data_Entry!$I359),0)</f>
        <v>0</v>
      </c>
      <c r="AB370" s="49">
        <f>IFERROR(IF(Data_Entry!AG359/Data_Entry!$I359&lt;0,0,Data_Entry!AG359/Data_Entry!$I359),0)</f>
        <v>0</v>
      </c>
      <c r="AC370" s="49">
        <f>IFERROR(IF(Data_Entry!AI359/Data_Entry!$I359&lt;0,0,Data_Entry!AI359/Data_Entry!$I359),0)</f>
        <v>7.6227258867771111E-2</v>
      </c>
      <c r="AD370" s="49">
        <f>IFERROR(IF(Data_Entry!AM359/Data_Entry!$H359&lt;0,0,Data_Entry!AM359/Data_Entry!$H359),0)</f>
        <v>0.52769357428233532</v>
      </c>
      <c r="AE370" s="50">
        <f>Data_Entry!AK359</f>
        <v>42.15091666666666</v>
      </c>
      <c r="AF370" s="50">
        <f>Data_Entry!AL359</f>
        <v>72</v>
      </c>
      <c r="AG370" s="153">
        <f>(Data_Entry!O359-Data_Entry!Q359)/Data_Entry!O359</f>
        <v>9.8360655737704916E-2</v>
      </c>
      <c r="AH370" s="79" t="str">
        <f t="shared" si="10"/>
        <v>CAT3</v>
      </c>
      <c r="AI370" s="51">
        <f>SUBTOTAL(3,Tableau1[[#This Row],[ZS]])</f>
        <v>0</v>
      </c>
      <c r="AJ370" s="51" t="e">
        <f t="shared" ca="1" si="11"/>
        <v>#NAME?</v>
      </c>
      <c r="AK370" s="50" t="str">
        <f>IFERROR(IF((Data_Entry!O359-Data_Entry!Q359)/Data_Entry!O359&lt;=10%,"&lt;=10%","&gt;10%"),"&lt;=10%")</f>
        <v>&lt;=10%</v>
      </c>
    </row>
    <row r="371" spans="1:37" s="48" customFormat="1" ht="13" hidden="1" x14ac:dyDescent="0.3">
      <c r="A371" s="31" t="s">
        <v>16</v>
      </c>
      <c r="B371" s="48" t="str">
        <f>Data_Entry!B360</f>
        <v>Goma</v>
      </c>
      <c r="C371" s="48" t="str">
        <f>Data_Entry!C360</f>
        <v xml:space="preserve"> Kirotshe</v>
      </c>
      <c r="D371" s="48" t="str">
        <f>Data_Entry!D360</f>
        <v xml:space="preserve"> Sake</v>
      </c>
      <c r="E371" s="49">
        <f>IFERROR(IF(Data_Entry!J360/Data_Entry!$I360&lt;0,0,Data_Entry!J360/Data_Entry!$I360),0)</f>
        <v>0.13121063680895731</v>
      </c>
      <c r="F371" s="49">
        <f>IFERROR(IF(Data_Entry!K360/Data_Entry!$H360&lt;0,0,Data_Entry!K360/Data_Entry!$H360),0)</f>
        <v>6.0153873608691039E-2</v>
      </c>
      <c r="G371" s="49">
        <f>IFERROR(IF(Data_Entry!L360/Data_Entry!$H360&lt;0,0,Data_Entry!L360/Data_Entry!$H360),0)</f>
        <v>0.14436929666085849</v>
      </c>
      <c r="H371" s="49">
        <f>IFERROR(IF(Data_Entry!M360/Data_Entry!$H360&lt;0,0,Data_Entry!M360/Data_Entry!$H360),0)</f>
        <v>0.13474467688346792</v>
      </c>
      <c r="I371" s="49">
        <f>IFERROR(IF(Data_Entry!N360/Data_Entry!$H360&lt;0,0,Data_Entry!N360/Data_Entry!$H360),0)</f>
        <v>0.14316621918868466</v>
      </c>
      <c r="J371" s="49">
        <f>IFERROR(IF(Data_Entry!O360/Data_Entry!$H360&lt;0,0,Data_Entry!O360/Data_Entry!$H360),0)</f>
        <v>0.14436929666085849</v>
      </c>
      <c r="K371" s="49">
        <f>IFERROR(IF(Data_Entry!P360/Data_Entry!$H360&lt;0,0,Data_Entry!P360/Data_Entry!$H360),0)</f>
        <v>0.13474467688346792</v>
      </c>
      <c r="L371" s="49">
        <f>IFERROR(IF(Data_Entry!Q360/Data_Entry!$H360&lt;0,0,Data_Entry!Q360/Data_Entry!$H360),0)</f>
        <v>0.14316621918868466</v>
      </c>
      <c r="M371" s="49">
        <f>IFERROR(IF(Data_Entry!R360/Data_Entry!$H360&lt;0,0,Data_Entry!R360/Data_Entry!$H360),0)</f>
        <v>0.14436929666085849</v>
      </c>
      <c r="N371" s="49">
        <f>IFERROR(IF(Data_Entry!S360/Data_Entry!$H360&lt;0,0,Data_Entry!S360/Data_Entry!$H360),0)</f>
        <v>0.13474467688346792</v>
      </c>
      <c r="O371" s="49">
        <f>IFERROR(IF(Data_Entry!T360/Data_Entry!$H360&lt;0,0,Data_Entry!T360/Data_Entry!$H360),0)</f>
        <v>0.14316621918868466</v>
      </c>
      <c r="P371" s="49">
        <f>IFERROR(IF(Data_Entry!U360/Data_Entry!$H360&lt;0,0,Data_Entry!U360/Data_Entry!$H360),0)</f>
        <v>0.14436929666085849</v>
      </c>
      <c r="Q371" s="49">
        <f>IFERROR(IF(Data_Entry!V360/Data_Entry!$H360&lt;0,0,Data_Entry!V360/Data_Entry!$H360),0)</f>
        <v>0.13474467688346792</v>
      </c>
      <c r="R371" s="49">
        <f>IFERROR(IF(Data_Entry!W360/Data_Entry!$H360&lt;0,0,Data_Entry!W360/Data_Entry!$H360),0)</f>
        <v>0.14316621918868466</v>
      </c>
      <c r="S371" s="49">
        <f>IFERROR(IF(Data_Entry!X360/Data_Entry!$H360&lt;0,0,Data_Entry!X360/Data_Entry!$H360),0)</f>
        <v>0.11068312743999151</v>
      </c>
      <c r="T371" s="49">
        <f>IFERROR(IF(Data_Entry!Y360/Data_Entry!$H360&lt;0,0,Data_Entry!Y360/Data_Entry!$H360),0)</f>
        <v>5.2935408775648111E-2</v>
      </c>
      <c r="U371" s="49">
        <f>IFERROR(IF(Data_Entry!Z360/Data_Entry!$H360&lt;0,0,Data_Entry!Z360/Data_Entry!$H360),0)</f>
        <v>0.11068312743999151</v>
      </c>
      <c r="V371" s="49">
        <f>IFERROR(IF(Data_Entry!AA360/Data_Entry!$H360&lt;0,0,Data_Entry!AA360/Data_Entry!$H360),0)</f>
        <v>0.14316621918868466</v>
      </c>
      <c r="W371" s="49">
        <f>IFERROR(IF(Data_Entry!AB360/Data_Entry!$H360&lt;0,0,Data_Entry!AB360/Data_Entry!$H360),0)</f>
        <v>0.11068312743999151</v>
      </c>
      <c r="X371" s="49">
        <f>IFERROR(IF(Data_Entry!AC360/Data_Entry!$I360&lt;0,0,Data_Entry!AC360/Data_Entry!$I360),0)</f>
        <v>0.11861441567529742</v>
      </c>
      <c r="Y371" s="49">
        <f>IFERROR(IF(Data_Entry!AD360/Data_Entry!$I360&lt;0,0,Data_Entry!AD360/Data_Entry!$I360),0)</f>
        <v>0.10181945416375088</v>
      </c>
      <c r="Z371" s="49">
        <f>IFERROR(IF(Data_Entry!AE360/Data_Entry!$I360&lt;0,0,Data_Entry!AE360/Data_Entry!$I360),0)</f>
        <v>2.099370188943317E-2</v>
      </c>
      <c r="AA371" s="49">
        <f>IFERROR(IF(Data_Entry!AF360/Data_Entry!$I360&lt;0,0,Data_Entry!AF360/Data_Entry!$I360),0)</f>
        <v>9.447165850244927E-3</v>
      </c>
      <c r="AB371" s="49">
        <f>IFERROR(IF(Data_Entry!AG360/Data_Entry!$I360&lt;0,0,Data_Entry!AG360/Data_Entry!$I360),0)</f>
        <v>1.0496850944716585E-2</v>
      </c>
      <c r="AC371" s="49">
        <f>IFERROR(IF(Data_Entry!AI360/Data_Entry!$I360&lt;0,0,Data_Entry!AI360/Data_Entry!$I360),0)</f>
        <v>1.7529741077676696E-2</v>
      </c>
      <c r="AD371" s="49">
        <f>IFERROR(IF(Data_Entry!AM360/Data_Entry!$H360&lt;0,0,Data_Entry!AM360/Data_Entry!$H360),0)</f>
        <v>0.11068312743999151</v>
      </c>
      <c r="AE371" s="50">
        <f>Data_Entry!AK360</f>
        <v>711.2016666666666</v>
      </c>
      <c r="AF371" s="50">
        <f>Data_Entry!AL360</f>
        <v>28</v>
      </c>
      <c r="AG371" s="153">
        <f>(Data_Entry!O360-Data_Entry!Q360)/Data_Entry!O360</f>
        <v>8.3333333333333332E-3</v>
      </c>
      <c r="AH371" s="79" t="str">
        <f t="shared" si="10"/>
        <v>CAT3</v>
      </c>
      <c r="AI371" s="51">
        <f>SUBTOTAL(3,Tableau1[[#This Row],[ZS]])</f>
        <v>0</v>
      </c>
      <c r="AJ371" s="51" t="e">
        <f t="shared" ca="1" si="11"/>
        <v>#NAME?</v>
      </c>
      <c r="AK371" s="50" t="str">
        <f>IFERROR(IF((Data_Entry!O360-Data_Entry!Q360)/Data_Entry!O360&lt;=10%,"&lt;=10%","&gt;10%"),"&lt;=10%")</f>
        <v>&lt;=10%</v>
      </c>
    </row>
    <row r="372" spans="1:37" s="48" customFormat="1" ht="13" hidden="1" x14ac:dyDescent="0.3">
      <c r="A372" s="31" t="s">
        <v>16</v>
      </c>
      <c r="B372" s="48" t="str">
        <f>Data_Entry!B361</f>
        <v>Butembo</v>
      </c>
      <c r="C372" s="48" t="str">
        <f>Data_Entry!C361</f>
        <v xml:space="preserve"> Kyondo</v>
      </c>
      <c r="D372" s="48" t="str">
        <f>Data_Entry!D361</f>
        <v xml:space="preserve"> Burusi</v>
      </c>
      <c r="E372" s="49">
        <f>IFERROR(IF(Data_Entry!J361/Data_Entry!$I361&lt;0,0,Data_Entry!J361/Data_Entry!$I361),0)</f>
        <v>0.98333333333333328</v>
      </c>
      <c r="F372" s="49">
        <f>IFERROR(IF(Data_Entry!K361/Data_Entry!$H361&lt;0,0,Data_Entry!K361/Data_Entry!$H361),0)</f>
        <v>1.9293218720152816</v>
      </c>
      <c r="G372" s="49">
        <f>IFERROR(IF(Data_Entry!L361/Data_Entry!$H361&lt;0,0,Data_Entry!L361/Data_Entry!$H361),0)</f>
        <v>1.2607449856733524</v>
      </c>
      <c r="H372" s="49">
        <f>IFERROR(IF(Data_Entry!M361/Data_Entry!$H361&lt;0,0,Data_Entry!M361/Data_Entry!$H361),0)</f>
        <v>1.2273161413562559</v>
      </c>
      <c r="I372" s="49">
        <f>IFERROR(IF(Data_Entry!N361/Data_Entry!$H361&lt;0,0,Data_Entry!N361/Data_Entry!$H361),0)</f>
        <v>1.4422158548233046</v>
      </c>
      <c r="J372" s="49">
        <f>IFERROR(IF(Data_Entry!O361/Data_Entry!$H361&lt;0,0,Data_Entry!O361/Data_Entry!$H361),0)</f>
        <v>1.2464183381088825</v>
      </c>
      <c r="K372" s="49">
        <f>IFERROR(IF(Data_Entry!P361/Data_Entry!$H361&lt;0,0,Data_Entry!P361/Data_Entry!$H361),0)</f>
        <v>1.2368672397325693</v>
      </c>
      <c r="L372" s="49">
        <f>IFERROR(IF(Data_Entry!Q361/Data_Entry!$H361&lt;0,0,Data_Entry!Q361/Data_Entry!$H361),0)</f>
        <v>1.332378223495702</v>
      </c>
      <c r="M372" s="49">
        <f>IFERROR(IF(Data_Entry!R361/Data_Entry!$H361&lt;0,0,Data_Entry!R361/Data_Entry!$H361),0)</f>
        <v>1.3132760267430754</v>
      </c>
      <c r="N372" s="49">
        <f>IFERROR(IF(Data_Entry!S361/Data_Entry!$H361&lt;0,0,Data_Entry!S361/Data_Entry!$H361),0)</f>
        <v>1.1318051575931232</v>
      </c>
      <c r="O372" s="49">
        <f>IFERROR(IF(Data_Entry!T361/Data_Entry!$H361&lt;0,0,Data_Entry!T361/Data_Entry!$H361),0)</f>
        <v>1.2464183381088825</v>
      </c>
      <c r="P372" s="49">
        <f>IFERROR(IF(Data_Entry!U361/Data_Entry!$H361&lt;0,0,Data_Entry!U361/Data_Entry!$H361),0)</f>
        <v>1.2702960840496658</v>
      </c>
      <c r="Q372" s="49">
        <f>IFERROR(IF(Data_Entry!V361/Data_Entry!$H361&lt;0,0,Data_Entry!V361/Data_Entry!$H361),0)</f>
        <v>1.3419293218720152</v>
      </c>
      <c r="R372" s="49">
        <f>IFERROR(IF(Data_Entry!W361/Data_Entry!$H361&lt;0,0,Data_Entry!W361/Data_Entry!$H361),0)</f>
        <v>1.3801337153772684</v>
      </c>
      <c r="S372" s="49">
        <f>IFERROR(IF(Data_Entry!X361/Data_Entry!$H361&lt;0,0,Data_Entry!X361/Data_Entry!$H361),0)</f>
        <v>1.3658070678127985</v>
      </c>
      <c r="T372" s="49">
        <f>IFERROR(IF(Data_Entry!Y361/Data_Entry!$H361&lt;0,0,Data_Entry!Y361/Data_Entry!$H361),0)</f>
        <v>0.65425023877745936</v>
      </c>
      <c r="U372" s="49">
        <f>IFERROR(IF(Data_Entry!Z361/Data_Entry!$H361&lt;0,0,Data_Entry!Z361/Data_Entry!$H361),0)</f>
        <v>1.2941738299904488</v>
      </c>
      <c r="V372" s="49">
        <f>IFERROR(IF(Data_Entry!AA361/Data_Entry!$H361&lt;0,0,Data_Entry!AA361/Data_Entry!$H361),0)</f>
        <v>1.399235912129895</v>
      </c>
      <c r="W372" s="49">
        <f>IFERROR(IF(Data_Entry!AB361/Data_Entry!$H361&lt;0,0,Data_Entry!AB361/Data_Entry!$H361),0)</f>
        <v>1.0219675262655206</v>
      </c>
      <c r="X372" s="49">
        <f>IFERROR(IF(Data_Entry!AC361/Data_Entry!$I361&lt;0,0,Data_Entry!AC361/Data_Entry!$I361),0)</f>
        <v>0.23749999999999999</v>
      </c>
      <c r="Y372" s="49">
        <f>IFERROR(IF(Data_Entry!AD361/Data_Entry!$I361&lt;0,0,Data_Entry!AD361/Data_Entry!$I361),0)</f>
        <v>0.17499999999999999</v>
      </c>
      <c r="Z372" s="49">
        <f>IFERROR(IF(Data_Entry!AE361/Data_Entry!$I361&lt;0,0,Data_Entry!AE361/Data_Entry!$I361),0)</f>
        <v>0.14583333333333334</v>
      </c>
      <c r="AA372" s="49">
        <f>IFERROR(IF(Data_Entry!AF361/Data_Entry!$I361&lt;0,0,Data_Entry!AF361/Data_Entry!$I361),0)</f>
        <v>0.19583333333333333</v>
      </c>
      <c r="AB372" s="49">
        <f>IFERROR(IF(Data_Entry!AG361/Data_Entry!$I361&lt;0,0,Data_Entry!AG361/Data_Entry!$I361),0)</f>
        <v>0.14583333333333334</v>
      </c>
      <c r="AC372" s="49">
        <f>IFERROR(IF(Data_Entry!AI361/Data_Entry!$I361&lt;0,0,Data_Entry!AI361/Data_Entry!$I361),0)</f>
        <v>0.2779166666666667</v>
      </c>
      <c r="AD372" s="49">
        <f>IFERROR(IF(Data_Entry!AM361/Data_Entry!$H361&lt;0,0,Data_Entry!AM361/Data_Entry!$H361),0)</f>
        <v>1.2941738299904488</v>
      </c>
      <c r="AE372" s="50">
        <f>Data_Entry!AK361</f>
        <v>0</v>
      </c>
      <c r="AF372" s="50">
        <f>Data_Entry!AL361</f>
        <v>0</v>
      </c>
      <c r="AG372" s="153">
        <f>(Data_Entry!O361-Data_Entry!Q361)/Data_Entry!O361</f>
        <v>-6.8965517241379309E-2</v>
      </c>
      <c r="AH372" s="79" t="str">
        <f t="shared" si="10"/>
        <v>CAT1</v>
      </c>
      <c r="AI372" s="51">
        <f>SUBTOTAL(3,Tableau1[[#This Row],[ZS]])</f>
        <v>0</v>
      </c>
      <c r="AJ372" s="51" t="e">
        <f t="shared" ca="1" si="11"/>
        <v>#NAME?</v>
      </c>
      <c r="AK372" s="50" t="str">
        <f>IFERROR(IF((Data_Entry!O361-Data_Entry!Q361)/Data_Entry!O361&lt;=10%,"&lt;=10%","&gt;10%"),"&lt;=10%")</f>
        <v>&lt;=10%</v>
      </c>
    </row>
    <row r="373" spans="1:37" s="48" customFormat="1" ht="13" hidden="1" x14ac:dyDescent="0.3">
      <c r="A373" s="31" t="s">
        <v>16</v>
      </c>
      <c r="B373" s="48" t="str">
        <f>Data_Entry!B362</f>
        <v>Butembo</v>
      </c>
      <c r="C373" s="48" t="str">
        <f>Data_Entry!C362</f>
        <v xml:space="preserve"> Kyondo</v>
      </c>
      <c r="D373" s="48" t="str">
        <f>Data_Entry!D362</f>
        <v xml:space="preserve"> Kalengehya</v>
      </c>
      <c r="E373" s="49">
        <f>IFERROR(IF(Data_Entry!J362/Data_Entry!$I362&lt;0,0,Data_Entry!J362/Data_Entry!$I362),0)</f>
        <v>0.80351537978656618</v>
      </c>
      <c r="F373" s="49">
        <f>IFERROR(IF(Data_Entry!K362/Data_Entry!$H362&lt;0,0,Data_Entry!K362/Data_Entry!$H362),0)</f>
        <v>5.7558408294166634E-2</v>
      </c>
      <c r="G373" s="49">
        <f>IFERROR(IF(Data_Entry!L362/Data_Entry!$H362&lt;0,0,Data_Entry!L362/Data_Entry!$H362),0)</f>
        <v>1.0432461503317703</v>
      </c>
      <c r="H373" s="49">
        <f>IFERROR(IF(Data_Entry!M362/Data_Entry!$H362&lt;0,0,Data_Entry!M362/Data_Entry!$H362),0)</f>
        <v>0.83459692026541621</v>
      </c>
      <c r="I373" s="49">
        <f>IFERROR(IF(Data_Entry!N362/Data_Entry!$H362&lt;0,0,Data_Entry!N362/Data_Entry!$H362),0)</f>
        <v>1.1151941606994786</v>
      </c>
      <c r="J373" s="49">
        <f>IFERROR(IF(Data_Entry!O362/Data_Entry!$H362&lt;0,0,Data_Entry!O362/Data_Entry!$H362),0)</f>
        <v>1.0432461503317703</v>
      </c>
      <c r="K373" s="49">
        <f>IFERROR(IF(Data_Entry!P362/Data_Entry!$H362&lt;0,0,Data_Entry!P362/Data_Entry!$H362),0)</f>
        <v>0.8130125171551037</v>
      </c>
      <c r="L373" s="49">
        <f>IFERROR(IF(Data_Entry!Q362/Data_Entry!$H362&lt;0,0,Data_Entry!Q362/Data_Entry!$H362),0)</f>
        <v>0.99288254307437451</v>
      </c>
      <c r="M373" s="49">
        <f>IFERROR(IF(Data_Entry!R362/Data_Entry!$H362&lt;0,0,Data_Entry!R362/Data_Entry!$H362),0)</f>
        <v>1.0432461503317703</v>
      </c>
      <c r="N373" s="49">
        <f>IFERROR(IF(Data_Entry!S362/Data_Entry!$H362&lt;0,0,Data_Entry!S362/Data_Entry!$H362),0)</f>
        <v>0.83459692026541621</v>
      </c>
      <c r="O373" s="49">
        <f>IFERROR(IF(Data_Entry!T362/Data_Entry!$H362&lt;0,0,Data_Entry!T362/Data_Entry!$H362),0)</f>
        <v>1.1151941606994786</v>
      </c>
      <c r="P373" s="49">
        <f>IFERROR(IF(Data_Entry!U362/Data_Entry!$H362&lt;0,0,Data_Entry!U362/Data_Entry!$H362),0)</f>
        <v>1.0432461503317703</v>
      </c>
      <c r="Q373" s="49">
        <f>IFERROR(IF(Data_Entry!V362/Data_Entry!$H362&lt;0,0,Data_Entry!V362/Data_Entry!$H362),0)</f>
        <v>0.83459692026541621</v>
      </c>
      <c r="R373" s="49">
        <f>IFERROR(IF(Data_Entry!W362/Data_Entry!$H362&lt;0,0,Data_Entry!W362/Data_Entry!$H362),0)</f>
        <v>1.1151941606994786</v>
      </c>
      <c r="S373" s="49">
        <f>IFERROR(IF(Data_Entry!X362/Data_Entry!$H362&lt;0,0,Data_Entry!X362/Data_Entry!$H362),0)</f>
        <v>1.0576357524053119</v>
      </c>
      <c r="T373" s="49">
        <f>IFERROR(IF(Data_Entry!Y362/Data_Entry!$H362&lt;0,0,Data_Entry!Y362/Data_Entry!$H362),0)</f>
        <v>0.24462323525020821</v>
      </c>
      <c r="U373" s="49">
        <f>IFERROR(IF(Data_Entry!Z362/Data_Entry!$H362&lt;0,0,Data_Entry!Z362/Data_Entry!$H362),0)</f>
        <v>1.0576357524053119</v>
      </c>
      <c r="V373" s="49">
        <f>IFERROR(IF(Data_Entry!AA362/Data_Entry!$H362&lt;0,0,Data_Entry!AA362/Data_Entry!$H362),0)</f>
        <v>1.2590901814348952</v>
      </c>
      <c r="W373" s="49">
        <f>IFERROR(IF(Data_Entry!AB362/Data_Entry!$H362&lt;0,0,Data_Entry!AB362/Data_Entry!$H362),0)</f>
        <v>0.82020731819187453</v>
      </c>
      <c r="X373" s="49">
        <f>IFERROR(IF(Data_Entry!AC362/Data_Entry!$I362&lt;0,0,Data_Entry!AC362/Data_Entry!$I362),0)</f>
        <v>0.15693659761456372</v>
      </c>
      <c r="Y373" s="49">
        <f>IFERROR(IF(Data_Entry!AD362/Data_Entry!$I362&lt;0,0,Data_Entry!AD362/Data_Entry!$I362),0)</f>
        <v>7.5329566854990579E-2</v>
      </c>
      <c r="Z373" s="49">
        <f>IFERROR(IF(Data_Entry!AE362/Data_Entry!$I362&lt;0,0,Data_Entry!AE362/Data_Entry!$I362),0)</f>
        <v>0.12554927809165095</v>
      </c>
      <c r="AA373" s="49">
        <f>IFERROR(IF(Data_Entry!AF362/Data_Entry!$I362&lt;0,0,Data_Entry!AF362/Data_Entry!$I362),0)</f>
        <v>0.11299435028248586</v>
      </c>
      <c r="AB373" s="49">
        <f>IFERROR(IF(Data_Entry!AG362/Data_Entry!$I362&lt;0,0,Data_Entry!AG362/Data_Entry!$I362),0)</f>
        <v>2.5109855618330193E-2</v>
      </c>
      <c r="AC373" s="49">
        <f>IFERROR(IF(Data_Entry!AI362/Data_Entry!$I362&lt;0,0,Data_Entry!AI362/Data_Entry!$I362),0)</f>
        <v>0.36597614563716252</v>
      </c>
      <c r="AD373" s="49">
        <f>IFERROR(IF(Data_Entry!AM362/Data_Entry!$H362&lt;0,0,Data_Entry!AM362/Data_Entry!$H362),0)</f>
        <v>1.0576357524053119</v>
      </c>
      <c r="AE373" s="50">
        <f>Data_Entry!AK362</f>
        <v>0</v>
      </c>
      <c r="AF373" s="50">
        <f>Data_Entry!AL362</f>
        <v>0</v>
      </c>
      <c r="AG373" s="153">
        <f>(Data_Entry!O362-Data_Entry!Q362)/Data_Entry!O362</f>
        <v>4.8275862068965517E-2</v>
      </c>
      <c r="AH373" s="79" t="str">
        <f t="shared" si="10"/>
        <v>CAT1</v>
      </c>
      <c r="AI373" s="51">
        <f>SUBTOTAL(3,Tableau1[[#This Row],[ZS]])</f>
        <v>0</v>
      </c>
      <c r="AJ373" s="51" t="e">
        <f t="shared" ca="1" si="11"/>
        <v>#NAME?</v>
      </c>
      <c r="AK373" s="50" t="str">
        <f>IFERROR(IF((Data_Entry!O362-Data_Entry!Q362)/Data_Entry!O362&lt;=10%,"&lt;=10%","&gt;10%"),"&lt;=10%")</f>
        <v>&lt;=10%</v>
      </c>
    </row>
    <row r="374" spans="1:37" s="48" customFormat="1" ht="13" hidden="1" x14ac:dyDescent="0.3">
      <c r="A374" s="31" t="s">
        <v>16</v>
      </c>
      <c r="B374" s="48" t="str">
        <f>Data_Entry!B363</f>
        <v>Butembo</v>
      </c>
      <c r="C374" s="48" t="str">
        <f>Data_Entry!C363</f>
        <v xml:space="preserve"> Kyondo</v>
      </c>
      <c r="D374" s="48" t="str">
        <f>Data_Entry!D363</f>
        <v xml:space="preserve"> Kalivuli</v>
      </c>
      <c r="E374" s="49">
        <f>IFERROR(IF(Data_Entry!J363/Data_Entry!$I363&lt;0,0,Data_Entry!J363/Data_Entry!$I363),0)</f>
        <v>0.75334674949689384</v>
      </c>
      <c r="F374" s="49">
        <f>IFERROR(IF(Data_Entry!K363/Data_Entry!$H363&lt;0,0,Data_Entry!K363/Data_Entry!$H363),0)</f>
        <v>0.77618865796830616</v>
      </c>
      <c r="G374" s="49">
        <f>IFERROR(IF(Data_Entry!L363/Data_Entry!$H363&lt;0,0,Data_Entry!L363/Data_Entry!$H363),0)</f>
        <v>0.98678247989769152</v>
      </c>
      <c r="H374" s="49">
        <f>IFERROR(IF(Data_Entry!M363/Data_Entry!$H363&lt;0,0,Data_Entry!M363/Data_Entry!$H363),0)</f>
        <v>0.98076551355685193</v>
      </c>
      <c r="I374" s="49">
        <f>IFERROR(IF(Data_Entry!N363/Data_Entry!$H363&lt;0,0,Data_Entry!N363/Data_Entry!$H363),0)</f>
        <v>0.91758736697803633</v>
      </c>
      <c r="J374" s="49">
        <f>IFERROR(IF(Data_Entry!O363/Data_Entry!$H363&lt;0,0,Data_Entry!O363/Data_Entry!$H363),0)</f>
        <v>0.90254495112593736</v>
      </c>
      <c r="K374" s="49">
        <f>IFERROR(IF(Data_Entry!P363/Data_Entry!$H363&lt;0,0,Data_Entry!P363/Data_Entry!$H363),0)</f>
        <v>0.76114624211620718</v>
      </c>
      <c r="L374" s="49">
        <f>IFERROR(IF(Data_Entry!Q363/Data_Entry!$H363&lt;0,0,Data_Entry!Q363/Data_Entry!$H363),0)</f>
        <v>0.78822259064998534</v>
      </c>
      <c r="M374" s="49">
        <f>IFERROR(IF(Data_Entry!R363/Data_Entry!$H363&lt;0,0,Data_Entry!R363/Data_Entry!$H363),0)</f>
        <v>0.90254495112593736</v>
      </c>
      <c r="N374" s="49">
        <f>IFERROR(IF(Data_Entry!S363/Data_Entry!$H363&lt;0,0,Data_Entry!S363/Data_Entry!$H363),0)</f>
        <v>0.89051101844425817</v>
      </c>
      <c r="O374" s="49">
        <f>IFERROR(IF(Data_Entry!T363/Data_Entry!$H363&lt;0,0,Data_Entry!T363/Data_Entry!$H363),0)</f>
        <v>0.8754686025921592</v>
      </c>
      <c r="P374" s="49">
        <f>IFERROR(IF(Data_Entry!U363/Data_Entry!$H363&lt;0,0,Data_Entry!U363/Data_Entry!$H363),0)</f>
        <v>0.98678247989769152</v>
      </c>
      <c r="Q374" s="49">
        <f>IFERROR(IF(Data_Entry!V363/Data_Entry!$H363&lt;0,0,Data_Entry!V363/Data_Entry!$H363),0)</f>
        <v>0.97474854721601234</v>
      </c>
      <c r="R374" s="49">
        <f>IFERROR(IF(Data_Entry!W363/Data_Entry!$H363&lt;0,0,Data_Entry!W363/Data_Entry!$H363),0)</f>
        <v>0.8754686025921592</v>
      </c>
      <c r="S374" s="49">
        <f>IFERROR(IF(Data_Entry!X363/Data_Entry!$H363&lt;0,0,Data_Entry!X363/Data_Entry!$H363),0)</f>
        <v>0.75813775894578739</v>
      </c>
      <c r="T374" s="49">
        <f>IFERROR(IF(Data_Entry!Y363/Data_Entry!$H363&lt;0,0,Data_Entry!Y363/Data_Entry!$H363),0)</f>
        <v>0.29483135070113953</v>
      </c>
      <c r="U374" s="49">
        <f>IFERROR(IF(Data_Entry!Z363/Data_Entry!$H363&lt;0,0,Data_Entry!Z363/Data_Entry!$H363),0)</f>
        <v>0.75813775894578739</v>
      </c>
      <c r="V374" s="49">
        <f>IFERROR(IF(Data_Entry!AA363/Data_Entry!$H363&lt;0,0,Data_Entry!AA363/Data_Entry!$H363),0)</f>
        <v>0.8754686025921592</v>
      </c>
      <c r="W374" s="49">
        <f>IFERROR(IF(Data_Entry!AB363/Data_Entry!$H363&lt;0,0,Data_Entry!AB363/Data_Entry!$H363),0)</f>
        <v>0.45428095873338847</v>
      </c>
      <c r="X374" s="49">
        <f>IFERROR(IF(Data_Entry!AC363/Data_Entry!$I363&lt;0,0,Data_Entry!AC363/Data_Entry!$I363),0)</f>
        <v>0.23361623939102283</v>
      </c>
      <c r="Y374" s="49">
        <f>IFERROR(IF(Data_Entry!AD363/Data_Entry!$I363&lt;0,0,Data_Entry!AD363/Data_Entry!$I363),0)</f>
        <v>9.7121357949076906E-2</v>
      </c>
      <c r="Z374" s="49">
        <f>IFERROR(IF(Data_Entry!AE363/Data_Entry!$I363&lt;0,0,Data_Entry!AE363/Data_Entry!$I363),0)</f>
        <v>9.1871554816694373E-2</v>
      </c>
      <c r="AA374" s="49">
        <f>IFERROR(IF(Data_Entry!AF363/Data_Entry!$I363&lt;0,0,Data_Entry!AF363/Data_Entry!$I363),0)</f>
        <v>5.5122932890016622E-2</v>
      </c>
      <c r="AB374" s="49">
        <f>IFERROR(IF(Data_Entry!AG363/Data_Entry!$I363&lt;0,0,Data_Entry!AG363/Data_Entry!$I363),0)</f>
        <v>6.5622539154781695E-2</v>
      </c>
      <c r="AC374" s="49">
        <f>IFERROR(IF(Data_Entry!AI363/Data_Entry!$I363&lt;0,0,Data_Entry!AI363/Data_Entry!$I363),0)</f>
        <v>0.17508093446495757</v>
      </c>
      <c r="AD374" s="49">
        <f>IFERROR(IF(Data_Entry!AM363/Data_Entry!$H363&lt;0,0,Data_Entry!AM363/Data_Entry!$H363),0)</f>
        <v>0.75813775894578739</v>
      </c>
      <c r="AE374" s="50">
        <f>Data_Entry!AK363</f>
        <v>32.393416666666667</v>
      </c>
      <c r="AF374" s="50">
        <f>Data_Entry!AL363</f>
        <v>48</v>
      </c>
      <c r="AG374" s="153">
        <f>(Data_Entry!O363-Data_Entry!Q363)/Data_Entry!O363</f>
        <v>0.12666666666666668</v>
      </c>
      <c r="AH374" s="79" t="str">
        <f t="shared" si="10"/>
        <v>CAT2</v>
      </c>
      <c r="AI374" s="51">
        <f>SUBTOTAL(3,Tableau1[[#This Row],[ZS]])</f>
        <v>0</v>
      </c>
      <c r="AJ374" s="51" t="e">
        <f t="shared" ca="1" si="11"/>
        <v>#NAME?</v>
      </c>
      <c r="AK374" s="50" t="str">
        <f>IFERROR(IF((Data_Entry!O363-Data_Entry!Q363)/Data_Entry!O363&lt;=10%,"&lt;=10%","&gt;10%"),"&lt;=10%")</f>
        <v>&gt;10%</v>
      </c>
    </row>
    <row r="375" spans="1:37" s="48" customFormat="1" ht="13" hidden="1" x14ac:dyDescent="0.3">
      <c r="A375" s="31" t="s">
        <v>16</v>
      </c>
      <c r="B375" s="48" t="str">
        <f>Data_Entry!B364</f>
        <v>Butembo</v>
      </c>
      <c r="C375" s="48" t="str">
        <f>Data_Entry!C364</f>
        <v xml:space="preserve"> Kyondo</v>
      </c>
      <c r="D375" s="48" t="str">
        <f>Data_Entry!D364</f>
        <v xml:space="preserve"> Kasisi</v>
      </c>
      <c r="E375" s="49">
        <f>IFERROR(IF(Data_Entry!J364/Data_Entry!$I364&lt;0,0,Data_Entry!J364/Data_Entry!$I364),0)</f>
        <v>0.85595813999407644</v>
      </c>
      <c r="F375" s="49">
        <f>IFERROR(IF(Data_Entry!K364/Data_Entry!$H364&lt;0,0,Data_Entry!K364/Data_Entry!$H364),0)</f>
        <v>0.22064932570414716</v>
      </c>
      <c r="G375" s="49">
        <f>IFERROR(IF(Data_Entry!L364/Data_Entry!$H364&lt;0,0,Data_Entry!L364/Data_Entry!$H364),0)</f>
        <v>0.92672716795741805</v>
      </c>
      <c r="H375" s="49">
        <f>IFERROR(IF(Data_Entry!M364/Data_Entry!$H364&lt;0,0,Data_Entry!M364/Data_Entry!$H364),0)</f>
        <v>1.1270088635965672</v>
      </c>
      <c r="I375" s="49">
        <f>IFERROR(IF(Data_Entry!N364/Data_Entry!$H364&lt;0,0,Data_Entry!N364/Data_Entry!$H364),0)</f>
        <v>1.1337980736182331</v>
      </c>
      <c r="J375" s="49">
        <f>IFERROR(IF(Data_Entry!O364/Data_Entry!$H364&lt;0,0,Data_Entry!O364/Data_Entry!$H364),0)</f>
        <v>1.2186631988890591</v>
      </c>
      <c r="K375" s="49">
        <f>IFERROR(IF(Data_Entry!P364/Data_Entry!$H364&lt;0,0,Data_Entry!P364/Data_Entry!$H364),0)</f>
        <v>1.3408689792790482</v>
      </c>
      <c r="L375" s="49">
        <f>IFERROR(IF(Data_Entry!Q364/Data_Entry!$H364&lt;0,0,Data_Entry!Q364/Data_Entry!$H364),0)</f>
        <v>1.2560038540082223</v>
      </c>
      <c r="M375" s="49">
        <f>IFERROR(IF(Data_Entry!R364/Data_Entry!$H364&lt;0,0,Data_Entry!R364/Data_Entry!$H364),0)</f>
        <v>1.2526092489973892</v>
      </c>
      <c r="N375" s="49">
        <f>IFERROR(IF(Data_Entry!S364/Data_Entry!$H364&lt;0,0,Data_Entry!S364/Data_Entry!$H364),0)</f>
        <v>1.225452408910725</v>
      </c>
      <c r="O375" s="49">
        <f>IFERROR(IF(Data_Entry!T364/Data_Entry!$H364&lt;0,0,Data_Entry!T364/Data_Entry!$H364),0)</f>
        <v>1.2356362239432241</v>
      </c>
      <c r="P375" s="49">
        <f>IFERROR(IF(Data_Entry!U364/Data_Entry!$H364&lt;0,0,Data_Entry!U364/Data_Entry!$H364),0)</f>
        <v>1.1439818886507322</v>
      </c>
      <c r="Q375" s="49">
        <f>IFERROR(IF(Data_Entry!V364/Data_Entry!$H364&lt;0,0,Data_Entry!V364/Data_Entry!$H364),0)</f>
        <v>1.1745333337482295</v>
      </c>
      <c r="R375" s="49">
        <f>IFERROR(IF(Data_Entry!W364/Data_Entry!$H364&lt;0,0,Data_Entry!W364/Data_Entry!$H364),0)</f>
        <v>1.2356362239432241</v>
      </c>
      <c r="S375" s="49">
        <f>IFERROR(IF(Data_Entry!X364/Data_Entry!$H364&lt;0,0,Data_Entry!X364/Data_Entry!$H364),0)</f>
        <v>1.1202196535749009</v>
      </c>
      <c r="T375" s="49">
        <f>IFERROR(IF(Data_Entry!Y364/Data_Entry!$H364&lt;0,0,Data_Entry!Y364/Data_Entry!$H364),0)</f>
        <v>0</v>
      </c>
      <c r="U375" s="49">
        <f>IFERROR(IF(Data_Entry!Z364/Data_Entry!$H364&lt;0,0,Data_Entry!Z364/Data_Entry!$H364),0)</f>
        <v>1.0625113683907395</v>
      </c>
      <c r="V375" s="49">
        <f>IFERROR(IF(Data_Entry!AA364/Data_Entry!$H364&lt;0,0,Data_Entry!AA364/Data_Entry!$H364),0)</f>
        <v>1.5038100197990338</v>
      </c>
      <c r="W375" s="49">
        <f>IFERROR(IF(Data_Entry!AB364/Data_Entry!$H364&lt;0,0,Data_Entry!AB364/Data_Entry!$H364),0)</f>
        <v>0.61102890194994597</v>
      </c>
      <c r="X375" s="49">
        <f>IFERROR(IF(Data_Entry!AC364/Data_Entry!$I364&lt;0,0,Data_Entry!AC364/Data_Entry!$I364),0)</f>
        <v>0.14512785072563925</v>
      </c>
      <c r="Y375" s="49">
        <f>IFERROR(IF(Data_Entry!AD364/Data_Entry!$I364&lt;0,0,Data_Entry!AD364/Data_Entry!$I364),0)</f>
        <v>0.12439530062197651</v>
      </c>
      <c r="Z375" s="49">
        <f>IFERROR(IF(Data_Entry!AE364/Data_Entry!$I364&lt;0,0,Data_Entry!AE364/Data_Entry!$I364),0)</f>
        <v>0.16882219370125384</v>
      </c>
      <c r="AA375" s="49">
        <f>IFERROR(IF(Data_Entry!AF364/Data_Entry!$I364&lt;0,0,Data_Entry!AF364/Data_Entry!$I364),0)</f>
        <v>9.1815579030506467E-2</v>
      </c>
      <c r="AB375" s="49">
        <f>IFERROR(IF(Data_Entry!AG364/Data_Entry!$I364&lt;0,0,Data_Entry!AG364/Data_Entry!$I364),0)</f>
        <v>7.404482179879554E-2</v>
      </c>
      <c r="AC375" s="49">
        <f>IFERROR(IF(Data_Entry!AI364/Data_Entry!$I364&lt;0,0,Data_Entry!AI364/Data_Entry!$I364),0)</f>
        <v>0.1726725244347912</v>
      </c>
      <c r="AD375" s="49">
        <f>IFERROR(IF(Data_Entry!AM364/Data_Entry!$H364&lt;0,0,Data_Entry!AM364/Data_Entry!$H364),0)</f>
        <v>1.0625113683907395</v>
      </c>
      <c r="AE375" s="50">
        <f>Data_Entry!AK364</f>
        <v>0</v>
      </c>
      <c r="AF375" s="50">
        <f>Data_Entry!AL364</f>
        <v>29</v>
      </c>
      <c r="AG375" s="153">
        <f>(Data_Entry!O364-Data_Entry!Q364)/Data_Entry!O364</f>
        <v>-3.0640668523676879E-2</v>
      </c>
      <c r="AH375" s="79" t="str">
        <f t="shared" si="10"/>
        <v>CAT1</v>
      </c>
      <c r="AI375" s="51">
        <f>SUBTOTAL(3,Tableau1[[#This Row],[ZS]])</f>
        <v>0</v>
      </c>
      <c r="AJ375" s="51" t="e">
        <f t="shared" ca="1" si="11"/>
        <v>#NAME?</v>
      </c>
      <c r="AK375" s="50" t="str">
        <f>IFERROR(IF((Data_Entry!O364-Data_Entry!Q364)/Data_Entry!O364&lt;=10%,"&lt;=10%","&gt;10%"),"&lt;=10%")</f>
        <v>&lt;=10%</v>
      </c>
    </row>
    <row r="376" spans="1:37" s="48" customFormat="1" ht="13" hidden="1" x14ac:dyDescent="0.3">
      <c r="A376" s="31" t="s">
        <v>16</v>
      </c>
      <c r="B376" s="48" t="str">
        <f>Data_Entry!B365</f>
        <v>Butembo</v>
      </c>
      <c r="C376" s="48" t="str">
        <f>Data_Entry!C365</f>
        <v xml:space="preserve"> Kyondo</v>
      </c>
      <c r="D376" s="48" t="str">
        <f>Data_Entry!D365</f>
        <v xml:space="preserve"> Kasongwere</v>
      </c>
      <c r="E376" s="49">
        <f>IFERROR(IF(Data_Entry!J365/Data_Entry!$I365&lt;0,0,Data_Entry!J365/Data_Entry!$I365),0)</f>
        <v>0.85249042145593856</v>
      </c>
      <c r="F376" s="49">
        <f>IFERROR(IF(Data_Entry!K365/Data_Entry!$H365&lt;0,0,Data_Entry!K365/Data_Entry!$H365),0)</f>
        <v>0.64405874108472649</v>
      </c>
      <c r="G376" s="49">
        <f>IFERROR(IF(Data_Entry!L365/Data_Entry!$H365&lt;0,0,Data_Entry!L365/Data_Entry!$H365),0)</f>
        <v>0.97340696095759804</v>
      </c>
      <c r="H376" s="49">
        <f>IFERROR(IF(Data_Entry!M365/Data_Entry!$H365&lt;0,0,Data_Entry!M365/Data_Entry!$H365),0)</f>
        <v>0.98072581028810635</v>
      </c>
      <c r="I376" s="49">
        <f>IFERROR(IF(Data_Entry!N365/Data_Entry!$H365&lt;0,0,Data_Entry!N365/Data_Entry!$H365),0)</f>
        <v>1.0356171802669183</v>
      </c>
      <c r="J376" s="49">
        <f>IFERROR(IF(Data_Entry!O365/Data_Entry!$H365&lt;0,0,Data_Entry!O365/Data_Entry!$H365),0)</f>
        <v>0.80507342635590817</v>
      </c>
      <c r="K376" s="49">
        <f>IFERROR(IF(Data_Entry!P365/Data_Entry!$H365&lt;0,0,Data_Entry!P365/Data_Entry!$H365),0)</f>
        <v>0.88558076899149896</v>
      </c>
      <c r="L376" s="49">
        <f>IFERROR(IF(Data_Entry!Q365/Data_Entry!$H365&lt;0,0,Data_Entry!Q365/Data_Entry!$H365),0)</f>
        <v>0.93681271430505675</v>
      </c>
      <c r="M376" s="49">
        <f>IFERROR(IF(Data_Entry!R365/Data_Entry!$H365&lt;0,0,Data_Entry!R365/Data_Entry!$H365),0)</f>
        <v>0.87460249499573661</v>
      </c>
      <c r="N376" s="49">
        <f>IFERROR(IF(Data_Entry!S365/Data_Entry!$H365&lt;0,0,Data_Entry!S365/Data_Entry!$H365),0)</f>
        <v>0.88558076899149896</v>
      </c>
      <c r="O376" s="49">
        <f>IFERROR(IF(Data_Entry!T365/Data_Entry!$H365&lt;0,0,Data_Entry!T365/Data_Entry!$H365),0)</f>
        <v>0.96608811162708985</v>
      </c>
      <c r="P376" s="49">
        <f>IFERROR(IF(Data_Entry!U365/Data_Entry!$H365&lt;0,0,Data_Entry!U365/Data_Entry!$H365),0)</f>
        <v>0.77945745369912922</v>
      </c>
      <c r="Q376" s="49">
        <f>IFERROR(IF(Data_Entry!V365/Data_Entry!$H365&lt;0,0,Data_Entry!V365/Data_Entry!$H365),0)</f>
        <v>0.78677630302963752</v>
      </c>
      <c r="R376" s="49">
        <f>IFERROR(IF(Data_Entry!W365/Data_Entry!$H365&lt;0,0,Data_Entry!W365/Data_Entry!$H365),0)</f>
        <v>0.85630537166946596</v>
      </c>
      <c r="S376" s="49">
        <f>IFERROR(IF(Data_Entry!X365/Data_Entry!$H365&lt;0,0,Data_Entry!X365/Data_Entry!$H365),0)</f>
        <v>1.116124522902509</v>
      </c>
      <c r="T376" s="49">
        <f>IFERROR(IF(Data_Entry!Y365/Data_Entry!$H365&lt;0,0,Data_Entry!Y365/Data_Entry!$H365),0)</f>
        <v>0.73188493305082558</v>
      </c>
      <c r="U376" s="49">
        <f>IFERROR(IF(Data_Entry!Z365/Data_Entry!$H365&lt;0,0,Data_Entry!Z365/Data_Entry!$H365),0)</f>
        <v>0.98438523495336039</v>
      </c>
      <c r="V376" s="49">
        <f>IFERROR(IF(Data_Entry!AA365/Data_Entry!$H365&lt;0,0,Data_Entry!AA365/Data_Entry!$H365),0)</f>
        <v>1.4344944687796182</v>
      </c>
      <c r="W376" s="49">
        <f>IFERROR(IF(Data_Entry!AB365/Data_Entry!$H365&lt;0,0,Data_Entry!AB365/Data_Entry!$H365),0)</f>
        <v>0.56355139844913571</v>
      </c>
      <c r="X376" s="49">
        <f>IFERROR(IF(Data_Entry!AC365/Data_Entry!$I365&lt;0,0,Data_Entry!AC365/Data_Entry!$I365),0)</f>
        <v>0.24265644955300125</v>
      </c>
      <c r="Y376" s="49">
        <f>IFERROR(IF(Data_Entry!AD365/Data_Entry!$I365&lt;0,0,Data_Entry!AD365/Data_Entry!$I365),0)</f>
        <v>0.14367816091954022</v>
      </c>
      <c r="Z376" s="49">
        <f>IFERROR(IF(Data_Entry!AE365/Data_Entry!$I365&lt;0,0,Data_Entry!AE365/Data_Entry!$I365),0)</f>
        <v>0.20753512132822474</v>
      </c>
      <c r="AA376" s="49">
        <f>IFERROR(IF(Data_Entry!AF365/Data_Entry!$I365&lt;0,0,Data_Entry!AF365/Data_Entry!$I365),0)</f>
        <v>0.18199233716475094</v>
      </c>
      <c r="AB376" s="49">
        <f>IFERROR(IF(Data_Entry!AG365/Data_Entry!$I365&lt;0,0,Data_Entry!AG365/Data_Entry!$I365),0)</f>
        <v>0.13409961685823754</v>
      </c>
      <c r="AC376" s="49">
        <f>IFERROR(IF(Data_Entry!AI365/Data_Entry!$I365&lt;0,0,Data_Entry!AI365/Data_Entry!$I365),0)</f>
        <v>0.18614303959131542</v>
      </c>
      <c r="AD376" s="49">
        <f>IFERROR(IF(Data_Entry!AM365/Data_Entry!$H365&lt;0,0,Data_Entry!AM365/Data_Entry!$H365),0)</f>
        <v>0.98438523495336039</v>
      </c>
      <c r="AE376" s="50">
        <f>Data_Entry!AK365</f>
        <v>53.267000000000053</v>
      </c>
      <c r="AF376" s="50">
        <f>Data_Entry!AL365</f>
        <v>0</v>
      </c>
      <c r="AG376" s="153">
        <f>(Data_Entry!O365-Data_Entry!Q365)/Data_Entry!O365</f>
        <v>-0.16363636363636364</v>
      </c>
      <c r="AH376" s="79" t="str">
        <f t="shared" si="10"/>
        <v>CAT3</v>
      </c>
      <c r="AI376" s="51">
        <f>SUBTOTAL(3,Tableau1[[#This Row],[ZS]])</f>
        <v>0</v>
      </c>
      <c r="AJ376" s="51" t="e">
        <f t="shared" ca="1" si="11"/>
        <v>#NAME?</v>
      </c>
      <c r="AK376" s="50" t="str">
        <f>IFERROR(IF((Data_Entry!O365-Data_Entry!Q365)/Data_Entry!O365&lt;=10%,"&lt;=10%","&gt;10%"),"&lt;=10%")</f>
        <v>&lt;=10%</v>
      </c>
    </row>
    <row r="377" spans="1:37" s="48" customFormat="1" ht="13" hidden="1" x14ac:dyDescent="0.3">
      <c r="A377" s="31" t="s">
        <v>16</v>
      </c>
      <c r="B377" s="48" t="str">
        <f>Data_Entry!B366</f>
        <v>Butembo</v>
      </c>
      <c r="C377" s="48" t="str">
        <f>Data_Entry!C366</f>
        <v xml:space="preserve"> Kyondo</v>
      </c>
      <c r="D377" s="48" t="str">
        <f>Data_Entry!D366</f>
        <v xml:space="preserve"> Katiri</v>
      </c>
      <c r="E377" s="49">
        <f>IFERROR(IF(Data_Entry!J366/Data_Entry!$I366&lt;0,0,Data_Entry!J366/Data_Entry!$I366),0)</f>
        <v>0.80100518297471346</v>
      </c>
      <c r="F377" s="49">
        <f>IFERROR(IF(Data_Entry!K366/Data_Entry!$H366&lt;0,0,Data_Entry!K366/Data_Entry!$H366),0)</f>
        <v>0.31321962320939406</v>
      </c>
      <c r="G377" s="49">
        <f>IFERROR(IF(Data_Entry!L366/Data_Entry!$H366&lt;0,0,Data_Entry!L366/Data_Entry!$H366),0)</f>
        <v>0.94505920795937859</v>
      </c>
      <c r="H377" s="49">
        <f>IFERROR(IF(Data_Entry!M366/Data_Entry!$H366&lt;0,0,Data_Entry!M366/Data_Entry!$H366),0)</f>
        <v>1.0152636062649325</v>
      </c>
      <c r="I377" s="49">
        <f>IFERROR(IF(Data_Entry!N366/Data_Entry!$H366&lt;0,0,Data_Entry!N366/Data_Entry!$H366),0)</f>
        <v>0.95585988462177152</v>
      </c>
      <c r="J377" s="49">
        <f>IFERROR(IF(Data_Entry!O366/Data_Entry!$H366&lt;0,0,Data_Entry!O366/Data_Entry!$H366),0)</f>
        <v>0.99906259127134311</v>
      </c>
      <c r="K377" s="49">
        <f>IFERROR(IF(Data_Entry!P366/Data_Entry!$H366&lt;0,0,Data_Entry!P366/Data_Entry!$H366),0)</f>
        <v>1.0638666512457005</v>
      </c>
      <c r="L377" s="49">
        <f>IFERROR(IF(Data_Entry!Q366/Data_Entry!$H366&lt;0,0,Data_Entry!Q366/Data_Entry!$H366),0)</f>
        <v>0.96666056128416444</v>
      </c>
      <c r="M377" s="49">
        <f>IFERROR(IF(Data_Entry!R366/Data_Entry!$H366&lt;0,0,Data_Entry!R366/Data_Entry!$H366),0)</f>
        <v>0.96126022295296798</v>
      </c>
      <c r="N377" s="49">
        <f>IFERROR(IF(Data_Entry!S366/Data_Entry!$H366&lt;0,0,Data_Entry!S366/Data_Entry!$H366),0)</f>
        <v>1.0962686812328792</v>
      </c>
      <c r="O377" s="49">
        <f>IFERROR(IF(Data_Entry!T366/Data_Entry!$H366&lt;0,0,Data_Entry!T366/Data_Entry!$H366),0)</f>
        <v>0.99906259127134311</v>
      </c>
      <c r="P377" s="49">
        <f>IFERROR(IF(Data_Entry!U366/Data_Entry!$H366&lt;0,0,Data_Entry!U366/Data_Entry!$H366),0)</f>
        <v>0.98286157627775372</v>
      </c>
      <c r="Q377" s="49">
        <f>IFERROR(IF(Data_Entry!V366/Data_Entry!$H366&lt;0,0,Data_Entry!V366/Data_Entry!$H366),0)</f>
        <v>1.0422652979209146</v>
      </c>
      <c r="R377" s="49">
        <f>IFERROR(IF(Data_Entry!W366/Data_Entry!$H366&lt;0,0,Data_Entry!W366/Data_Entry!$H366),0)</f>
        <v>0.95585988462177152</v>
      </c>
      <c r="S377" s="49">
        <f>IFERROR(IF(Data_Entry!X366/Data_Entry!$H366&lt;0,0,Data_Entry!X366/Data_Entry!$H366),0)</f>
        <v>0.93425853129698577</v>
      </c>
      <c r="T377" s="49">
        <f>IFERROR(IF(Data_Entry!Y366/Data_Entry!$H366&lt;0,0,Data_Entry!Y366/Data_Entry!$H366),0)</f>
        <v>0.10800676662392898</v>
      </c>
      <c r="U377" s="49">
        <f>IFERROR(IF(Data_Entry!Z366/Data_Entry!$H366&lt;0,0,Data_Entry!Z366/Data_Entry!$H366),0)</f>
        <v>0.96126022295296798</v>
      </c>
      <c r="V377" s="49">
        <f>IFERROR(IF(Data_Entry!AA366/Data_Entry!$H366&lt;0,0,Data_Entry!AA366/Data_Entry!$H366),0)</f>
        <v>0.95585988462177152</v>
      </c>
      <c r="W377" s="49">
        <f>IFERROR(IF(Data_Entry!AB366/Data_Entry!$H366&lt;0,0,Data_Entry!AB366/Data_Entry!$H366),0)</f>
        <v>0.49143078813887686</v>
      </c>
      <c r="X377" s="49">
        <f>IFERROR(IF(Data_Entry!AC366/Data_Entry!$I366&lt;0,0,Data_Entry!AC366/Data_Entry!$I366),0)</f>
        <v>0.339249253965761</v>
      </c>
      <c r="Y377" s="49">
        <f>IFERROR(IF(Data_Entry!AD366/Data_Entry!$I366&lt;0,0,Data_Entry!AD366/Data_Entry!$I366),0)</f>
        <v>0.1696246269828805</v>
      </c>
      <c r="Z377" s="49">
        <f>IFERROR(IF(Data_Entry!AE366/Data_Entry!$I366&lt;0,0,Data_Entry!AE366/Data_Entry!$I366),0)</f>
        <v>0.20731898853463171</v>
      </c>
      <c r="AA377" s="49">
        <f>IFERROR(IF(Data_Entry!AF366/Data_Entry!$I366&lt;0,0,Data_Entry!AF366/Data_Entry!$I366),0)</f>
        <v>0.16491283178891158</v>
      </c>
      <c r="AB377" s="49">
        <f>IFERROR(IF(Data_Entry!AG366/Data_Entry!$I366&lt;0,0,Data_Entry!AG366/Data_Entry!$I366),0)</f>
        <v>0.11308308465525366</v>
      </c>
      <c r="AC377" s="49">
        <f>IFERROR(IF(Data_Entry!AI366/Data_Entry!$I366&lt;0,0,Data_Entry!AI366/Data_Entry!$I366),0)</f>
        <v>0.27469765980838701</v>
      </c>
      <c r="AD377" s="49">
        <f>IFERROR(IF(Data_Entry!AM366/Data_Entry!$H366&lt;0,0,Data_Entry!AM366/Data_Entry!$H366),0)</f>
        <v>0.93425853129698577</v>
      </c>
      <c r="AE377" s="50">
        <f>Data_Entry!AK366</f>
        <v>0.17358333333334031</v>
      </c>
      <c r="AF377" s="50">
        <f>Data_Entry!AL366</f>
        <v>12</v>
      </c>
      <c r="AG377" s="153">
        <f>(Data_Entry!O366-Data_Entry!Q366)/Data_Entry!O366</f>
        <v>3.2432432432432434E-2</v>
      </c>
      <c r="AH377" s="79" t="str">
        <f t="shared" si="10"/>
        <v>CAT1</v>
      </c>
      <c r="AI377" s="51">
        <f>SUBTOTAL(3,Tableau1[[#This Row],[ZS]])</f>
        <v>0</v>
      </c>
      <c r="AJ377" s="51" t="e">
        <f t="shared" ca="1" si="11"/>
        <v>#NAME?</v>
      </c>
      <c r="AK377" s="50" t="str">
        <f>IFERROR(IF((Data_Entry!O366-Data_Entry!Q366)/Data_Entry!O366&lt;=10%,"&lt;=10%","&gt;10%"),"&lt;=10%")</f>
        <v>&lt;=10%</v>
      </c>
    </row>
    <row r="378" spans="1:37" s="48" customFormat="1" ht="13" hidden="1" x14ac:dyDescent="0.3">
      <c r="A378" s="31" t="s">
        <v>16</v>
      </c>
      <c r="B378" s="48" t="str">
        <f>Data_Entry!B367</f>
        <v>Butembo</v>
      </c>
      <c r="C378" s="48" t="str">
        <f>Data_Entry!C367</f>
        <v xml:space="preserve"> Kyondo</v>
      </c>
      <c r="D378" s="48" t="str">
        <f>Data_Entry!D367</f>
        <v xml:space="preserve"> Kirindera</v>
      </c>
      <c r="E378" s="49">
        <f>IFERROR(IF(Data_Entry!J367/Data_Entry!$I367&lt;0,0,Data_Entry!J367/Data_Entry!$I367),0)</f>
        <v>0.64108790675085003</v>
      </c>
      <c r="F378" s="49">
        <f>IFERROR(IF(Data_Entry!K367/Data_Entry!$H367&lt;0,0,Data_Entry!K367/Data_Entry!$H367),0)</f>
        <v>5.4869280896325485E-2</v>
      </c>
      <c r="G378" s="49">
        <f>IFERROR(IF(Data_Entry!L367/Data_Entry!$H367&lt;0,0,Data_Entry!L367/Data_Entry!$H367),0)</f>
        <v>0.84928104343877708</v>
      </c>
      <c r="H378" s="49">
        <f>IFERROR(IF(Data_Entry!M367/Data_Entry!$H367&lt;0,0,Data_Entry!M367/Data_Entry!$H367),0)</f>
        <v>0.80395424617659517</v>
      </c>
      <c r="I378" s="49">
        <f>IFERROR(IF(Data_Entry!N367/Data_Entry!$H367&lt;0,0,Data_Entry!N367/Data_Entry!$H367),0)</f>
        <v>0.88745097797535133</v>
      </c>
      <c r="J378" s="49">
        <f>IFERROR(IF(Data_Entry!O367/Data_Entry!$H367&lt;0,0,Data_Entry!O367/Data_Entry!$H367),0)</f>
        <v>0.79918300435952339</v>
      </c>
      <c r="K378" s="49">
        <f>IFERROR(IF(Data_Entry!P367/Data_Entry!$H367&lt;0,0,Data_Entry!P367/Data_Entry!$H367),0)</f>
        <v>0.75624182800587736</v>
      </c>
      <c r="L378" s="49">
        <f>IFERROR(IF(Data_Entry!Q367/Data_Entry!$H367&lt;0,0,Data_Entry!Q367/Data_Entry!$H367),0)</f>
        <v>0.85405228525584886</v>
      </c>
      <c r="M378" s="49">
        <f>IFERROR(IF(Data_Entry!R367/Data_Entry!$H367&lt;0,0,Data_Entry!R367/Data_Entry!$H367),0)</f>
        <v>0.79918300435952339</v>
      </c>
      <c r="N378" s="49">
        <f>IFERROR(IF(Data_Entry!S367/Data_Entry!$H367&lt;0,0,Data_Entry!S367/Data_Entry!$H367),0)</f>
        <v>0.75624182800587736</v>
      </c>
      <c r="O378" s="49">
        <f>IFERROR(IF(Data_Entry!T367/Data_Entry!$H367&lt;0,0,Data_Entry!T367/Data_Entry!$H367),0)</f>
        <v>0.82781045526195407</v>
      </c>
      <c r="P378" s="49">
        <f>IFERROR(IF(Data_Entry!U367/Data_Entry!$H367&lt;0,0,Data_Entry!U367/Data_Entry!$H367),0)</f>
        <v>0.84928104343877708</v>
      </c>
      <c r="Q378" s="49">
        <f>IFERROR(IF(Data_Entry!V367/Data_Entry!$H367&lt;0,0,Data_Entry!V367/Data_Entry!$H367),0)</f>
        <v>0.80395424617659517</v>
      </c>
      <c r="R378" s="49">
        <f>IFERROR(IF(Data_Entry!W367/Data_Entry!$H367&lt;0,0,Data_Entry!W367/Data_Entry!$H367),0)</f>
        <v>0.88745097797535133</v>
      </c>
      <c r="S378" s="49">
        <f>IFERROR(IF(Data_Entry!X367/Data_Entry!$H367&lt;0,0,Data_Entry!X367/Data_Entry!$H367),0)</f>
        <v>1.0616013042984713</v>
      </c>
      <c r="T378" s="49">
        <f>IFERROR(IF(Data_Entry!Y367/Data_Entry!$H367&lt;0,0,Data_Entry!Y367/Data_Entry!$H367),0)</f>
        <v>0.18607843086579948</v>
      </c>
      <c r="U378" s="49">
        <f>IFERROR(IF(Data_Entry!Z367/Data_Entry!$H367&lt;0,0,Data_Entry!Z367/Data_Entry!$H367),0)</f>
        <v>0.98526143522532283</v>
      </c>
      <c r="V378" s="49">
        <f>IFERROR(IF(Data_Entry!AA367/Data_Entry!$H367&lt;0,0,Data_Entry!AA367/Data_Entry!$H367),0)</f>
        <v>0.88745097797535133</v>
      </c>
      <c r="W378" s="49">
        <f>IFERROR(IF(Data_Entry!AB367/Data_Entry!$H367&lt;0,0,Data_Entry!AB367/Data_Entry!$H367),0)</f>
        <v>0.6465032662132264</v>
      </c>
      <c r="X378" s="49">
        <f>IFERROR(IF(Data_Entry!AC367/Data_Entry!$I367&lt;0,0,Data_Entry!AC367/Data_Entry!$I367),0)</f>
        <v>0.12072434607645877</v>
      </c>
      <c r="Y378" s="49">
        <f>IFERROR(IF(Data_Entry!AD367/Data_Entry!$I367&lt;0,0,Data_Entry!AD367/Data_Entry!$I367),0)</f>
        <v>0.10199125789218068</v>
      </c>
      <c r="Z378" s="49">
        <f>IFERROR(IF(Data_Entry!AE367/Data_Entry!$I367&lt;0,0,Data_Entry!AE367/Data_Entry!$I367),0)</f>
        <v>9.9909803649483112E-2</v>
      </c>
      <c r="AA378" s="49">
        <f>IFERROR(IF(Data_Entry!AF367/Data_Entry!$I367&lt;0,0,Data_Entry!AF367/Data_Entry!$I367),0)</f>
        <v>7.9095261222507471E-2</v>
      </c>
      <c r="AB378" s="49">
        <f>IFERROR(IF(Data_Entry!AG367/Data_Entry!$I367&lt;0,0,Data_Entry!AG367/Data_Entry!$I367),0)</f>
        <v>5.8280718795531816E-2</v>
      </c>
      <c r="AC378" s="49">
        <f>IFERROR(IF(Data_Entry!AI367/Data_Entry!$I367&lt;0,0,Data_Entry!AI367/Data_Entry!$I367),0)</f>
        <v>0.12134878234926803</v>
      </c>
      <c r="AD378" s="49">
        <f>IFERROR(IF(Data_Entry!AM367/Data_Entry!$H367&lt;0,0,Data_Entry!AM367/Data_Entry!$H367),0)</f>
        <v>0.98526143522532283</v>
      </c>
      <c r="AE378" s="50">
        <f>Data_Entry!AK367</f>
        <v>84.178083333333348</v>
      </c>
      <c r="AF378" s="50">
        <f>Data_Entry!AL367</f>
        <v>0</v>
      </c>
      <c r="AG378" s="153">
        <f>(Data_Entry!O367-Data_Entry!Q367)/Data_Entry!O367</f>
        <v>-6.8656716417910449E-2</v>
      </c>
      <c r="AH378" s="79" t="str">
        <f t="shared" si="10"/>
        <v>CAT3</v>
      </c>
      <c r="AI378" s="51">
        <f>SUBTOTAL(3,Tableau1[[#This Row],[ZS]])</f>
        <v>0</v>
      </c>
      <c r="AJ378" s="51" t="e">
        <f t="shared" ca="1" si="11"/>
        <v>#NAME?</v>
      </c>
      <c r="AK378" s="50" t="str">
        <f>IFERROR(IF((Data_Entry!O367-Data_Entry!Q367)/Data_Entry!O367&lt;=10%,"&lt;=10%","&gt;10%"),"&lt;=10%")</f>
        <v>&lt;=10%</v>
      </c>
    </row>
    <row r="379" spans="1:37" s="48" customFormat="1" ht="13" hidden="1" x14ac:dyDescent="0.3">
      <c r="A379" s="31" t="s">
        <v>16</v>
      </c>
      <c r="B379" s="48" t="str">
        <f>Data_Entry!B368</f>
        <v>Butembo</v>
      </c>
      <c r="C379" s="48" t="str">
        <f>Data_Entry!C368</f>
        <v xml:space="preserve"> Kyondo</v>
      </c>
      <c r="D379" s="48" t="str">
        <f>Data_Entry!D368</f>
        <v xml:space="preserve"> Kitolu</v>
      </c>
      <c r="E379" s="49">
        <f>IFERROR(IF(Data_Entry!J368/Data_Entry!$I368&lt;0,0,Data_Entry!J368/Data_Entry!$I368),0)</f>
        <v>1.0944055944055944</v>
      </c>
      <c r="F379" s="49">
        <f>IFERROR(IF(Data_Entry!K368/Data_Entry!$H368&lt;0,0,Data_Entry!K368/Data_Entry!$H368),0)</f>
        <v>0.53699881780111003</v>
      </c>
      <c r="G379" s="49">
        <f>IFERROR(IF(Data_Entry!L368/Data_Entry!$H368&lt;0,0,Data_Entry!L368/Data_Entry!$H368),0)</f>
        <v>1.2463181517622777</v>
      </c>
      <c r="H379" s="49">
        <f>IFERROR(IF(Data_Entry!M368/Data_Entry!$H368&lt;0,0,Data_Entry!M368/Data_Entry!$H368),0)</f>
        <v>1.2022361592562165</v>
      </c>
      <c r="I379" s="49">
        <f>IFERROR(IF(Data_Entry!N368/Data_Entry!$H368&lt;0,0,Data_Entry!N368/Data_Entry!$H368),0)</f>
        <v>1.16616907447853</v>
      </c>
      <c r="J379" s="49">
        <f>IFERROR(IF(Data_Entry!O368/Data_Entry!$H368&lt;0,0,Data_Entry!O368/Data_Entry!$H368),0)</f>
        <v>1.021900735367784</v>
      </c>
      <c r="K379" s="49">
        <f>IFERROR(IF(Data_Entry!P368/Data_Entry!$H368&lt;0,0,Data_Entry!P368/Data_Entry!$H368),0)</f>
        <v>1.0178932815035966</v>
      </c>
      <c r="L379" s="49">
        <f>IFERROR(IF(Data_Entry!Q368/Data_Entry!$H368&lt;0,0,Data_Entry!Q368/Data_Entry!$H368),0)</f>
        <v>0.93373675035566139</v>
      </c>
      <c r="M379" s="49">
        <f>IFERROR(IF(Data_Entry!R368/Data_Entry!$H368&lt;0,0,Data_Entry!R368/Data_Entry!$H368),0)</f>
        <v>1.0018634660468471</v>
      </c>
      <c r="N379" s="49">
        <f>IFERROR(IF(Data_Entry!S368/Data_Entry!$H368&lt;0,0,Data_Entry!S368/Data_Entry!$H368),0)</f>
        <v>0.98984110445428486</v>
      </c>
      <c r="O379" s="49">
        <f>IFERROR(IF(Data_Entry!T368/Data_Entry!$H368&lt;0,0,Data_Entry!T368/Data_Entry!$H368),0)</f>
        <v>0.92972929649147407</v>
      </c>
      <c r="P379" s="49">
        <f>IFERROR(IF(Data_Entry!U368/Data_Entry!$H368&lt;0,0,Data_Entry!U368/Data_Entry!$H368),0)</f>
        <v>1.0980423587873442</v>
      </c>
      <c r="Q379" s="49">
        <f>IFERROR(IF(Data_Entry!V368/Data_Entry!$H368&lt;0,0,Data_Entry!V368/Data_Entry!$H368),0)</f>
        <v>1.1020498126515317</v>
      </c>
      <c r="R379" s="49">
        <f>IFERROR(IF(Data_Entry!W368/Data_Entry!$H368&lt;0,0,Data_Entry!W368/Data_Entry!$H368),0)</f>
        <v>1.0098783737752217</v>
      </c>
      <c r="S379" s="49">
        <f>IFERROR(IF(Data_Entry!X368/Data_Entry!$H368&lt;0,0,Data_Entry!X368/Data_Entry!$H368),0)</f>
        <v>1.0820125433305947</v>
      </c>
      <c r="T379" s="49">
        <f>IFERROR(IF(Data_Entry!Y368/Data_Entry!$H368&lt;0,0,Data_Entry!Y368/Data_Entry!$H368),0)</f>
        <v>0.34063357845592801</v>
      </c>
      <c r="U379" s="49">
        <f>IFERROR(IF(Data_Entry!Z368/Data_Entry!$H368&lt;0,0,Data_Entry!Z368/Data_Entry!$H368),0)</f>
        <v>1.0058709199110345</v>
      </c>
      <c r="V379" s="49">
        <f>IFERROR(IF(Data_Entry!AA368/Data_Entry!$H368&lt;0,0,Data_Entry!AA368/Data_Entry!$H368),0)</f>
        <v>1.1541467128859677</v>
      </c>
      <c r="W379" s="49">
        <f>IFERROR(IF(Data_Entry!AB368/Data_Entry!$H368&lt;0,0,Data_Entry!AB368/Data_Entry!$H368),0)</f>
        <v>0.67325224918348126</v>
      </c>
      <c r="X379" s="49">
        <f>IFERROR(IF(Data_Entry!AC368/Data_Entry!$I368&lt;0,0,Data_Entry!AC368/Data_Entry!$I368),0)</f>
        <v>0.35314685314685312</v>
      </c>
      <c r="Y379" s="49">
        <f>IFERROR(IF(Data_Entry!AD368/Data_Entry!$I368&lt;0,0,Data_Entry!AD368/Data_Entry!$I368),0)</f>
        <v>0.24825174825174826</v>
      </c>
      <c r="Z379" s="49">
        <f>IFERROR(IF(Data_Entry!AE368/Data_Entry!$I368&lt;0,0,Data_Entry!AE368/Data_Entry!$I368),0)</f>
        <v>0.13286713286713286</v>
      </c>
      <c r="AA379" s="49">
        <f>IFERROR(IF(Data_Entry!AF368/Data_Entry!$I368&lt;0,0,Data_Entry!AF368/Data_Entry!$I368),0)</f>
        <v>5.5944055944055944E-2</v>
      </c>
      <c r="AB379" s="49">
        <f>IFERROR(IF(Data_Entry!AG368/Data_Entry!$I368&lt;0,0,Data_Entry!AG368/Data_Entry!$I368),0)</f>
        <v>4.8951048951048952E-2</v>
      </c>
      <c r="AC379" s="49">
        <f>IFERROR(IF(Data_Entry!AI368/Data_Entry!$I368&lt;0,0,Data_Entry!AI368/Data_Entry!$I368),0)</f>
        <v>0.20384615384615384</v>
      </c>
      <c r="AD379" s="49">
        <f>IFERROR(IF(Data_Entry!AM368/Data_Entry!$H368&lt;0,0,Data_Entry!AM368/Data_Entry!$H368),0)</f>
        <v>1.0058709199110345</v>
      </c>
      <c r="AE379" s="50">
        <f>Data_Entry!AK368</f>
        <v>0</v>
      </c>
      <c r="AF379" s="50">
        <f>Data_Entry!AL368</f>
        <v>0</v>
      </c>
      <c r="AG379" s="153">
        <f>(Data_Entry!O368-Data_Entry!Q368)/Data_Entry!O368</f>
        <v>8.6274509803921567E-2</v>
      </c>
      <c r="AH379" s="79" t="str">
        <f t="shared" si="10"/>
        <v>CAT1</v>
      </c>
      <c r="AI379" s="51">
        <f>SUBTOTAL(3,Tableau1[[#This Row],[ZS]])</f>
        <v>0</v>
      </c>
      <c r="AJ379" s="51" t="e">
        <f t="shared" ca="1" si="11"/>
        <v>#NAME?</v>
      </c>
      <c r="AK379" s="50" t="str">
        <f>IFERROR(IF((Data_Entry!O368-Data_Entry!Q368)/Data_Entry!O368&lt;=10%,"&lt;=10%","&gt;10%"),"&lt;=10%")</f>
        <v>&lt;=10%</v>
      </c>
    </row>
    <row r="380" spans="1:37" s="48" customFormat="1" ht="13" hidden="1" x14ac:dyDescent="0.3">
      <c r="A380" s="31" t="s">
        <v>16</v>
      </c>
      <c r="B380" s="48" t="str">
        <f>Data_Entry!B369</f>
        <v>Butembo</v>
      </c>
      <c r="C380" s="48" t="str">
        <f>Data_Entry!C369</f>
        <v xml:space="preserve"> Kyondo</v>
      </c>
      <c r="D380" s="48" t="str">
        <f>Data_Entry!D369</f>
        <v xml:space="preserve"> Kivuwe</v>
      </c>
      <c r="E380" s="49">
        <f>IFERROR(IF(Data_Entry!J369/Data_Entry!$I369&lt;0,0,Data_Entry!J369/Data_Entry!$I369),0)</f>
        <v>0.81089289329823844</v>
      </c>
      <c r="F380" s="49">
        <f>IFERROR(IF(Data_Entry!K369/Data_Entry!$H369&lt;0,0,Data_Entry!K369/Data_Entry!$H369),0)</f>
        <v>0.30631584993075983</v>
      </c>
      <c r="G380" s="49">
        <f>IFERROR(IF(Data_Entry!L369/Data_Entry!$H369&lt;0,0,Data_Entry!L369/Data_Entry!$H369),0)</f>
        <v>0.85629203503371509</v>
      </c>
      <c r="H380" s="49">
        <f>IFERROR(IF(Data_Entry!M369/Data_Entry!$H369&lt;0,0,Data_Entry!M369/Data_Entry!$H369),0)</f>
        <v>0.845849449240621</v>
      </c>
      <c r="I380" s="49">
        <f>IFERROR(IF(Data_Entry!N369/Data_Entry!$H369&lt;0,0,Data_Entry!N369/Data_Entry!$H369),0)</f>
        <v>0.88065806855093454</v>
      </c>
      <c r="J380" s="49">
        <f>IFERROR(IF(Data_Entry!O369/Data_Entry!$H369&lt;0,0,Data_Entry!O369/Data_Entry!$H369),0)</f>
        <v>0.87369634468887181</v>
      </c>
      <c r="K380" s="49">
        <f>IFERROR(IF(Data_Entry!P369/Data_Entry!$H369&lt;0,0,Data_Entry!P369/Data_Entry!$H369),0)</f>
        <v>0.80755996799927598</v>
      </c>
      <c r="L380" s="49">
        <f>IFERROR(IF(Data_Entry!Q369/Data_Entry!$H369&lt;0,0,Data_Entry!Q369/Data_Entry!$H369),0)</f>
        <v>0.88065806855093454</v>
      </c>
      <c r="M380" s="49">
        <f>IFERROR(IF(Data_Entry!R369/Data_Entry!$H369&lt;0,0,Data_Entry!R369/Data_Entry!$H369),0)</f>
        <v>0.84236858730958963</v>
      </c>
      <c r="N380" s="49">
        <f>IFERROR(IF(Data_Entry!S369/Data_Entry!$H369&lt;0,0,Data_Entry!S369/Data_Entry!$H369),0)</f>
        <v>0.7866747964130878</v>
      </c>
      <c r="O380" s="49">
        <f>IFERROR(IF(Data_Entry!T369/Data_Entry!$H369&lt;0,0,Data_Entry!T369/Data_Entry!$H369),0)</f>
        <v>0.85629203503371509</v>
      </c>
      <c r="P380" s="49">
        <f>IFERROR(IF(Data_Entry!U369/Data_Entry!$H369&lt;0,0,Data_Entry!U369/Data_Entry!$H369),0)</f>
        <v>0.85977289696474646</v>
      </c>
      <c r="Q380" s="49">
        <f>IFERROR(IF(Data_Entry!V369/Data_Entry!$H369&lt;0,0,Data_Entry!V369/Data_Entry!$H369),0)</f>
        <v>0.83192600151649554</v>
      </c>
      <c r="R380" s="49">
        <f>IFERROR(IF(Data_Entry!W369/Data_Entry!$H369&lt;0,0,Data_Entry!W369/Data_Entry!$H369),0)</f>
        <v>0.89110065434402863</v>
      </c>
      <c r="S380" s="49">
        <f>IFERROR(IF(Data_Entry!X369/Data_Entry!$H369&lt;0,0,Data_Entry!X369/Data_Entry!$H369),0)</f>
        <v>0.90154324013712273</v>
      </c>
      <c r="T380" s="49">
        <f>IFERROR(IF(Data_Entry!Y369/Data_Entry!$H369&lt;0,0,Data_Entry!Y369/Data_Entry!$H369),0)</f>
        <v>0.14619620110331721</v>
      </c>
      <c r="U380" s="49">
        <f>IFERROR(IF(Data_Entry!Z369/Data_Entry!$H369&lt;0,0,Data_Entry!Z369/Data_Entry!$H369),0)</f>
        <v>0.85977289696474646</v>
      </c>
      <c r="V380" s="49">
        <f>IFERROR(IF(Data_Entry!AA369/Data_Entry!$H369&lt;0,0,Data_Entry!AA369/Data_Entry!$H369),0)</f>
        <v>1.058182027033534</v>
      </c>
      <c r="W380" s="49">
        <f>IFERROR(IF(Data_Entry!AB369/Data_Entry!$H369&lt;0,0,Data_Entry!AB369/Data_Entry!$H369),0)</f>
        <v>0.51168670386161019</v>
      </c>
      <c r="X380" s="49">
        <f>IFERROR(IF(Data_Entry!AC369/Data_Entry!$I369&lt;0,0,Data_Entry!AC369/Data_Entry!$I369),0)</f>
        <v>0.13363028953229397</v>
      </c>
      <c r="Y380" s="49">
        <f>IFERROR(IF(Data_Entry!AD369/Data_Entry!$I369&lt;0,0,Data_Entry!AD369/Data_Entry!$I369),0)</f>
        <v>0.13363028953229397</v>
      </c>
      <c r="Z380" s="49">
        <f>IFERROR(IF(Data_Entry!AE369/Data_Entry!$I369&lt;0,0,Data_Entry!AE369/Data_Entry!$I369),0)</f>
        <v>0.11237092528851993</v>
      </c>
      <c r="AA380" s="49">
        <f>IFERROR(IF(Data_Entry!AF369/Data_Entry!$I369&lt;0,0,Data_Entry!AF369/Data_Entry!$I369),0)</f>
        <v>8.8074509009921031E-2</v>
      </c>
      <c r="AB380" s="49">
        <f>IFERROR(IF(Data_Entry!AG369/Data_Entry!$I369&lt;0,0,Data_Entry!AG369/Data_Entry!$I369),0)</f>
        <v>7.8963352905446441E-2</v>
      </c>
      <c r="AC380" s="49">
        <f>IFERROR(IF(Data_Entry!AI369/Data_Entry!$I369&lt;0,0,Data_Entry!AI369/Data_Entry!$I369),0)</f>
        <v>0.15185260174124315</v>
      </c>
      <c r="AD380" s="49">
        <f>IFERROR(IF(Data_Entry!AM369/Data_Entry!$H369&lt;0,0,Data_Entry!AM369/Data_Entry!$H369),0)</f>
        <v>0.85977289696474646</v>
      </c>
      <c r="AE380" s="50">
        <f>Data_Entry!AK369</f>
        <v>36.285166666666669</v>
      </c>
      <c r="AF380" s="50">
        <f>Data_Entry!AL369</f>
        <v>0</v>
      </c>
      <c r="AG380" s="153">
        <f>(Data_Entry!O369-Data_Entry!Q369)/Data_Entry!O369</f>
        <v>-7.9681274900398405E-3</v>
      </c>
      <c r="AH380" s="79" t="str">
        <f t="shared" si="10"/>
        <v>CAT3</v>
      </c>
      <c r="AI380" s="51">
        <f>SUBTOTAL(3,Tableau1[[#This Row],[ZS]])</f>
        <v>0</v>
      </c>
      <c r="AJ380" s="51" t="e">
        <f t="shared" ca="1" si="11"/>
        <v>#NAME?</v>
      </c>
      <c r="AK380" s="50" t="str">
        <f>IFERROR(IF((Data_Entry!O369-Data_Entry!Q369)/Data_Entry!O369&lt;=10%,"&lt;=10%","&gt;10%"),"&lt;=10%")</f>
        <v>&lt;=10%</v>
      </c>
    </row>
    <row r="381" spans="1:37" s="48" customFormat="1" ht="13" hidden="1" x14ac:dyDescent="0.3">
      <c r="A381" s="31" t="s">
        <v>16</v>
      </c>
      <c r="B381" s="48" t="str">
        <f>Data_Entry!B370</f>
        <v>Butembo</v>
      </c>
      <c r="C381" s="48" t="str">
        <f>Data_Entry!C370</f>
        <v xml:space="preserve"> Kyondo</v>
      </c>
      <c r="D381" s="48" t="str">
        <f>Data_Entry!D370</f>
        <v xml:space="preserve"> Kyalumba</v>
      </c>
      <c r="E381" s="49">
        <f>IFERROR(IF(Data_Entry!J370/Data_Entry!$I370&lt;0,0,Data_Entry!J370/Data_Entry!$I370),0)</f>
        <v>0.87503701510216159</v>
      </c>
      <c r="F381" s="49">
        <f>IFERROR(IF(Data_Entry!K370/Data_Entry!$H370&lt;0,0,Data_Entry!K370/Data_Entry!$H370),0)</f>
        <v>0.14509071563662157</v>
      </c>
      <c r="G381" s="49">
        <f>IFERROR(IF(Data_Entry!L370/Data_Entry!$H370&lt;0,0,Data_Entry!L370/Data_Entry!$H370),0)</f>
        <v>1.1301803112747364</v>
      </c>
      <c r="H381" s="49">
        <f>IFERROR(IF(Data_Entry!M370/Data_Entry!$H370&lt;0,0,Data_Entry!M370/Data_Entry!$H370),0)</f>
        <v>1.0741803859413037</v>
      </c>
      <c r="I381" s="49">
        <f>IFERROR(IF(Data_Entry!N370/Data_Entry!$H370&lt;0,0,Data_Entry!N370/Data_Entry!$H370),0)</f>
        <v>0.97490779103203618</v>
      </c>
      <c r="J381" s="49">
        <f>IFERROR(IF(Data_Entry!O370/Data_Entry!$H370&lt;0,0,Data_Entry!O370/Data_Entry!$H370),0)</f>
        <v>1.0105441071533117</v>
      </c>
      <c r="K381" s="49">
        <f>IFERROR(IF(Data_Entry!P370/Data_Entry!$H370&lt;0,0,Data_Entry!P370/Data_Entry!$H370),0)</f>
        <v>1.0079986560017919</v>
      </c>
      <c r="L381" s="49">
        <f>IFERROR(IF(Data_Entry!Q370/Data_Entry!$H370&lt;0,0,Data_Entry!Q370/Data_Entry!$H370),0)</f>
        <v>0.92908967030468204</v>
      </c>
      <c r="M381" s="49">
        <f>IFERROR(IF(Data_Entry!R370/Data_Entry!$H370&lt;0,0,Data_Entry!R370/Data_Entry!$H370),0)</f>
        <v>1.1581802739414528</v>
      </c>
      <c r="N381" s="49">
        <f>IFERROR(IF(Data_Entry!S370/Data_Entry!$H370&lt;0,0,Data_Entry!S370/Data_Entry!$H370),0)</f>
        <v>1.0589076790321856</v>
      </c>
      <c r="O381" s="49">
        <f>IFERROR(IF(Data_Entry!T370/Data_Entry!$H370&lt;0,0,Data_Entry!T370/Data_Entry!$H370),0)</f>
        <v>0.97999869333507561</v>
      </c>
      <c r="P381" s="49">
        <f>IFERROR(IF(Data_Entry!U370/Data_Entry!$H370&lt;0,0,Data_Entry!U370/Data_Entry!$H370),0)</f>
        <v>0.98763504678963465</v>
      </c>
      <c r="Q381" s="49">
        <f>IFERROR(IF(Data_Entry!V370/Data_Entry!$H370&lt;0,0,Data_Entry!V370/Data_Entry!$H370),0)</f>
        <v>0.97745324218355589</v>
      </c>
      <c r="R381" s="49">
        <f>IFERROR(IF(Data_Entry!W370/Data_Entry!$H370&lt;0,0,Data_Entry!W370/Data_Entry!$H370),0)</f>
        <v>0.89599880533492626</v>
      </c>
      <c r="S381" s="49">
        <f>IFERROR(IF(Data_Entry!X370/Data_Entry!$H370&lt;0,0,Data_Entry!X370/Data_Entry!$H370),0)</f>
        <v>1.0461804232745873</v>
      </c>
      <c r="T381" s="49">
        <f>IFERROR(IF(Data_Entry!Y370/Data_Entry!$H370&lt;0,0,Data_Entry!Y370/Data_Entry!$H370),0)</f>
        <v>0.16799977600029867</v>
      </c>
      <c r="U381" s="49">
        <f>IFERROR(IF(Data_Entry!Z370/Data_Entry!$H370&lt;0,0,Data_Entry!Z370/Data_Entry!$H370),0)</f>
        <v>0.97490779103203618</v>
      </c>
      <c r="V381" s="49">
        <f>IFERROR(IF(Data_Entry!AA370/Data_Entry!$H370&lt;0,0,Data_Entry!AA370/Data_Entry!$H370),0)</f>
        <v>1.3669072683660664</v>
      </c>
      <c r="W381" s="49">
        <f>IFERROR(IF(Data_Entry!AB370/Data_Entry!$H370&lt;0,0,Data_Entry!AB370/Data_Entry!$H370),0)</f>
        <v>0.61854462981928149</v>
      </c>
      <c r="X381" s="49">
        <f>IFERROR(IF(Data_Entry!AC370/Data_Entry!$I370&lt;0,0,Data_Entry!AC370/Data_Entry!$I370),0)</f>
        <v>0.23763695587799821</v>
      </c>
      <c r="Y381" s="49">
        <f>IFERROR(IF(Data_Entry!AD370/Data_Entry!$I370&lt;0,0,Data_Entry!AD370/Data_Entry!$I370),0)</f>
        <v>0.1754515842463725</v>
      </c>
      <c r="Z381" s="49">
        <f>IFERROR(IF(Data_Entry!AE370/Data_Entry!$I370&lt;0,0,Data_Entry!AE370/Data_Entry!$I370),0)</f>
        <v>0.13325436778205507</v>
      </c>
      <c r="AA381" s="49">
        <f>IFERROR(IF(Data_Entry!AF370/Data_Entry!$I370&lt;0,0,Data_Entry!AF370/Data_Entry!$I370),0)</f>
        <v>0.11992893100384956</v>
      </c>
      <c r="AB381" s="49">
        <f>IFERROR(IF(Data_Entry!AG370/Data_Entry!$I370&lt;0,0,Data_Entry!AG370/Data_Entry!$I370),0)</f>
        <v>9.5498963577139467E-2</v>
      </c>
      <c r="AC381" s="49">
        <f>IFERROR(IF(Data_Entry!AI370/Data_Entry!$I370&lt;0,0,Data_Entry!AI370/Data_Entry!$I370),0)</f>
        <v>0.12947882736156349</v>
      </c>
      <c r="AD381" s="49">
        <f>IFERROR(IF(Data_Entry!AM370/Data_Entry!$H370&lt;0,0,Data_Entry!AM370/Data_Entry!$H370),0)</f>
        <v>0.97490779103203618</v>
      </c>
      <c r="AE381" s="50">
        <f>Data_Entry!AK370</f>
        <v>0</v>
      </c>
      <c r="AF381" s="50">
        <f>Data_Entry!AL370</f>
        <v>0</v>
      </c>
      <c r="AG381" s="153">
        <f>(Data_Entry!O370-Data_Entry!Q370)/Data_Entry!O370</f>
        <v>8.0604534005037781E-2</v>
      </c>
      <c r="AH381" s="79" t="str">
        <f t="shared" si="10"/>
        <v>CAT1</v>
      </c>
      <c r="AI381" s="51">
        <f>SUBTOTAL(3,Tableau1[[#This Row],[ZS]])</f>
        <v>0</v>
      </c>
      <c r="AJ381" s="51" t="e">
        <f t="shared" ca="1" si="11"/>
        <v>#NAME?</v>
      </c>
      <c r="AK381" s="50" t="str">
        <f>IFERROR(IF((Data_Entry!O370-Data_Entry!Q370)/Data_Entry!O370&lt;=10%,"&lt;=10%","&gt;10%"),"&lt;=10%")</f>
        <v>&lt;=10%</v>
      </c>
    </row>
    <row r="382" spans="1:37" s="48" customFormat="1" ht="13" hidden="1" x14ac:dyDescent="0.3">
      <c r="A382" s="31" t="s">
        <v>16</v>
      </c>
      <c r="B382" s="48" t="str">
        <f>Data_Entry!B371</f>
        <v>Butembo</v>
      </c>
      <c r="C382" s="48" t="str">
        <f>Data_Entry!C371</f>
        <v xml:space="preserve"> Kyondo</v>
      </c>
      <c r="D382" s="48" t="str">
        <f>Data_Entry!D371</f>
        <v xml:space="preserve"> Kyangendi</v>
      </c>
      <c r="E382" s="49">
        <f>IFERROR(IF(Data_Entry!J371/Data_Entry!$I371&lt;0,0,Data_Entry!J371/Data_Entry!$I371),0)</f>
        <v>0.58554437328453801</v>
      </c>
      <c r="F382" s="49">
        <f>IFERROR(IF(Data_Entry!K371/Data_Entry!$H371&lt;0,0,Data_Entry!K371/Data_Entry!$H371),0)</f>
        <v>0.61343742545031288</v>
      </c>
      <c r="G382" s="49">
        <f>IFERROR(IF(Data_Entry!L371/Data_Entry!$H371&lt;0,0,Data_Entry!L371/Data_Entry!$H371),0)</f>
        <v>0.60295131561355542</v>
      </c>
      <c r="H382" s="49">
        <f>IFERROR(IF(Data_Entry!M371/Data_Entry!$H371&lt;0,0,Data_Entry!M371/Data_Entry!$H371),0)</f>
        <v>0.61868048036869161</v>
      </c>
      <c r="I382" s="49">
        <f>IFERROR(IF(Data_Entry!N371/Data_Entry!$H371&lt;0,0,Data_Entry!N371/Data_Entry!$H371),0)</f>
        <v>0.60295131561355542</v>
      </c>
      <c r="J382" s="49">
        <f>IFERROR(IF(Data_Entry!O371/Data_Entry!$H371&lt;0,0,Data_Entry!O371/Data_Entry!$H371),0)</f>
        <v>0.48236105249084432</v>
      </c>
      <c r="K382" s="49">
        <f>IFERROR(IF(Data_Entry!P371/Data_Entry!$H371&lt;0,0,Data_Entry!P371/Data_Entry!$H371),0)</f>
        <v>0.56624993118490419</v>
      </c>
      <c r="L382" s="49">
        <f>IFERROR(IF(Data_Entry!Q371/Data_Entry!$H371&lt;0,0,Data_Entry!Q371/Data_Entry!$H371),0)</f>
        <v>0.52430549183787423</v>
      </c>
      <c r="M382" s="49">
        <f>IFERROR(IF(Data_Entry!R371/Data_Entry!$H371&lt;0,0,Data_Entry!R371/Data_Entry!$H371),0)</f>
        <v>0.47187494265408686</v>
      </c>
      <c r="N382" s="49">
        <f>IFERROR(IF(Data_Entry!S371/Data_Entry!$H371&lt;0,0,Data_Entry!S371/Data_Entry!$H371),0)</f>
        <v>0.52430549183787423</v>
      </c>
      <c r="O382" s="49">
        <f>IFERROR(IF(Data_Entry!T371/Data_Entry!$H371&lt;0,0,Data_Entry!T371/Data_Entry!$H371),0)</f>
        <v>0.52430549183787423</v>
      </c>
      <c r="P382" s="49">
        <f>IFERROR(IF(Data_Entry!U371/Data_Entry!$H371&lt;0,0,Data_Entry!U371/Data_Entry!$H371),0)</f>
        <v>0.47187494265408686</v>
      </c>
      <c r="Q382" s="49">
        <f>IFERROR(IF(Data_Entry!V371/Data_Entry!$H371&lt;0,0,Data_Entry!V371/Data_Entry!$H371),0)</f>
        <v>0.52430549183787423</v>
      </c>
      <c r="R382" s="49">
        <f>IFERROR(IF(Data_Entry!W371/Data_Entry!$H371&lt;0,0,Data_Entry!W371/Data_Entry!$H371),0)</f>
        <v>0.52430549183787423</v>
      </c>
      <c r="S382" s="49">
        <f>IFERROR(IF(Data_Entry!X371/Data_Entry!$H371&lt;0,0,Data_Entry!X371/Data_Entry!$H371),0)</f>
        <v>0.68159713938923649</v>
      </c>
      <c r="T382" s="49">
        <f>IFERROR(IF(Data_Entry!Y371/Data_Entry!$H371&lt;0,0,Data_Entry!Y371/Data_Entry!$H371),0)</f>
        <v>0.17826386722487725</v>
      </c>
      <c r="U382" s="49">
        <f>IFERROR(IF(Data_Entry!Z371/Data_Entry!$H371&lt;0,0,Data_Entry!Z371/Data_Entry!$H371),0)</f>
        <v>0.68159713938923649</v>
      </c>
      <c r="V382" s="49">
        <f>IFERROR(IF(Data_Entry!AA371/Data_Entry!$H371&lt;0,0,Data_Entry!AA371/Data_Entry!$H371),0)</f>
        <v>0.59246520577679795</v>
      </c>
      <c r="W382" s="49">
        <f>IFERROR(IF(Data_Entry!AB371/Data_Entry!$H371&lt;0,0,Data_Entry!AB371/Data_Entry!$H371),0)</f>
        <v>0.44041661314381436</v>
      </c>
      <c r="X382" s="49">
        <f>IFERROR(IF(Data_Entry!AC371/Data_Entry!$I371&lt;0,0,Data_Entry!AC371/Data_Entry!$I371),0)</f>
        <v>0.15096065873741996</v>
      </c>
      <c r="Y382" s="49">
        <f>IFERROR(IF(Data_Entry!AD371/Data_Entry!$I371&lt;0,0,Data_Entry!AD371/Data_Entry!$I371),0)</f>
        <v>0.17383348581884722</v>
      </c>
      <c r="Z382" s="49">
        <f>IFERROR(IF(Data_Entry!AE371/Data_Entry!$I371&lt;0,0,Data_Entry!AE371/Data_Entry!$I371),0)</f>
        <v>0.10064043915827997</v>
      </c>
      <c r="AA382" s="49">
        <f>IFERROR(IF(Data_Entry!AF371/Data_Entry!$I371&lt;0,0,Data_Entry!AF371/Data_Entry!$I371),0)</f>
        <v>0.10521500457456542</v>
      </c>
      <c r="AB382" s="49">
        <f>IFERROR(IF(Data_Entry!AG371/Data_Entry!$I371&lt;0,0,Data_Entry!AG371/Data_Entry!$I371),0)</f>
        <v>0.16925892040256177</v>
      </c>
      <c r="AC382" s="49">
        <f>IFERROR(IF(Data_Entry!AI371/Data_Entry!$I371&lt;0,0,Data_Entry!AI371/Data_Entry!$I371),0)</f>
        <v>0.26669716376944191</v>
      </c>
      <c r="AD382" s="49">
        <f>IFERROR(IF(Data_Entry!AM371/Data_Entry!$H371&lt;0,0,Data_Entry!AM371/Data_Entry!$H371),0)</f>
        <v>0.68159713938923649</v>
      </c>
      <c r="AE382" s="50">
        <f>Data_Entry!AK371</f>
        <v>98.728499999999997</v>
      </c>
      <c r="AF382" s="50">
        <f>Data_Entry!AL371</f>
        <v>0</v>
      </c>
      <c r="AG382" s="153">
        <f>(Data_Entry!O371-Data_Entry!Q371)/Data_Entry!O371</f>
        <v>-8.6956521739130432E-2</v>
      </c>
      <c r="AH382" s="79" t="str">
        <f t="shared" si="10"/>
        <v>CAT3</v>
      </c>
      <c r="AI382" s="51">
        <f>SUBTOTAL(3,Tableau1[[#This Row],[ZS]])</f>
        <v>0</v>
      </c>
      <c r="AJ382" s="51" t="e">
        <f t="shared" ca="1" si="11"/>
        <v>#NAME?</v>
      </c>
      <c r="AK382" s="50" t="str">
        <f>IFERROR(IF((Data_Entry!O371-Data_Entry!Q371)/Data_Entry!O371&lt;=10%,"&lt;=10%","&gt;10%"),"&lt;=10%")</f>
        <v>&lt;=10%</v>
      </c>
    </row>
    <row r="383" spans="1:37" s="48" customFormat="1" ht="13" hidden="1" x14ac:dyDescent="0.3">
      <c r="A383" s="31" t="s">
        <v>16</v>
      </c>
      <c r="B383" s="48" t="str">
        <f>Data_Entry!B372</f>
        <v>Butembo</v>
      </c>
      <c r="C383" s="48" t="str">
        <f>Data_Entry!C372</f>
        <v xml:space="preserve"> Kyondo</v>
      </c>
      <c r="D383" s="48" t="str">
        <f>Data_Entry!D372</f>
        <v xml:space="preserve"> Kyavinyonge</v>
      </c>
      <c r="E383" s="49">
        <f>IFERROR(IF(Data_Entry!J372/Data_Entry!$I372&lt;0,0,Data_Entry!J372/Data_Entry!$I372),0)</f>
        <v>0.62415282287299434</v>
      </c>
      <c r="F383" s="49">
        <f>IFERROR(IF(Data_Entry!K372/Data_Entry!$H372&lt;0,0,Data_Entry!K372/Data_Entry!$H372),0)</f>
        <v>0.88119518102933825</v>
      </c>
      <c r="G383" s="49">
        <f>IFERROR(IF(Data_Entry!L372/Data_Entry!$H372&lt;0,0,Data_Entry!L372/Data_Entry!$H372),0)</f>
        <v>0.88444682376376382</v>
      </c>
      <c r="H383" s="49">
        <f>IFERROR(IF(Data_Entry!M372/Data_Entry!$H372&lt;0,0,Data_Entry!M372/Data_Entry!$H372),0)</f>
        <v>0.92671817931129663</v>
      </c>
      <c r="I383" s="49">
        <f>IFERROR(IF(Data_Entry!N372/Data_Entry!$H372&lt;0,0,Data_Entry!N372/Data_Entry!$H372),0)</f>
        <v>0.83783994457033018</v>
      </c>
      <c r="J383" s="49">
        <f>IFERROR(IF(Data_Entry!O372/Data_Entry!$H372&lt;0,0,Data_Entry!O372/Data_Entry!$H372),0)</f>
        <v>0.88444682376376382</v>
      </c>
      <c r="K383" s="49">
        <f>IFERROR(IF(Data_Entry!P372/Data_Entry!$H372&lt;0,0,Data_Entry!P372/Data_Entry!$H372),0)</f>
        <v>0.92671817931129663</v>
      </c>
      <c r="L383" s="49">
        <f>IFERROR(IF(Data_Entry!Q372/Data_Entry!$H372&lt;0,0,Data_Entry!Q372/Data_Entry!$H372),0)</f>
        <v>0.83783994457033018</v>
      </c>
      <c r="M383" s="49">
        <f>IFERROR(IF(Data_Entry!R372/Data_Entry!$H372&lt;0,0,Data_Entry!R372/Data_Entry!$H372),0)</f>
        <v>0.83350442092442933</v>
      </c>
      <c r="N383" s="49">
        <f>IFERROR(IF(Data_Entry!S372/Data_Entry!$H372&lt;0,0,Data_Entry!S372/Data_Entry!$H372),0)</f>
        <v>0.85951756279983416</v>
      </c>
      <c r="O383" s="49">
        <f>IFERROR(IF(Data_Entry!T372/Data_Entry!$H372&lt;0,0,Data_Entry!T372/Data_Entry!$H372),0)</f>
        <v>0.78039425626214454</v>
      </c>
      <c r="P383" s="49">
        <f>IFERROR(IF(Data_Entry!U372/Data_Entry!$H372&lt;0,0,Data_Entry!U372/Data_Entry!$H372),0)</f>
        <v>0.88444682376376382</v>
      </c>
      <c r="Q383" s="49">
        <f>IFERROR(IF(Data_Entry!V372/Data_Entry!$H372&lt;0,0,Data_Entry!V372/Data_Entry!$H372),0)</f>
        <v>0.92671817931129663</v>
      </c>
      <c r="R383" s="49">
        <f>IFERROR(IF(Data_Entry!W372/Data_Entry!$H372&lt;0,0,Data_Entry!W372/Data_Entry!$H372),0)</f>
        <v>0.83783994457033018</v>
      </c>
      <c r="S383" s="49">
        <f>IFERROR(IF(Data_Entry!X372/Data_Entry!$H372&lt;0,0,Data_Entry!X372/Data_Entry!$H372),0)</f>
        <v>0.78581366081952053</v>
      </c>
      <c r="T383" s="49">
        <f>IFERROR(IF(Data_Entry!Y372/Data_Entry!$H372&lt;0,0,Data_Entry!Y372/Data_Entry!$H372),0)</f>
        <v>0.26338306148847379</v>
      </c>
      <c r="U383" s="49">
        <f>IFERROR(IF(Data_Entry!Z372/Data_Entry!$H372&lt;0,0,Data_Entry!Z372/Data_Entry!$H372),0)</f>
        <v>0.7467939480064133</v>
      </c>
      <c r="V383" s="49">
        <f>IFERROR(IF(Data_Entry!AA372/Data_Entry!$H372&lt;0,0,Data_Entry!AA372/Data_Entry!$H372),0)</f>
        <v>0.96682177303587902</v>
      </c>
      <c r="W383" s="49">
        <f>IFERROR(IF(Data_Entry!AB372/Data_Entry!$H372&lt;0,0,Data_Entry!AB372/Data_Entry!$H372),0)</f>
        <v>0.52026283750809632</v>
      </c>
      <c r="X383" s="49">
        <f>IFERROR(IF(Data_Entry!AC372/Data_Entry!$I372&lt;0,0,Data_Entry!AC372/Data_Entry!$I372),0)</f>
        <v>0.12199350628881253</v>
      </c>
      <c r="Y383" s="49">
        <f>IFERROR(IF(Data_Entry!AD372/Data_Entry!$I372&lt;0,0,Data_Entry!AD372/Data_Entry!$I372),0)</f>
        <v>0.11726507581250196</v>
      </c>
      <c r="Z383" s="49">
        <f>IFERROR(IF(Data_Entry!AE372/Data_Entry!$I372&lt;0,0,Data_Entry!AE372/Data_Entry!$I372),0)</f>
        <v>0.1125366453361914</v>
      </c>
      <c r="AA383" s="49">
        <f>IFERROR(IF(Data_Entry!AF372/Data_Entry!$I372&lt;0,0,Data_Entry!AF372/Data_Entry!$I372),0)</f>
        <v>0.10213409828830816</v>
      </c>
      <c r="AB383" s="49">
        <f>IFERROR(IF(Data_Entry!AG372/Data_Entry!$I372&lt;0,0,Data_Entry!AG372/Data_Entry!$I372),0)</f>
        <v>7.3763515430444779E-2</v>
      </c>
      <c r="AC383" s="49">
        <f>IFERROR(IF(Data_Entry!AI372/Data_Entry!$I372&lt;0,0,Data_Entry!AI372/Data_Entry!$I372),0)</f>
        <v>5.513349935378116E-2</v>
      </c>
      <c r="AD383" s="49">
        <f>IFERROR(IF(Data_Entry!AM372/Data_Entry!$H372&lt;0,0,Data_Entry!AM372/Data_Entry!$H372),0)</f>
        <v>0.7467939480064133</v>
      </c>
      <c r="AE383" s="50">
        <f>Data_Entry!AK372</f>
        <v>106.61058333333335</v>
      </c>
      <c r="AF383" s="50">
        <f>Data_Entry!AL372</f>
        <v>91</v>
      </c>
      <c r="AG383" s="153">
        <f>(Data_Entry!O372-Data_Entry!Q372)/Data_Entry!O372</f>
        <v>5.2696078431372549E-2</v>
      </c>
      <c r="AH383" s="79" t="str">
        <f t="shared" si="10"/>
        <v>CAT3</v>
      </c>
      <c r="AI383" s="51">
        <f>SUBTOTAL(3,Tableau1[[#This Row],[ZS]])</f>
        <v>0</v>
      </c>
      <c r="AJ383" s="51" t="e">
        <f t="shared" ca="1" si="11"/>
        <v>#NAME?</v>
      </c>
      <c r="AK383" s="50" t="str">
        <f>IFERROR(IF((Data_Entry!O372-Data_Entry!Q372)/Data_Entry!O372&lt;=10%,"&lt;=10%","&gt;10%"),"&lt;=10%")</f>
        <v>&lt;=10%</v>
      </c>
    </row>
    <row r="384" spans="1:37" s="48" customFormat="1" ht="13" hidden="1" x14ac:dyDescent="0.3">
      <c r="A384" s="31" t="s">
        <v>16</v>
      </c>
      <c r="B384" s="48" t="str">
        <f>Data_Entry!B373</f>
        <v>Butembo</v>
      </c>
      <c r="C384" s="48" t="str">
        <f>Data_Entry!C373</f>
        <v xml:space="preserve"> Kyondo</v>
      </c>
      <c r="D384" s="48" t="str">
        <f>Data_Entry!D373</f>
        <v xml:space="preserve"> Kyondo</v>
      </c>
      <c r="E384" s="49">
        <f>IFERROR(IF(Data_Entry!J373/Data_Entry!$I373&lt;0,0,Data_Entry!J373/Data_Entry!$I373),0)</f>
        <v>0.97819958654388273</v>
      </c>
      <c r="F384" s="49">
        <f>IFERROR(IF(Data_Entry!K373/Data_Entry!$H373&lt;0,0,Data_Entry!K373/Data_Entry!$H373),0)</f>
        <v>0.25201545048569512</v>
      </c>
      <c r="G384" s="49">
        <f>IFERROR(IF(Data_Entry!L373/Data_Entry!$H373&lt;0,0,Data_Entry!L373/Data_Entry!$H373),0)</f>
        <v>1.017754703884538</v>
      </c>
      <c r="H384" s="49">
        <f>IFERROR(IF(Data_Entry!M373/Data_Entry!$H373&lt;0,0,Data_Entry!M373/Data_Entry!$H373),0)</f>
        <v>0.9854450307453464</v>
      </c>
      <c r="I384" s="49">
        <f>IFERROR(IF(Data_Entry!N373/Data_Entry!$H373&lt;0,0,Data_Entry!N373/Data_Entry!$H373),0)</f>
        <v>0.9499043902922355</v>
      </c>
      <c r="J384" s="49">
        <f>IFERROR(IF(Data_Entry!O373/Data_Entry!$H373&lt;0,0,Data_Entry!O373/Data_Entry!$H373),0)</f>
        <v>0.95959729223399304</v>
      </c>
      <c r="K384" s="49">
        <f>IFERROR(IF(Data_Entry!P373/Data_Entry!$H373&lt;0,0,Data_Entry!P373/Data_Entry!$H373),0)</f>
        <v>0.95313535760615475</v>
      </c>
      <c r="L384" s="49">
        <f>IFERROR(IF(Data_Entry!Q373/Data_Entry!$H373&lt;0,0,Data_Entry!Q373/Data_Entry!$H373),0)</f>
        <v>0.90143988058344804</v>
      </c>
      <c r="M384" s="49">
        <f>IFERROR(IF(Data_Entry!R373/Data_Entry!$H373&lt;0,0,Data_Entry!R373/Data_Entry!$H373),0)</f>
        <v>0.95959729223399304</v>
      </c>
      <c r="N384" s="49">
        <f>IFERROR(IF(Data_Entry!S373/Data_Entry!$H373&lt;0,0,Data_Entry!S373/Data_Entry!$H373),0)</f>
        <v>0.95313535760615475</v>
      </c>
      <c r="O384" s="49">
        <f>IFERROR(IF(Data_Entry!T373/Data_Entry!$H373&lt;0,0,Data_Entry!T373/Data_Entry!$H373),0)</f>
        <v>0.90143988058344804</v>
      </c>
      <c r="P384" s="49">
        <f>IFERROR(IF(Data_Entry!U373/Data_Entry!$H373&lt;0,0,Data_Entry!U373/Data_Entry!$H373),0)</f>
        <v>0.97898309611750811</v>
      </c>
      <c r="Q384" s="49">
        <f>IFERROR(IF(Data_Entry!V373/Data_Entry!$H373&lt;0,0,Data_Entry!V373/Data_Entry!$H373),0)</f>
        <v>0.96929019417575057</v>
      </c>
      <c r="R384" s="49">
        <f>IFERROR(IF(Data_Entry!W373/Data_Entry!$H373&lt;0,0,Data_Entry!W373/Data_Entry!$H373),0)</f>
        <v>0.90143988058344804</v>
      </c>
      <c r="S384" s="49">
        <f>IFERROR(IF(Data_Entry!X373/Data_Entry!$H373&lt;0,0,Data_Entry!X373/Data_Entry!$H373),0)</f>
        <v>0.95959729223399304</v>
      </c>
      <c r="T384" s="49">
        <f>IFERROR(IF(Data_Entry!Y373/Data_Entry!$H373&lt;0,0,Data_Entry!Y373/Data_Entry!$H373),0)</f>
        <v>0.15831739838203926</v>
      </c>
      <c r="U384" s="49">
        <f>IFERROR(IF(Data_Entry!Z373/Data_Entry!$H373&lt;0,0,Data_Entry!Z373/Data_Entry!$H373),0)</f>
        <v>0.92405665178088225</v>
      </c>
      <c r="V384" s="49">
        <f>IFERROR(IF(Data_Entry!AA373/Data_Entry!$H373&lt;0,0,Data_Entry!AA373/Data_Entry!$H373),0)</f>
        <v>1.0823740501629215</v>
      </c>
      <c r="W384" s="49">
        <f>IFERROR(IF(Data_Entry!AB373/Data_Entry!$H373&lt;0,0,Data_Entry!AB373/Data_Entry!$H373),0)</f>
        <v>0.59772895307504614</v>
      </c>
      <c r="X384" s="49">
        <f>IFERROR(IF(Data_Entry!AC373/Data_Entry!$I373&lt;0,0,Data_Entry!AC373/Data_Entry!$I373),0)</f>
        <v>0.29317797406502538</v>
      </c>
      <c r="Y384" s="49">
        <f>IFERROR(IF(Data_Entry!AD373/Data_Entry!$I373&lt;0,0,Data_Entry!AD373/Data_Entry!$I373),0)</f>
        <v>0.23115955647434691</v>
      </c>
      <c r="Z384" s="49">
        <f>IFERROR(IF(Data_Entry!AE373/Data_Entry!$I373&lt;0,0,Data_Entry!AE373/Data_Entry!$I373),0)</f>
        <v>0.19451230971621875</v>
      </c>
      <c r="AA384" s="49">
        <f>IFERROR(IF(Data_Entry!AF373/Data_Entry!$I373&lt;0,0,Data_Entry!AF373/Data_Entry!$I373),0)</f>
        <v>0.16068408193948505</v>
      </c>
      <c r="AB384" s="49">
        <f>IFERROR(IF(Data_Entry!AG373/Data_Entry!$I373&lt;0,0,Data_Entry!AG373/Data_Entry!$I373),0)</f>
        <v>8.7389588423228706E-2</v>
      </c>
      <c r="AC384" s="49">
        <f>IFERROR(IF(Data_Entry!AI373/Data_Entry!$I373&lt;0,0,Data_Entry!AI373/Data_Entry!$I373),0)</f>
        <v>0.16434880661529785</v>
      </c>
      <c r="AD384" s="49">
        <f>IFERROR(IF(Data_Entry!AM373/Data_Entry!$H373&lt;0,0,Data_Entry!AM373/Data_Entry!$H373),0)</f>
        <v>0.92405665178088225</v>
      </c>
      <c r="AE384" s="50">
        <f>Data_Entry!AK373</f>
        <v>12.504833333333352</v>
      </c>
      <c r="AF384" s="50">
        <f>Data_Entry!AL373</f>
        <v>0</v>
      </c>
      <c r="AG384" s="153">
        <f>(Data_Entry!O373-Data_Entry!Q373)/Data_Entry!O373</f>
        <v>6.0606060606060608E-2</v>
      </c>
      <c r="AH384" s="79" t="str">
        <f t="shared" si="10"/>
        <v>CAT1</v>
      </c>
      <c r="AI384" s="51">
        <f>SUBTOTAL(3,Tableau1[[#This Row],[ZS]])</f>
        <v>0</v>
      </c>
      <c r="AJ384" s="51" t="e">
        <f t="shared" ca="1" si="11"/>
        <v>#NAME?</v>
      </c>
      <c r="AK384" s="50" t="str">
        <f>IFERROR(IF((Data_Entry!O373-Data_Entry!Q373)/Data_Entry!O373&lt;=10%,"&lt;=10%","&gt;10%"),"&lt;=10%")</f>
        <v>&lt;=10%</v>
      </c>
    </row>
    <row r="385" spans="1:37" s="48" customFormat="1" ht="13" hidden="1" x14ac:dyDescent="0.3">
      <c r="A385" s="31" t="s">
        <v>16</v>
      </c>
      <c r="B385" s="48" t="str">
        <f>Data_Entry!B374</f>
        <v>Butembo</v>
      </c>
      <c r="C385" s="48" t="str">
        <f>Data_Entry!C374</f>
        <v xml:space="preserve"> Kyondo</v>
      </c>
      <c r="D385" s="48" t="str">
        <f>Data_Entry!D374</f>
        <v xml:space="preserve"> Luseke</v>
      </c>
      <c r="E385" s="49">
        <f>IFERROR(IF(Data_Entry!J374/Data_Entry!$I374&lt;0,0,Data_Entry!J374/Data_Entry!$I374),0)</f>
        <v>0.77399999999999991</v>
      </c>
      <c r="F385" s="49">
        <f>IFERROR(IF(Data_Entry!K374/Data_Entry!$H374&lt;0,0,Data_Entry!K374/Data_Entry!$H374),0)</f>
        <v>1.3753581661891119E-2</v>
      </c>
      <c r="G385" s="49">
        <f>IFERROR(IF(Data_Entry!L374/Data_Entry!$H374&lt;0,0,Data_Entry!L374/Data_Entry!$H374),0)</f>
        <v>1.0383954154727795</v>
      </c>
      <c r="H385" s="49">
        <f>IFERROR(IF(Data_Entry!M374/Data_Entry!$H374&lt;0,0,Data_Entry!M374/Data_Entry!$H374),0)</f>
        <v>0.90773638968481385</v>
      </c>
      <c r="I385" s="49">
        <f>IFERROR(IF(Data_Entry!N374/Data_Entry!$H374&lt;0,0,Data_Entry!N374/Data_Entry!$H374),0)</f>
        <v>0.9696275071633238</v>
      </c>
      <c r="J385" s="49">
        <f>IFERROR(IF(Data_Entry!O374/Data_Entry!$H374&lt;0,0,Data_Entry!O374/Data_Entry!$H374),0)</f>
        <v>0.80458452722063045</v>
      </c>
      <c r="K385" s="49">
        <f>IFERROR(IF(Data_Entry!P374/Data_Entry!$H374&lt;0,0,Data_Entry!P374/Data_Entry!$H374),0)</f>
        <v>0.94899713467048719</v>
      </c>
      <c r="L385" s="49">
        <f>IFERROR(IF(Data_Entry!Q374/Data_Entry!$H374&lt;0,0,Data_Entry!Q374/Data_Entry!$H374),0)</f>
        <v>0.91461318051575935</v>
      </c>
      <c r="M385" s="49">
        <f>IFERROR(IF(Data_Entry!R374/Data_Entry!$H374&lt;0,0,Data_Entry!R374/Data_Entry!$H374),0)</f>
        <v>0.93524355300859607</v>
      </c>
      <c r="N385" s="49">
        <f>IFERROR(IF(Data_Entry!S374/Data_Entry!$H374&lt;0,0,Data_Entry!S374/Data_Entry!$H374),0)</f>
        <v>0.83209169054441268</v>
      </c>
      <c r="O385" s="49">
        <f>IFERROR(IF(Data_Entry!T374/Data_Entry!$H374&lt;0,0,Data_Entry!T374/Data_Entry!$H374),0)</f>
        <v>0.91461318051575935</v>
      </c>
      <c r="P385" s="49">
        <f>IFERROR(IF(Data_Entry!U374/Data_Entry!$H374&lt;0,0,Data_Entry!U374/Data_Entry!$H374),0)</f>
        <v>0.93524355300859607</v>
      </c>
      <c r="Q385" s="49">
        <f>IFERROR(IF(Data_Entry!V374/Data_Entry!$H374&lt;0,0,Data_Entry!V374/Data_Entry!$H374),0)</f>
        <v>0.83209169054441268</v>
      </c>
      <c r="R385" s="49">
        <f>IFERROR(IF(Data_Entry!W374/Data_Entry!$H374&lt;0,0,Data_Entry!W374/Data_Entry!$H374),0)</f>
        <v>0.91461318051575935</v>
      </c>
      <c r="S385" s="49">
        <f>IFERROR(IF(Data_Entry!X374/Data_Entry!$H374&lt;0,0,Data_Entry!X374/Data_Entry!$H374),0)</f>
        <v>0.73581661891117478</v>
      </c>
      <c r="T385" s="49">
        <f>IFERROR(IF(Data_Entry!Y374/Data_Entry!$H374&lt;0,0,Data_Entry!Y374/Data_Entry!$H374),0)</f>
        <v>0.13065902578796562</v>
      </c>
      <c r="U385" s="49">
        <f>IFERROR(IF(Data_Entry!Z374/Data_Entry!$H374&lt;0,0,Data_Entry!Z374/Data_Entry!$H374),0)</f>
        <v>0.70143266475644706</v>
      </c>
      <c r="V385" s="49">
        <f>IFERROR(IF(Data_Entry!AA374/Data_Entry!$H374&lt;0,0,Data_Entry!AA374/Data_Entry!$H374),0)</f>
        <v>0.9696275071633238</v>
      </c>
      <c r="W385" s="49">
        <f>IFERROR(IF(Data_Entry!AB374/Data_Entry!$H374&lt;0,0,Data_Entry!AB374/Data_Entry!$H374),0)</f>
        <v>0.66704871060171922</v>
      </c>
      <c r="X385" s="49">
        <f>IFERROR(IF(Data_Entry!AC374/Data_Entry!$I374&lt;0,0,Data_Entry!AC374/Data_Entry!$I374),0)</f>
        <v>0.13199999999999998</v>
      </c>
      <c r="Y385" s="49">
        <f>IFERROR(IF(Data_Entry!AD374/Data_Entry!$I374&lt;0,0,Data_Entry!AD374/Data_Entry!$I374),0)</f>
        <v>7.7999999999999986E-2</v>
      </c>
      <c r="Z385" s="49">
        <f>IFERROR(IF(Data_Entry!AE374/Data_Entry!$I374&lt;0,0,Data_Entry!AE374/Data_Entry!$I374),0)</f>
        <v>0.13799999999999998</v>
      </c>
      <c r="AA385" s="49">
        <f>IFERROR(IF(Data_Entry!AF374/Data_Entry!$I374&lt;0,0,Data_Entry!AF374/Data_Entry!$I374),0)</f>
        <v>0.11399999999999999</v>
      </c>
      <c r="AB385" s="49">
        <f>IFERROR(IF(Data_Entry!AG374/Data_Entry!$I374&lt;0,0,Data_Entry!AG374/Data_Entry!$I374),0)</f>
        <v>7.1999999999999995E-2</v>
      </c>
      <c r="AC385" s="49">
        <f>IFERROR(IF(Data_Entry!AI374/Data_Entry!$I374&lt;0,0,Data_Entry!AI374/Data_Entry!$I374),0)</f>
        <v>0.34979999999999994</v>
      </c>
      <c r="AD385" s="49">
        <f>IFERROR(IF(Data_Entry!AM374/Data_Entry!$H374&lt;0,0,Data_Entry!AM374/Data_Entry!$H374),0)</f>
        <v>0.70143266475644706</v>
      </c>
      <c r="AE385" s="50">
        <f>Data_Entry!AK374</f>
        <v>28.416666666666657</v>
      </c>
      <c r="AF385" s="50">
        <f>Data_Entry!AL374</f>
        <v>10</v>
      </c>
      <c r="AG385" s="153">
        <f>(Data_Entry!O374-Data_Entry!Q374)/Data_Entry!O374</f>
        <v>-0.13675213675213677</v>
      </c>
      <c r="AH385" s="79" t="str">
        <f t="shared" si="10"/>
        <v>CAT3</v>
      </c>
      <c r="AI385" s="51">
        <f>SUBTOTAL(3,Tableau1[[#This Row],[ZS]])</f>
        <v>0</v>
      </c>
      <c r="AJ385" s="51" t="e">
        <f t="shared" ca="1" si="11"/>
        <v>#NAME?</v>
      </c>
      <c r="AK385" s="50" t="str">
        <f>IFERROR(IF((Data_Entry!O374-Data_Entry!Q374)/Data_Entry!O374&lt;=10%,"&lt;=10%","&gt;10%"),"&lt;=10%")</f>
        <v>&lt;=10%</v>
      </c>
    </row>
    <row r="386" spans="1:37" s="48" customFormat="1" ht="13" hidden="1" x14ac:dyDescent="0.3">
      <c r="A386" s="31" t="s">
        <v>16</v>
      </c>
      <c r="B386" s="48" t="str">
        <f>Data_Entry!B375</f>
        <v>Butembo</v>
      </c>
      <c r="C386" s="48" t="str">
        <f>Data_Entry!C375</f>
        <v xml:space="preserve"> Kyondo</v>
      </c>
      <c r="D386" s="48" t="str">
        <f>Data_Entry!D375</f>
        <v xml:space="preserve"> Mbungwe</v>
      </c>
      <c r="E386" s="49">
        <f>IFERROR(IF(Data_Entry!J375/Data_Entry!$I375&lt;0,0,Data_Entry!J375/Data_Entry!$I375),0)</f>
        <v>0.87275010464629543</v>
      </c>
      <c r="F386" s="49">
        <f>IFERROR(IF(Data_Entry!K375/Data_Entry!$H375&lt;0,0,Data_Entry!K375/Data_Entry!$H375),0)</f>
        <v>0.45336733188527645</v>
      </c>
      <c r="G386" s="49">
        <f>IFERROR(IF(Data_Entry!L375/Data_Entry!$H375&lt;0,0,Data_Entry!L375/Data_Entry!$H375),0)</f>
        <v>1.1442127899961738</v>
      </c>
      <c r="H386" s="49">
        <f>IFERROR(IF(Data_Entry!M375/Data_Entry!$H375&lt;0,0,Data_Entry!M375/Data_Entry!$H375),0)</f>
        <v>1.2089795516940705</v>
      </c>
      <c r="I386" s="49">
        <f>IFERROR(IF(Data_Entry!N375/Data_Entry!$H375&lt;0,0,Data_Entry!N375/Data_Entry!$H375),0)</f>
        <v>1.2089795516940705</v>
      </c>
      <c r="J386" s="49">
        <f>IFERROR(IF(Data_Entry!O375/Data_Entry!$H375&lt;0,0,Data_Entry!O375/Data_Entry!$H375),0)</f>
        <v>0.94271619804716211</v>
      </c>
      <c r="K386" s="49">
        <f>IFERROR(IF(Data_Entry!P375/Data_Entry!$H375&lt;0,0,Data_Entry!P375/Data_Entry!$H375),0)</f>
        <v>1.043464494021668</v>
      </c>
      <c r="L386" s="49">
        <f>IFERROR(IF(Data_Entry!Q375/Data_Entry!$H375&lt;0,0,Data_Entry!Q375/Data_Entry!$H375),0)</f>
        <v>1.0002866528897369</v>
      </c>
      <c r="M386" s="49">
        <f>IFERROR(IF(Data_Entry!R375/Data_Entry!$H375&lt;0,0,Data_Entry!R375/Data_Entry!$H375),0)</f>
        <v>0.94271619804716211</v>
      </c>
      <c r="N386" s="49">
        <f>IFERROR(IF(Data_Entry!S375/Data_Entry!$H375&lt;0,0,Data_Entry!S375/Data_Entry!$H375),0)</f>
        <v>1.0218755734557023</v>
      </c>
      <c r="O386" s="49">
        <f>IFERROR(IF(Data_Entry!T375/Data_Entry!$H375&lt;0,0,Data_Entry!T375/Data_Entry!$H375),0)</f>
        <v>1.0002866528897369</v>
      </c>
      <c r="P386" s="49">
        <f>IFERROR(IF(Data_Entry!U375/Data_Entry!$H375&lt;0,0,Data_Entry!U375/Data_Entry!$H375),0)</f>
        <v>1.1442127899961738</v>
      </c>
      <c r="Q386" s="49">
        <f>IFERROR(IF(Data_Entry!V375/Data_Entry!$H375&lt;0,0,Data_Entry!V375/Data_Entry!$H375),0)</f>
        <v>1.2089795516940705</v>
      </c>
      <c r="R386" s="49">
        <f>IFERROR(IF(Data_Entry!W375/Data_Entry!$H375&lt;0,0,Data_Entry!W375/Data_Entry!$H375),0)</f>
        <v>1.2089795516940705</v>
      </c>
      <c r="S386" s="49">
        <f>IFERROR(IF(Data_Entry!X375/Data_Entry!$H375&lt;0,0,Data_Entry!X375/Data_Entry!$H375),0)</f>
        <v>0.99309034603441504</v>
      </c>
      <c r="T386" s="49">
        <f>IFERROR(IF(Data_Entry!Y375/Data_Entry!$H375&lt;0,0,Data_Entry!Y375/Data_Entry!$H375),0)</f>
        <v>0</v>
      </c>
      <c r="U386" s="49">
        <f>IFERROR(IF(Data_Entry!Z375/Data_Entry!$H375&lt;0,0,Data_Entry!Z375/Data_Entry!$H375),0)</f>
        <v>0.99309034603441504</v>
      </c>
      <c r="V386" s="49">
        <f>IFERROR(IF(Data_Entry!AA375/Data_Entry!$H375&lt;0,0,Data_Entry!AA375/Data_Entry!$H375),0)</f>
        <v>1.2089795516940705</v>
      </c>
      <c r="W386" s="49">
        <f>IFERROR(IF(Data_Entry!AB375/Data_Entry!$H375&lt;0,0,Data_Entry!AB375/Data_Entry!$H375),0)</f>
        <v>0.99309034603441504</v>
      </c>
      <c r="X386" s="49">
        <f>IFERROR(IF(Data_Entry!AC375/Data_Entry!$I375&lt;0,0,Data_Entry!AC375/Data_Entry!$I375),0)</f>
        <v>0.18836333193804938</v>
      </c>
      <c r="Y386" s="49">
        <f>IFERROR(IF(Data_Entry!AD375/Data_Entry!$I375&lt;0,0,Data_Entry!AD375/Data_Entry!$I375),0)</f>
        <v>0.11929677689409794</v>
      </c>
      <c r="Z386" s="49">
        <f>IFERROR(IF(Data_Entry!AE375/Data_Entry!$I375&lt;0,0,Data_Entry!AE375/Data_Entry!$I375),0)</f>
        <v>0.23859355378819588</v>
      </c>
      <c r="AA386" s="49">
        <f>IFERROR(IF(Data_Entry!AF375/Data_Entry!$I375&lt;0,0,Data_Entry!AF375/Data_Entry!$I375),0)</f>
        <v>0.12557555462536626</v>
      </c>
      <c r="AB386" s="49">
        <f>IFERROR(IF(Data_Entry!AG375/Data_Entry!$I375&lt;0,0,Data_Entry!AG375/Data_Entry!$I375),0)</f>
        <v>0.13813311008790288</v>
      </c>
      <c r="AC386" s="49">
        <f>IFERROR(IF(Data_Entry!AI375/Data_Entry!$I375&lt;0,0,Data_Entry!AI375/Data_Entry!$I375),0)</f>
        <v>0.36605274173294261</v>
      </c>
      <c r="AD386" s="49">
        <f>IFERROR(IF(Data_Entry!AM375/Data_Entry!$H375&lt;0,0,Data_Entry!AM375/Data_Entry!$H375),0)</f>
        <v>0.99309034603441504</v>
      </c>
      <c r="AE386" s="50">
        <f>Data_Entry!AK375</f>
        <v>7.9601666666666802</v>
      </c>
      <c r="AF386" s="50">
        <f>Data_Entry!AL375</f>
        <v>0</v>
      </c>
      <c r="AG386" s="153">
        <f>(Data_Entry!O375-Data_Entry!Q375)/Data_Entry!O375</f>
        <v>-6.1068702290076333E-2</v>
      </c>
      <c r="AH386" s="79" t="str">
        <f t="shared" si="10"/>
        <v>CAT1</v>
      </c>
      <c r="AI386" s="51">
        <f>SUBTOTAL(3,Tableau1[[#This Row],[ZS]])</f>
        <v>0</v>
      </c>
      <c r="AJ386" s="51" t="e">
        <f t="shared" ca="1" si="11"/>
        <v>#NAME?</v>
      </c>
      <c r="AK386" s="50" t="str">
        <f>IFERROR(IF((Data_Entry!O375-Data_Entry!Q375)/Data_Entry!O375&lt;=10%,"&lt;=10%","&gt;10%"),"&lt;=10%")</f>
        <v>&lt;=10%</v>
      </c>
    </row>
    <row r="387" spans="1:37" s="48" customFormat="1" ht="13" hidden="1" x14ac:dyDescent="0.3">
      <c r="A387" s="31" t="s">
        <v>16</v>
      </c>
      <c r="B387" s="48" t="str">
        <f>Data_Entry!B376</f>
        <v>Butembo</v>
      </c>
      <c r="C387" s="48" t="str">
        <f>Data_Entry!C376</f>
        <v xml:space="preserve"> Kyondo</v>
      </c>
      <c r="D387" s="48" t="str">
        <f>Data_Entry!D376</f>
        <v xml:space="preserve"> Museya</v>
      </c>
      <c r="E387" s="49">
        <f>IFERROR(IF(Data_Entry!J376/Data_Entry!$I376&lt;0,0,Data_Entry!J376/Data_Entry!$I376),0)</f>
        <v>0.66562327379856367</v>
      </c>
      <c r="F387" s="49">
        <f>IFERROR(IF(Data_Entry!K376/Data_Entry!$H376&lt;0,0,Data_Entry!K376/Data_Entry!$H376),0)</f>
        <v>0.35770454975918253</v>
      </c>
      <c r="G387" s="49">
        <f>IFERROR(IF(Data_Entry!L376/Data_Entry!$H376&lt;0,0,Data_Entry!L376/Data_Entry!$H376),0)</f>
        <v>0.74389884241953885</v>
      </c>
      <c r="H387" s="49">
        <f>IFERROR(IF(Data_Entry!M376/Data_Entry!$H376&lt;0,0,Data_Entry!M376/Data_Entry!$H376),0)</f>
        <v>0.74073331543051957</v>
      </c>
      <c r="I387" s="49">
        <f>IFERROR(IF(Data_Entry!N376/Data_Entry!$H376&lt;0,0,Data_Entry!N376/Data_Entry!$H376),0)</f>
        <v>0.66792619468307535</v>
      </c>
      <c r="J387" s="49">
        <f>IFERROR(IF(Data_Entry!O376/Data_Entry!$H376&lt;0,0,Data_Entry!O376/Data_Entry!$H376),0)</f>
        <v>0.74073331543051957</v>
      </c>
      <c r="K387" s="49">
        <f>IFERROR(IF(Data_Entry!P376/Data_Entry!$H376&lt;0,0,Data_Entry!P376/Data_Entry!$H376),0)</f>
        <v>0.7597264773646355</v>
      </c>
      <c r="L387" s="49">
        <f>IFERROR(IF(Data_Entry!Q376/Data_Entry!$H376&lt;0,0,Data_Entry!Q376/Data_Entry!$H376),0)</f>
        <v>0.62044328984778563</v>
      </c>
      <c r="M387" s="49">
        <f>IFERROR(IF(Data_Entry!R376/Data_Entry!$H376&lt;0,0,Data_Entry!R376/Data_Entry!$H376),0)</f>
        <v>0.62044328984778563</v>
      </c>
      <c r="N387" s="49">
        <f>IFERROR(IF(Data_Entry!S376/Data_Entry!$H376&lt;0,0,Data_Entry!S376/Data_Entry!$H376),0)</f>
        <v>0.65209855973797881</v>
      </c>
      <c r="O387" s="49">
        <f>IFERROR(IF(Data_Entry!T376/Data_Entry!$H376&lt;0,0,Data_Entry!T376/Data_Entry!$H376),0)</f>
        <v>0.64893303274895953</v>
      </c>
      <c r="P387" s="49">
        <f>IFERROR(IF(Data_Entry!U376/Data_Entry!$H376&lt;0,0,Data_Entry!U376/Data_Entry!$H376),0)</f>
        <v>0.67425724866111403</v>
      </c>
      <c r="Q387" s="49">
        <f>IFERROR(IF(Data_Entry!V376/Data_Entry!$H376&lt;0,0,Data_Entry!V376/Data_Entry!$H376),0)</f>
        <v>0.65842961371601738</v>
      </c>
      <c r="R387" s="49">
        <f>IFERROR(IF(Data_Entry!W376/Data_Entry!$H376&lt;0,0,Data_Entry!W376/Data_Entry!$H376),0)</f>
        <v>0.60461565490268909</v>
      </c>
      <c r="S387" s="49">
        <f>IFERROR(IF(Data_Entry!X376/Data_Entry!$H376&lt;0,0,Data_Entry!X376/Data_Entry!$H376),0)</f>
        <v>0.81354043617796379</v>
      </c>
      <c r="T387" s="49">
        <f>IFERROR(IF(Data_Entry!Y376/Data_Entry!$H376&lt;0,0,Data_Entry!Y376/Data_Entry!$H376),0)</f>
        <v>1.5827634945096574E-2</v>
      </c>
      <c r="U387" s="49">
        <f>IFERROR(IF(Data_Entry!Z376/Data_Entry!$H376&lt;0,0,Data_Entry!Z376/Data_Entry!$H376),0)</f>
        <v>0.82303701714502175</v>
      </c>
      <c r="V387" s="49">
        <f>IFERROR(IF(Data_Entry!AA376/Data_Entry!$H376&lt;0,0,Data_Entry!AA376/Data_Entry!$H376),0)</f>
        <v>0.69325041059522985</v>
      </c>
      <c r="W387" s="49">
        <f>IFERROR(IF(Data_Entry!AB376/Data_Entry!$H376&lt;0,0,Data_Entry!AB376/Data_Entry!$H376),0)</f>
        <v>0.35453902277016325</v>
      </c>
      <c r="X387" s="49">
        <f>IFERROR(IF(Data_Entry!AC376/Data_Entry!$I376&lt;0,0,Data_Entry!AC376/Data_Entry!$I376),0)</f>
        <v>0.17400110476891914</v>
      </c>
      <c r="Y387" s="49">
        <f>IFERROR(IF(Data_Entry!AD376/Data_Entry!$I376&lt;0,0,Data_Entry!AD376/Data_Entry!$I376),0)</f>
        <v>7.4571902043822483E-2</v>
      </c>
      <c r="Z387" s="49">
        <f>IFERROR(IF(Data_Entry!AE376/Data_Entry!$I376&lt;0,0,Data_Entry!AE376/Data_Entry!$I376),0)</f>
        <v>0.12428650340637082</v>
      </c>
      <c r="AA387" s="49">
        <f>IFERROR(IF(Data_Entry!AF376/Data_Entry!$I376&lt;0,0,Data_Entry!AF376/Data_Entry!$I376),0)</f>
        <v>0.102191125023016</v>
      </c>
      <c r="AB387" s="49">
        <f>IFERROR(IF(Data_Entry!AG376/Data_Entry!$I376&lt;0,0,Data_Entry!AG376/Data_Entry!$I376),0)</f>
        <v>8.8381513533419248E-2</v>
      </c>
      <c r="AC387" s="49">
        <f>IFERROR(IF(Data_Entry!AI376/Data_Entry!$I376&lt;0,0,Data_Entry!AI376/Data_Entry!$I376),0)</f>
        <v>0.17262014361995948</v>
      </c>
      <c r="AD387" s="49">
        <f>IFERROR(IF(Data_Entry!AM376/Data_Entry!$H376&lt;0,0,Data_Entry!AM376/Data_Entry!$H376),0)</f>
        <v>0.81354043617796379</v>
      </c>
      <c r="AE387" s="50">
        <f>Data_Entry!AK376</f>
        <v>81.903166666666664</v>
      </c>
      <c r="AF387" s="50">
        <f>Data_Entry!AL376</f>
        <v>0</v>
      </c>
      <c r="AG387" s="153">
        <f>(Data_Entry!O376-Data_Entry!Q376)/Data_Entry!O376</f>
        <v>0.1623931623931624</v>
      </c>
      <c r="AH387" s="79" t="str">
        <f t="shared" si="10"/>
        <v>CAT4</v>
      </c>
      <c r="AI387" s="51">
        <f>SUBTOTAL(3,Tableau1[[#This Row],[ZS]])</f>
        <v>0</v>
      </c>
      <c r="AJ387" s="51" t="e">
        <f t="shared" ca="1" si="11"/>
        <v>#NAME?</v>
      </c>
      <c r="AK387" s="50" t="str">
        <f>IFERROR(IF((Data_Entry!O376-Data_Entry!Q376)/Data_Entry!O376&lt;=10%,"&lt;=10%","&gt;10%"),"&lt;=10%")</f>
        <v>&gt;10%</v>
      </c>
    </row>
    <row r="388" spans="1:37" s="48" customFormat="1" ht="13" hidden="1" x14ac:dyDescent="0.3">
      <c r="A388" s="31" t="s">
        <v>16</v>
      </c>
      <c r="B388" s="48" t="str">
        <f>Data_Entry!B377</f>
        <v>Butembo</v>
      </c>
      <c r="C388" s="48" t="str">
        <f>Data_Entry!C377</f>
        <v xml:space="preserve"> Kyondo</v>
      </c>
      <c r="D388" s="48" t="str">
        <f>Data_Entry!D377</f>
        <v xml:space="preserve"> Ngitse</v>
      </c>
      <c r="E388" s="49">
        <f>IFERROR(IF(Data_Entry!J377/Data_Entry!$I377&lt;0,0,Data_Entry!J377/Data_Entry!$I377),0)</f>
        <v>1.1358574610244987</v>
      </c>
      <c r="F388" s="49">
        <f>IFERROR(IF(Data_Entry!K377/Data_Entry!$H377&lt;0,0,Data_Entry!K377/Data_Entry!$H377),0)</f>
        <v>0.43554284912029917</v>
      </c>
      <c r="G388" s="49">
        <f>IFERROR(IF(Data_Entry!L377/Data_Entry!$H377&lt;0,0,Data_Entry!L377/Data_Entry!$H377),0)</f>
        <v>1.0960364005335002</v>
      </c>
      <c r="H388" s="49">
        <f>IFERROR(IF(Data_Entry!M377/Data_Entry!$H377&lt;0,0,Data_Entry!M377/Data_Entry!$H377),0)</f>
        <v>1.0960364005335002</v>
      </c>
      <c r="I388" s="49">
        <f>IFERROR(IF(Data_Entry!N377/Data_Entry!$H377&lt;0,0,Data_Entry!N377/Data_Entry!$H377),0)</f>
        <v>1.2013324739471989</v>
      </c>
      <c r="J388" s="49">
        <f>IFERROR(IF(Data_Entry!O377/Data_Entry!$H377&lt;0,0,Data_Entry!O377/Data_Entry!$H377),0)</f>
        <v>0.99552651227496958</v>
      </c>
      <c r="K388" s="49">
        <f>IFERROR(IF(Data_Entry!P377/Data_Entry!$H377&lt;0,0,Data_Entry!P377/Data_Entry!$H377),0)</f>
        <v>0.99074032711980142</v>
      </c>
      <c r="L388" s="49">
        <f>IFERROR(IF(Data_Entry!Q377/Data_Entry!$H377&lt;0,0,Data_Entry!Q377/Data_Entry!$H377),0)</f>
        <v>1.0673192896024914</v>
      </c>
      <c r="M388" s="49">
        <f>IFERROR(IF(Data_Entry!R377/Data_Entry!$H377&lt;0,0,Data_Entry!R377/Data_Entry!$H377),0)</f>
        <v>1.0960364005335002</v>
      </c>
      <c r="N388" s="49">
        <f>IFERROR(IF(Data_Entry!S377/Data_Entry!$H377&lt;0,0,Data_Entry!S377/Data_Entry!$H377),0)</f>
        <v>1.0050988825853058</v>
      </c>
      <c r="O388" s="49">
        <f>IFERROR(IF(Data_Entry!T377/Data_Entry!$H377&lt;0,0,Data_Entry!T377/Data_Entry!$H377),0)</f>
        <v>1.1486844372403495</v>
      </c>
      <c r="P388" s="49">
        <f>IFERROR(IF(Data_Entry!U377/Data_Entry!$H377&lt;0,0,Data_Entry!U377/Data_Entry!$H377),0)</f>
        <v>1.0960364005335002</v>
      </c>
      <c r="Q388" s="49">
        <f>IFERROR(IF(Data_Entry!V377/Data_Entry!$H377&lt;0,0,Data_Entry!V377/Data_Entry!$H377),0)</f>
        <v>1.0960364005335002</v>
      </c>
      <c r="R388" s="49">
        <f>IFERROR(IF(Data_Entry!W377/Data_Entry!$H377&lt;0,0,Data_Entry!W377/Data_Entry!$H377),0)</f>
        <v>1.1534706223955176</v>
      </c>
      <c r="S388" s="49">
        <f>IFERROR(IF(Data_Entry!X377/Data_Entry!$H377&lt;0,0,Data_Entry!X377/Data_Entry!$H377),0)</f>
        <v>0.98595414196463338</v>
      </c>
      <c r="T388" s="49">
        <f>IFERROR(IF(Data_Entry!Y377/Data_Entry!$H377&lt;0,0,Data_Entry!Y377/Data_Entry!$H377),0)</f>
        <v>0</v>
      </c>
      <c r="U388" s="49">
        <f>IFERROR(IF(Data_Entry!Z377/Data_Entry!$H377&lt;0,0,Data_Entry!Z377/Data_Entry!$H377),0)</f>
        <v>0.99552651227496958</v>
      </c>
      <c r="V388" s="49">
        <f>IFERROR(IF(Data_Entry!AA377/Data_Entry!$H377&lt;0,0,Data_Entry!AA377/Data_Entry!$H377),0)</f>
        <v>1.4741450277917818</v>
      </c>
      <c r="W388" s="49">
        <f>IFERROR(IF(Data_Entry!AB377/Data_Entry!$H377&lt;0,0,Data_Entry!AB377/Data_Entry!$H377),0)</f>
        <v>0</v>
      </c>
      <c r="X388" s="49">
        <f>IFERROR(IF(Data_Entry!AC377/Data_Entry!$I377&lt;0,0,Data_Entry!AC377/Data_Entry!$I377),0)</f>
        <v>0.21297327394209351</v>
      </c>
      <c r="Y388" s="49">
        <f>IFERROR(IF(Data_Entry!AD377/Data_Entry!$I377&lt;0,0,Data_Entry!AD377/Data_Entry!$I377),0)</f>
        <v>0.15868596881959909</v>
      </c>
      <c r="Z388" s="49">
        <f>IFERROR(IF(Data_Entry!AE377/Data_Entry!$I377&lt;0,0,Data_Entry!AE377/Data_Entry!$I377),0)</f>
        <v>0.17538975501113582</v>
      </c>
      <c r="AA388" s="49">
        <f>IFERROR(IF(Data_Entry!AF377/Data_Entry!$I377&lt;0,0,Data_Entry!AF377/Data_Entry!$I377),0)</f>
        <v>0.15033407572383073</v>
      </c>
      <c r="AB388" s="49">
        <f>IFERROR(IF(Data_Entry!AG377/Data_Entry!$I377&lt;0,0,Data_Entry!AG377/Data_Entry!$I377),0)</f>
        <v>7.0991091314031168E-2</v>
      </c>
      <c r="AC388" s="49">
        <f>IFERROR(IF(Data_Entry!AI377/Data_Entry!$I377&lt;0,0,Data_Entry!AI377/Data_Entry!$I377),0)</f>
        <v>0.27853563474387527</v>
      </c>
      <c r="AD388" s="49">
        <f>IFERROR(IF(Data_Entry!AM377/Data_Entry!$H377&lt;0,0,Data_Entry!AM377/Data_Entry!$H377),0)</f>
        <v>0.98595414196463338</v>
      </c>
      <c r="AE388" s="50">
        <f>Data_Entry!AK377</f>
        <v>0.93466666666665787</v>
      </c>
      <c r="AF388" s="50">
        <f>Data_Entry!AL377</f>
        <v>2</v>
      </c>
      <c r="AG388" s="153">
        <f>(Data_Entry!O377-Data_Entry!Q377)/Data_Entry!O377</f>
        <v>-7.2115384615384609E-2</v>
      </c>
      <c r="AH388" s="79" t="str">
        <f t="shared" si="10"/>
        <v>CAT1</v>
      </c>
      <c r="AI388" s="51">
        <f>SUBTOTAL(3,Tableau1[[#This Row],[ZS]])</f>
        <v>0</v>
      </c>
      <c r="AJ388" s="51" t="e">
        <f t="shared" ca="1" si="11"/>
        <v>#NAME?</v>
      </c>
      <c r="AK388" s="50" t="str">
        <f>IFERROR(IF((Data_Entry!O377-Data_Entry!Q377)/Data_Entry!O377&lt;=10%,"&lt;=10%","&gt;10%"),"&lt;=10%")</f>
        <v>&lt;=10%</v>
      </c>
    </row>
    <row r="389" spans="1:37" s="48" customFormat="1" ht="13" hidden="1" x14ac:dyDescent="0.3">
      <c r="A389" s="31" t="s">
        <v>16</v>
      </c>
      <c r="B389" s="48" t="str">
        <f>Data_Entry!B378</f>
        <v>Butembo</v>
      </c>
      <c r="C389" s="48" t="str">
        <f>Data_Entry!C378</f>
        <v xml:space="preserve"> Kyondo</v>
      </c>
      <c r="D389" s="48" t="str">
        <f>Data_Entry!D378</f>
        <v xml:space="preserve"> Vayana</v>
      </c>
      <c r="E389" s="49">
        <f>IFERROR(IF(Data_Entry!J378/Data_Entry!$I378&lt;0,0,Data_Entry!J378/Data_Entry!$I378),0)</f>
        <v>0.78503585966272516</v>
      </c>
      <c r="F389" s="49">
        <f>IFERROR(IF(Data_Entry!K378/Data_Entry!$H378&lt;0,0,Data_Entry!K378/Data_Entry!$H378),0)</f>
        <v>0.20327788364396154</v>
      </c>
      <c r="G389" s="49">
        <f>IFERROR(IF(Data_Entry!L378/Data_Entry!$H378&lt;0,0,Data_Entry!L378/Data_Entry!$H378),0)</f>
        <v>0.84643577779616774</v>
      </c>
      <c r="H389" s="49">
        <f>IFERROR(IF(Data_Entry!M378/Data_Entry!$H378&lt;0,0,Data_Entry!M378/Data_Entry!$H378),0)</f>
        <v>0.91308426423681088</v>
      </c>
      <c r="I389" s="49">
        <f>IFERROR(IF(Data_Entry!N378/Data_Entry!$H378&lt;0,0,Data_Entry!N378/Data_Entry!$H378),0)</f>
        <v>0.86643032372836071</v>
      </c>
      <c r="J389" s="49">
        <f>IFERROR(IF(Data_Entry!O378/Data_Entry!$H378&lt;0,0,Data_Entry!O378/Data_Entry!$H378),0)</f>
        <v>0.80644668593178193</v>
      </c>
      <c r="K389" s="49">
        <f>IFERROR(IF(Data_Entry!P378/Data_Entry!$H378&lt;0,0,Data_Entry!P378/Data_Entry!$H378),0)</f>
        <v>0.87976002101648931</v>
      </c>
      <c r="L389" s="49">
        <f>IFERROR(IF(Data_Entry!Q378/Data_Entry!$H378&lt;0,0,Data_Entry!Q378/Data_Entry!$H378),0)</f>
        <v>0.76312516974536382</v>
      </c>
      <c r="M389" s="49">
        <f>IFERROR(IF(Data_Entry!R378/Data_Entry!$H378&lt;0,0,Data_Entry!R378/Data_Entry!$H378),0)</f>
        <v>0.80644668593178193</v>
      </c>
      <c r="N389" s="49">
        <f>IFERROR(IF(Data_Entry!S378/Data_Entry!$H378&lt;0,0,Data_Entry!S378/Data_Entry!$H378),0)</f>
        <v>0.87976002101648931</v>
      </c>
      <c r="O389" s="49">
        <f>IFERROR(IF(Data_Entry!T378/Data_Entry!$H378&lt;0,0,Data_Entry!T378/Data_Entry!$H378),0)</f>
        <v>0.82977365618600696</v>
      </c>
      <c r="P389" s="49">
        <f>IFERROR(IF(Data_Entry!U378/Data_Entry!$H378&lt;0,0,Data_Entry!U378/Data_Entry!$H378),0)</f>
        <v>0.82644123186397489</v>
      </c>
      <c r="Q389" s="49">
        <f>IFERROR(IF(Data_Entry!V378/Data_Entry!$H378&lt;0,0,Data_Entry!V378/Data_Entry!$H378),0)</f>
        <v>0.90308699127071446</v>
      </c>
      <c r="R389" s="49">
        <f>IFERROR(IF(Data_Entry!W378/Data_Entry!$H378&lt;0,0,Data_Entry!W378/Data_Entry!$H378),0)</f>
        <v>0.84643577779616774</v>
      </c>
      <c r="S389" s="49">
        <f>IFERROR(IF(Data_Entry!X378/Data_Entry!$H378&lt;0,0,Data_Entry!X378/Data_Entry!$H378),0)</f>
        <v>1.0297191155079364</v>
      </c>
      <c r="T389" s="49">
        <f>IFERROR(IF(Data_Entry!Y378/Data_Entry!$H378&lt;0,0,Data_Entry!Y378/Data_Entry!$H378),0)</f>
        <v>0.27325879440663686</v>
      </c>
      <c r="U389" s="49">
        <f>IFERROR(IF(Data_Entry!Z378/Data_Entry!$H378&lt;0,0,Data_Entry!Z378/Data_Entry!$H378),0)</f>
        <v>1.0030597209316792</v>
      </c>
      <c r="V389" s="49">
        <f>IFERROR(IF(Data_Entry!AA378/Data_Entry!$H378&lt;0,0,Data_Entry!AA378/Data_Entry!$H378),0)</f>
        <v>0.94640850745713245</v>
      </c>
      <c r="W389" s="49">
        <f>IFERROR(IF(Data_Entry!AB378/Data_Entry!$H378&lt;0,0,Data_Entry!AB378/Data_Entry!$H378),0)</f>
        <v>0.723136077880978</v>
      </c>
      <c r="X389" s="49">
        <f>IFERROR(IF(Data_Entry!AC378/Data_Entry!$I378&lt;0,0,Data_Entry!AC378/Data_Entry!$I378),0)</f>
        <v>0.18026749370032949</v>
      </c>
      <c r="Y389" s="49">
        <f>IFERROR(IF(Data_Entry!AD378/Data_Entry!$I378&lt;0,0,Data_Entry!AD378/Data_Entry!$I378),0)</f>
        <v>0.17154487303741031</v>
      </c>
      <c r="Z389" s="49">
        <f>IFERROR(IF(Data_Entry!AE378/Data_Entry!$I378&lt;0,0,Data_Entry!AE378/Data_Entry!$I378),0)</f>
        <v>0.1599147121535181</v>
      </c>
      <c r="AA389" s="49">
        <f>IFERROR(IF(Data_Entry!AF378/Data_Entry!$I378&lt;0,0,Data_Entry!AF378/Data_Entry!$I378),0)</f>
        <v>9.0133746850164745E-2</v>
      </c>
      <c r="AB389" s="49">
        <f>IFERROR(IF(Data_Entry!AG378/Data_Entry!$I378&lt;0,0,Data_Entry!AG378/Data_Entry!$I378),0)</f>
        <v>0.11339406861794919</v>
      </c>
      <c r="AC389" s="49">
        <f>IFERROR(IF(Data_Entry!AI378/Data_Entry!$I378&lt;0,0,Data_Entry!AI378/Data_Entry!$I378),0)</f>
        <v>0.16950959488272918</v>
      </c>
      <c r="AD389" s="49">
        <f>IFERROR(IF(Data_Entry!AM378/Data_Entry!$H378&lt;0,0,Data_Entry!AM378/Data_Entry!$H378),0)</f>
        <v>1.0030597209316792</v>
      </c>
      <c r="AE389" s="50">
        <f>Data_Entry!AK378</f>
        <v>58.08183333333335</v>
      </c>
      <c r="AF389" s="50">
        <f>Data_Entry!AL378</f>
        <v>0</v>
      </c>
      <c r="AG389" s="153">
        <f>(Data_Entry!O378-Data_Entry!Q378)/Data_Entry!O378</f>
        <v>5.3719008264462811E-2</v>
      </c>
      <c r="AH389" s="79" t="str">
        <f t="shared" si="10"/>
        <v>CAT3</v>
      </c>
      <c r="AI389" s="51">
        <f>SUBTOTAL(3,Tableau1[[#This Row],[ZS]])</f>
        <v>0</v>
      </c>
      <c r="AJ389" s="51" t="e">
        <f t="shared" ca="1" si="11"/>
        <v>#NAME?</v>
      </c>
      <c r="AK389" s="50" t="str">
        <f>IFERROR(IF((Data_Entry!O378-Data_Entry!Q378)/Data_Entry!O378&lt;=10%,"&lt;=10%","&gt;10%"),"&lt;=10%")</f>
        <v>&lt;=10%</v>
      </c>
    </row>
    <row r="390" spans="1:37" s="48" customFormat="1" ht="13" hidden="1" x14ac:dyDescent="0.3">
      <c r="A390" s="31" t="s">
        <v>16</v>
      </c>
      <c r="B390" s="48" t="str">
        <f>Data_Entry!B379</f>
        <v>Butembo</v>
      </c>
      <c r="C390" s="48" t="str">
        <f>Data_Entry!C379</f>
        <v xml:space="preserve"> Kyondo</v>
      </c>
      <c r="D390" s="48" t="str">
        <f>Data_Entry!D379</f>
        <v xml:space="preserve"> Vuhasa</v>
      </c>
      <c r="E390" s="49">
        <f>IFERROR(IF(Data_Entry!J379/Data_Entry!$I379&lt;0,0,Data_Entry!J379/Data_Entry!$I379),0)</f>
        <v>0.95577020843924765</v>
      </c>
      <c r="F390" s="49">
        <f>IFERROR(IF(Data_Entry!K379/Data_Entry!$H379&lt;0,0,Data_Entry!K379/Data_Entry!$H379),0)</f>
        <v>0.35543487602752</v>
      </c>
      <c r="G390" s="49">
        <f>IFERROR(IF(Data_Entry!L379/Data_Entry!$H379&lt;0,0,Data_Entry!L379/Data_Entry!$H379),0)</f>
        <v>0.87402018695291805</v>
      </c>
      <c r="H390" s="49">
        <f>IFERROR(IF(Data_Entry!M379/Data_Entry!$H379&lt;0,0,Data_Entry!M379/Data_Entry!$H379),0)</f>
        <v>0.91480779567738757</v>
      </c>
      <c r="I390" s="49">
        <f>IFERROR(IF(Data_Entry!N379/Data_Entry!$H379&lt;0,0,Data_Entry!N379/Data_Entry!$H379),0)</f>
        <v>0.87984698819927087</v>
      </c>
      <c r="J390" s="49">
        <f>IFERROR(IF(Data_Entry!O379/Data_Entry!$H379&lt;0,0,Data_Entry!O379/Data_Entry!$H379),0)</f>
        <v>0.86236658446021253</v>
      </c>
      <c r="K390" s="49">
        <f>IFERROR(IF(Data_Entry!P379/Data_Entry!$H379&lt;0,0,Data_Entry!P379/Data_Entry!$H379),0)</f>
        <v>0.86236658446021253</v>
      </c>
      <c r="L390" s="49">
        <f>IFERROR(IF(Data_Entry!Q379/Data_Entry!$H379&lt;0,0,Data_Entry!Q379/Data_Entry!$H379),0)</f>
        <v>0.90315419318468204</v>
      </c>
      <c r="M390" s="49">
        <f>IFERROR(IF(Data_Entry!R379/Data_Entry!$H379&lt;0,0,Data_Entry!R379/Data_Entry!$H379),0)</f>
        <v>0.90315419318468204</v>
      </c>
      <c r="N390" s="49">
        <f>IFERROR(IF(Data_Entry!S379/Data_Entry!$H379&lt;0,0,Data_Entry!S379/Data_Entry!$H379),0)</f>
        <v>0.82157897573574301</v>
      </c>
      <c r="O390" s="49">
        <f>IFERROR(IF(Data_Entry!T379/Data_Entry!$H379&lt;0,0,Data_Entry!T379/Data_Entry!$H379),0)</f>
        <v>0.90315419318468204</v>
      </c>
      <c r="P390" s="49">
        <f>IFERROR(IF(Data_Entry!U379/Data_Entry!$H379&lt;0,0,Data_Entry!U379/Data_Entry!$H379),0)</f>
        <v>0.85071298196750689</v>
      </c>
      <c r="Q390" s="49">
        <f>IFERROR(IF(Data_Entry!V379/Data_Entry!$H379&lt;0,0,Data_Entry!V379/Data_Entry!$H379),0)</f>
        <v>0.91480779567738757</v>
      </c>
      <c r="R390" s="49">
        <f>IFERROR(IF(Data_Entry!W379/Data_Entry!$H379&lt;0,0,Data_Entry!W379/Data_Entry!$H379),0)</f>
        <v>0.90898099443103475</v>
      </c>
      <c r="S390" s="49">
        <f>IFERROR(IF(Data_Entry!X379/Data_Entry!$H379&lt;0,0,Data_Entry!X379/Data_Entry!$H379),0)</f>
        <v>0.93811500066279874</v>
      </c>
      <c r="T390" s="49">
        <f>IFERROR(IF(Data_Entry!Y379/Data_Entry!$H379&lt;0,0,Data_Entry!Y379/Data_Entry!$H379),0)</f>
        <v>0.25637925483952262</v>
      </c>
      <c r="U390" s="49">
        <f>IFERROR(IF(Data_Entry!Z379/Data_Entry!$H379&lt;0,0,Data_Entry!Z379/Data_Entry!$H379),0)</f>
        <v>0.8915005906919764</v>
      </c>
      <c r="V390" s="49">
        <f>IFERROR(IF(Data_Entry!AA379/Data_Entry!$H379&lt;0,0,Data_Entry!AA379/Data_Entry!$H379),0)</f>
        <v>1.0954386343143239</v>
      </c>
      <c r="W390" s="49">
        <f>IFERROR(IF(Data_Entry!AB379/Data_Entry!$H379&lt;0,0,Data_Entry!AB379/Data_Entry!$H379),0)</f>
        <v>0.58268012463527874</v>
      </c>
      <c r="X390" s="49">
        <f>IFERROR(IF(Data_Entry!AC379/Data_Entry!$I379&lt;0,0,Data_Entry!AC379/Data_Entry!$I379),0)</f>
        <v>0.24911032028469751</v>
      </c>
      <c r="Y390" s="49">
        <f>IFERROR(IF(Data_Entry!AD379/Data_Entry!$I379&lt;0,0,Data_Entry!AD379/Data_Entry!$I379),0)</f>
        <v>0.17793594306049823</v>
      </c>
      <c r="Z390" s="49">
        <f>IFERROR(IF(Data_Entry!AE379/Data_Entry!$I379&lt;0,0,Data_Entry!AE379/Data_Entry!$I379),0)</f>
        <v>0.10676156583629894</v>
      </c>
      <c r="AA390" s="49">
        <f>IFERROR(IF(Data_Entry!AF379/Data_Entry!$I379&lt;0,0,Data_Entry!AF379/Data_Entry!$I379),0)</f>
        <v>5.5922724961870875E-2</v>
      </c>
      <c r="AB390" s="49">
        <f>IFERROR(IF(Data_Entry!AG379/Data_Entry!$I379&lt;0,0,Data_Entry!AG379/Data_Entry!$I379),0)</f>
        <v>6.6090493136756481E-2</v>
      </c>
      <c r="AC390" s="49">
        <f>IFERROR(IF(Data_Entry!AI379/Data_Entry!$I379&lt;0,0,Data_Entry!AI379/Data_Entry!$I379),0)</f>
        <v>0.29639044229791561</v>
      </c>
      <c r="AD390" s="49">
        <f>IFERROR(IF(Data_Entry!AM379/Data_Entry!$H379&lt;0,0,Data_Entry!AM379/Data_Entry!$H379),0)</f>
        <v>0.8915005906919764</v>
      </c>
      <c r="AE390" s="50">
        <f>Data_Entry!AK379</f>
        <v>23.620749999999987</v>
      </c>
      <c r="AF390" s="50">
        <f>Data_Entry!AL379</f>
        <v>0</v>
      </c>
      <c r="AG390" s="153">
        <f>(Data_Entry!O379-Data_Entry!Q379)/Data_Entry!O379</f>
        <v>-4.72972972972973E-2</v>
      </c>
      <c r="AH390" s="79" t="str">
        <f t="shared" si="10"/>
        <v>CAT3</v>
      </c>
      <c r="AI390" s="51">
        <f>SUBTOTAL(3,Tableau1[[#This Row],[ZS]])</f>
        <v>0</v>
      </c>
      <c r="AJ390" s="51" t="e">
        <f t="shared" ca="1" si="11"/>
        <v>#NAME?</v>
      </c>
      <c r="AK390" s="50" t="str">
        <f>IFERROR(IF((Data_Entry!O379-Data_Entry!Q379)/Data_Entry!O379&lt;=10%,"&lt;=10%","&gt;10%"),"&lt;=10%")</f>
        <v>&lt;=10%</v>
      </c>
    </row>
    <row r="391" spans="1:37" s="48" customFormat="1" ht="13" hidden="1" x14ac:dyDescent="0.3">
      <c r="A391" s="31" t="s">
        <v>16</v>
      </c>
      <c r="B391" s="48" t="str">
        <f>Data_Entry!B380</f>
        <v>Butembo</v>
      </c>
      <c r="C391" s="48" t="str">
        <f>Data_Entry!C380</f>
        <v xml:space="preserve"> Kyondo</v>
      </c>
      <c r="D391" s="48" t="str">
        <f>Data_Entry!D380</f>
        <v xml:space="preserve"> Vuhesi</v>
      </c>
      <c r="E391" s="49">
        <f>IFERROR(IF(Data_Entry!J380/Data_Entry!$I380&lt;0,0,Data_Entry!J380/Data_Entry!$I380),0)</f>
        <v>0.71911258447022819</v>
      </c>
      <c r="F391" s="49">
        <f>IFERROR(IF(Data_Entry!K380/Data_Entry!$H380&lt;0,0,Data_Entry!K380/Data_Entry!$H380),0)</f>
        <v>2.6304185251608665E-2</v>
      </c>
      <c r="G391" s="49">
        <f>IFERROR(IF(Data_Entry!L380/Data_Entry!$H380&lt;0,0,Data_Entry!L380/Data_Entry!$H380),0)</f>
        <v>1.065319502690151</v>
      </c>
      <c r="H391" s="49">
        <f>IFERROR(IF(Data_Entry!M380/Data_Entry!$H380&lt;0,0,Data_Entry!M380/Data_Entry!$H380),0)</f>
        <v>0.88995826767942654</v>
      </c>
      <c r="I391" s="49">
        <f>IFERROR(IF(Data_Entry!N380/Data_Entry!$H380&lt;0,0,Data_Entry!N380/Data_Entry!$H380),0)</f>
        <v>0.9776388851847887</v>
      </c>
      <c r="J391" s="49">
        <f>IFERROR(IF(Data_Entry!O380/Data_Entry!$H380&lt;0,0,Data_Entry!O380/Data_Entry!$H380),0)</f>
        <v>1.065319502690151</v>
      </c>
      <c r="K391" s="49">
        <f>IFERROR(IF(Data_Entry!P380/Data_Entry!$H380&lt;0,0,Data_Entry!P380/Data_Entry!$H380),0)</f>
        <v>0.9776388851847887</v>
      </c>
      <c r="L391" s="49">
        <f>IFERROR(IF(Data_Entry!Q380/Data_Entry!$H380&lt;0,0,Data_Entry!Q380/Data_Entry!$H380),0)</f>
        <v>0.9776388851847887</v>
      </c>
      <c r="M391" s="49">
        <f>IFERROR(IF(Data_Entry!R380/Data_Entry!$H380&lt;0,0,Data_Entry!R380/Data_Entry!$H380),0)</f>
        <v>1.0784715953159554</v>
      </c>
      <c r="N391" s="49">
        <f>IFERROR(IF(Data_Entry!S380/Data_Entry!$H380&lt;0,0,Data_Entry!S380/Data_Entry!$H380),0)</f>
        <v>0.9644867925589844</v>
      </c>
      <c r="O391" s="49">
        <f>IFERROR(IF(Data_Entry!T380/Data_Entry!$H380&lt;0,0,Data_Entry!T380/Data_Entry!$H380),0)</f>
        <v>0.9776388851847887</v>
      </c>
      <c r="P391" s="49">
        <f>IFERROR(IF(Data_Entry!U380/Data_Entry!$H380&lt;0,0,Data_Entry!U380/Data_Entry!$H380),0)</f>
        <v>1.065319502690151</v>
      </c>
      <c r="Q391" s="49">
        <f>IFERROR(IF(Data_Entry!V380/Data_Entry!$H380&lt;0,0,Data_Entry!V380/Data_Entry!$H380),0)</f>
        <v>0.9644867925589844</v>
      </c>
      <c r="R391" s="49">
        <f>IFERROR(IF(Data_Entry!W380/Data_Entry!$H380&lt;0,0,Data_Entry!W380/Data_Entry!$H380),0)</f>
        <v>0.97325485430952063</v>
      </c>
      <c r="S391" s="49">
        <f>IFERROR(IF(Data_Entry!X380/Data_Entry!$H380&lt;0,0,Data_Entry!X380/Data_Entry!$H380),0)</f>
        <v>0.99955903956112924</v>
      </c>
      <c r="T391" s="49">
        <f>IFERROR(IF(Data_Entry!Y380/Data_Entry!$H380&lt;0,0,Data_Entry!Y380/Data_Entry!$H380),0)</f>
        <v>8.7680617505362213E-2</v>
      </c>
      <c r="U391" s="49">
        <f>IFERROR(IF(Data_Entry!Z380/Data_Entry!$H380&lt;0,0,Data_Entry!Z380/Data_Entry!$H380),0)</f>
        <v>0.87242214417835406</v>
      </c>
      <c r="V391" s="49">
        <f>IFERROR(IF(Data_Entry!AA380/Data_Entry!$H380&lt;0,0,Data_Entry!AA380/Data_Entry!$H380),0)</f>
        <v>0.9776388851847887</v>
      </c>
      <c r="W391" s="49">
        <f>IFERROR(IF(Data_Entry!AB380/Data_Entry!$H380&lt;0,0,Data_Entry!AB380/Data_Entry!$H380),0)</f>
        <v>0</v>
      </c>
      <c r="X391" s="49">
        <f>IFERROR(IF(Data_Entry!AC380/Data_Entry!$I380&lt;0,0,Data_Entry!AC380/Data_Entry!$I380),0)</f>
        <v>0.20655361468825703</v>
      </c>
      <c r="Y391" s="49">
        <f>IFERROR(IF(Data_Entry!AD380/Data_Entry!$I380&lt;0,0,Data_Entry!AD380/Data_Entry!$I380),0)</f>
        <v>0.12240214203748566</v>
      </c>
      <c r="Z391" s="49">
        <f>IFERROR(IF(Data_Entry!AE380/Data_Entry!$I380&lt;0,0,Data_Entry!AE380/Data_Entry!$I380),0)</f>
        <v>0.16065281142419993</v>
      </c>
      <c r="AA391" s="49">
        <f>IFERROR(IF(Data_Entry!AF380/Data_Entry!$I380&lt;0,0,Data_Entry!AF380/Data_Entry!$I380),0)</f>
        <v>0.12622720897615708</v>
      </c>
      <c r="AB391" s="49">
        <f>IFERROR(IF(Data_Entry!AG380/Data_Entry!$I380&lt;0,0,Data_Entry!AG380/Data_Entry!$I380),0)</f>
        <v>0.15300267754685706</v>
      </c>
      <c r="AC391" s="49">
        <f>IFERROR(IF(Data_Entry!AI380/Data_Entry!$I380&lt;0,0,Data_Entry!AI380/Data_Entry!$I380),0)</f>
        <v>0.19125334693357132</v>
      </c>
      <c r="AD391" s="49">
        <f>IFERROR(IF(Data_Entry!AM380/Data_Entry!$H380&lt;0,0,Data_Entry!AM380/Data_Entry!$H380),0)</f>
        <v>0.87242214417835406</v>
      </c>
      <c r="AE391" s="50">
        <f>Data_Entry!AK380</f>
        <v>0</v>
      </c>
      <c r="AF391" s="50">
        <f>Data_Entry!AL380</f>
        <v>15</v>
      </c>
      <c r="AG391" s="153">
        <f>(Data_Entry!O380-Data_Entry!Q380)/Data_Entry!O380</f>
        <v>8.2304526748971193E-2</v>
      </c>
      <c r="AH391" s="79" t="str">
        <f t="shared" si="10"/>
        <v>CAT1</v>
      </c>
      <c r="AI391" s="51">
        <f>SUBTOTAL(3,Tableau1[[#This Row],[ZS]])</f>
        <v>0</v>
      </c>
      <c r="AJ391" s="51" t="e">
        <f t="shared" ca="1" si="11"/>
        <v>#NAME?</v>
      </c>
      <c r="AK391" s="50" t="str">
        <f>IFERROR(IF((Data_Entry!O380-Data_Entry!Q380)/Data_Entry!O380&lt;=10%,"&lt;=10%","&gt;10%"),"&lt;=10%")</f>
        <v>&lt;=10%</v>
      </c>
    </row>
    <row r="392" spans="1:37" s="48" customFormat="1" ht="13" hidden="1" x14ac:dyDescent="0.3">
      <c r="A392" s="31" t="s">
        <v>16</v>
      </c>
      <c r="B392" s="48" t="str">
        <f>Data_Entry!B381</f>
        <v>Butembo</v>
      </c>
      <c r="C392" s="48" t="str">
        <f>Data_Entry!C381</f>
        <v xml:space="preserve"> Kyondo</v>
      </c>
      <c r="D392" s="48" t="str">
        <f>Data_Entry!D381</f>
        <v xml:space="preserve"> Vulambayiri</v>
      </c>
      <c r="E392" s="49">
        <f>IFERROR(IF(Data_Entry!J381/Data_Entry!$I381&lt;0,0,Data_Entry!J381/Data_Entry!$I381),0)</f>
        <v>0.90612909794339225</v>
      </c>
      <c r="F392" s="49">
        <f>IFERROR(IF(Data_Entry!K381/Data_Entry!$H381&lt;0,0,Data_Entry!K381/Data_Entry!$H381),0)</f>
        <v>0.24271575592830316</v>
      </c>
      <c r="G392" s="49">
        <f>IFERROR(IF(Data_Entry!L381/Data_Entry!$H381&lt;0,0,Data_Entry!L381/Data_Entry!$H381),0)</f>
        <v>0.96386160767681928</v>
      </c>
      <c r="H392" s="49">
        <f>IFERROR(IF(Data_Entry!M381/Data_Entry!$H381&lt;0,0,Data_Entry!M381/Data_Entry!$H381),0)</f>
        <v>0.93118833284031688</v>
      </c>
      <c r="I392" s="49">
        <f>IFERROR(IF(Data_Entry!N381/Data_Entry!$H381&lt;0,0,Data_Entry!N381/Data_Entry!$H381),0)</f>
        <v>0.92185311145845905</v>
      </c>
      <c r="J392" s="49">
        <f>IFERROR(IF(Data_Entry!O381/Data_Entry!$H381&lt;0,0,Data_Entry!O381/Data_Entry!$H381),0)</f>
        <v>1.0058701038951794</v>
      </c>
      <c r="K392" s="49">
        <f>IFERROR(IF(Data_Entry!P381/Data_Entry!$H381&lt;0,0,Data_Entry!P381/Data_Entry!$H381),0)</f>
        <v>0.91485169542206579</v>
      </c>
      <c r="L392" s="49">
        <f>IFERROR(IF(Data_Entry!Q381/Data_Entry!$H381&lt;0,0,Data_Entry!Q381/Data_Entry!$H381),0)</f>
        <v>0.97786443974960602</v>
      </c>
      <c r="M392" s="49">
        <f>IFERROR(IF(Data_Entry!R381/Data_Entry!$H381&lt;0,0,Data_Entry!R381/Data_Entry!$H381),0)</f>
        <v>0.96386160767681928</v>
      </c>
      <c r="N392" s="49">
        <f>IFERROR(IF(Data_Entry!S381/Data_Entry!$H381&lt;0,0,Data_Entry!S381/Data_Entry!$H381),0)</f>
        <v>0.91485169542206579</v>
      </c>
      <c r="O392" s="49">
        <f>IFERROR(IF(Data_Entry!T381/Data_Entry!$H381&lt;0,0,Data_Entry!T381/Data_Entry!$H381),0)</f>
        <v>0.96852921836774819</v>
      </c>
      <c r="P392" s="49">
        <f>IFERROR(IF(Data_Entry!U381/Data_Entry!$H381&lt;0,0,Data_Entry!U381/Data_Entry!$H381),0)</f>
        <v>0.95686019164042591</v>
      </c>
      <c r="Q392" s="49">
        <f>IFERROR(IF(Data_Entry!V381/Data_Entry!$H381&lt;0,0,Data_Entry!V381/Data_Entry!$H381),0)</f>
        <v>1.080551874950042</v>
      </c>
      <c r="R392" s="49">
        <f>IFERROR(IF(Data_Entry!W381/Data_Entry!$H381&lt;0,0,Data_Entry!W381/Data_Entry!$H381),0)</f>
        <v>1.0012024932042505</v>
      </c>
      <c r="S392" s="49">
        <f>IFERROR(IF(Data_Entry!X381/Data_Entry!$H381&lt;0,0,Data_Entry!X381/Data_Entry!$H381),0)</f>
        <v>0.88917983662195677</v>
      </c>
      <c r="T392" s="49">
        <f>IFERROR(IF(Data_Entry!Y381/Data_Entry!$H381&lt;0,0,Data_Entry!Y381/Data_Entry!$H381),0)</f>
        <v>0.16570017952797619</v>
      </c>
      <c r="U392" s="49">
        <f>IFERROR(IF(Data_Entry!Z381/Data_Entry!$H381&lt;0,0,Data_Entry!Z381/Data_Entry!$H381),0)</f>
        <v>0.77715718003966294</v>
      </c>
      <c r="V392" s="49">
        <f>IFERROR(IF(Data_Entry!AA381/Data_Entry!$H381&lt;0,0,Data_Entry!AA381/Data_Entry!$H381),0)</f>
        <v>1.1178927604774731</v>
      </c>
      <c r="W392" s="49">
        <f>IFERROR(IF(Data_Entry!AB381/Data_Entry!$H381&lt;0,0,Data_Entry!AB381/Data_Entry!$H381),0)</f>
        <v>0.54844425618414661</v>
      </c>
      <c r="X392" s="49">
        <f>IFERROR(IF(Data_Entry!AC381/Data_Entry!$I381&lt;0,0,Data_Entry!AC381/Data_Entry!$I381),0)</f>
        <v>0.21584198737527996</v>
      </c>
      <c r="Y392" s="49">
        <f>IFERROR(IF(Data_Entry!AD381/Data_Entry!$I381&lt;0,0,Data_Entry!AD381/Data_Entry!$I381),0)</f>
        <v>0.10995723885155771</v>
      </c>
      <c r="Z392" s="49">
        <f>IFERROR(IF(Data_Entry!AE381/Data_Entry!$I381&lt;0,0,Data_Entry!AE381/Data_Entry!$I381),0)</f>
        <v>0.14253716147424147</v>
      </c>
      <c r="AA392" s="49">
        <f>IFERROR(IF(Data_Entry!AF381/Data_Entry!$I381&lt;0,0,Data_Entry!AF381/Data_Entry!$I381),0)</f>
        <v>0.10181225819588677</v>
      </c>
      <c r="AB392" s="49">
        <f>IFERROR(IF(Data_Entry!AG381/Data_Entry!$I381&lt;0,0,Data_Entry!AG381/Data_Entry!$I381),0)</f>
        <v>7.5341071064956203E-2</v>
      </c>
      <c r="AC392" s="49">
        <f>IFERROR(IF(Data_Entry!AI381/Data_Entry!$I381&lt;0,0,Data_Entry!AI381/Data_Entry!$I381),0)</f>
        <v>0.11321523111382609</v>
      </c>
      <c r="AD392" s="49">
        <f>IFERROR(IF(Data_Entry!AM381/Data_Entry!$H381&lt;0,0,Data_Entry!AM381/Data_Entry!$H381),0)</f>
        <v>0.77715718003966294</v>
      </c>
      <c r="AE392" s="50">
        <f>Data_Entry!AK381</f>
        <v>0</v>
      </c>
      <c r="AF392" s="50">
        <f>Data_Entry!AL381</f>
        <v>50</v>
      </c>
      <c r="AG392" s="153">
        <f>(Data_Entry!O381-Data_Entry!Q381)/Data_Entry!O381</f>
        <v>2.7842227378190254E-2</v>
      </c>
      <c r="AH392" s="79" t="str">
        <f t="shared" si="10"/>
        <v>CAT1</v>
      </c>
      <c r="AI392" s="51">
        <f>SUBTOTAL(3,Tableau1[[#This Row],[ZS]])</f>
        <v>0</v>
      </c>
      <c r="AJ392" s="51" t="e">
        <f t="shared" ca="1" si="11"/>
        <v>#NAME?</v>
      </c>
      <c r="AK392" s="50" t="str">
        <f>IFERROR(IF((Data_Entry!O381-Data_Entry!Q381)/Data_Entry!O381&lt;=10%,"&lt;=10%","&gt;10%"),"&lt;=10%")</f>
        <v>&lt;=10%</v>
      </c>
    </row>
    <row r="393" spans="1:37" s="48" customFormat="1" ht="13" hidden="1" x14ac:dyDescent="0.3">
      <c r="A393" s="31" t="s">
        <v>16</v>
      </c>
      <c r="B393" s="48" t="str">
        <f>Data_Entry!B382</f>
        <v>Butembo</v>
      </c>
      <c r="C393" s="48" t="str">
        <f>Data_Entry!C382</f>
        <v xml:space="preserve"> Kyondo</v>
      </c>
      <c r="D393" s="48" t="str">
        <f>Data_Entry!D382</f>
        <v xml:space="preserve"> Vusorongi</v>
      </c>
      <c r="E393" s="49">
        <f>IFERROR(IF(Data_Entry!J382/Data_Entry!$I382&lt;0,0,Data_Entry!J382/Data_Entry!$I382),0)</f>
        <v>0.75977933801404207</v>
      </c>
      <c r="F393" s="49">
        <f>IFERROR(IF(Data_Entry!K382/Data_Entry!$H382&lt;0,0,Data_Entry!K382/Data_Entry!$H382),0)</f>
        <v>3.4487416403939618E-2</v>
      </c>
      <c r="G393" s="49">
        <f>IFERROR(IF(Data_Entry!L382/Data_Entry!$H382&lt;0,0,Data_Entry!L382/Data_Entry!$H382),0)</f>
        <v>0.89667282650242996</v>
      </c>
      <c r="H393" s="49">
        <f>IFERROR(IF(Data_Entry!M382/Data_Entry!$H382&lt;0,0,Data_Entry!M382/Data_Entry!$H382),0)</f>
        <v>0.92684931585587715</v>
      </c>
      <c r="I393" s="49">
        <f>IFERROR(IF(Data_Entry!N382/Data_Entry!$H382&lt;0,0,Data_Entry!N382/Data_Entry!$H382),0)</f>
        <v>0.87942911830046022</v>
      </c>
      <c r="J393" s="49">
        <f>IFERROR(IF(Data_Entry!O382/Data_Entry!$H382&lt;0,0,Data_Entry!O382/Data_Entry!$H382),0)</f>
        <v>0.89667282650242996</v>
      </c>
      <c r="K393" s="49">
        <f>IFERROR(IF(Data_Entry!P382/Data_Entry!$H382&lt;0,0,Data_Entry!P382/Data_Entry!$H382),0)</f>
        <v>0.92684931585587715</v>
      </c>
      <c r="L393" s="49">
        <f>IFERROR(IF(Data_Entry!Q382/Data_Entry!$H382&lt;0,0,Data_Entry!Q382/Data_Entry!$H382),0)</f>
        <v>0.90529468060341489</v>
      </c>
      <c r="M393" s="49">
        <f>IFERROR(IF(Data_Entry!R382/Data_Entry!$H382&lt;0,0,Data_Entry!R382/Data_Entry!$H382),0)</f>
        <v>0.89667282650242996</v>
      </c>
      <c r="N393" s="49">
        <f>IFERROR(IF(Data_Entry!S382/Data_Entry!$H382&lt;0,0,Data_Entry!S382/Data_Entry!$H382),0)</f>
        <v>0.92684931585587715</v>
      </c>
      <c r="O393" s="49">
        <f>IFERROR(IF(Data_Entry!T382/Data_Entry!$H382&lt;0,0,Data_Entry!T382/Data_Entry!$H382),0)</f>
        <v>0.87942911830046022</v>
      </c>
      <c r="P393" s="49">
        <f>IFERROR(IF(Data_Entry!U382/Data_Entry!$H382&lt;0,0,Data_Entry!U382/Data_Entry!$H382),0)</f>
        <v>0.89667282650242996</v>
      </c>
      <c r="Q393" s="49">
        <f>IFERROR(IF(Data_Entry!V382/Data_Entry!$H382&lt;0,0,Data_Entry!V382/Data_Entry!$H382),0)</f>
        <v>0.92684931585587715</v>
      </c>
      <c r="R393" s="49">
        <f>IFERROR(IF(Data_Entry!W382/Data_Entry!$H382&lt;0,0,Data_Entry!W382/Data_Entry!$H382),0)</f>
        <v>0.87942911830046022</v>
      </c>
      <c r="S393" s="49">
        <f>IFERROR(IF(Data_Entry!X382/Data_Entry!$H382&lt;0,0,Data_Entry!X382/Data_Entry!$H382),0)</f>
        <v>0.88805097240144504</v>
      </c>
      <c r="T393" s="49">
        <f>IFERROR(IF(Data_Entry!Y382/Data_Entry!$H382&lt;0,0,Data_Entry!Y382/Data_Entry!$H382),0)</f>
        <v>0.37505065339284333</v>
      </c>
      <c r="U393" s="49">
        <f>IFERROR(IF(Data_Entry!Z382/Data_Entry!$H382&lt;0,0,Data_Entry!Z382/Data_Entry!$H382),0)</f>
        <v>0.93116024290636956</v>
      </c>
      <c r="V393" s="49">
        <f>IFERROR(IF(Data_Entry!AA382/Data_Entry!$H382&lt;0,0,Data_Entry!AA382/Data_Entry!$H382),0)</f>
        <v>0.87942911830046022</v>
      </c>
      <c r="W393" s="49">
        <f>IFERROR(IF(Data_Entry!AB382/Data_Entry!$H382&lt;0,0,Data_Entry!AB382/Data_Entry!$H382),0)</f>
        <v>0.74579037973519413</v>
      </c>
      <c r="X393" s="49">
        <f>IFERROR(IF(Data_Entry!AC382/Data_Entry!$I382&lt;0,0,Data_Entry!AC382/Data_Entry!$I382),0)</f>
        <v>0.18054162487462386</v>
      </c>
      <c r="Y393" s="49">
        <f>IFERROR(IF(Data_Entry!AD382/Data_Entry!$I382&lt;0,0,Data_Entry!AD382/Data_Entry!$I382),0)</f>
        <v>0.17678034102306919</v>
      </c>
      <c r="Z393" s="49">
        <f>IFERROR(IF(Data_Entry!AE382/Data_Entry!$I382&lt;0,0,Data_Entry!AE382/Data_Entry!$I382),0)</f>
        <v>0.16925777331995986</v>
      </c>
      <c r="AA393" s="49">
        <f>IFERROR(IF(Data_Entry!AF382/Data_Entry!$I382&lt;0,0,Data_Entry!AF382/Data_Entry!$I382),0)</f>
        <v>0.10531594784353059</v>
      </c>
      <c r="AB393" s="49">
        <f>IFERROR(IF(Data_Entry!AG382/Data_Entry!$I382&lt;0,0,Data_Entry!AG382/Data_Entry!$I382),0)</f>
        <v>9.7793380140421257E-2</v>
      </c>
      <c r="AC393" s="49">
        <f>IFERROR(IF(Data_Entry!AI382/Data_Entry!$I382&lt;0,0,Data_Entry!AI382/Data_Entry!$I382),0)</f>
        <v>0.2192828485456369</v>
      </c>
      <c r="AD393" s="49">
        <f>IFERROR(IF(Data_Entry!AM382/Data_Entry!$H382&lt;0,0,Data_Entry!AM382/Data_Entry!$H382),0)</f>
        <v>0.88805097240144504</v>
      </c>
      <c r="AE393" s="50">
        <f>Data_Entry!AK382</f>
        <v>23.96866666666665</v>
      </c>
      <c r="AF393" s="50">
        <f>Data_Entry!AL382</f>
        <v>2</v>
      </c>
      <c r="AG393" s="153">
        <f>(Data_Entry!O382-Data_Entry!Q382)/Data_Entry!O382</f>
        <v>-9.6153846153846159E-3</v>
      </c>
      <c r="AH393" s="79" t="str">
        <f t="shared" si="10"/>
        <v>CAT3</v>
      </c>
      <c r="AI393" s="51">
        <f>SUBTOTAL(3,Tableau1[[#This Row],[ZS]])</f>
        <v>0</v>
      </c>
      <c r="AJ393" s="51" t="e">
        <f t="shared" ca="1" si="11"/>
        <v>#NAME?</v>
      </c>
      <c r="AK393" s="50" t="str">
        <f>IFERROR(IF((Data_Entry!O382-Data_Entry!Q382)/Data_Entry!O382&lt;=10%,"&lt;=10%","&gt;10%"),"&lt;=10%")</f>
        <v>&lt;=10%</v>
      </c>
    </row>
    <row r="394" spans="1:37" s="48" customFormat="1" ht="13" hidden="1" x14ac:dyDescent="0.3">
      <c r="A394" s="31" t="s">
        <v>16</v>
      </c>
      <c r="B394" s="48" t="str">
        <f>Data_Entry!B383</f>
        <v>Butembo</v>
      </c>
      <c r="C394" s="48" t="str">
        <f>Data_Entry!C383</f>
        <v xml:space="preserve"> Kyondo</v>
      </c>
      <c r="D394" s="48" t="str">
        <f>Data_Entry!D383</f>
        <v xml:space="preserve"> Vutumbi</v>
      </c>
      <c r="E394" s="49">
        <f>IFERROR(IF(Data_Entry!J383/Data_Entry!$I383&lt;0,0,Data_Entry!J383/Data_Entry!$I383),0)</f>
        <v>0.70007651109410873</v>
      </c>
      <c r="F394" s="49">
        <f>IFERROR(IF(Data_Entry!K383/Data_Entry!$H383&lt;0,0,Data_Entry!K383/Data_Entry!$H383),0)</f>
        <v>0.17099900689038308</v>
      </c>
      <c r="G394" s="49">
        <f>IFERROR(IF(Data_Entry!L383/Data_Entry!$H383&lt;0,0,Data_Entry!L383/Data_Entry!$H383),0)</f>
        <v>0.95364830765790554</v>
      </c>
      <c r="H394" s="49">
        <f>IFERROR(IF(Data_Entry!M383/Data_Entry!$H383&lt;0,0,Data_Entry!M383/Data_Entry!$H383),0)</f>
        <v>0.84841814957151596</v>
      </c>
      <c r="I394" s="49">
        <f>IFERROR(IF(Data_Entry!N383/Data_Entry!$H383&lt;0,0,Data_Entry!N383/Data_Entry!$H383),0)</f>
        <v>0.86814880421271401</v>
      </c>
      <c r="J394" s="49">
        <f>IFERROR(IF(Data_Entry!O383/Data_Entry!$H383&lt;0,0,Data_Entry!O383/Data_Entry!$H383),0)</f>
        <v>0.99310961694030164</v>
      </c>
      <c r="K394" s="49">
        <f>IFERROR(IF(Data_Entry!P383/Data_Entry!$H383&lt;0,0,Data_Entry!P383/Data_Entry!$H383),0)</f>
        <v>0.82211061004991859</v>
      </c>
      <c r="L394" s="49">
        <f>IFERROR(IF(Data_Entry!Q383/Data_Entry!$H383&lt;0,0,Data_Entry!Q383/Data_Entry!$H383),0)</f>
        <v>0.94049453789710691</v>
      </c>
      <c r="M394" s="49">
        <f>IFERROR(IF(Data_Entry!R383/Data_Entry!$H383&lt;0,0,Data_Entry!R383/Data_Entry!$H383),0)</f>
        <v>0.97337896229910359</v>
      </c>
      <c r="N394" s="49">
        <f>IFERROR(IF(Data_Entry!S383/Data_Entry!$H383&lt;0,0,Data_Entry!S383/Data_Entry!$H383),0)</f>
        <v>0.76949553100672385</v>
      </c>
      <c r="O394" s="49">
        <f>IFERROR(IF(Data_Entry!T383/Data_Entry!$H383&lt;0,0,Data_Entry!T383/Data_Entry!$H383),0)</f>
        <v>0.92076388325590885</v>
      </c>
      <c r="P394" s="49">
        <f>IFERROR(IF(Data_Entry!U383/Data_Entry!$H383&lt;0,0,Data_Entry!U383/Data_Entry!$H383),0)</f>
        <v>0.97337896229910359</v>
      </c>
      <c r="Q394" s="49">
        <f>IFERROR(IF(Data_Entry!V383/Data_Entry!$H383&lt;0,0,Data_Entry!V383/Data_Entry!$H383),0)</f>
        <v>0.85499503445191538</v>
      </c>
      <c r="R394" s="49">
        <f>IFERROR(IF(Data_Entry!W383/Data_Entry!$H383&lt;0,0,Data_Entry!W383/Data_Entry!$H383),0)</f>
        <v>0.92076388325590885</v>
      </c>
      <c r="S394" s="49">
        <f>IFERROR(IF(Data_Entry!X383/Data_Entry!$H383&lt;0,0,Data_Entry!X383/Data_Entry!$H383),0)</f>
        <v>1.1706855087110841</v>
      </c>
      <c r="T394" s="49">
        <f>IFERROR(IF(Data_Entry!Y383/Data_Entry!$H383&lt;0,0,Data_Entry!Y383/Data_Entry!$H383),0)</f>
        <v>0.15784523712958437</v>
      </c>
      <c r="U394" s="49">
        <f>IFERROR(IF(Data_Entry!Z383/Data_Entry!$H383&lt;0,0,Data_Entry!Z383/Data_Entry!$H383),0)</f>
        <v>0.8615719193323147</v>
      </c>
      <c r="V394" s="49">
        <f>IFERROR(IF(Data_Entry!AA383/Data_Entry!$H383&lt;0,0,Data_Entry!AA383/Data_Entry!$H383),0)</f>
        <v>1.5521448317742463</v>
      </c>
      <c r="W394" s="49">
        <f>IFERROR(IF(Data_Entry!AB383/Data_Entry!$H383&lt;0,0,Data_Entry!AB383/Data_Entry!$H383),0)</f>
        <v>0.13153769760798698</v>
      </c>
      <c r="X394" s="49">
        <f>IFERROR(IF(Data_Entry!AC383/Data_Entry!$I383&lt;0,0,Data_Entry!AC383/Data_Entry!$I383),0)</f>
        <v>0.1434583014537108</v>
      </c>
      <c r="Y394" s="49">
        <f>IFERROR(IF(Data_Entry!AD383/Data_Entry!$I383&lt;0,0,Data_Entry!AD383/Data_Entry!$I383),0)</f>
        <v>0.20657995409334357</v>
      </c>
      <c r="Z394" s="49">
        <f>IFERROR(IF(Data_Entry!AE383/Data_Entry!$I383&lt;0,0,Data_Entry!AE383/Data_Entry!$I383),0)</f>
        <v>0.24100994644223414</v>
      </c>
      <c r="AA394" s="49">
        <f>IFERROR(IF(Data_Entry!AF383/Data_Entry!$I383&lt;0,0,Data_Entry!AF383/Data_Entry!$I383),0)</f>
        <v>9.7551644988523339E-2</v>
      </c>
      <c r="AB394" s="49">
        <f>IFERROR(IF(Data_Entry!AG383/Data_Entry!$I383&lt;0,0,Data_Entry!AG383/Data_Entry!$I383),0)</f>
        <v>4.5906656465187455E-2</v>
      </c>
      <c r="AC394" s="49">
        <f>IFERROR(IF(Data_Entry!AI383/Data_Entry!$I383&lt;0,0,Data_Entry!AI383/Data_Entry!$I383),0)</f>
        <v>0.33454475899005359</v>
      </c>
      <c r="AD394" s="49">
        <f>IFERROR(IF(Data_Entry!AM383/Data_Entry!$H383&lt;0,0,Data_Entry!AM383/Data_Entry!$H383),0)</f>
        <v>0.8615719193323147</v>
      </c>
      <c r="AE394" s="50">
        <f>Data_Entry!AK383</f>
        <v>1.0476666666666574</v>
      </c>
      <c r="AF394" s="50">
        <f>Data_Entry!AL383</f>
        <v>0</v>
      </c>
      <c r="AG394" s="153">
        <f>(Data_Entry!O383-Data_Entry!Q383)/Data_Entry!O383</f>
        <v>5.2980132450331126E-2</v>
      </c>
      <c r="AH394" s="79" t="str">
        <f t="shared" si="10"/>
        <v>CAT1</v>
      </c>
      <c r="AI394" s="51">
        <f>SUBTOTAL(3,Tableau1[[#This Row],[ZS]])</f>
        <v>0</v>
      </c>
      <c r="AJ394" s="51" t="e">
        <f t="shared" ca="1" si="11"/>
        <v>#NAME?</v>
      </c>
      <c r="AK394" s="50" t="str">
        <f>IFERROR(IF((Data_Entry!O383-Data_Entry!Q383)/Data_Entry!O383&lt;=10%,"&lt;=10%","&gt;10%"),"&lt;=10%")</f>
        <v>&lt;=10%</v>
      </c>
    </row>
    <row r="395" spans="1:37" s="48" customFormat="1" ht="13" hidden="1" x14ac:dyDescent="0.3">
      <c r="A395" s="31" t="s">
        <v>16</v>
      </c>
      <c r="B395" s="48" t="str">
        <f>Data_Entry!B384</f>
        <v>Butembo</v>
      </c>
      <c r="C395" s="48" t="str">
        <f>Data_Entry!C384</f>
        <v xml:space="preserve"> Kyondo</v>
      </c>
      <c r="D395" s="48" t="str">
        <f>Data_Entry!D384</f>
        <v xml:space="preserve"> Vyakuno</v>
      </c>
      <c r="E395" s="49">
        <f>IFERROR(IF(Data_Entry!J384/Data_Entry!$I384&lt;0,0,Data_Entry!J384/Data_Entry!$I384),0)</f>
        <v>0.77265001961040658</v>
      </c>
      <c r="F395" s="49">
        <f>IFERROR(IF(Data_Entry!K384/Data_Entry!$H384&lt;0,0,Data_Entry!K384/Data_Entry!$H384),0)</f>
        <v>0.4585126583582475</v>
      </c>
      <c r="G395" s="49">
        <f>IFERROR(IF(Data_Entry!L384/Data_Entry!$H384&lt;0,0,Data_Entry!L384/Data_Entry!$H384),0)</f>
        <v>0.97546320454646773</v>
      </c>
      <c r="H395" s="49">
        <f>IFERROR(IF(Data_Entry!M384/Data_Entry!$H384&lt;0,0,Data_Entry!M384/Data_Entry!$H384),0)</f>
        <v>1.0024345373910706</v>
      </c>
      <c r="I395" s="49">
        <f>IFERROR(IF(Data_Entry!N384/Data_Entry!$H384&lt;0,0,Data_Entry!N384/Data_Entry!$H384),0)</f>
        <v>0.94849187170186489</v>
      </c>
      <c r="J395" s="49">
        <f>IFERROR(IF(Data_Entry!O384/Data_Entry!$H384&lt;0,0,Data_Entry!O384/Data_Entry!$H384),0)</f>
        <v>0.93051098313879632</v>
      </c>
      <c r="K395" s="49">
        <f>IFERROR(IF(Data_Entry!P384/Data_Entry!$H384&lt;0,0,Data_Entry!P384/Data_Entry!$H384),0)</f>
        <v>0.89904442815342644</v>
      </c>
      <c r="L395" s="49">
        <f>IFERROR(IF(Data_Entry!Q384/Data_Entry!$H384&lt;0,0,Data_Entry!Q384/Data_Entry!$H384),0)</f>
        <v>0.85409220674575514</v>
      </c>
      <c r="M395" s="49">
        <f>IFERROR(IF(Data_Entry!R384/Data_Entry!$H384&lt;0,0,Data_Entry!R384/Data_Entry!$H384),0)</f>
        <v>1.0383963145172075</v>
      </c>
      <c r="N395" s="49">
        <f>IFERROR(IF(Data_Entry!S384/Data_Entry!$H384&lt;0,0,Data_Entry!S384/Data_Entry!$H384),0)</f>
        <v>1.0024345373910706</v>
      </c>
      <c r="O395" s="49">
        <f>IFERROR(IF(Data_Entry!T384/Data_Entry!$H384&lt;0,0,Data_Entry!T384/Data_Entry!$H384),0)</f>
        <v>0.94849187170186489</v>
      </c>
      <c r="P395" s="49">
        <f>IFERROR(IF(Data_Entry!U384/Data_Entry!$H384&lt;0,0,Data_Entry!U384/Data_Entry!$H384),0)</f>
        <v>1.0383963145172075</v>
      </c>
      <c r="Q395" s="49">
        <f>IFERROR(IF(Data_Entry!V384/Data_Entry!$H384&lt;0,0,Data_Entry!V384/Data_Entry!$H384),0)</f>
        <v>1.0024345373910706</v>
      </c>
      <c r="R395" s="49">
        <f>IFERROR(IF(Data_Entry!W384/Data_Entry!$H384&lt;0,0,Data_Entry!W384/Data_Entry!$H384),0)</f>
        <v>0.94849187170186489</v>
      </c>
      <c r="S395" s="49">
        <f>IFERROR(IF(Data_Entry!X384/Data_Entry!$H384&lt;0,0,Data_Entry!X384/Data_Entry!$H384),0)</f>
        <v>0.86757787316805646</v>
      </c>
      <c r="T395" s="49">
        <f>IFERROR(IF(Data_Entry!Y384/Data_Entry!$H384&lt;0,0,Data_Entry!Y384/Data_Entry!$H384),0)</f>
        <v>0.23375155131989087</v>
      </c>
      <c r="U395" s="49">
        <f>IFERROR(IF(Data_Entry!Z384/Data_Entry!$H384&lt;0,0,Data_Entry!Z384/Data_Entry!$H384),0)</f>
        <v>0.77767343035271386</v>
      </c>
      <c r="V395" s="49">
        <f>IFERROR(IF(Data_Entry!AA384/Data_Entry!$H384&lt;0,0,Data_Entry!AA384/Data_Entry!$H384),0)</f>
        <v>1.1193103130510158</v>
      </c>
      <c r="W395" s="49">
        <f>IFERROR(IF(Data_Entry!AB384/Data_Entry!$H384&lt;0,0,Data_Entry!AB384/Data_Entry!$H384),0)</f>
        <v>0.37759865982443908</v>
      </c>
      <c r="X395" s="49">
        <f>IFERROR(IF(Data_Entry!AC384/Data_Entry!$I384&lt;0,0,Data_Entry!AC384/Data_Entry!$I384),0)</f>
        <v>0.1372728461236763</v>
      </c>
      <c r="Y395" s="49">
        <f>IFERROR(IF(Data_Entry!AD384/Data_Entry!$I384&lt;0,0,Data_Entry!AD384/Data_Entry!$I384),0)</f>
        <v>9.0207870309844423E-2</v>
      </c>
      <c r="Z395" s="49">
        <f>IFERROR(IF(Data_Entry!AE384/Data_Entry!$I384&lt;0,0,Data_Entry!AE384/Data_Entry!$I384),0)</f>
        <v>0.121584520852399</v>
      </c>
      <c r="AA395" s="49">
        <f>IFERROR(IF(Data_Entry!AF384/Data_Entry!$I384&lt;0,0,Data_Entry!AF384/Data_Entry!$I384),0)</f>
        <v>0.14119492744149562</v>
      </c>
      <c r="AB395" s="49">
        <f>IFERROR(IF(Data_Entry!AG384/Data_Entry!$I384&lt;0,0,Data_Entry!AG384/Data_Entry!$I384),0)</f>
        <v>0.15296117139495358</v>
      </c>
      <c r="AC395" s="49">
        <f>IFERROR(IF(Data_Entry!AI384/Data_Entry!$I384&lt;0,0,Data_Entry!AI384/Data_Entry!$I384),0)</f>
        <v>0.22865734082886652</v>
      </c>
      <c r="AD395" s="49">
        <f>IFERROR(IF(Data_Entry!AM384/Data_Entry!$H384&lt;0,0,Data_Entry!AM384/Data_Entry!$H384),0)</f>
        <v>0.77767343035271386</v>
      </c>
      <c r="AE395" s="50">
        <f>Data_Entry!AK384</f>
        <v>15.458416666666665</v>
      </c>
      <c r="AF395" s="50">
        <f>Data_Entry!AL384</f>
        <v>14</v>
      </c>
      <c r="AG395" s="153">
        <f>(Data_Entry!O384-Data_Entry!Q384)/Data_Entry!O384</f>
        <v>8.2125603864734303E-2</v>
      </c>
      <c r="AH395" s="79" t="str">
        <f t="shared" si="10"/>
        <v>CAT1</v>
      </c>
      <c r="AI395" s="51">
        <f>SUBTOTAL(3,Tableau1[[#This Row],[ZS]])</f>
        <v>0</v>
      </c>
      <c r="AJ395" s="51" t="e">
        <f t="shared" ca="1" si="11"/>
        <v>#NAME?</v>
      </c>
      <c r="AK395" s="50" t="str">
        <f>IFERROR(IF((Data_Entry!O384-Data_Entry!Q384)/Data_Entry!O384&lt;=10%,"&lt;=10%","&gt;10%"),"&lt;=10%")</f>
        <v>&lt;=10%</v>
      </c>
    </row>
    <row r="396" spans="1:37" s="48" customFormat="1" ht="13" hidden="1" x14ac:dyDescent="0.3">
      <c r="A396" s="31" t="s">
        <v>16</v>
      </c>
      <c r="B396" s="48" t="str">
        <f>Data_Entry!B385</f>
        <v>Butembo</v>
      </c>
      <c r="C396" s="48" t="str">
        <f>Data_Entry!C385</f>
        <v xml:space="preserve"> Lubero</v>
      </c>
      <c r="D396" s="48" t="str">
        <f>Data_Entry!D385</f>
        <v xml:space="preserve"> Baraka</v>
      </c>
      <c r="E396" s="49">
        <f>IFERROR(IF(Data_Entry!J385/Data_Entry!$I385&lt;0,0,Data_Entry!J385/Data_Entry!$I385),0)</f>
        <v>0.76411328644744358</v>
      </c>
      <c r="F396" s="49">
        <f>IFERROR(IF(Data_Entry!K385/Data_Entry!$H385&lt;0,0,Data_Entry!K385/Data_Entry!$H385),0)</f>
        <v>0.56533207268275121</v>
      </c>
      <c r="G396" s="49">
        <f>IFERROR(IF(Data_Entry!L385/Data_Entry!$H385&lt;0,0,Data_Entry!L385/Data_Entry!$H385),0)</f>
        <v>0.89701534075962541</v>
      </c>
      <c r="H396" s="49">
        <f>IFERROR(IF(Data_Entry!M385/Data_Entry!$H385&lt;0,0,Data_Entry!M385/Data_Entry!$H385),0)</f>
        <v>0.83982857040154368</v>
      </c>
      <c r="I396" s="49">
        <f>IFERROR(IF(Data_Entry!N385/Data_Entry!$H385&lt;0,0,Data_Entry!N385/Data_Entry!$H385),0)</f>
        <v>0.86270327854477635</v>
      </c>
      <c r="J396" s="49">
        <f>IFERROR(IF(Data_Entry!O385/Data_Entry!$H385&lt;0,0,Data_Entry!O385/Data_Entry!$H385),0)</f>
        <v>0.95420211111770725</v>
      </c>
      <c r="K396" s="49">
        <f>IFERROR(IF(Data_Entry!P385/Data_Entry!$H385&lt;0,0,Data_Entry!P385/Data_Entry!$H385),0)</f>
        <v>0.96890728063835685</v>
      </c>
      <c r="L396" s="49">
        <f>IFERROR(IF(Data_Entry!Q385/Data_Entry!$H385&lt;0,0,Data_Entry!Q385/Data_Entry!$H385),0)</f>
        <v>1.0930842677016201</v>
      </c>
      <c r="M396" s="49">
        <f>IFERROR(IF(Data_Entry!R385/Data_Entry!$H385&lt;0,0,Data_Entry!R385/Data_Entry!$H385),0)</f>
        <v>0.91172051028027501</v>
      </c>
      <c r="N396" s="49">
        <f>IFERROR(IF(Data_Entry!S385/Data_Entry!$H385&lt;0,0,Data_Entry!S385/Data_Entry!$H385),0)</f>
        <v>0.83002512405444395</v>
      </c>
      <c r="O396" s="49">
        <f>IFERROR(IF(Data_Entry!T385/Data_Entry!$H385&lt;0,0,Data_Entry!T385/Data_Entry!$H385),0)</f>
        <v>0.81205213908476115</v>
      </c>
      <c r="P396" s="49">
        <f>IFERROR(IF(Data_Entry!U385/Data_Entry!$H385&lt;0,0,Data_Entry!U385/Data_Entry!$H385),0)</f>
        <v>1.0130227892003056</v>
      </c>
      <c r="Q396" s="49">
        <f>IFERROR(IF(Data_Entry!V385/Data_Entry!$H385&lt;0,0,Data_Entry!V385/Data_Entry!$H385),0)</f>
        <v>0.99668371195513938</v>
      </c>
      <c r="R396" s="49">
        <f>IFERROR(IF(Data_Entry!W385/Data_Entry!$H385&lt;0,0,Data_Entry!W385/Data_Entry!$H385),0)</f>
        <v>0.87904235578994261</v>
      </c>
      <c r="S396" s="49">
        <f>IFERROR(IF(Data_Entry!X385/Data_Entry!$H385&lt;0,0,Data_Entry!X385/Data_Entry!$H385),0)</f>
        <v>0.99014808105707286</v>
      </c>
      <c r="T396" s="49">
        <f>IFERROR(IF(Data_Entry!Y385/Data_Entry!$H385&lt;0,0,Data_Entry!Y385/Data_Entry!$H385),0)</f>
        <v>0.43625336244593804</v>
      </c>
      <c r="U396" s="49">
        <f>IFERROR(IF(Data_Entry!Z385/Data_Entry!$H385&lt;0,0,Data_Entry!Z385/Data_Entry!$H385),0)</f>
        <v>0.99014808105707286</v>
      </c>
      <c r="V396" s="49">
        <f>IFERROR(IF(Data_Entry!AA385/Data_Entry!$H385&lt;0,0,Data_Entry!AA385/Data_Entry!$H385),0)</f>
        <v>0.94766648021964073</v>
      </c>
      <c r="W396" s="49">
        <f>IFERROR(IF(Data_Entry!AB385/Data_Entry!$H385&lt;0,0,Data_Entry!AB385/Data_Entry!$H385),0)</f>
        <v>0.937863033872541</v>
      </c>
      <c r="X396" s="49">
        <f>IFERROR(IF(Data_Entry!AC385/Data_Entry!$I385&lt;0,0,Data_Entry!AC385/Data_Entry!$I385),0)</f>
        <v>0.20243299752898691</v>
      </c>
      <c r="Y396" s="49">
        <f>IFERROR(IF(Data_Entry!AD385/Data_Entry!$I385&lt;0,0,Data_Entry!AD385/Data_Entry!$I385),0)</f>
        <v>0.23522144079072421</v>
      </c>
      <c r="Z396" s="49">
        <f>IFERROR(IF(Data_Entry!AE385/Data_Entry!$I385&lt;0,0,Data_Entry!AE385/Data_Entry!$I385),0)</f>
        <v>0.1910283216118609</v>
      </c>
      <c r="AA396" s="49">
        <f>IFERROR(IF(Data_Entry!AF385/Data_Entry!$I385&lt;0,0,Data_Entry!AF385/Data_Entry!$I385),0)</f>
        <v>0.12687701957802699</v>
      </c>
      <c r="AB396" s="49">
        <f>IFERROR(IF(Data_Entry!AG385/Data_Entry!$I385&lt;0,0,Data_Entry!AG385/Data_Entry!$I385),0)</f>
        <v>0.22239118038395744</v>
      </c>
      <c r="AC396" s="49">
        <f>IFERROR(IF(Data_Entry!AI385/Data_Entry!$I385&lt;0,0,Data_Entry!AI385/Data_Entry!$I385),0)</f>
        <v>7.5270861053031754E-2</v>
      </c>
      <c r="AD396" s="49">
        <f>IFERROR(IF(Data_Entry!AM385/Data_Entry!$H385&lt;0,0,Data_Entry!AM385/Data_Entry!$H385),0)</f>
        <v>0.99014808105707286</v>
      </c>
      <c r="AE396" s="50">
        <f>Data_Entry!AK385</f>
        <v>28.029666666666685</v>
      </c>
      <c r="AF396" s="50">
        <f>Data_Entry!AL385</f>
        <v>0</v>
      </c>
      <c r="AG396" s="153">
        <f>(Data_Entry!O385-Data_Entry!Q385)/Data_Entry!O385</f>
        <v>-0.14554794520547945</v>
      </c>
      <c r="AH396" s="79" t="str">
        <f t="shared" si="10"/>
        <v>CAT1</v>
      </c>
      <c r="AI396" s="51">
        <f>SUBTOTAL(3,Tableau1[[#This Row],[ZS]])</f>
        <v>0</v>
      </c>
      <c r="AJ396" s="51" t="e">
        <f t="shared" ca="1" si="11"/>
        <v>#NAME?</v>
      </c>
      <c r="AK396" s="50" t="str">
        <f>IFERROR(IF((Data_Entry!O385-Data_Entry!Q385)/Data_Entry!O385&lt;=10%,"&lt;=10%","&gt;10%"),"&lt;=10%")</f>
        <v>&lt;=10%</v>
      </c>
    </row>
    <row r="397" spans="1:37" s="48" customFormat="1" ht="13" hidden="1" x14ac:dyDescent="0.3">
      <c r="A397" s="31" t="s">
        <v>16</v>
      </c>
      <c r="B397" s="48" t="str">
        <f>Data_Entry!B386</f>
        <v>Butembo</v>
      </c>
      <c r="C397" s="48" t="str">
        <f>Data_Entry!C386</f>
        <v xml:space="preserve"> Lubero</v>
      </c>
      <c r="D397" s="48" t="str">
        <f>Data_Entry!D386</f>
        <v xml:space="preserve"> Bukununu</v>
      </c>
      <c r="E397" s="49">
        <f>IFERROR(IF(Data_Entry!J386/Data_Entry!$I386&lt;0,0,Data_Entry!J386/Data_Entry!$I386),0)</f>
        <v>0.47550432276657056</v>
      </c>
      <c r="F397" s="49">
        <f>IFERROR(IF(Data_Entry!K386/Data_Entry!$H386&lt;0,0,Data_Entry!K386/Data_Entry!$H386),0)</f>
        <v>0.30177166994586874</v>
      </c>
      <c r="G397" s="49">
        <f>IFERROR(IF(Data_Entry!L386/Data_Entry!$H386&lt;0,0,Data_Entry!L386/Data_Entry!$H386),0)</f>
        <v>0.93909542065244223</v>
      </c>
      <c r="H397" s="49">
        <f>IFERROR(IF(Data_Entry!M386/Data_Entry!$H386&lt;0,0,Data_Entry!M386/Data_Entry!$H386),0)</f>
        <v>0.90756703722526189</v>
      </c>
      <c r="I397" s="49">
        <f>IFERROR(IF(Data_Entry!N386/Data_Entry!$H386&lt;0,0,Data_Entry!N386/Data_Entry!$H386),0)</f>
        <v>0.93684339326478649</v>
      </c>
      <c r="J397" s="49">
        <f>IFERROR(IF(Data_Entry!O386/Data_Entry!$H386&lt;0,0,Data_Entry!O386/Data_Entry!$H386),0)</f>
        <v>0.93909542065244223</v>
      </c>
      <c r="K397" s="49">
        <f>IFERROR(IF(Data_Entry!P386/Data_Entry!$H386&lt;0,0,Data_Entry!P386/Data_Entry!$H386),0)</f>
        <v>0.90756703722526189</v>
      </c>
      <c r="L397" s="49">
        <f>IFERROR(IF(Data_Entry!Q386/Data_Entry!$H386&lt;0,0,Data_Entry!Q386/Data_Entry!$H386),0)</f>
        <v>0.93684339326478649</v>
      </c>
      <c r="M397" s="49">
        <f>IFERROR(IF(Data_Entry!R386/Data_Entry!$H386&lt;0,0,Data_Entry!R386/Data_Entry!$H386),0)</f>
        <v>0.70938862711155715</v>
      </c>
      <c r="N397" s="49">
        <f>IFERROR(IF(Data_Entry!S386/Data_Entry!$H386&lt;0,0,Data_Entry!S386/Data_Entry!$H386),0)</f>
        <v>0.67335618890906535</v>
      </c>
      <c r="O397" s="49">
        <f>IFERROR(IF(Data_Entry!T386/Data_Entry!$H386&lt;0,0,Data_Entry!T386/Data_Entry!$H386),0)</f>
        <v>0.72740484621280299</v>
      </c>
      <c r="P397" s="49">
        <f>IFERROR(IF(Data_Entry!U386/Data_Entry!$H386&lt;0,0,Data_Entry!U386/Data_Entry!$H386),0)</f>
        <v>0.51346224438550803</v>
      </c>
      <c r="Q397" s="49">
        <f>IFERROR(IF(Data_Entry!V386/Data_Entry!$H386&lt;0,0,Data_Entry!V386/Data_Entry!$H386),0)</f>
        <v>0.55399873736331129</v>
      </c>
      <c r="R397" s="49">
        <f>IFERROR(IF(Data_Entry!W386/Data_Entry!$H386&lt;0,0,Data_Entry!W386/Data_Entry!$H386),0)</f>
        <v>0.5472426552003441</v>
      </c>
      <c r="S397" s="49">
        <f>IFERROR(IF(Data_Entry!X386/Data_Entry!$H386&lt;0,0,Data_Entry!X386/Data_Entry!$H386),0)</f>
        <v>0.90081095506229469</v>
      </c>
      <c r="T397" s="49">
        <f>IFERROR(IF(Data_Entry!Y386/Data_Entry!$H386&lt;0,0,Data_Entry!Y386/Data_Entry!$H386),0)</f>
        <v>0.55850279213862275</v>
      </c>
      <c r="U397" s="49">
        <f>IFERROR(IF(Data_Entry!Z386/Data_Entry!$H386&lt;0,0,Data_Entry!Z386/Data_Entry!$H386),0)</f>
        <v>0.90081095506229469</v>
      </c>
      <c r="V397" s="49">
        <f>IFERROR(IF(Data_Entry!AA386/Data_Entry!$H386&lt;0,0,Data_Entry!AA386/Data_Entry!$H386),0)</f>
        <v>0.93684339326478649</v>
      </c>
      <c r="W397" s="49">
        <f>IFERROR(IF(Data_Entry!AB386/Data_Entry!$H386&lt;0,0,Data_Entry!AB386/Data_Entry!$H386),0)</f>
        <v>0.8580224346968357</v>
      </c>
      <c r="X397" s="49">
        <f>IFERROR(IF(Data_Entry!AC386/Data_Entry!$I386&lt;0,0,Data_Entry!AC386/Data_Entry!$I386),0)</f>
        <v>0.20827875294734083</v>
      </c>
      <c r="Y397" s="49">
        <f>IFERROR(IF(Data_Entry!AD386/Data_Entry!$I386&lt;0,0,Data_Entry!AD386/Data_Entry!$I386),0)</f>
        <v>0.17291066282420747</v>
      </c>
      <c r="Z397" s="49">
        <f>IFERROR(IF(Data_Entry!AE386/Data_Entry!$I386&lt;0,0,Data_Entry!AE386/Data_Entry!$I386),0)</f>
        <v>0.20827875294734083</v>
      </c>
      <c r="AA397" s="49">
        <f>IFERROR(IF(Data_Entry!AF386/Data_Entry!$I386&lt;0,0,Data_Entry!AF386/Data_Entry!$I386),0)</f>
        <v>0.17291066282420747</v>
      </c>
      <c r="AB397" s="49">
        <f>IFERROR(IF(Data_Entry!AG386/Data_Entry!$I386&lt;0,0,Data_Entry!AG386/Data_Entry!$I386),0)</f>
        <v>0.15326172386691117</v>
      </c>
      <c r="AC397" s="49">
        <f>IFERROR(IF(Data_Entry!AI386/Data_Entry!$I386&lt;0,0,Data_Entry!AI386/Data_Entry!$I386),0)</f>
        <v>0.11455331412103745</v>
      </c>
      <c r="AD397" s="49">
        <f>IFERROR(IF(Data_Entry!AM386/Data_Entry!$H386&lt;0,0,Data_Entry!AM386/Data_Entry!$H386),0)</f>
        <v>0.90081095506229469</v>
      </c>
      <c r="AE397" s="50">
        <f>Data_Entry!AK386</f>
        <v>27.044333333333384</v>
      </c>
      <c r="AF397" s="50">
        <f>Data_Entry!AL386</f>
        <v>17</v>
      </c>
      <c r="AG397" s="153">
        <f>(Data_Entry!O386-Data_Entry!Q386)/Data_Entry!O386</f>
        <v>2.3980815347721821E-3</v>
      </c>
      <c r="AH397" s="79" t="str">
        <f t="shared" si="10"/>
        <v>CAT1</v>
      </c>
      <c r="AI397" s="51">
        <f>SUBTOTAL(3,Tableau1[[#This Row],[ZS]])</f>
        <v>0</v>
      </c>
      <c r="AJ397" s="51" t="e">
        <f t="shared" ca="1" si="11"/>
        <v>#NAME?</v>
      </c>
      <c r="AK397" s="50" t="str">
        <f>IFERROR(IF((Data_Entry!O386-Data_Entry!Q386)/Data_Entry!O386&lt;=10%,"&lt;=10%","&gt;10%"),"&lt;=10%")</f>
        <v>&lt;=10%</v>
      </c>
    </row>
    <row r="398" spans="1:37" s="48" customFormat="1" ht="13" hidden="1" x14ac:dyDescent="0.3">
      <c r="A398" s="31" t="s">
        <v>16</v>
      </c>
      <c r="B398" s="48" t="str">
        <f>Data_Entry!B387</f>
        <v>Butembo</v>
      </c>
      <c r="C398" s="48" t="str">
        <f>Data_Entry!C387</f>
        <v xml:space="preserve"> Lubero</v>
      </c>
      <c r="D398" s="48" t="str">
        <f>Data_Entry!D387</f>
        <v xml:space="preserve"> Kagheri</v>
      </c>
      <c r="E398" s="49">
        <f>IFERROR(IF(Data_Entry!J387/Data_Entry!$I387&lt;0,0,Data_Entry!J387/Data_Entry!$I387),0)</f>
        <v>1.0178130994793093</v>
      </c>
      <c r="F398" s="49">
        <f>IFERROR(IF(Data_Entry!K387/Data_Entry!$H387&lt;0,0,Data_Entry!K387/Data_Entry!$H387),0)</f>
        <v>0.66525271672342623</v>
      </c>
      <c r="G398" s="49">
        <f>IFERROR(IF(Data_Entry!L387/Data_Entry!$H387&lt;0,0,Data_Entry!L387/Data_Entry!$H387),0)</f>
        <v>0.96678369314197643</v>
      </c>
      <c r="H398" s="49">
        <f>IFERROR(IF(Data_Entry!M387/Data_Entry!$H387&lt;0,0,Data_Entry!M387/Data_Entry!$H387),0)</f>
        <v>0.86313241999809975</v>
      </c>
      <c r="I398" s="49">
        <f>IFERROR(IF(Data_Entry!N387/Data_Entry!$H387&lt;0,0,Data_Entry!N387/Data_Entry!$H387),0)</f>
        <v>0.90836206646088224</v>
      </c>
      <c r="J398" s="49">
        <f>IFERROR(IF(Data_Entry!O387/Data_Entry!$H387&lt;0,0,Data_Entry!O387/Data_Entry!$H387),0)</f>
        <v>0.99316765357859949</v>
      </c>
      <c r="K398" s="49">
        <f>IFERROR(IF(Data_Entry!P387/Data_Entry!$H387&lt;0,0,Data_Entry!P387/Data_Entry!$H387),0)</f>
        <v>1.2174313172898963</v>
      </c>
      <c r="L398" s="49">
        <f>IFERROR(IF(Data_Entry!Q387/Data_Entry!$H387&lt;0,0,Data_Entry!Q387/Data_Entry!$H387),0)</f>
        <v>0.94605343851320112</v>
      </c>
      <c r="M398" s="49">
        <f>IFERROR(IF(Data_Entry!R387/Data_Entry!$H387&lt;0,0,Data_Entry!R387/Data_Entry!$H387),0)</f>
        <v>0.89328551763995478</v>
      </c>
      <c r="N398" s="49">
        <f>IFERROR(IF(Data_Entry!S387/Data_Entry!$H387&lt;0,0,Data_Entry!S387/Data_Entry!$H387),0)</f>
        <v>0.80094165611177381</v>
      </c>
      <c r="O398" s="49">
        <f>IFERROR(IF(Data_Entry!T387/Data_Entry!$H387&lt;0,0,Data_Entry!T387/Data_Entry!$H387),0)</f>
        <v>0.71236693178882471</v>
      </c>
      <c r="P398" s="49">
        <f>IFERROR(IF(Data_Entry!U387/Data_Entry!$H387&lt;0,0,Data_Entry!U387/Data_Entry!$H387),0)</f>
        <v>0.93474602689750541</v>
      </c>
      <c r="Q398" s="49">
        <f>IFERROR(IF(Data_Entry!V387/Data_Entry!$H387&lt;0,0,Data_Entry!V387/Data_Entry!$H387),0)</f>
        <v>0.77078855846991878</v>
      </c>
      <c r="R398" s="49">
        <f>IFERROR(IF(Data_Entry!W387/Data_Entry!$H387&lt;0,0,Data_Entry!W387/Data_Entry!$H387),0)</f>
        <v>0.76701942126468692</v>
      </c>
      <c r="S398" s="49">
        <f>IFERROR(IF(Data_Entry!X387/Data_Entry!$H387&lt;0,0,Data_Entry!X387/Data_Entry!$H387),0)</f>
        <v>0.89705465484518665</v>
      </c>
      <c r="T398" s="49">
        <f>IFERROR(IF(Data_Entry!Y387/Data_Entry!$H387&lt;0,0,Data_Entry!Y387/Data_Entry!$H387),0)</f>
        <v>0.49375697388537587</v>
      </c>
      <c r="U398" s="49">
        <f>IFERROR(IF(Data_Entry!Z387/Data_Entry!$H387&lt;0,0,Data_Entry!Z387/Data_Entry!$H387),0)</f>
        <v>0.90647749785826637</v>
      </c>
      <c r="V398" s="49">
        <f>IFERROR(IF(Data_Entry!AA387/Data_Entry!$H387&lt;0,0,Data_Entry!AA387/Data_Entry!$H387),0)</f>
        <v>0.97620653615505604</v>
      </c>
      <c r="W398" s="49">
        <f>IFERROR(IF(Data_Entry!AB387/Data_Entry!$H387&lt;0,0,Data_Entry!AB387/Data_Entry!$H387),0)</f>
        <v>0.81224906772746941</v>
      </c>
      <c r="X398" s="49">
        <f>IFERROR(IF(Data_Entry!AC387/Data_Entry!$I387&lt;0,0,Data_Entry!AC387/Data_Entry!$I387),0)</f>
        <v>0.18416004384762946</v>
      </c>
      <c r="Y398" s="49">
        <f>IFERROR(IF(Data_Entry!AD387/Data_Entry!$I387&lt;0,0,Data_Entry!AD387/Data_Entry!$I387),0)</f>
        <v>0.18580432995341187</v>
      </c>
      <c r="Z398" s="49">
        <f>IFERROR(IF(Data_Entry!AE387/Data_Entry!$I387&lt;0,0,Data_Entry!AE387/Data_Entry!$I387),0)</f>
        <v>0.11674431351055083</v>
      </c>
      <c r="AA398" s="49">
        <f>IFERROR(IF(Data_Entry!AF387/Data_Entry!$I387&lt;0,0,Data_Entry!AF387/Data_Entry!$I387),0)</f>
        <v>0.10359002466429157</v>
      </c>
      <c r="AB398" s="49">
        <f>IFERROR(IF(Data_Entry!AG387/Data_Entry!$I387&lt;0,0,Data_Entry!AG387/Data_Entry!$I387),0)</f>
        <v>9.7012880241161947E-2</v>
      </c>
      <c r="AC398" s="49">
        <f>IFERROR(IF(Data_Entry!AI387/Data_Entry!$I387&lt;0,0,Data_Entry!AI387/Data_Entry!$I387),0)</f>
        <v>9.5861879967114261E-2</v>
      </c>
      <c r="AD398" s="49">
        <f>IFERROR(IF(Data_Entry!AM387/Data_Entry!$H387&lt;0,0,Data_Entry!AM387/Data_Entry!$H387),0)</f>
        <v>0.89705465484518665</v>
      </c>
      <c r="AE398" s="50">
        <f>Data_Entry!AK387</f>
        <v>3.6254166666666379</v>
      </c>
      <c r="AF398" s="50">
        <f>Data_Entry!AL387</f>
        <v>51</v>
      </c>
      <c r="AG398" s="153">
        <f>(Data_Entry!O387-Data_Entry!Q387)/Data_Entry!O387</f>
        <v>4.743833017077799E-2</v>
      </c>
      <c r="AH398" s="79" t="str">
        <f t="shared" si="10"/>
        <v>CAT1</v>
      </c>
      <c r="AI398" s="51">
        <f>SUBTOTAL(3,Tableau1[[#This Row],[ZS]])</f>
        <v>0</v>
      </c>
      <c r="AJ398" s="51" t="e">
        <f t="shared" ca="1" si="11"/>
        <v>#NAME?</v>
      </c>
      <c r="AK398" s="50" t="str">
        <f>IFERROR(IF((Data_Entry!O387-Data_Entry!Q387)/Data_Entry!O387&lt;=10%,"&lt;=10%","&gt;10%"),"&lt;=10%")</f>
        <v>&lt;=10%</v>
      </c>
    </row>
    <row r="399" spans="1:37" s="48" customFormat="1" ht="13" hidden="1" x14ac:dyDescent="0.3">
      <c r="A399" s="31" t="s">
        <v>16</v>
      </c>
      <c r="B399" s="48" t="str">
        <f>Data_Entry!B388</f>
        <v>Butembo</v>
      </c>
      <c r="C399" s="48" t="str">
        <f>Data_Entry!C388</f>
        <v xml:space="preserve"> Lubero</v>
      </c>
      <c r="D399" s="48" t="str">
        <f>Data_Entry!D388</f>
        <v xml:space="preserve"> Kaghuli</v>
      </c>
      <c r="E399" s="49">
        <f>IFERROR(IF(Data_Entry!J388/Data_Entry!$I388&lt;0,0,Data_Entry!J388/Data_Entry!$I388),0)</f>
        <v>0.38426349496797807</v>
      </c>
      <c r="F399" s="49">
        <f>IFERROR(IF(Data_Entry!K388/Data_Entry!$H388&lt;0,0,Data_Entry!K388/Data_Entry!$H388),0)</f>
        <v>1.0066665443287186</v>
      </c>
      <c r="G399" s="49">
        <f>IFERROR(IF(Data_Entry!L388/Data_Entry!$H388&lt;0,0,Data_Entry!L388/Data_Entry!$H388),0)</f>
        <v>1.0223957090838549</v>
      </c>
      <c r="H399" s="49">
        <f>IFERROR(IF(Data_Entry!M388/Data_Entry!$H388&lt;0,0,Data_Entry!M388/Data_Entry!$H388),0)</f>
        <v>0.99355890703277172</v>
      </c>
      <c r="I399" s="49">
        <f>IFERROR(IF(Data_Entry!N388/Data_Entry!$H388&lt;0,0,Data_Entry!N388/Data_Entry!$H388),0)</f>
        <v>0.95947905006330991</v>
      </c>
      <c r="J399" s="49">
        <f>IFERROR(IF(Data_Entry!O388/Data_Entry!$H388&lt;0,0,Data_Entry!O388/Data_Entry!$H388),0)</f>
        <v>1.1167706976146723</v>
      </c>
      <c r="K399" s="49">
        <f>IFERROR(IF(Data_Entry!P388/Data_Entry!$H388&lt;0,0,Data_Entry!P388/Data_Entry!$H388),0)</f>
        <v>1.0197741816246655</v>
      </c>
      <c r="L399" s="49">
        <f>IFERROR(IF(Data_Entry!Q388/Data_Entry!$H388&lt;0,0,Data_Entry!Q388/Data_Entry!$H388),0)</f>
        <v>0.95947905006330991</v>
      </c>
      <c r="M399" s="49">
        <f>IFERROR(IF(Data_Entry!R388/Data_Entry!$H388&lt;0,0,Data_Entry!R388/Data_Entry!$H388),0)</f>
        <v>1.0223957090838549</v>
      </c>
      <c r="N399" s="49">
        <f>IFERROR(IF(Data_Entry!S388/Data_Entry!$H388&lt;0,0,Data_Entry!S388/Data_Entry!$H388),0)</f>
        <v>0.99093737957358241</v>
      </c>
      <c r="O399" s="49">
        <f>IFERROR(IF(Data_Entry!T388/Data_Entry!$H388&lt;0,0,Data_Entry!T388/Data_Entry!$H388),0)</f>
        <v>1.0538540385941273</v>
      </c>
      <c r="P399" s="49">
        <f>IFERROR(IF(Data_Entry!U388/Data_Entry!$H388&lt;0,0,Data_Entry!U388/Data_Entry!$H388),0)</f>
        <v>0.91753461071627995</v>
      </c>
      <c r="Q399" s="49">
        <f>IFERROR(IF(Data_Entry!V388/Data_Entry!$H388&lt;0,0,Data_Entry!V388/Data_Entry!$H388),0)</f>
        <v>0.82053809472627326</v>
      </c>
      <c r="R399" s="49">
        <f>IFERROR(IF(Data_Entry!W388/Data_Entry!$H388&lt;0,0,Data_Entry!W388/Data_Entry!$H388),0)</f>
        <v>0.77597212792005388</v>
      </c>
      <c r="S399" s="49">
        <f>IFERROR(IF(Data_Entry!X388/Data_Entry!$H388&lt;0,0,Data_Entry!X388/Data_Entry!$H388),0)</f>
        <v>0.86772558899168195</v>
      </c>
      <c r="T399" s="49">
        <f>IFERROR(IF(Data_Entry!Y388/Data_Entry!$H388&lt;0,0,Data_Entry!Y388/Data_Entry!$H388),0)</f>
        <v>0.52692701929706365</v>
      </c>
      <c r="U399" s="49">
        <f>IFERROR(IF(Data_Entry!Z388/Data_Entry!$H388&lt;0,0,Data_Entry!Z388/Data_Entry!$H388),0)</f>
        <v>0.88869780866519688</v>
      </c>
      <c r="V399" s="49">
        <f>IFERROR(IF(Data_Entry!AA388/Data_Entry!$H388&lt;0,0,Data_Entry!AA388/Data_Entry!$H388),0)</f>
        <v>0.91753461071627995</v>
      </c>
      <c r="W399" s="49">
        <f>IFERROR(IF(Data_Entry!AB388/Data_Entry!$H388&lt;0,0,Data_Entry!AB388/Data_Entry!$H388),0)</f>
        <v>0.7471353258689708</v>
      </c>
      <c r="X399" s="49">
        <f>IFERROR(IF(Data_Entry!AC388/Data_Entry!$I388&lt;0,0,Data_Entry!AC388/Data_Entry!$I388),0)</f>
        <v>0.22186642268984447</v>
      </c>
      <c r="Y399" s="49">
        <f>IFERROR(IF(Data_Entry!AD388/Data_Entry!$I388&lt;0,0,Data_Entry!AD388/Data_Entry!$I388),0)</f>
        <v>0.10521500457456542</v>
      </c>
      <c r="Z399" s="49">
        <f>IFERROR(IF(Data_Entry!AE388/Data_Entry!$I388&lt;0,0,Data_Entry!AE388/Data_Entry!$I388),0)</f>
        <v>0.18526989935956084</v>
      </c>
      <c r="AA399" s="49">
        <f>IFERROR(IF(Data_Entry!AF388/Data_Entry!$I388&lt;0,0,Data_Entry!AF388/Data_Entry!$I388),0)</f>
        <v>0.16239707227813358</v>
      </c>
      <c r="AB399" s="49">
        <f>IFERROR(IF(Data_Entry!AG388/Data_Entry!$I388&lt;0,0,Data_Entry!AG388/Data_Entry!$I388),0)</f>
        <v>0.1303751143641354</v>
      </c>
      <c r="AC399" s="49">
        <f>IFERROR(IF(Data_Entry!AI388/Data_Entry!$I388&lt;0,0,Data_Entry!AI388/Data_Entry!$I388),0)</f>
        <v>0.13334858188472096</v>
      </c>
      <c r="AD399" s="49">
        <f>IFERROR(IF(Data_Entry!AM388/Data_Entry!$H388&lt;0,0,Data_Entry!AM388/Data_Entry!$H388),0)</f>
        <v>0.86772558899168195</v>
      </c>
      <c r="AE399" s="50">
        <f>Data_Entry!AK388</f>
        <v>0</v>
      </c>
      <c r="AF399" s="50">
        <f>Data_Entry!AL388</f>
        <v>95</v>
      </c>
      <c r="AG399" s="153">
        <f>(Data_Entry!O388-Data_Entry!Q388)/Data_Entry!O388</f>
        <v>0.14084507042253522</v>
      </c>
      <c r="AH399" s="79" t="str">
        <f t="shared" si="10"/>
        <v>CAT2</v>
      </c>
      <c r="AI399" s="51">
        <f>SUBTOTAL(3,Tableau1[[#This Row],[ZS]])</f>
        <v>0</v>
      </c>
      <c r="AJ399" s="51" t="e">
        <f t="shared" ca="1" si="11"/>
        <v>#NAME?</v>
      </c>
      <c r="AK399" s="50" t="str">
        <f>IFERROR(IF((Data_Entry!O388-Data_Entry!Q388)/Data_Entry!O388&lt;=10%,"&lt;=10%","&gt;10%"),"&lt;=10%")</f>
        <v>&gt;10%</v>
      </c>
    </row>
    <row r="400" spans="1:37" s="48" customFormat="1" ht="13" hidden="1" x14ac:dyDescent="0.3">
      <c r="A400" s="31" t="s">
        <v>16</v>
      </c>
      <c r="B400" s="48" t="str">
        <f>Data_Entry!B389</f>
        <v>Butembo</v>
      </c>
      <c r="C400" s="48" t="str">
        <f>Data_Entry!C389</f>
        <v xml:space="preserve"> Lubero</v>
      </c>
      <c r="D400" s="48" t="str">
        <f>Data_Entry!D389</f>
        <v xml:space="preserve"> Kakonze</v>
      </c>
      <c r="E400" s="49">
        <f>IFERROR(IF(Data_Entry!J389/Data_Entry!$I389&lt;0,0,Data_Entry!J389/Data_Entry!$I389),0)</f>
        <v>0.49450549450549458</v>
      </c>
      <c r="F400" s="49">
        <f>IFERROR(IF(Data_Entry!K389/Data_Entry!$H389&lt;0,0,Data_Entry!K389/Data_Entry!$H389),0)</f>
        <v>0.36768850892152494</v>
      </c>
      <c r="G400" s="49">
        <f>IFERROR(IF(Data_Entry!L389/Data_Entry!$H389&lt;0,0,Data_Entry!L389/Data_Entry!$H389),0)</f>
        <v>1.0563426775646019</v>
      </c>
      <c r="H400" s="49">
        <f>IFERROR(IF(Data_Entry!M389/Data_Entry!$H389&lt;0,0,Data_Entry!M389/Data_Entry!$H389),0)</f>
        <v>1.1518198041906333</v>
      </c>
      <c r="I400" s="49">
        <f>IFERROR(IF(Data_Entry!N389/Data_Entry!$H389&lt;0,0,Data_Entry!N389/Data_Entry!$H389),0)</f>
        <v>1.2026055098427777</v>
      </c>
      <c r="J400" s="49">
        <f>IFERROR(IF(Data_Entry!O389/Data_Entry!$H389&lt;0,0,Data_Entry!O389/Data_Entry!$H389),0)</f>
        <v>1.0604055340167735</v>
      </c>
      <c r="K400" s="49">
        <f>IFERROR(IF(Data_Entry!P389/Data_Entry!$H389&lt;0,0,Data_Entry!P389/Data_Entry!$H389),0)</f>
        <v>1.1416626630602045</v>
      </c>
      <c r="L400" s="49">
        <f>IFERROR(IF(Data_Entry!Q389/Data_Entry!$H389&lt;0,0,Data_Entry!Q389/Data_Entry!$H389),0)</f>
        <v>1.2838626388862084</v>
      </c>
      <c r="M400" s="49">
        <f>IFERROR(IF(Data_Entry!R389/Data_Entry!$H389&lt;0,0,Data_Entry!R389/Data_Entry!$H389),0)</f>
        <v>0.93039412754728401</v>
      </c>
      <c r="N400" s="49">
        <f>IFERROR(IF(Data_Entry!S389/Data_Entry!$H389&lt;0,0,Data_Entry!S389/Data_Entry!$H389),0)</f>
        <v>1.0157141130428864</v>
      </c>
      <c r="O400" s="49">
        <f>IFERROR(IF(Data_Entry!T389/Data_Entry!$H389&lt;0,0,Data_Entry!T389/Data_Entry!$H389),0)</f>
        <v>0.93648841222554136</v>
      </c>
      <c r="P400" s="49">
        <f>IFERROR(IF(Data_Entry!U389/Data_Entry!$H389&lt;0,0,Data_Entry!U389/Data_Entry!$H389),0)</f>
        <v>0.87148270899079661</v>
      </c>
      <c r="Q400" s="49">
        <f>IFERROR(IF(Data_Entry!V389/Data_Entry!$H389&lt;0,0,Data_Entry!V389/Data_Entry!$H389),0)</f>
        <v>0.9588341227124848</v>
      </c>
      <c r="R400" s="49">
        <f>IFERROR(IF(Data_Entry!W389/Data_Entry!$H389&lt;0,0,Data_Entry!W389/Data_Entry!$H389),0)</f>
        <v>0.86335699608645355</v>
      </c>
      <c r="S400" s="49">
        <f>IFERROR(IF(Data_Entry!X389/Data_Entry!$H389&lt;0,0,Data_Entry!X389/Data_Entry!$H389),0)</f>
        <v>1.1335369501558614</v>
      </c>
      <c r="T400" s="49">
        <f>IFERROR(IF(Data_Entry!Y389/Data_Entry!$H389&lt;0,0,Data_Entry!Y389/Data_Entry!$H389),0)</f>
        <v>0.28236852342592245</v>
      </c>
      <c r="U400" s="49">
        <f>IFERROR(IF(Data_Entry!Z389/Data_Entry!$H389&lt;0,0,Data_Entry!Z389/Data_Entry!$H389),0)</f>
        <v>1.0868141009558885</v>
      </c>
      <c r="V400" s="49">
        <f>IFERROR(IF(Data_Entry!AA389/Data_Entry!$H389&lt;0,0,Data_Entry!AA389/Data_Entry!$H389),0)</f>
        <v>1.1883855122601772</v>
      </c>
      <c r="W400" s="49">
        <f>IFERROR(IF(Data_Entry!AB389/Data_Entry!$H389&lt;0,0,Data_Entry!AB389/Data_Entry!$H389),0)</f>
        <v>1.0847826727298029</v>
      </c>
      <c r="X400" s="49">
        <f>IFERROR(IF(Data_Entry!AC389/Data_Entry!$I389&lt;0,0,Data_Entry!AC389/Data_Entry!$I389),0)</f>
        <v>0.22332506203473948</v>
      </c>
      <c r="Y400" s="49">
        <f>IFERROR(IF(Data_Entry!AD389/Data_Entry!$I389&lt;0,0,Data_Entry!AD389/Data_Entry!$I389),0)</f>
        <v>0.10634526763559023</v>
      </c>
      <c r="Z400" s="49">
        <f>IFERROR(IF(Data_Entry!AE389/Data_Entry!$I389&lt;0,0,Data_Entry!AE389/Data_Entry!$I389),0)</f>
        <v>0.14179369018078697</v>
      </c>
      <c r="AA400" s="49">
        <f>IFERROR(IF(Data_Entry!AF389/Data_Entry!$I389&lt;0,0,Data_Entry!AF389/Data_Entry!$I389),0)</f>
        <v>0.11520737327188942</v>
      </c>
      <c r="AB400" s="49">
        <f>IFERROR(IF(Data_Entry!AG389/Data_Entry!$I389&lt;0,0,Data_Entry!AG389/Data_Entry!$I389),0)</f>
        <v>4.6082949308755769E-2</v>
      </c>
      <c r="AC400" s="49">
        <f>IFERROR(IF(Data_Entry!AI389/Data_Entry!$I389&lt;0,0,Data_Entry!AI389/Data_Entry!$I389),0)</f>
        <v>0.10333215171924851</v>
      </c>
      <c r="AD400" s="49">
        <f>IFERROR(IF(Data_Entry!AM389/Data_Entry!$H389&lt;0,0,Data_Entry!AM389/Data_Entry!$H389),0)</f>
        <v>1.0868141009558885</v>
      </c>
      <c r="AE400" s="50">
        <f>Data_Entry!AK389</f>
        <v>0</v>
      </c>
      <c r="AF400" s="50">
        <f>Data_Entry!AL389</f>
        <v>0</v>
      </c>
      <c r="AG400" s="153">
        <f>(Data_Entry!O389-Data_Entry!Q389)/Data_Entry!O389</f>
        <v>-0.21072796934865901</v>
      </c>
      <c r="AH400" s="79" t="str">
        <f t="shared" ref="AH400:AH463" si="12">IFERROR(IF(AND(AG400&lt;=10%,J400&gt;=90%),"CAT1",IF(AND(AG400&lt;=10%,J400&lt;90%),"CAT3",IF(AND(AG400&gt;10%,J400&gt;=90%),"CAT2",IF(AND(AG400&gt;10%,J400&lt;90%),"CAT4",)))),"ND")</f>
        <v>CAT1</v>
      </c>
      <c r="AI400" s="51">
        <f>SUBTOTAL(3,Tableau1[[#This Row],[ZS]])</f>
        <v>0</v>
      </c>
      <c r="AJ400" s="51" t="e">
        <f t="shared" ref="AJ400:AJ463" ca="1" si="13">_xlfn.IFS(L400&lt;50%,"&lt;50%",(AND(L400&lt;80%,L400&gt;50%)),"&gt;50%&lt;80%",(AND(L400&gt;=80%,L400&lt;95%)),"&gt;=80%&lt;95%",(AND(L400&gt;=95%,L400&lt;100%)),"95-100%",L400&gt;100%,"&gt;100%")</f>
        <v>#NAME?</v>
      </c>
      <c r="AK400" s="50" t="str">
        <f>IFERROR(IF((Data_Entry!O389-Data_Entry!Q389)/Data_Entry!O389&lt;=10%,"&lt;=10%","&gt;10%"),"&lt;=10%")</f>
        <v>&lt;=10%</v>
      </c>
    </row>
    <row r="401" spans="1:37" s="48" customFormat="1" ht="13" hidden="1" x14ac:dyDescent="0.3">
      <c r="A401" s="31" t="s">
        <v>16</v>
      </c>
      <c r="B401" s="48" t="str">
        <f>Data_Entry!B390</f>
        <v>Butembo</v>
      </c>
      <c r="C401" s="48" t="str">
        <f>Data_Entry!C390</f>
        <v xml:space="preserve"> Lubero</v>
      </c>
      <c r="D401" s="48" t="str">
        <f>Data_Entry!D390</f>
        <v xml:space="preserve"> Kasalala</v>
      </c>
      <c r="E401" s="49">
        <f>IFERROR(IF(Data_Entry!J390/Data_Entry!$I390&lt;0,0,Data_Entry!J390/Data_Entry!$I390),0)</f>
        <v>0.69559699306843681</v>
      </c>
      <c r="F401" s="49">
        <f>IFERROR(IF(Data_Entry!K390/Data_Entry!$H390&lt;0,0,Data_Entry!K390/Data_Entry!$H390),0)</f>
        <v>5.7066017829773753E-2</v>
      </c>
      <c r="G401" s="49">
        <f>IFERROR(IF(Data_Entry!L390/Data_Entry!$H390&lt;0,0,Data_Entry!L390/Data_Entry!$H390),0)</f>
        <v>0.93991088190215588</v>
      </c>
      <c r="H401" s="49">
        <f>IFERROR(IF(Data_Entry!M390/Data_Entry!$H390&lt;0,0,Data_Entry!M390/Data_Entry!$H390),0)</f>
        <v>0.87109597804860517</v>
      </c>
      <c r="I401" s="49">
        <f>IFERROR(IF(Data_Entry!N390/Data_Entry!$H390&lt;0,0,Data_Entry!N390/Data_Entry!$H390),0)</f>
        <v>0.89459375009615905</v>
      </c>
      <c r="J401" s="49">
        <f>IFERROR(IF(Data_Entry!O390/Data_Entry!$H390&lt;0,0,Data_Entry!O390/Data_Entry!$H390),0)</f>
        <v>0.93655405732393393</v>
      </c>
      <c r="K401" s="49">
        <f>IFERROR(IF(Data_Entry!P390/Data_Entry!$H390&lt;0,0,Data_Entry!P390/Data_Entry!$H390),0)</f>
        <v>0.84927661829016232</v>
      </c>
      <c r="L401" s="49">
        <f>IFERROR(IF(Data_Entry!Q390/Data_Entry!$H390&lt;0,0,Data_Entry!Q390/Data_Entry!$H390),0)</f>
        <v>0.93655405732393393</v>
      </c>
      <c r="M401" s="49">
        <f>IFERROR(IF(Data_Entry!R390/Data_Entry!$H390&lt;0,0,Data_Entry!R390/Data_Entry!$H390),0)</f>
        <v>0.88452327636149308</v>
      </c>
      <c r="N401" s="49">
        <f>IFERROR(IF(Data_Entry!S390/Data_Entry!$H390&lt;0,0,Data_Entry!S390/Data_Entry!$H390),0)</f>
        <v>0.72171728431772686</v>
      </c>
      <c r="O401" s="49">
        <f>IFERROR(IF(Data_Entry!T390/Data_Entry!$H390&lt;0,0,Data_Entry!T390/Data_Entry!$H390),0)</f>
        <v>0.75864235467816865</v>
      </c>
      <c r="P401" s="49">
        <f>IFERROR(IF(Data_Entry!U390/Data_Entry!$H390&lt;0,0,Data_Entry!U390/Data_Entry!$H390),0)</f>
        <v>0.94830294334771081</v>
      </c>
      <c r="Q401" s="49">
        <f>IFERROR(IF(Data_Entry!V390/Data_Entry!$H390&lt;0,0,Data_Entry!V390/Data_Entry!$H390),0)</f>
        <v>0.8912369255179371</v>
      </c>
      <c r="R401" s="49">
        <f>IFERROR(IF(Data_Entry!W390/Data_Entry!$H390&lt;0,0,Data_Entry!W390/Data_Entry!$H390),0)</f>
        <v>0.98354960141904169</v>
      </c>
      <c r="S401" s="49">
        <f>IFERROR(IF(Data_Entry!X390/Data_Entry!$H390&lt;0,0,Data_Entry!X390/Data_Entry!$H390),0)</f>
        <v>0.81402996021883145</v>
      </c>
      <c r="T401" s="49">
        <f>IFERROR(IF(Data_Entry!Y390/Data_Entry!$H390&lt;0,0,Data_Entry!Y390/Data_Entry!$H390),0)</f>
        <v>0.34743134384597546</v>
      </c>
      <c r="U401" s="49">
        <f>IFERROR(IF(Data_Entry!Z390/Data_Entry!$H390&lt;0,0,Data_Entry!Z390/Data_Entry!$H390),0)</f>
        <v>0.80731631106238744</v>
      </c>
      <c r="V401" s="49">
        <f>IFERROR(IF(Data_Entry!AA390/Data_Entry!$H390&lt;0,0,Data_Entry!AA390/Data_Entry!$H390),0)</f>
        <v>0.88620168865060411</v>
      </c>
      <c r="W401" s="49">
        <f>IFERROR(IF(Data_Entry!AB390/Data_Entry!$H390&lt;0,0,Data_Entry!AB390/Data_Entry!$H390),0)</f>
        <v>0.79221060046038849</v>
      </c>
      <c r="X401" s="49">
        <f>IFERROR(IF(Data_Entry!AC390/Data_Entry!$I390&lt;0,0,Data_Entry!AC390/Data_Entry!$I390),0)</f>
        <v>0.19916040222591033</v>
      </c>
      <c r="Y401" s="49">
        <f>IFERROR(IF(Data_Entry!AD390/Data_Entry!$I390&lt;0,0,Data_Entry!AD390/Data_Entry!$I390),0)</f>
        <v>0.19037391389241429</v>
      </c>
      <c r="Z401" s="49">
        <f>IFERROR(IF(Data_Entry!AE390/Data_Entry!$I390&lt;0,0,Data_Entry!AE390/Data_Entry!$I390),0)</f>
        <v>0.15376354583618079</v>
      </c>
      <c r="AA401" s="49">
        <f>IFERROR(IF(Data_Entry!AF390/Data_Entry!$I390&lt;0,0,Data_Entry!AF390/Data_Entry!$I390),0)</f>
        <v>0.13472615444693936</v>
      </c>
      <c r="AB401" s="49">
        <f>IFERROR(IF(Data_Entry!AG390/Data_Entry!$I390&lt;0,0,Data_Entry!AG390/Data_Entry!$I390),0)</f>
        <v>0.11568876305769792</v>
      </c>
      <c r="AC401" s="49">
        <f>IFERROR(IF(Data_Entry!AI390/Data_Entry!$I390&lt;0,0,Data_Entry!AI390/Data_Entry!$I390),0)</f>
        <v>8.5375378307136568E-2</v>
      </c>
      <c r="AD401" s="49">
        <f>IFERROR(IF(Data_Entry!AM390/Data_Entry!$H390&lt;0,0,Data_Entry!AM390/Data_Entry!$H390),0)</f>
        <v>0.80731631106238744</v>
      </c>
      <c r="AE401" s="50">
        <f>Data_Entry!AK390</f>
        <v>37.801166666666631</v>
      </c>
      <c r="AF401" s="50">
        <f>Data_Entry!AL390</f>
        <v>73</v>
      </c>
      <c r="AG401" s="153">
        <f>(Data_Entry!O390-Data_Entry!Q390)/Data_Entry!O390</f>
        <v>0</v>
      </c>
      <c r="AH401" s="79" t="str">
        <f t="shared" si="12"/>
        <v>CAT1</v>
      </c>
      <c r="AI401" s="51">
        <f>SUBTOTAL(3,Tableau1[[#This Row],[ZS]])</f>
        <v>0</v>
      </c>
      <c r="AJ401" s="51" t="e">
        <f t="shared" ca="1" si="13"/>
        <v>#NAME?</v>
      </c>
      <c r="AK401" s="50" t="str">
        <f>IFERROR(IF((Data_Entry!O390-Data_Entry!Q390)/Data_Entry!O390&lt;=10%,"&lt;=10%","&gt;10%"),"&lt;=10%")</f>
        <v>&lt;=10%</v>
      </c>
    </row>
    <row r="402" spans="1:37" s="48" customFormat="1" ht="13" hidden="1" x14ac:dyDescent="0.3">
      <c r="A402" s="31" t="s">
        <v>16</v>
      </c>
      <c r="B402" s="48" t="str">
        <f>Data_Entry!B391</f>
        <v>Butembo</v>
      </c>
      <c r="C402" s="48" t="str">
        <f>Data_Entry!C391</f>
        <v xml:space="preserve"> Lubero</v>
      </c>
      <c r="D402" s="48" t="str">
        <f>Data_Entry!D391</f>
        <v xml:space="preserve"> Kasima</v>
      </c>
      <c r="E402" s="49">
        <f>IFERROR(IF(Data_Entry!J391/Data_Entry!$I391&lt;0,0,Data_Entry!J391/Data_Entry!$I391),0)</f>
        <v>0.64220183486238536</v>
      </c>
      <c r="F402" s="49">
        <f>IFERROR(IF(Data_Entry!K391/Data_Entry!$H391&lt;0,0,Data_Entry!K391/Data_Entry!$H391),0)</f>
        <v>0.1306405449303901</v>
      </c>
      <c r="G402" s="49">
        <f>IFERROR(IF(Data_Entry!L391/Data_Entry!$H391&lt;0,0,Data_Entry!L391/Data_Entry!$H391),0)</f>
        <v>0.86509531581953436</v>
      </c>
      <c r="H402" s="49">
        <f>IFERROR(IF(Data_Entry!M391/Data_Entry!$H391&lt;0,0,Data_Entry!M391/Data_Entry!$H391),0)</f>
        <v>0.81570681712633808</v>
      </c>
      <c r="I402" s="49">
        <f>IFERROR(IF(Data_Entry!N391/Data_Entry!$H391&lt;0,0,Data_Entry!N391/Data_Entry!$H391),0)</f>
        <v>0.87465438008273366</v>
      </c>
      <c r="J402" s="49">
        <f>IFERROR(IF(Data_Entry!O391/Data_Entry!$H391&lt;0,0,Data_Entry!O391/Data_Entry!$H391),0)</f>
        <v>0.85394307417913518</v>
      </c>
      <c r="K402" s="49">
        <f>IFERROR(IF(Data_Entry!P391/Data_Entry!$H391&lt;0,0,Data_Entry!P391/Data_Entry!$H391),0)</f>
        <v>0.88739979910033273</v>
      </c>
      <c r="L402" s="49">
        <f>IFERROR(IF(Data_Entry!Q391/Data_Entry!$H391&lt;0,0,Data_Entry!Q391/Data_Entry!$H391),0)</f>
        <v>0.92244970139873006</v>
      </c>
      <c r="M402" s="49">
        <f>IFERROR(IF(Data_Entry!R391/Data_Entry!$H391&lt;0,0,Data_Entry!R391/Data_Entry!$H391),0)</f>
        <v>0.83960447778433633</v>
      </c>
      <c r="N402" s="49">
        <f>IFERROR(IF(Data_Entry!S391/Data_Entry!$H391&lt;0,0,Data_Entry!S391/Data_Entry!$H391),0)</f>
        <v>0.78702962433674029</v>
      </c>
      <c r="O402" s="49">
        <f>IFERROR(IF(Data_Entry!T391/Data_Entry!$H391&lt;0,0,Data_Entry!T391/Data_Entry!$H391),0)</f>
        <v>0.71374346498554586</v>
      </c>
      <c r="P402" s="49">
        <f>IFERROR(IF(Data_Entry!U391/Data_Entry!$H391&lt;0,0,Data_Entry!U391/Data_Entry!$H391),0)</f>
        <v>0.85394307417913518</v>
      </c>
      <c r="Q402" s="49">
        <f>IFERROR(IF(Data_Entry!V391/Data_Entry!$H391&lt;0,0,Data_Entry!V391/Data_Entry!$H391),0)</f>
        <v>0.80136822073153924</v>
      </c>
      <c r="R402" s="49">
        <f>IFERROR(IF(Data_Entry!W391/Data_Entry!$H391&lt;0,0,Data_Entry!W391/Data_Entry!$H391),0)</f>
        <v>0.85394307417913518</v>
      </c>
      <c r="S402" s="49">
        <f>IFERROR(IF(Data_Entry!X391/Data_Entry!$H391&lt;0,0,Data_Entry!X391/Data_Entry!$H391),0)</f>
        <v>0.78384326958234052</v>
      </c>
      <c r="T402" s="49">
        <f>IFERROR(IF(Data_Entry!Y391/Data_Entry!$H391&lt;0,0,Data_Entry!Y391/Data_Entry!$H391),0)</f>
        <v>0.37758303839637136</v>
      </c>
      <c r="U402" s="49">
        <f>IFERROR(IF(Data_Entry!Z391/Data_Entry!$H391&lt;0,0,Data_Entry!Z391/Data_Entry!$H391),0)</f>
        <v>0.78384326958234052</v>
      </c>
      <c r="V402" s="49">
        <f>IFERROR(IF(Data_Entry!AA391/Data_Entry!$H391&lt;0,0,Data_Entry!AA391/Data_Entry!$H391),0)</f>
        <v>0.87465438008273366</v>
      </c>
      <c r="W402" s="49">
        <f>IFERROR(IF(Data_Entry!AB391/Data_Entry!$H391&lt;0,0,Data_Entry!AB391/Data_Entry!$H391),0)</f>
        <v>0.72170935187154528</v>
      </c>
      <c r="X402" s="49">
        <f>IFERROR(IF(Data_Entry!AC391/Data_Entry!$I391&lt;0,0,Data_Entry!AC391/Data_Entry!$I391),0)</f>
        <v>0.28078954684459273</v>
      </c>
      <c r="Y402" s="49">
        <f>IFERROR(IF(Data_Entry!AD391/Data_Entry!$I391&lt;0,0,Data_Entry!AD391/Data_Entry!$I391),0)</f>
        <v>0.15151515151515152</v>
      </c>
      <c r="Z402" s="49">
        <f>IFERROR(IF(Data_Entry!AE391/Data_Entry!$I391&lt;0,0,Data_Entry!AE391/Data_Entry!$I391),0)</f>
        <v>0.11398387545176536</v>
      </c>
      <c r="AA402" s="49">
        <f>IFERROR(IF(Data_Entry!AF391/Data_Entry!$I391&lt;0,0,Data_Entry!AF391/Data_Entry!$I391),0)</f>
        <v>7.6452599388379214E-2</v>
      </c>
      <c r="AB402" s="49">
        <f>IFERROR(IF(Data_Entry!AG391/Data_Entry!$I391&lt;0,0,Data_Entry!AG391/Data_Entry!$I391),0)</f>
        <v>5.699193772588268E-2</v>
      </c>
      <c r="AC402" s="49">
        <f>IFERROR(IF(Data_Entry!AI391/Data_Entry!$I391&lt;0,0,Data_Entry!AI391/Data_Entry!$I391),0)</f>
        <v>8.1039755351681952E-2</v>
      </c>
      <c r="AD402" s="49">
        <f>IFERROR(IF(Data_Entry!AM391/Data_Entry!$H391&lt;0,0,Data_Entry!AM391/Data_Entry!$H391),0)</f>
        <v>0.78384326958234052</v>
      </c>
      <c r="AE402" s="50">
        <f>Data_Entry!AK391</f>
        <v>91.676500000000033</v>
      </c>
      <c r="AF402" s="50">
        <f>Data_Entry!AL391</f>
        <v>44</v>
      </c>
      <c r="AG402" s="153">
        <f>(Data_Entry!O391-Data_Entry!Q391)/Data_Entry!O391</f>
        <v>-8.0223880597014921E-2</v>
      </c>
      <c r="AH402" s="79" t="str">
        <f t="shared" si="12"/>
        <v>CAT3</v>
      </c>
      <c r="AI402" s="51">
        <f>SUBTOTAL(3,Tableau1[[#This Row],[ZS]])</f>
        <v>0</v>
      </c>
      <c r="AJ402" s="51" t="e">
        <f t="shared" ca="1" si="13"/>
        <v>#NAME?</v>
      </c>
      <c r="AK402" s="50" t="str">
        <f>IFERROR(IF((Data_Entry!O391-Data_Entry!Q391)/Data_Entry!O391&lt;=10%,"&lt;=10%","&gt;10%"),"&lt;=10%")</f>
        <v>&lt;=10%</v>
      </c>
    </row>
    <row r="403" spans="1:37" s="48" customFormat="1" ht="13" hidden="1" x14ac:dyDescent="0.3">
      <c r="A403" s="31" t="s">
        <v>16</v>
      </c>
      <c r="B403" s="48" t="str">
        <f>Data_Entry!B392</f>
        <v>Butembo</v>
      </c>
      <c r="C403" s="48" t="str">
        <f>Data_Entry!C392</f>
        <v xml:space="preserve"> Lubero</v>
      </c>
      <c r="D403" s="48" t="str">
        <f>Data_Entry!D392</f>
        <v xml:space="preserve"> Kasugho</v>
      </c>
      <c r="E403" s="49">
        <f>IFERROR(IF(Data_Entry!J392/Data_Entry!$I392&lt;0,0,Data_Entry!J392/Data_Entry!$I392),0)</f>
        <v>0.60660583472561369</v>
      </c>
      <c r="F403" s="49">
        <f>IFERROR(IF(Data_Entry!K392/Data_Entry!$H392&lt;0,0,Data_Entry!K392/Data_Entry!$H392),0)</f>
        <v>7.6595365464843648E-2</v>
      </c>
      <c r="G403" s="49">
        <f>IFERROR(IF(Data_Entry!L392/Data_Entry!$H392&lt;0,0,Data_Entry!L392/Data_Entry!$H392),0)</f>
        <v>0.89115761742750788</v>
      </c>
      <c r="H403" s="49">
        <f>IFERROR(IF(Data_Entry!M392/Data_Entry!$H392&lt;0,0,Data_Entry!M392/Data_Entry!$H392),0)</f>
        <v>0.89999554421191286</v>
      </c>
      <c r="I403" s="49">
        <f>IFERROR(IF(Data_Entry!N392/Data_Entry!$H392&lt;0,0,Data_Entry!N392/Data_Entry!$H392),0)</f>
        <v>0.87937371504830109</v>
      </c>
      <c r="J403" s="49">
        <f>IFERROR(IF(Data_Entry!O392/Data_Entry!$H392&lt;0,0,Data_Entry!O392/Data_Entry!$H392),0)</f>
        <v>0.97217194628455406</v>
      </c>
      <c r="K403" s="49">
        <f>IFERROR(IF(Data_Entry!P392/Data_Entry!$H392&lt;0,0,Data_Entry!P392/Data_Entry!$H392),0)</f>
        <v>0.86022487368209022</v>
      </c>
      <c r="L403" s="49">
        <f>IFERROR(IF(Data_Entry!Q392/Data_Entry!$H392&lt;0,0,Data_Entry!Q392/Data_Entry!$H392),0)</f>
        <v>0.77626456923024234</v>
      </c>
      <c r="M403" s="49">
        <f>IFERROR(IF(Data_Entry!R392/Data_Entry!$H392&lt;0,0,Data_Entry!R392/Data_Entry!$H392),0)</f>
        <v>0.86464383707429271</v>
      </c>
      <c r="N403" s="49">
        <f>IFERROR(IF(Data_Entry!S392/Data_Entry!$H392&lt;0,0,Data_Entry!S392/Data_Entry!$H392),0)</f>
        <v>0.82929212993667256</v>
      </c>
      <c r="O403" s="49">
        <f>IFERROR(IF(Data_Entry!T392/Data_Entry!$H392&lt;0,0,Data_Entry!T392/Data_Entry!$H392),0)</f>
        <v>0.70703414275240295</v>
      </c>
      <c r="P403" s="49">
        <f>IFERROR(IF(Data_Entry!U392/Data_Entry!$H392&lt;0,0,Data_Entry!U392/Data_Entry!$H392),0)</f>
        <v>0.90883347099631795</v>
      </c>
      <c r="Q403" s="49">
        <f>IFERROR(IF(Data_Entry!V392/Data_Entry!$H392&lt;0,0,Data_Entry!V392/Data_Entry!$H392),0)</f>
        <v>0.88231969064310278</v>
      </c>
      <c r="R403" s="49">
        <f>IFERROR(IF(Data_Entry!W392/Data_Entry!$H392&lt;0,0,Data_Entry!W392/Data_Entry!$H392),0)</f>
        <v>0.6716824356147828</v>
      </c>
      <c r="S403" s="49">
        <f>IFERROR(IF(Data_Entry!X392/Data_Entry!$H392&lt;0,0,Data_Entry!X392/Data_Entry!$H392),0)</f>
        <v>0.7394398742952214</v>
      </c>
      <c r="T403" s="49">
        <f>IFERROR(IF(Data_Entry!Y392/Data_Entry!$H392&lt;0,0,Data_Entry!Y392/Data_Entry!$H392),0)</f>
        <v>0.2990165228723704</v>
      </c>
      <c r="U403" s="49">
        <f>IFERROR(IF(Data_Entry!Z392/Data_Entry!$H392&lt;0,0,Data_Entry!Z392/Data_Entry!$H392),0)</f>
        <v>0.92356334897032633</v>
      </c>
      <c r="V403" s="49">
        <f>IFERROR(IF(Data_Entry!AA392/Data_Entry!$H392&lt;0,0,Data_Entry!AA392/Data_Entry!$H392),0)</f>
        <v>0.97069895848715315</v>
      </c>
      <c r="W403" s="49">
        <f>IFERROR(IF(Data_Entry!AB392/Data_Entry!$H392&lt;0,0,Data_Entry!AB392/Data_Entry!$H392),0)</f>
        <v>0.58477615556813323</v>
      </c>
      <c r="X403" s="49">
        <f>IFERROR(IF(Data_Entry!AC392/Data_Entry!$I392&lt;0,0,Data_Entry!AC392/Data_Entry!$I392),0)</f>
        <v>0.25703637064644647</v>
      </c>
      <c r="Y403" s="49">
        <f>IFERROR(IF(Data_Entry!AD392/Data_Entry!$I392&lt;0,0,Data_Entry!AD392/Data_Entry!$I392),0)</f>
        <v>0.19920318725099601</v>
      </c>
      <c r="Z403" s="49">
        <f>IFERROR(IF(Data_Entry!AE392/Data_Entry!$I392&lt;0,0,Data_Entry!AE392/Data_Entry!$I392),0)</f>
        <v>0.21591055134301504</v>
      </c>
      <c r="AA403" s="49">
        <f>IFERROR(IF(Data_Entry!AF392/Data_Entry!$I392&lt;0,0,Data_Entry!AF392/Data_Entry!$I392),0)</f>
        <v>0.1465107312684745</v>
      </c>
      <c r="AB403" s="49">
        <f>IFERROR(IF(Data_Entry!AG392/Data_Entry!$I392&lt;0,0,Data_Entry!AG392/Data_Entry!$I392),0)</f>
        <v>0.24546973396735638</v>
      </c>
      <c r="AC403" s="49">
        <f>IFERROR(IF(Data_Entry!AI392/Data_Entry!$I392&lt;0,0,Data_Entry!AI392/Data_Entry!$I392),0)</f>
        <v>7.4926102043439136E-2</v>
      </c>
      <c r="AD403" s="49">
        <f>IFERROR(IF(Data_Entry!AM392/Data_Entry!$H392&lt;0,0,Data_Entry!AM392/Data_Entry!$H392),0)</f>
        <v>0.7394398742952214</v>
      </c>
      <c r="AE403" s="50">
        <f>Data_Entry!AK392</f>
        <v>18.89224999999999</v>
      </c>
      <c r="AF403" s="50">
        <f>Data_Entry!AL392</f>
        <v>158</v>
      </c>
      <c r="AG403" s="153">
        <f>(Data_Entry!O392-Data_Entry!Q392)/Data_Entry!O392</f>
        <v>0.20151515151515151</v>
      </c>
      <c r="AH403" s="79" t="str">
        <f t="shared" si="12"/>
        <v>CAT2</v>
      </c>
      <c r="AI403" s="51">
        <f>SUBTOTAL(3,Tableau1[[#This Row],[ZS]])</f>
        <v>0</v>
      </c>
      <c r="AJ403" s="51" t="e">
        <f t="shared" ca="1" si="13"/>
        <v>#NAME?</v>
      </c>
      <c r="AK403" s="50" t="str">
        <f>IFERROR(IF((Data_Entry!O392-Data_Entry!Q392)/Data_Entry!O392&lt;=10%,"&lt;=10%","&gt;10%"),"&lt;=10%")</f>
        <v>&gt;10%</v>
      </c>
    </row>
    <row r="404" spans="1:37" s="48" customFormat="1" ht="13" hidden="1" x14ac:dyDescent="0.3">
      <c r="A404" s="31" t="s">
        <v>16</v>
      </c>
      <c r="B404" s="48" t="str">
        <f>Data_Entry!B393</f>
        <v>Butembo</v>
      </c>
      <c r="C404" s="48" t="str">
        <f>Data_Entry!C393</f>
        <v xml:space="preserve"> Lubero</v>
      </c>
      <c r="D404" s="48" t="str">
        <f>Data_Entry!D393</f>
        <v xml:space="preserve"> Katolo</v>
      </c>
      <c r="E404" s="49">
        <f>IFERROR(IF(Data_Entry!J393/Data_Entry!$I393&lt;0,0,Data_Entry!J393/Data_Entry!$I393),0)</f>
        <v>0.57667245873153783</v>
      </c>
      <c r="F404" s="49">
        <f>IFERROR(IF(Data_Entry!K393/Data_Entry!$H393&lt;0,0,Data_Entry!K393/Data_Entry!$H393),0)</f>
        <v>0.58625986123938578</v>
      </c>
      <c r="G404" s="49">
        <f>IFERROR(IF(Data_Entry!L393/Data_Entry!$H393&lt;0,0,Data_Entry!L393/Data_Entry!$H393),0)</f>
        <v>0.92233239316005267</v>
      </c>
      <c r="H404" s="49">
        <f>IFERROR(IF(Data_Entry!M393/Data_Entry!$H393&lt;0,0,Data_Entry!M393/Data_Entry!$H393),0)</f>
        <v>0.87005444375017116</v>
      </c>
      <c r="I404" s="49">
        <f>IFERROR(IF(Data_Entry!N393/Data_Entry!$H393&lt;0,0,Data_Entry!N393/Data_Entry!$H393),0)</f>
        <v>0.89245927921154899</v>
      </c>
      <c r="J404" s="49">
        <f>IFERROR(IF(Data_Entry!O393/Data_Entry!$H393&lt;0,0,Data_Entry!O393/Data_Entry!$H393),0)</f>
        <v>0.92606653240361569</v>
      </c>
      <c r="K404" s="49">
        <f>IFERROR(IF(Data_Entry!P393/Data_Entry!$H393&lt;0,0,Data_Entry!P393/Data_Entry!$H393),0)</f>
        <v>0.87005444375017116</v>
      </c>
      <c r="L404" s="49">
        <f>IFERROR(IF(Data_Entry!Q393/Data_Entry!$H393&lt;0,0,Data_Entry!Q393/Data_Entry!$H393),0)</f>
        <v>0.92980067164717861</v>
      </c>
      <c r="M404" s="49">
        <f>IFERROR(IF(Data_Entry!R393/Data_Entry!$H393&lt;0,0,Data_Entry!R393/Data_Entry!$H393),0)</f>
        <v>0.92233239316005267</v>
      </c>
      <c r="N404" s="49">
        <f>IFERROR(IF(Data_Entry!S393/Data_Entry!$H393&lt;0,0,Data_Entry!S393/Data_Entry!$H393),0)</f>
        <v>0.84764960828879343</v>
      </c>
      <c r="O404" s="49">
        <f>IFERROR(IF(Data_Entry!T393/Data_Entry!$H393&lt;0,0,Data_Entry!T393/Data_Entry!$H393),0)</f>
        <v>0.87005444375017116</v>
      </c>
      <c r="P404" s="49">
        <f>IFERROR(IF(Data_Entry!U393/Data_Entry!$H393&lt;0,0,Data_Entry!U393/Data_Entry!$H393),0)</f>
        <v>1.0380907097105048</v>
      </c>
      <c r="Q404" s="49">
        <f>IFERROR(IF(Data_Entry!V393/Data_Entry!$H393&lt;0,0,Data_Entry!V393/Data_Entry!$H393),0)</f>
        <v>0.72068887400765258</v>
      </c>
      <c r="R404" s="49">
        <f>IFERROR(IF(Data_Entry!W393/Data_Entry!$H393&lt;0,0,Data_Entry!W393/Data_Entry!$H393),0)</f>
        <v>0.83271305131454154</v>
      </c>
      <c r="S404" s="49">
        <f>IFERROR(IF(Data_Entry!X393/Data_Entry!$H393&lt;0,0,Data_Entry!X393/Data_Entry!$H393),0)</f>
        <v>0.9447372286214305</v>
      </c>
      <c r="T404" s="49">
        <f>IFERROR(IF(Data_Entry!Y393/Data_Entry!$H393&lt;0,0,Data_Entry!Y393/Data_Entry!$H393),0)</f>
        <v>0.8252447728274156</v>
      </c>
      <c r="U404" s="49">
        <f>IFERROR(IF(Data_Entry!Z393/Data_Entry!$H393&lt;0,0,Data_Entry!Z393/Data_Entry!$H393),0)</f>
        <v>0.98954689954418606</v>
      </c>
      <c r="V404" s="49">
        <f>IFERROR(IF(Data_Entry!AA393/Data_Entry!$H393&lt;0,0,Data_Entry!AA393/Data_Entry!$H393),0)</f>
        <v>0.89245927921154899</v>
      </c>
      <c r="W404" s="49">
        <f>IFERROR(IF(Data_Entry!AB393/Data_Entry!$H393&lt;0,0,Data_Entry!AB393/Data_Entry!$H393),0)</f>
        <v>0.86632030450660824</v>
      </c>
      <c r="X404" s="49">
        <f>IFERROR(IF(Data_Entry!AC393/Data_Entry!$I393&lt;0,0,Data_Entry!AC393/Data_Entry!$I393),0)</f>
        <v>0.23457862728062553</v>
      </c>
      <c r="Y404" s="49">
        <f>IFERROR(IF(Data_Entry!AD393/Data_Entry!$I393&lt;0,0,Data_Entry!AD393/Data_Entry!$I393),0)</f>
        <v>0.23457862728062553</v>
      </c>
      <c r="Z404" s="49">
        <f>IFERROR(IF(Data_Entry!AE393/Data_Entry!$I393&lt;0,0,Data_Entry!AE393/Data_Entry!$I393),0)</f>
        <v>0.23783666377063423</v>
      </c>
      <c r="AA404" s="49">
        <f>IFERROR(IF(Data_Entry!AF393/Data_Entry!$I393&lt;0,0,Data_Entry!AF393/Data_Entry!$I393),0)</f>
        <v>0.14661164205039096</v>
      </c>
      <c r="AB404" s="49">
        <f>IFERROR(IF(Data_Entry!AG393/Data_Entry!$I393&lt;0,0,Data_Entry!AG393/Data_Entry!$I393),0)</f>
        <v>0.13032145960034752</v>
      </c>
      <c r="AC404" s="49">
        <f>IFERROR(IF(Data_Entry!AI393/Data_Entry!$I393&lt;0,0,Data_Entry!AI393/Data_Entry!$I393),0)</f>
        <v>0.1899435273675065</v>
      </c>
      <c r="AD404" s="49">
        <f>IFERROR(IF(Data_Entry!AM393/Data_Entry!$H393&lt;0,0,Data_Entry!AM393/Data_Entry!$H393),0)</f>
        <v>0.9447372286214305</v>
      </c>
      <c r="AE404" s="50">
        <f>Data_Entry!AK393</f>
        <v>19.799333333333323</v>
      </c>
      <c r="AF404" s="50">
        <f>Data_Entry!AL393</f>
        <v>0</v>
      </c>
      <c r="AG404" s="153">
        <f>(Data_Entry!O393-Data_Entry!Q393)/Data_Entry!O393</f>
        <v>-4.0322580645161289E-3</v>
      </c>
      <c r="AH404" s="79" t="str">
        <f t="shared" si="12"/>
        <v>CAT1</v>
      </c>
      <c r="AI404" s="51">
        <f>SUBTOTAL(3,Tableau1[[#This Row],[ZS]])</f>
        <v>0</v>
      </c>
      <c r="AJ404" s="51" t="e">
        <f t="shared" ca="1" si="13"/>
        <v>#NAME?</v>
      </c>
      <c r="AK404" s="50" t="str">
        <f>IFERROR(IF((Data_Entry!O393-Data_Entry!Q393)/Data_Entry!O393&lt;=10%,"&lt;=10%","&gt;10%"),"&lt;=10%")</f>
        <v>&lt;=10%</v>
      </c>
    </row>
    <row r="405" spans="1:37" s="48" customFormat="1" ht="13" hidden="1" x14ac:dyDescent="0.3">
      <c r="A405" s="31" t="s">
        <v>16</v>
      </c>
      <c r="B405" s="48" t="str">
        <f>Data_Entry!B394</f>
        <v>Butembo</v>
      </c>
      <c r="C405" s="48" t="str">
        <f>Data_Entry!C394</f>
        <v xml:space="preserve"> Lubero</v>
      </c>
      <c r="D405" s="48" t="str">
        <f>Data_Entry!D394</f>
        <v xml:space="preserve"> Kavetya</v>
      </c>
      <c r="E405" s="49">
        <f>IFERROR(IF(Data_Entry!J394/Data_Entry!$I394&lt;0,0,Data_Entry!J394/Data_Entry!$I394),0)</f>
        <v>1.0105092966855296</v>
      </c>
      <c r="F405" s="49">
        <f>IFERROR(IF(Data_Entry!K394/Data_Entry!$H394&lt;0,0,Data_Entry!K394/Data_Entry!$H394),0)</f>
        <v>0.50959781150903494</v>
      </c>
      <c r="G405" s="49">
        <f>IFERROR(IF(Data_Entry!L394/Data_Entry!$H394&lt;0,0,Data_Entry!L394/Data_Entry!$H394),0)</f>
        <v>1.0330937451501343</v>
      </c>
      <c r="H405" s="49">
        <f>IFERROR(IF(Data_Entry!M394/Data_Entry!$H394&lt;0,0,Data_Entry!M394/Data_Entry!$H394),0)</f>
        <v>0.9867666713765858</v>
      </c>
      <c r="I405" s="49">
        <f>IFERROR(IF(Data_Entry!N394/Data_Entry!$H394&lt;0,0,Data_Entry!N394/Data_Entry!$H394),0)</f>
        <v>1.0933189410557476</v>
      </c>
      <c r="J405" s="49">
        <f>IFERROR(IF(Data_Entry!O394/Data_Entry!$H394&lt;0,0,Data_Entry!O394/Data_Entry!$H394),0)</f>
        <v>1.0423591599048441</v>
      </c>
      <c r="K405" s="49">
        <f>IFERROR(IF(Data_Entry!P394/Data_Entry!$H394&lt;0,0,Data_Entry!P394/Data_Entry!$H394),0)</f>
        <v>1.0006647935086503</v>
      </c>
      <c r="L405" s="49">
        <f>IFERROR(IF(Data_Entry!Q394/Data_Entry!$H394&lt;0,0,Data_Entry!Q394/Data_Entry!$H394),0)</f>
        <v>1.1373296611406187</v>
      </c>
      <c r="M405" s="49">
        <f>IFERROR(IF(Data_Entry!R394/Data_Entry!$H394&lt;0,0,Data_Entry!R394/Data_Entry!$H394),0)</f>
        <v>0.93117418284832743</v>
      </c>
      <c r="N405" s="49">
        <f>IFERROR(IF(Data_Entry!S394/Data_Entry!$H394&lt;0,0,Data_Entry!S394/Data_Entry!$H394),0)</f>
        <v>0.89642887751816591</v>
      </c>
      <c r="O405" s="49">
        <f>IFERROR(IF(Data_Entry!T394/Data_Entry!$H394&lt;0,0,Data_Entry!T394/Data_Entry!$H394),0)</f>
        <v>0.97055219555584371</v>
      </c>
      <c r="P405" s="49">
        <f>IFERROR(IF(Data_Entry!U394/Data_Entry!$H394&lt;0,0,Data_Entry!U394/Data_Entry!$H394),0)</f>
        <v>0.95897042711245661</v>
      </c>
      <c r="Q405" s="49">
        <f>IFERROR(IF(Data_Entry!V394/Data_Entry!$H394&lt;0,0,Data_Entry!V394/Data_Entry!$H394),0)</f>
        <v>0.89642887751816591</v>
      </c>
      <c r="R405" s="49">
        <f>IFERROR(IF(Data_Entry!W394/Data_Entry!$H394&lt;0,0,Data_Entry!W394/Data_Entry!$H394),0)</f>
        <v>1.0354100988388117</v>
      </c>
      <c r="S405" s="49">
        <f>IFERROR(IF(Data_Entry!X394/Data_Entry!$H394&lt;0,0,Data_Entry!X394/Data_Entry!$H394),0)</f>
        <v>1.0122465619520375</v>
      </c>
      <c r="T405" s="49">
        <f>IFERROR(IF(Data_Entry!Y394/Data_Entry!$H394&lt;0,0,Data_Entry!Y394/Data_Entry!$H394),0)</f>
        <v>0.18530829509419453</v>
      </c>
      <c r="U405" s="49">
        <f>IFERROR(IF(Data_Entry!Z394/Data_Entry!$H394&lt;0,0,Data_Entry!Z394/Data_Entry!$H394),0)</f>
        <v>1.0122465619520375</v>
      </c>
      <c r="V405" s="49">
        <f>IFERROR(IF(Data_Entry!AA394/Data_Entry!$H394&lt;0,0,Data_Entry!AA394/Data_Entry!$H394),0)</f>
        <v>1.0933189410557476</v>
      </c>
      <c r="W405" s="49">
        <f>IFERROR(IF(Data_Entry!AB394/Data_Entry!$H394&lt;0,0,Data_Entry!AB394/Data_Entry!$H394),0)</f>
        <v>1.0122465619520375</v>
      </c>
      <c r="X405" s="49">
        <f>IFERROR(IF(Data_Entry!AC394/Data_Entry!$I394&lt;0,0,Data_Entry!AC394/Data_Entry!$I394),0)</f>
        <v>8.0840743734842374E-2</v>
      </c>
      <c r="Y405" s="49">
        <f>IFERROR(IF(Data_Entry!AD394/Data_Entry!$I394&lt;0,0,Data_Entry!AD394/Data_Entry!$I394),0)</f>
        <v>8.690379951495554E-2</v>
      </c>
      <c r="Z405" s="49">
        <f>IFERROR(IF(Data_Entry!AE394/Data_Entry!$I394&lt;0,0,Data_Entry!AE394/Data_Entry!$I394),0)</f>
        <v>5.8609539207760714E-2</v>
      </c>
      <c r="AA405" s="49">
        <f>IFERROR(IF(Data_Entry!AF394/Data_Entry!$I394&lt;0,0,Data_Entry!AF394/Data_Entry!$I394),0)</f>
        <v>3.2336297493936947E-2</v>
      </c>
      <c r="AB405" s="49">
        <f>IFERROR(IF(Data_Entry!AG394/Data_Entry!$I394&lt;0,0,Data_Entry!AG394/Data_Entry!$I394),0)</f>
        <v>5.254648342764754E-2</v>
      </c>
      <c r="AC405" s="49">
        <f>IFERROR(IF(Data_Entry!AI394/Data_Entry!$I394&lt;0,0,Data_Entry!AI394/Data_Entry!$I394),0)</f>
        <v>0.11782538399353275</v>
      </c>
      <c r="AD405" s="49">
        <f>IFERROR(IF(Data_Entry!AM394/Data_Entry!$H394&lt;0,0,Data_Entry!AM394/Data_Entry!$H394),0)</f>
        <v>1.0122465619520375</v>
      </c>
      <c r="AE405" s="50">
        <f>Data_Entry!AK394</f>
        <v>0</v>
      </c>
      <c r="AF405" s="50">
        <f>Data_Entry!AL394</f>
        <v>13</v>
      </c>
      <c r="AG405" s="153">
        <f>(Data_Entry!O394-Data_Entry!Q394)/Data_Entry!O394</f>
        <v>-9.1111111111111115E-2</v>
      </c>
      <c r="AH405" s="79" t="str">
        <f t="shared" si="12"/>
        <v>CAT1</v>
      </c>
      <c r="AI405" s="51">
        <f>SUBTOTAL(3,Tableau1[[#This Row],[ZS]])</f>
        <v>0</v>
      </c>
      <c r="AJ405" s="51" t="e">
        <f t="shared" ca="1" si="13"/>
        <v>#NAME?</v>
      </c>
      <c r="AK405" s="50" t="str">
        <f>IFERROR(IF((Data_Entry!O394-Data_Entry!Q394)/Data_Entry!O394&lt;=10%,"&lt;=10%","&gt;10%"),"&lt;=10%")</f>
        <v>&lt;=10%</v>
      </c>
    </row>
    <row r="406" spans="1:37" s="48" customFormat="1" ht="13" hidden="1" x14ac:dyDescent="0.3">
      <c r="A406" s="31" t="s">
        <v>16</v>
      </c>
      <c r="B406" s="48" t="str">
        <f>Data_Entry!B395</f>
        <v>Butembo</v>
      </c>
      <c r="C406" s="48" t="str">
        <f>Data_Entry!C395</f>
        <v xml:space="preserve"> Lubero</v>
      </c>
      <c r="D406" s="48" t="str">
        <f>Data_Entry!D395</f>
        <v xml:space="preserve"> Kaviseghe</v>
      </c>
      <c r="E406" s="49">
        <f>IFERROR(IF(Data_Entry!J395/Data_Entry!$I395&lt;0,0,Data_Entry!J395/Data_Entry!$I395),0)</f>
        <v>0.44588727656745014</v>
      </c>
      <c r="F406" s="49">
        <f>IFERROR(IF(Data_Entry!K395/Data_Entry!$H395&lt;0,0,Data_Entry!K395/Data_Entry!$H395),0)</f>
        <v>0.89701949470815656</v>
      </c>
      <c r="G406" s="49">
        <f>IFERROR(IF(Data_Entry!L395/Data_Entry!$H395&lt;0,0,Data_Entry!L395/Data_Entry!$H395),0)</f>
        <v>0.9629174785772715</v>
      </c>
      <c r="H406" s="49">
        <f>IFERROR(IF(Data_Entry!M395/Data_Entry!$H395&lt;0,0,Data_Entry!M395/Data_Entry!$H395),0)</f>
        <v>0.94946891044071746</v>
      </c>
      <c r="I406" s="49">
        <f>IFERROR(IF(Data_Entry!N395/Data_Entry!$H395&lt;0,0,Data_Entry!N395/Data_Entry!$H395),0)</f>
        <v>0.9319857718631972</v>
      </c>
      <c r="J406" s="49">
        <f>IFERROR(IF(Data_Entry!O395/Data_Entry!$H395&lt;0,0,Data_Entry!O395/Data_Entry!$H395),0)</f>
        <v>0.96426233539092687</v>
      </c>
      <c r="K406" s="49">
        <f>IFERROR(IF(Data_Entry!P395/Data_Entry!$H395&lt;0,0,Data_Entry!P395/Data_Entry!$H395),0)</f>
        <v>0.94543433999975124</v>
      </c>
      <c r="L406" s="49">
        <f>IFERROR(IF(Data_Entry!Q395/Data_Entry!$H395&lt;0,0,Data_Entry!Q395/Data_Entry!$H395),0)</f>
        <v>0.93064091504954172</v>
      </c>
      <c r="M406" s="49">
        <f>IFERROR(IF(Data_Entry!R395/Data_Entry!$H395&lt;0,0,Data_Entry!R395/Data_Entry!$H395),0)</f>
        <v>0.90508863559008901</v>
      </c>
      <c r="N406" s="49">
        <f>IFERROR(IF(Data_Entry!S395/Data_Entry!$H395&lt;0,0,Data_Entry!S395/Data_Entry!$H395),0)</f>
        <v>0.75849924290164961</v>
      </c>
      <c r="O406" s="49">
        <f>IFERROR(IF(Data_Entry!T395/Data_Entry!$H395&lt;0,0,Data_Entry!T395/Data_Entry!$H395),0)</f>
        <v>0.75715438608799424</v>
      </c>
      <c r="P406" s="49">
        <f>IFERROR(IF(Data_Entry!U395/Data_Entry!$H395&lt;0,0,Data_Entry!U395/Data_Entry!$H395),0)</f>
        <v>0.84994950623021737</v>
      </c>
      <c r="Q406" s="49">
        <f>IFERROR(IF(Data_Entry!V395/Data_Entry!$H395&lt;0,0,Data_Entry!V395/Data_Entry!$H395),0)</f>
        <v>0.83381122446635247</v>
      </c>
      <c r="R406" s="49">
        <f>IFERROR(IF(Data_Entry!W395/Data_Entry!$H395&lt;0,0,Data_Entry!W395/Data_Entry!$H395),0)</f>
        <v>0.82977665402538625</v>
      </c>
      <c r="S406" s="49">
        <f>IFERROR(IF(Data_Entry!X395/Data_Entry!$H395&lt;0,0,Data_Entry!X395/Data_Entry!$H395),0)</f>
        <v>0.94274462637244039</v>
      </c>
      <c r="T406" s="49">
        <f>IFERROR(IF(Data_Entry!Y395/Data_Entry!$H395&lt;0,0,Data_Entry!Y395/Data_Entry!$H395),0)</f>
        <v>0.31066192395439907</v>
      </c>
      <c r="U406" s="49">
        <f>IFERROR(IF(Data_Entry!Z395/Data_Entry!$H395&lt;0,0,Data_Entry!Z395/Data_Entry!$H395),0)</f>
        <v>0.95888290813630528</v>
      </c>
      <c r="V406" s="49">
        <f>IFERROR(IF(Data_Entry!AA395/Data_Entry!$H395&lt;0,0,Data_Entry!AA395/Data_Entry!$H395),0)</f>
        <v>1.1027825871974339</v>
      </c>
      <c r="W406" s="49">
        <f>IFERROR(IF(Data_Entry!AB395/Data_Entry!$H395&lt;0,0,Data_Entry!AB395/Data_Entry!$H395),0)</f>
        <v>0.71546382486467663</v>
      </c>
      <c r="X406" s="49">
        <f>IFERROR(IF(Data_Entry!AC395/Data_Entry!$I395&lt;0,0,Data_Entry!AC395/Data_Entry!$I395),0)</f>
        <v>0.55735909570931275</v>
      </c>
      <c r="Y406" s="49">
        <f>IFERROR(IF(Data_Entry!AD395/Data_Entry!$I395&lt;0,0,Data_Entry!AD395/Data_Entry!$I395),0)</f>
        <v>0.33324206985567328</v>
      </c>
      <c r="Z406" s="49">
        <f>IFERROR(IF(Data_Entry!AE395/Data_Entry!$I395&lt;0,0,Data_Entry!AE395/Data_Entry!$I395),0)</f>
        <v>0.23350412641295418</v>
      </c>
      <c r="AA406" s="49">
        <f>IFERROR(IF(Data_Entry!AF395/Data_Entry!$I395&lt;0,0,Data_Entry!AF395/Data_Entry!$I395),0)</f>
        <v>0.14902022137912149</v>
      </c>
      <c r="AB406" s="49">
        <f>IFERROR(IF(Data_Entry!AG395/Data_Entry!$I395&lt;0,0,Data_Entry!AG395/Data_Entry!$I395),0)</f>
        <v>0.13963312081980675</v>
      </c>
      <c r="AC406" s="49">
        <f>IFERROR(IF(Data_Entry!AI395/Data_Entry!$I395&lt;0,0,Data_Entry!AI395/Data_Entry!$I395),0)</f>
        <v>6.3597606289357372E-2</v>
      </c>
      <c r="AD406" s="49">
        <f>IFERROR(IF(Data_Entry!AM395/Data_Entry!$H395&lt;0,0,Data_Entry!AM395/Data_Entry!$H395),0)</f>
        <v>0.94274462637244039</v>
      </c>
      <c r="AE406" s="50">
        <f>Data_Entry!AK395</f>
        <v>26.573583333333318</v>
      </c>
      <c r="AF406" s="50">
        <f>Data_Entry!AL395</f>
        <v>16</v>
      </c>
      <c r="AG406" s="153">
        <f>(Data_Entry!O395-Data_Entry!Q395)/Data_Entry!O395</f>
        <v>3.4867503486750349E-2</v>
      </c>
      <c r="AH406" s="79" t="str">
        <f t="shared" si="12"/>
        <v>CAT1</v>
      </c>
      <c r="AI406" s="51">
        <f>SUBTOTAL(3,Tableau1[[#This Row],[ZS]])</f>
        <v>0</v>
      </c>
      <c r="AJ406" s="51" t="e">
        <f t="shared" ca="1" si="13"/>
        <v>#NAME?</v>
      </c>
      <c r="AK406" s="50" t="str">
        <f>IFERROR(IF((Data_Entry!O395-Data_Entry!Q395)/Data_Entry!O395&lt;=10%,"&lt;=10%","&gt;10%"),"&lt;=10%")</f>
        <v>&lt;=10%</v>
      </c>
    </row>
    <row r="407" spans="1:37" s="48" customFormat="1" ht="13" hidden="1" x14ac:dyDescent="0.3">
      <c r="A407" s="31" t="s">
        <v>16</v>
      </c>
      <c r="B407" s="48" t="str">
        <f>Data_Entry!B396</f>
        <v>Butembo</v>
      </c>
      <c r="C407" s="48" t="str">
        <f>Data_Entry!C396</f>
        <v xml:space="preserve"> Lubero</v>
      </c>
      <c r="D407" s="48" t="str">
        <f>Data_Entry!D396</f>
        <v xml:space="preserve"> Kipese</v>
      </c>
      <c r="E407" s="49">
        <f>IFERROR(IF(Data_Entry!J396/Data_Entry!$I396&lt;0,0,Data_Entry!J396/Data_Entry!$I396),0)</f>
        <v>0.59262564393785744</v>
      </c>
      <c r="F407" s="49">
        <f>IFERROR(IF(Data_Entry!K396/Data_Entry!$H396&lt;0,0,Data_Entry!K396/Data_Entry!$H396),0)</f>
        <v>0.61925427512672448</v>
      </c>
      <c r="G407" s="49">
        <f>IFERROR(IF(Data_Entry!L396/Data_Entry!$H396&lt;0,0,Data_Entry!L396/Data_Entry!$H396),0)</f>
        <v>0.99722253764776581</v>
      </c>
      <c r="H407" s="49">
        <f>IFERROR(IF(Data_Entry!M396/Data_Entry!$H396&lt;0,0,Data_Entry!M396/Data_Entry!$H396),0)</f>
        <v>0.87727688976285967</v>
      </c>
      <c r="I407" s="49">
        <f>IFERROR(IF(Data_Entry!N396/Data_Entry!$H396&lt;0,0,Data_Entry!N396/Data_Entry!$H396),0)</f>
        <v>0.78104142808776067</v>
      </c>
      <c r="J407" s="49">
        <f>IFERROR(IF(Data_Entry!O396/Data_Entry!$H396&lt;0,0,Data_Entry!O396/Data_Entry!$H396),0)</f>
        <v>1.0502217774108638</v>
      </c>
      <c r="K407" s="49">
        <f>IFERROR(IF(Data_Entry!P396/Data_Entry!$H396&lt;0,0,Data_Entry!P396/Data_Entry!$H396),0)</f>
        <v>0.92748669585421573</v>
      </c>
      <c r="L407" s="49">
        <f>IFERROR(IF(Data_Entry!Q396/Data_Entry!$H396&lt;0,0,Data_Entry!Q396/Data_Entry!$H396),0)</f>
        <v>0.91632896116724771</v>
      </c>
      <c r="M407" s="49">
        <f>IFERROR(IF(Data_Entry!R396/Data_Entry!$H396&lt;0,0,Data_Entry!R396/Data_Entry!$H396),0)</f>
        <v>0.88285575710634367</v>
      </c>
      <c r="N407" s="49">
        <f>IFERROR(IF(Data_Entry!S396/Data_Entry!$H396&lt;0,0,Data_Entry!S396/Data_Entry!$H396),0)</f>
        <v>0.69596370109962957</v>
      </c>
      <c r="O407" s="49">
        <f>IFERROR(IF(Data_Entry!T396/Data_Entry!$H396&lt;0,0,Data_Entry!T396/Data_Entry!$H396),0)</f>
        <v>0.86472443824002065</v>
      </c>
      <c r="P407" s="49">
        <f>IFERROR(IF(Data_Entry!U396/Data_Entry!$H396&lt;0,0,Data_Entry!U396/Data_Entry!$H396),0)</f>
        <v>1.0195380070217017</v>
      </c>
      <c r="Q407" s="49">
        <f>IFERROR(IF(Data_Entry!V396/Data_Entry!$H396&lt;0,0,Data_Entry!V396/Data_Entry!$H396),0)</f>
        <v>0.84938255304543964</v>
      </c>
      <c r="R407" s="49">
        <f>IFERROR(IF(Data_Entry!W396/Data_Entry!$H396&lt;0,0,Data_Entry!W396/Data_Entry!$H396),0)</f>
        <v>0.82288293316389061</v>
      </c>
      <c r="S407" s="49">
        <f>IFERROR(IF(Data_Entry!X396/Data_Entry!$H396&lt;0,0,Data_Entry!X396/Data_Entry!$H396),0)</f>
        <v>1.0516164942467348</v>
      </c>
      <c r="T407" s="49">
        <f>IFERROR(IF(Data_Entry!Y396/Data_Entry!$H396&lt;0,0,Data_Entry!Y396/Data_Entry!$H396),0)</f>
        <v>0.28591695135355522</v>
      </c>
      <c r="U407" s="49">
        <f>IFERROR(IF(Data_Entry!Z396/Data_Entry!$H396&lt;0,0,Data_Entry!Z396/Data_Entry!$H396),0)</f>
        <v>0.92330254534660272</v>
      </c>
      <c r="V407" s="49">
        <f>IFERROR(IF(Data_Entry!AA396/Data_Entry!$H396&lt;0,0,Data_Entry!AA396/Data_Entry!$H396),0)</f>
        <v>1.0683530962771868</v>
      </c>
      <c r="W407" s="49">
        <f>IFERROR(IF(Data_Entry!AB396/Data_Entry!$H396&lt;0,0,Data_Entry!AB396/Data_Entry!$H396),0)</f>
        <v>0.47420372419614037</v>
      </c>
      <c r="X407" s="49">
        <f>IFERROR(IF(Data_Entry!AC396/Data_Entry!$I396&lt;0,0,Data_Entry!AC396/Data_Entry!$I396),0)</f>
        <v>0.25311321137386933</v>
      </c>
      <c r="Y407" s="49">
        <f>IFERROR(IF(Data_Entry!AD396/Data_Entry!$I396&lt;0,0,Data_Entry!AD396/Data_Entry!$I396),0)</f>
        <v>0.16549709974445301</v>
      </c>
      <c r="Z407" s="49">
        <f>IFERROR(IF(Data_Entry!AE396/Data_Entry!$I396&lt;0,0,Data_Entry!AE396/Data_Entry!$I396),0)</f>
        <v>0.15089441447288363</v>
      </c>
      <c r="AA407" s="49">
        <f>IFERROR(IF(Data_Entry!AF396/Data_Entry!$I396&lt;0,0,Data_Entry!AF396/Data_Entry!$I396),0)</f>
        <v>0.10830324909747292</v>
      </c>
      <c r="AB407" s="49">
        <f>IFERROR(IF(Data_Entry!AG396/Data_Entry!$I396&lt;0,0,Data_Entry!AG396/Data_Entry!$I396),0)</f>
        <v>8.8833002068713751E-2</v>
      </c>
      <c r="AC407" s="49">
        <f>IFERROR(IF(Data_Entry!AI396/Data_Entry!$I396&lt;0,0,Data_Entry!AI396/Data_Entry!$I396),0)</f>
        <v>7.0944712611041252E-2</v>
      </c>
      <c r="AD407" s="49">
        <f>IFERROR(IF(Data_Entry!AM396/Data_Entry!$H396&lt;0,0,Data_Entry!AM396/Data_Entry!$H396),0)</f>
        <v>0.92330254534660272</v>
      </c>
      <c r="AE407" s="50">
        <f>Data_Entry!AK396</f>
        <v>0</v>
      </c>
      <c r="AF407" s="50">
        <f>Data_Entry!AL396</f>
        <v>0</v>
      </c>
      <c r="AG407" s="153">
        <f>(Data_Entry!O396-Data_Entry!Q396)/Data_Entry!O396</f>
        <v>0.12749003984063745</v>
      </c>
      <c r="AH407" s="79" t="str">
        <f t="shared" si="12"/>
        <v>CAT2</v>
      </c>
      <c r="AI407" s="51">
        <f>SUBTOTAL(3,Tableau1[[#This Row],[ZS]])</f>
        <v>0</v>
      </c>
      <c r="AJ407" s="51" t="e">
        <f t="shared" ca="1" si="13"/>
        <v>#NAME?</v>
      </c>
      <c r="AK407" s="50" t="str">
        <f>IFERROR(IF((Data_Entry!O396-Data_Entry!Q396)/Data_Entry!O396&lt;=10%,"&lt;=10%","&gt;10%"),"&lt;=10%")</f>
        <v>&gt;10%</v>
      </c>
    </row>
    <row r="408" spans="1:37" s="48" customFormat="1" ht="13" hidden="1" x14ac:dyDescent="0.3">
      <c r="A408" s="31" t="s">
        <v>16</v>
      </c>
      <c r="B408" s="48" t="str">
        <f>Data_Entry!B397</f>
        <v>Butembo</v>
      </c>
      <c r="C408" s="48" t="str">
        <f>Data_Entry!C397</f>
        <v xml:space="preserve"> Lubero</v>
      </c>
      <c r="D408" s="48" t="str">
        <f>Data_Entry!D397</f>
        <v xml:space="preserve"> Kisaka</v>
      </c>
      <c r="E408" s="49">
        <f>IFERROR(IF(Data_Entry!J397/Data_Entry!$I397&lt;0,0,Data_Entry!J397/Data_Entry!$I397),0)</f>
        <v>0.49506143098048661</v>
      </c>
      <c r="F408" s="49">
        <f>IFERROR(IF(Data_Entry!K397/Data_Entry!$H397&lt;0,0,Data_Entry!K397/Data_Entry!$H397),0)</f>
        <v>0.59225553410335763</v>
      </c>
      <c r="G408" s="49">
        <f>IFERROR(IF(Data_Entry!L397/Data_Entry!$H397&lt;0,0,Data_Entry!L397/Data_Entry!$H397),0)</f>
        <v>0.84489600669290177</v>
      </c>
      <c r="H408" s="49">
        <f>IFERROR(IF(Data_Entry!M397/Data_Entry!$H397&lt;0,0,Data_Entry!M397/Data_Entry!$H397),0)</f>
        <v>0.78277130031842368</v>
      </c>
      <c r="I408" s="49">
        <f>IFERROR(IF(Data_Entry!N397/Data_Entry!$H397&lt;0,0,Data_Entry!N397/Data_Entry!$H397),0)</f>
        <v>0.8283294183263743</v>
      </c>
      <c r="J408" s="49">
        <f>IFERROR(IF(Data_Entry!O397/Data_Entry!$H397&lt;0,0,Data_Entry!O397/Data_Entry!$H397),0)</f>
        <v>0.8821708305175886</v>
      </c>
      <c r="K408" s="49">
        <f>IFERROR(IF(Data_Entry!P397/Data_Entry!$H397&lt;0,0,Data_Entry!P397/Data_Entry!$H397),0)</f>
        <v>0.72064659394394559</v>
      </c>
      <c r="L408" s="49">
        <f>IFERROR(IF(Data_Entry!Q397/Data_Entry!$H397&lt;0,0,Data_Entry!Q397/Data_Entry!$H397),0)</f>
        <v>0.79105459450168747</v>
      </c>
      <c r="M408" s="49">
        <f>IFERROR(IF(Data_Entry!R397/Data_Entry!$H397&lt;0,0,Data_Entry!R397/Data_Entry!$H397),0)</f>
        <v>0.8821708305175886</v>
      </c>
      <c r="N408" s="49">
        <f>IFERROR(IF(Data_Entry!S397/Data_Entry!$H397&lt;0,0,Data_Entry!S397/Data_Entry!$H397),0)</f>
        <v>0.74135482940210495</v>
      </c>
      <c r="O408" s="49">
        <f>IFERROR(IF(Data_Entry!T397/Data_Entry!$H397&lt;0,0,Data_Entry!T397/Data_Entry!$H397),0)</f>
        <v>0.79105459450168747</v>
      </c>
      <c r="P408" s="49">
        <f>IFERROR(IF(Data_Entry!U397/Data_Entry!$H397&lt;0,0,Data_Entry!U397/Data_Entry!$H397),0)</f>
        <v>0.75792141776863242</v>
      </c>
      <c r="Q408" s="49">
        <f>IFERROR(IF(Data_Entry!V397/Data_Entry!$H397&lt;0,0,Data_Entry!V397/Data_Entry!$H397),0)</f>
        <v>0.72892988812720938</v>
      </c>
      <c r="R408" s="49">
        <f>IFERROR(IF(Data_Entry!W397/Data_Entry!$H397&lt;0,0,Data_Entry!W397/Data_Entry!$H397),0)</f>
        <v>0.74963812358536874</v>
      </c>
      <c r="S408" s="49">
        <f>IFERROR(IF(Data_Entry!X397/Data_Entry!$H397&lt;0,0,Data_Entry!X397/Data_Entry!$H397),0)</f>
        <v>0.90702071306737986</v>
      </c>
      <c r="T408" s="49">
        <f>IFERROR(IF(Data_Entry!Y397/Data_Entry!$H397&lt;0,0,Data_Entry!Y397/Data_Entry!$H397),0)</f>
        <v>0.72892988812720938</v>
      </c>
      <c r="U408" s="49">
        <f>IFERROR(IF(Data_Entry!Z397/Data_Entry!$H397&lt;0,0,Data_Entry!Z397/Data_Entry!$H397),0)</f>
        <v>0.74549647649373685</v>
      </c>
      <c r="V408" s="49">
        <f>IFERROR(IF(Data_Entry!AA397/Data_Entry!$H397&lt;0,0,Data_Entry!AA397/Data_Entry!$H397),0)</f>
        <v>0.86974588924269303</v>
      </c>
      <c r="W408" s="49">
        <f>IFERROR(IF(Data_Entry!AB397/Data_Entry!$H397&lt;0,0,Data_Entry!AB397/Data_Entry!$H397),0)</f>
        <v>0.90702071306737986</v>
      </c>
      <c r="X408" s="49">
        <f>IFERROR(IF(Data_Entry!AC397/Data_Entry!$I397&lt;0,0,Data_Entry!AC397/Data_Entry!$I397),0)</f>
        <v>0.14454348349795229</v>
      </c>
      <c r="Y408" s="49">
        <f>IFERROR(IF(Data_Entry!AD397/Data_Entry!$I397&lt;0,0,Data_Entry!AD397/Data_Entry!$I397),0)</f>
        <v>0.14454348349795229</v>
      </c>
      <c r="Z408" s="49">
        <f>IFERROR(IF(Data_Entry!AE397/Data_Entry!$I397&lt;0,0,Data_Entry!AE397/Data_Entry!$I397),0)</f>
        <v>0.18067935437244037</v>
      </c>
      <c r="AA408" s="49">
        <f>IFERROR(IF(Data_Entry!AF397/Data_Entry!$I397&lt;0,0,Data_Entry!AF397/Data_Entry!$I397),0)</f>
        <v>0.14454348349795229</v>
      </c>
      <c r="AB408" s="49">
        <f>IFERROR(IF(Data_Entry!AG397/Data_Entry!$I397&lt;0,0,Data_Entry!AG397/Data_Entry!$I397),0)</f>
        <v>9.0339677186220185E-2</v>
      </c>
      <c r="AC408" s="49">
        <f>IFERROR(IF(Data_Entry!AI397/Data_Entry!$I397&lt;0,0,Data_Entry!AI397/Data_Entry!$I397),0)</f>
        <v>0.21067212719826545</v>
      </c>
      <c r="AD408" s="49">
        <f>IFERROR(IF(Data_Entry!AM397/Data_Entry!$H397&lt;0,0,Data_Entry!AM397/Data_Entry!$H397),0)</f>
        <v>0.74549647649373685</v>
      </c>
      <c r="AE408" s="50">
        <f>Data_Entry!AK397</f>
        <v>28.449833333333316</v>
      </c>
      <c r="AF408" s="50">
        <f>Data_Entry!AL397</f>
        <v>0</v>
      </c>
      <c r="AG408" s="153">
        <f>(Data_Entry!O397-Data_Entry!Q397)/Data_Entry!O397</f>
        <v>0.10328638497652583</v>
      </c>
      <c r="AH408" s="79" t="str">
        <f t="shared" si="12"/>
        <v>CAT4</v>
      </c>
      <c r="AI408" s="51">
        <f>SUBTOTAL(3,Tableau1[[#This Row],[ZS]])</f>
        <v>0</v>
      </c>
      <c r="AJ408" s="51" t="e">
        <f t="shared" ca="1" si="13"/>
        <v>#NAME?</v>
      </c>
      <c r="AK408" s="50" t="str">
        <f>IFERROR(IF((Data_Entry!O397-Data_Entry!Q397)/Data_Entry!O397&lt;=10%,"&lt;=10%","&gt;10%"),"&lt;=10%")</f>
        <v>&gt;10%</v>
      </c>
    </row>
    <row r="409" spans="1:37" s="48" customFormat="1" ht="13" hidden="1" x14ac:dyDescent="0.3">
      <c r="A409" s="31" t="s">
        <v>16</v>
      </c>
      <c r="B409" s="48" t="str">
        <f>Data_Entry!B398</f>
        <v>Butembo</v>
      </c>
      <c r="C409" s="48" t="str">
        <f>Data_Entry!C398</f>
        <v xml:space="preserve"> Lubero</v>
      </c>
      <c r="D409" s="48" t="str">
        <f>Data_Entry!D398</f>
        <v xml:space="preserve"> Kisima</v>
      </c>
      <c r="E409" s="49">
        <f>IFERROR(IF(Data_Entry!J398/Data_Entry!$I398&lt;0,0,Data_Entry!J398/Data_Entry!$I398),0)</f>
        <v>0.64608925517026894</v>
      </c>
      <c r="F409" s="49">
        <f>IFERROR(IF(Data_Entry!K398/Data_Entry!$H398&lt;0,0,Data_Entry!K398/Data_Entry!$H398),0)</f>
        <v>0.32614231121729054</v>
      </c>
      <c r="G409" s="49">
        <f>IFERROR(IF(Data_Entry!L398/Data_Entry!$H398&lt;0,0,Data_Entry!L398/Data_Entry!$H398),0)</f>
        <v>0.98377352891772873</v>
      </c>
      <c r="H409" s="49">
        <f>IFERROR(IF(Data_Entry!M398/Data_Entry!$H398&lt;0,0,Data_Entry!M398/Data_Entry!$H398),0)</f>
        <v>0.90624789756279911</v>
      </c>
      <c r="I409" s="49">
        <f>IFERROR(IF(Data_Entry!N398/Data_Entry!$H398&lt;0,0,Data_Entry!N398/Data_Entry!$H398),0)</f>
        <v>0.98377352891772873</v>
      </c>
      <c r="J409" s="49">
        <f>IFERROR(IF(Data_Entry!O398/Data_Entry!$H398&lt;0,0,Data_Entry!O398/Data_Entry!$H398),0)</f>
        <v>0.88486151649937017</v>
      </c>
      <c r="K409" s="49">
        <f>IFERROR(IF(Data_Entry!P398/Data_Entry!$H398&lt;0,0,Data_Entry!P398/Data_Entry!$H398),0)</f>
        <v>0.78327620644808293</v>
      </c>
      <c r="L409" s="49">
        <f>IFERROR(IF(Data_Entry!Q398/Data_Entry!$H398&lt;0,0,Data_Entry!Q398/Data_Entry!$H398),0)</f>
        <v>0.88486151649937017</v>
      </c>
      <c r="M409" s="49">
        <f>IFERROR(IF(Data_Entry!R398/Data_Entry!$H398&lt;0,0,Data_Entry!R398/Data_Entry!$H398),0)</f>
        <v>0.82337567094201214</v>
      </c>
      <c r="N409" s="49">
        <f>IFERROR(IF(Data_Entry!S398/Data_Entry!$H398&lt;0,0,Data_Entry!S398/Data_Entry!$H398),0)</f>
        <v>0.74852333722001108</v>
      </c>
      <c r="O409" s="49">
        <f>IFERROR(IF(Data_Entry!T398/Data_Entry!$H398&lt;0,0,Data_Entry!T398/Data_Entry!$H398),0)</f>
        <v>0.8260489685749407</v>
      </c>
      <c r="P409" s="49">
        <f>IFERROR(IF(Data_Entry!U398/Data_Entry!$H398&lt;0,0,Data_Entry!U398/Data_Entry!$H398),0)</f>
        <v>0.8180290756761549</v>
      </c>
      <c r="Q409" s="49">
        <f>IFERROR(IF(Data_Entry!V398/Data_Entry!$H398&lt;0,0,Data_Entry!V398/Data_Entry!$H398),0)</f>
        <v>0.72713695615658214</v>
      </c>
      <c r="R409" s="49">
        <f>IFERROR(IF(Data_Entry!W398/Data_Entry!$H398&lt;0,0,Data_Entry!W398/Data_Entry!$H398),0)</f>
        <v>0.8180290756761549</v>
      </c>
      <c r="S409" s="49">
        <f>IFERROR(IF(Data_Entry!X398/Data_Entry!$H398&lt;0,0,Data_Entry!X398/Data_Entry!$H398),0)</f>
        <v>0.97308033838601438</v>
      </c>
      <c r="T409" s="49">
        <f>IFERROR(IF(Data_Entry!Y398/Data_Entry!$H398&lt;0,0,Data_Entry!Y398/Data_Entry!$H398),0)</f>
        <v>0.56406580054793687</v>
      </c>
      <c r="U409" s="49">
        <f>IFERROR(IF(Data_Entry!Z398/Data_Entry!$H398&lt;0,0,Data_Entry!Z398/Data_Entry!$H398),0)</f>
        <v>0.87684162360058437</v>
      </c>
      <c r="V409" s="49">
        <f>IFERROR(IF(Data_Entry!AA398/Data_Entry!$H398&lt;0,0,Data_Entry!AA398/Data_Entry!$H398),0)</f>
        <v>0.98377352891772873</v>
      </c>
      <c r="W409" s="49">
        <f>IFERROR(IF(Data_Entry!AB398/Data_Entry!$H398&lt;0,0,Data_Entry!AB398/Data_Entry!$H398),0)</f>
        <v>0.97308033838601438</v>
      </c>
      <c r="X409" s="49">
        <f>IFERROR(IF(Data_Entry!AC398/Data_Entry!$I398&lt;0,0,Data_Entry!AC398/Data_Entry!$I398),0)</f>
        <v>0.25890219250505364</v>
      </c>
      <c r="Y409" s="49">
        <f>IFERROR(IF(Data_Entry!AD398/Data_Entry!$I398&lt;0,0,Data_Entry!AD398/Data_Entry!$I398),0)</f>
        <v>0.15627429637692428</v>
      </c>
      <c r="Z409" s="49">
        <f>IFERROR(IF(Data_Entry!AE398/Data_Entry!$I398&lt;0,0,Data_Entry!AE398/Data_Entry!$I398),0)</f>
        <v>0.21691805317990981</v>
      </c>
      <c r="AA409" s="49">
        <f>IFERROR(IF(Data_Entry!AF398/Data_Entry!$I398&lt;0,0,Data_Entry!AF398/Data_Entry!$I398),0)</f>
        <v>0.20758824444098894</v>
      </c>
      <c r="AB409" s="49">
        <f>IFERROR(IF(Data_Entry!AG398/Data_Entry!$I398&lt;0,0,Data_Entry!AG398/Data_Entry!$I398),0)</f>
        <v>0.18659617477841703</v>
      </c>
      <c r="AC409" s="49">
        <f>IFERROR(IF(Data_Entry!AI398/Data_Entry!$I398&lt;0,0,Data_Entry!AI398/Data_Entry!$I398),0)</f>
        <v>0.13598196236977142</v>
      </c>
      <c r="AD409" s="49">
        <f>IFERROR(IF(Data_Entry!AM398/Data_Entry!$H398&lt;0,0,Data_Entry!AM398/Data_Entry!$H398),0)</f>
        <v>0.87684162360058437</v>
      </c>
      <c r="AE409" s="50">
        <f>Data_Entry!AK398</f>
        <v>43.069833333333349</v>
      </c>
      <c r="AF409" s="50">
        <f>Data_Entry!AL398</f>
        <v>0</v>
      </c>
      <c r="AG409" s="153">
        <f>(Data_Entry!O398-Data_Entry!Q398)/Data_Entry!O398</f>
        <v>0</v>
      </c>
      <c r="AH409" s="79" t="str">
        <f t="shared" si="12"/>
        <v>CAT3</v>
      </c>
      <c r="AI409" s="51">
        <f>SUBTOTAL(3,Tableau1[[#This Row],[ZS]])</f>
        <v>0</v>
      </c>
      <c r="AJ409" s="51" t="e">
        <f t="shared" ca="1" si="13"/>
        <v>#NAME?</v>
      </c>
      <c r="AK409" s="50" t="str">
        <f>IFERROR(IF((Data_Entry!O398-Data_Entry!Q398)/Data_Entry!O398&lt;=10%,"&lt;=10%","&gt;10%"),"&lt;=10%")</f>
        <v>&lt;=10%</v>
      </c>
    </row>
    <row r="410" spans="1:37" s="48" customFormat="1" ht="13" hidden="1" x14ac:dyDescent="0.3">
      <c r="A410" s="31" t="s">
        <v>16</v>
      </c>
      <c r="B410" s="48" t="str">
        <f>Data_Entry!B399</f>
        <v>Butembo</v>
      </c>
      <c r="C410" s="48" t="str">
        <f>Data_Entry!C399</f>
        <v xml:space="preserve"> Lubero</v>
      </c>
      <c r="D410" s="48" t="str">
        <f>Data_Entry!D399</f>
        <v xml:space="preserve"> Kiviriri</v>
      </c>
      <c r="E410" s="49">
        <f>IFERROR(IF(Data_Entry!J399/Data_Entry!$I399&lt;0,0,Data_Entry!J399/Data_Entry!$I399),0)</f>
        <v>0.73473797947055641</v>
      </c>
      <c r="F410" s="49">
        <f>IFERROR(IF(Data_Entry!K399/Data_Entry!$H399&lt;0,0,Data_Entry!K399/Data_Entry!$H399),0)</f>
        <v>0.86068244687685269</v>
      </c>
      <c r="G410" s="49">
        <f>IFERROR(IF(Data_Entry!L399/Data_Entry!$H399&lt;0,0,Data_Entry!L399/Data_Entry!$H399),0)</f>
        <v>1.0959769287568557</v>
      </c>
      <c r="H410" s="49">
        <f>IFERROR(IF(Data_Entry!M399/Data_Entry!$H399&lt;0,0,Data_Entry!M399/Data_Entry!$H399),0)</f>
        <v>1.0681131085342237</v>
      </c>
      <c r="I410" s="49">
        <f>IFERROR(IF(Data_Entry!N399/Data_Entry!$H399&lt;0,0,Data_Entry!N399/Data_Entry!$H399),0)</f>
        <v>1.0959769287568557</v>
      </c>
      <c r="J410" s="49">
        <f>IFERROR(IF(Data_Entry!O399/Data_Entry!$H399&lt;0,0,Data_Entry!O399/Data_Entry!$H399),0)</f>
        <v>0.98761762789106478</v>
      </c>
      <c r="K410" s="49">
        <f>IFERROR(IF(Data_Entry!P399/Data_Entry!$H399&lt;0,0,Data_Entry!P399/Data_Entry!$H399),0)</f>
        <v>0.98142566784159102</v>
      </c>
      <c r="L410" s="49">
        <f>IFERROR(IF(Data_Entry!Q399/Data_Entry!$H399&lt;0,0,Data_Entry!Q399/Data_Entry!$H399),0)</f>
        <v>1.0061935080394862</v>
      </c>
      <c r="M410" s="49">
        <f>IFERROR(IF(Data_Entry!R399/Data_Entry!$H399&lt;0,0,Data_Entry!R399/Data_Entry!$H399),0)</f>
        <v>1.0371533082868549</v>
      </c>
      <c r="N410" s="49">
        <f>IFERROR(IF(Data_Entry!S399/Data_Entry!$H399&lt;0,0,Data_Entry!S399/Data_Entry!$H399),0)</f>
        <v>0.99380958794053853</v>
      </c>
      <c r="O410" s="49">
        <f>IFERROR(IF(Data_Entry!T399/Data_Entry!$H399&lt;0,0,Data_Entry!T399/Data_Entry!$H399),0)</f>
        <v>1.0247693881879074</v>
      </c>
      <c r="P410" s="49">
        <f>IFERROR(IF(Data_Entry!U399/Data_Entry!$H399&lt;0,0,Data_Entry!U399/Data_Entry!$H399),0)</f>
        <v>1.0650171285094867</v>
      </c>
      <c r="Q410" s="49">
        <f>IFERROR(IF(Data_Entry!V399/Data_Entry!$H399&lt;0,0,Data_Entry!V399/Data_Entry!$H399),0)</f>
        <v>1.0402492883115917</v>
      </c>
      <c r="R410" s="49">
        <f>IFERROR(IF(Data_Entry!W399/Data_Entry!$H399&lt;0,0,Data_Entry!W399/Data_Entry!$H399),0)</f>
        <v>1.0557291884352762</v>
      </c>
      <c r="S410" s="49">
        <f>IFERROR(IF(Data_Entry!X399/Data_Entry!$H399&lt;0,0,Data_Entry!X399/Data_Entry!$H399),0)</f>
        <v>1.0804970286331712</v>
      </c>
      <c r="T410" s="49">
        <f>IFERROR(IF(Data_Entry!Y399/Data_Entry!$H399&lt;0,0,Data_Entry!Y399/Data_Entry!$H399),0)</f>
        <v>0.83281862665422079</v>
      </c>
      <c r="U410" s="49">
        <f>IFERROR(IF(Data_Entry!Z399/Data_Entry!$H399&lt;0,0,Data_Entry!Z399/Data_Entry!$H399),0)</f>
        <v>1.0804970286331712</v>
      </c>
      <c r="V410" s="49">
        <f>IFERROR(IF(Data_Entry!AA399/Data_Entry!$H399&lt;0,0,Data_Entry!AA399/Data_Entry!$H399),0)</f>
        <v>1.1950482895484358</v>
      </c>
      <c r="W410" s="49">
        <f>IFERROR(IF(Data_Entry!AB399/Data_Entry!$H399&lt;0,0,Data_Entry!AB399/Data_Entry!$H399),0)</f>
        <v>0.9845216478663279</v>
      </c>
      <c r="X410" s="49">
        <f>IFERROR(IF(Data_Entry!AC399/Data_Entry!$I399&lt;0,0,Data_Entry!AC399/Data_Entry!$I399),0)</f>
        <v>0.34846029173419768</v>
      </c>
      <c r="Y410" s="49">
        <f>IFERROR(IF(Data_Entry!AD399/Data_Entry!$I399&lt;0,0,Data_Entry!AD399/Data_Entry!$I399),0)</f>
        <v>0.35656401944894645</v>
      </c>
      <c r="Z410" s="49">
        <f>IFERROR(IF(Data_Entry!AE399/Data_Entry!$I399&lt;0,0,Data_Entry!AE399/Data_Entry!$I399),0)</f>
        <v>0.14856834143706102</v>
      </c>
      <c r="AA410" s="49">
        <f>IFERROR(IF(Data_Entry!AF399/Data_Entry!$I399&lt;0,0,Data_Entry!AF399/Data_Entry!$I399),0)</f>
        <v>6.7531064289573201E-2</v>
      </c>
      <c r="AB410" s="49">
        <f>IFERROR(IF(Data_Entry!AG399/Data_Entry!$I399&lt;0,0,Data_Entry!AG399/Data_Entry!$I399),0)</f>
        <v>3.781739600216099E-2</v>
      </c>
      <c r="AC410" s="49">
        <f>IFERROR(IF(Data_Entry!AI399/Data_Entry!$I399&lt;0,0,Data_Entry!AI399/Data_Entry!$I399),0)</f>
        <v>0.1350621285791464</v>
      </c>
      <c r="AD410" s="49">
        <f>IFERROR(IF(Data_Entry!AM399/Data_Entry!$H399&lt;0,0,Data_Entry!AM399/Data_Entry!$H399),0)</f>
        <v>1.0804970286331712</v>
      </c>
      <c r="AE410" s="50">
        <f>Data_Entry!AK399</f>
        <v>3.9995000000000118</v>
      </c>
      <c r="AF410" s="50">
        <f>Data_Entry!AL399</f>
        <v>0</v>
      </c>
      <c r="AG410" s="153">
        <f>(Data_Entry!O399-Data_Entry!Q399)/Data_Entry!O399</f>
        <v>-1.8808777429467086E-2</v>
      </c>
      <c r="AH410" s="79" t="str">
        <f t="shared" si="12"/>
        <v>CAT1</v>
      </c>
      <c r="AI410" s="51">
        <f>SUBTOTAL(3,Tableau1[[#This Row],[ZS]])</f>
        <v>0</v>
      </c>
      <c r="AJ410" s="51" t="e">
        <f t="shared" ca="1" si="13"/>
        <v>#NAME?</v>
      </c>
      <c r="AK410" s="50" t="str">
        <f>IFERROR(IF((Data_Entry!O399-Data_Entry!Q399)/Data_Entry!O399&lt;=10%,"&lt;=10%","&gt;10%"),"&lt;=10%")</f>
        <v>&lt;=10%</v>
      </c>
    </row>
    <row r="411" spans="1:37" s="48" customFormat="1" ht="13" hidden="1" x14ac:dyDescent="0.3">
      <c r="A411" s="31" t="s">
        <v>16</v>
      </c>
      <c r="B411" s="48" t="str">
        <f>Data_Entry!B400</f>
        <v>Butembo</v>
      </c>
      <c r="C411" s="48" t="str">
        <f>Data_Entry!C400</f>
        <v xml:space="preserve"> Lubero</v>
      </c>
      <c r="D411" s="48" t="str">
        <f>Data_Entry!D400</f>
        <v xml:space="preserve"> Lubero Cité</v>
      </c>
      <c r="E411" s="49">
        <f>IFERROR(IF(Data_Entry!J400/Data_Entry!$I400&lt;0,0,Data_Entry!J400/Data_Entry!$I400),0)</f>
        <v>0.81204593391141333</v>
      </c>
      <c r="F411" s="49">
        <f>IFERROR(IF(Data_Entry!K400/Data_Entry!$H400&lt;0,0,Data_Entry!K400/Data_Entry!$H400),0)</f>
        <v>0.61913142978398217</v>
      </c>
      <c r="G411" s="49">
        <f>IFERROR(IF(Data_Entry!L400/Data_Entry!$H400&lt;0,0,Data_Entry!L400/Data_Entry!$H400),0)</f>
        <v>1.0112927692566998</v>
      </c>
      <c r="H411" s="49">
        <f>IFERROR(IF(Data_Entry!M400/Data_Entry!$H400&lt;0,0,Data_Entry!M400/Data_Entry!$H400),0)</f>
        <v>0.99651956811217945</v>
      </c>
      <c r="I411" s="49">
        <f>IFERROR(IF(Data_Entry!N400/Data_Entry!$H400&lt;0,0,Data_Entry!N400/Data_Entry!$H400),0)</f>
        <v>1.0059206961132379</v>
      </c>
      <c r="J411" s="49">
        <f>IFERROR(IF(Data_Entry!O400/Data_Entry!$H400&lt;0,0,Data_Entry!O400/Data_Entry!$H400),0)</f>
        <v>1.0206938972577579</v>
      </c>
      <c r="K411" s="49">
        <f>IFERROR(IF(Data_Entry!P400/Data_Entry!$H400&lt;0,0,Data_Entry!P400/Data_Entry!$H400),0)</f>
        <v>0.99651956811217945</v>
      </c>
      <c r="L411" s="49">
        <f>IFERROR(IF(Data_Entry!Q400/Data_Entry!$H400&lt;0,0,Data_Entry!Q400/Data_Entry!$H400),0)</f>
        <v>0.9992056046839104</v>
      </c>
      <c r="M411" s="49">
        <f>IFERROR(IF(Data_Entry!R400/Data_Entry!$H400&lt;0,0,Data_Entry!R400/Data_Entry!$H400),0)</f>
        <v>1.0435252081174711</v>
      </c>
      <c r="N411" s="49">
        <f>IFERROR(IF(Data_Entry!S400/Data_Entry!$H400&lt;0,0,Data_Entry!S400/Data_Entry!$H400),0)</f>
        <v>0.90922337953092391</v>
      </c>
      <c r="O411" s="49">
        <f>IFERROR(IF(Data_Entry!T400/Data_Entry!$H400&lt;0,0,Data_Entry!T400/Data_Entry!$H400),0)</f>
        <v>0.92533959896130957</v>
      </c>
      <c r="P411" s="49">
        <f>IFERROR(IF(Data_Entry!U400/Data_Entry!$H400&lt;0,0,Data_Entry!U400/Data_Entry!$H400),0)</f>
        <v>1.1133621589824754</v>
      </c>
      <c r="Q411" s="49">
        <f>IFERROR(IF(Data_Entry!V400/Data_Entry!$H400&lt;0,0,Data_Entry!V400/Data_Entry!$H400),0)</f>
        <v>1.0408391715457401</v>
      </c>
      <c r="R411" s="49">
        <f>IFERROR(IF(Data_Entry!W400/Data_Entry!$H400&lt;0,0,Data_Entry!W400/Data_Entry!$H400),0)</f>
        <v>0.96160109267967719</v>
      </c>
      <c r="S411" s="49">
        <f>IFERROR(IF(Data_Entry!X400/Data_Entry!$H400&lt;0,0,Data_Entry!X400/Data_Entry!$H400),0)</f>
        <v>0.99383353154044851</v>
      </c>
      <c r="T411" s="49">
        <f>IFERROR(IF(Data_Entry!Y400/Data_Entry!$H400&lt;0,0,Data_Entry!Y400/Data_Entry!$H400),0)</f>
        <v>0.46468432690945299</v>
      </c>
      <c r="U411" s="49">
        <f>IFERROR(IF(Data_Entry!Z400/Data_Entry!$H400&lt;0,0,Data_Entry!Z400/Data_Entry!$H400),0)</f>
        <v>0.93742676353409871</v>
      </c>
      <c r="V411" s="49">
        <f>IFERROR(IF(Data_Entry!AA400/Data_Entry!$H400&lt;0,0,Data_Entry!AA400/Data_Entry!$H400),0)</f>
        <v>1.0059206961132379</v>
      </c>
      <c r="W411" s="49">
        <f>IFERROR(IF(Data_Entry!AB400/Data_Entry!$H400&lt;0,0,Data_Entry!AB400/Data_Entry!$H400),0)</f>
        <v>0.89042112352880731</v>
      </c>
      <c r="X411" s="49">
        <f>IFERROR(IF(Data_Entry!AC400/Data_Entry!$I400&lt;0,0,Data_Entry!AC400/Data_Entry!$I400),0)</f>
        <v>0.43121631122568554</v>
      </c>
      <c r="Y411" s="49">
        <f>IFERROR(IF(Data_Entry!AD400/Data_Entry!$I400&lt;0,0,Data_Entry!AD400/Data_Entry!$I400),0)</f>
        <v>0.28357159596906495</v>
      </c>
      <c r="Z411" s="49">
        <f>IFERROR(IF(Data_Entry!AE400/Data_Entry!$I400&lt;0,0,Data_Entry!AE400/Data_Entry!$I400),0)</f>
        <v>0.23201312397468951</v>
      </c>
      <c r="AA411" s="49">
        <f>IFERROR(IF(Data_Entry!AF400/Data_Entry!$I400&lt;0,0,Data_Entry!AF400/Data_Entry!$I400),0)</f>
        <v>0.16873681743613783</v>
      </c>
      <c r="AB411" s="49">
        <f>IFERROR(IF(Data_Entry!AG400/Data_Entry!$I400&lt;0,0,Data_Entry!AG400/Data_Entry!$I400),0)</f>
        <v>0.1769393016170612</v>
      </c>
      <c r="AC411" s="49">
        <f>IFERROR(IF(Data_Entry!AI400/Data_Entry!$I400&lt;0,0,Data_Entry!AI400/Data_Entry!$I400),0)</f>
        <v>6.3510663229435216E-2</v>
      </c>
      <c r="AD411" s="49">
        <f>IFERROR(IF(Data_Entry!AM400/Data_Entry!$H400&lt;0,0,Data_Entry!AM400/Data_Entry!$H400),0)</f>
        <v>0.93742676353409871</v>
      </c>
      <c r="AE411" s="50">
        <f>Data_Entry!AK400</f>
        <v>0</v>
      </c>
      <c r="AF411" s="50">
        <f>Data_Entry!AL400</f>
        <v>20</v>
      </c>
      <c r="AG411" s="153">
        <f>(Data_Entry!O400-Data_Entry!Q400)/Data_Entry!O400</f>
        <v>2.1052631578947368E-2</v>
      </c>
      <c r="AH411" s="79" t="str">
        <f t="shared" si="12"/>
        <v>CAT1</v>
      </c>
      <c r="AI411" s="51">
        <f>SUBTOTAL(3,Tableau1[[#This Row],[ZS]])</f>
        <v>0</v>
      </c>
      <c r="AJ411" s="51" t="e">
        <f t="shared" ca="1" si="13"/>
        <v>#NAME?</v>
      </c>
      <c r="AK411" s="50" t="str">
        <f>IFERROR(IF((Data_Entry!O400-Data_Entry!Q400)/Data_Entry!O400&lt;=10%,"&lt;=10%","&gt;10%"),"&lt;=10%")</f>
        <v>&lt;=10%</v>
      </c>
    </row>
    <row r="412" spans="1:37" s="48" customFormat="1" ht="13" hidden="1" x14ac:dyDescent="0.3">
      <c r="A412" s="31" t="s">
        <v>16</v>
      </c>
      <c r="B412" s="48" t="str">
        <f>Data_Entry!B401</f>
        <v>Butembo</v>
      </c>
      <c r="C412" s="48" t="str">
        <f>Data_Entry!C401</f>
        <v xml:space="preserve"> Lubero</v>
      </c>
      <c r="D412" s="48" t="str">
        <f>Data_Entry!D401</f>
        <v xml:space="preserve"> Mubana</v>
      </c>
      <c r="E412" s="49">
        <f>IFERROR(IF(Data_Entry!J401/Data_Entry!$I401&lt;0,0,Data_Entry!J401/Data_Entry!$I401),0)</f>
        <v>0.57904411764705888</v>
      </c>
      <c r="F412" s="49">
        <f>IFERROR(IF(Data_Entry!K401/Data_Entry!$H401&lt;0,0,Data_Entry!K401/Data_Entry!$H401),0)</f>
        <v>0.61450081465250861</v>
      </c>
      <c r="G412" s="49">
        <f>IFERROR(IF(Data_Entry!L401/Data_Entry!$H401&lt;0,0,Data_Entry!L401/Data_Entry!$H401),0)</f>
        <v>0.95159840440474186</v>
      </c>
      <c r="H412" s="49">
        <f>IFERROR(IF(Data_Entry!M401/Data_Entry!$H401&lt;0,0,Data_Entry!M401/Data_Entry!$H401),0)</f>
        <v>0.99373560312377107</v>
      </c>
      <c r="I412" s="49">
        <f>IFERROR(IF(Data_Entry!N401/Data_Entry!$H401&lt;0,0,Data_Entry!N401/Data_Entry!$H401),0)</f>
        <v>0.9480869711781561</v>
      </c>
      <c r="J412" s="49">
        <f>IFERROR(IF(Data_Entry!O401/Data_Entry!$H401&lt;0,0,Data_Entry!O401/Data_Entry!$H401),0)</f>
        <v>0.99724703635035683</v>
      </c>
      <c r="K412" s="49">
        <f>IFERROR(IF(Data_Entry!P401/Data_Entry!$H401&lt;0,0,Data_Entry!P401/Data_Entry!$H401),0)</f>
        <v>0.95159840440474186</v>
      </c>
      <c r="L412" s="49">
        <f>IFERROR(IF(Data_Entry!Q401/Data_Entry!$H401&lt;0,0,Data_Entry!Q401/Data_Entry!$H401),0)</f>
        <v>0.91297263891229852</v>
      </c>
      <c r="M412" s="49">
        <f>IFERROR(IF(Data_Entry!R401/Data_Entry!$H401&lt;0,0,Data_Entry!R401/Data_Entry!$H401),0)</f>
        <v>1.0253385021630428</v>
      </c>
      <c r="N412" s="49">
        <f>IFERROR(IF(Data_Entry!S401/Data_Entry!$H401&lt;0,0,Data_Entry!S401/Data_Entry!$H401),0)</f>
        <v>0.97266700376425641</v>
      </c>
      <c r="O412" s="49">
        <f>IFERROR(IF(Data_Entry!T401/Data_Entry!$H401&lt;0,0,Data_Entry!T401/Data_Entry!$H401),0)</f>
        <v>0.92701837181864155</v>
      </c>
      <c r="P412" s="49">
        <f>IFERROR(IF(Data_Entry!U401/Data_Entry!$H401&lt;0,0,Data_Entry!U401/Data_Entry!$H401),0)</f>
        <v>0.96915557053767065</v>
      </c>
      <c r="Q412" s="49">
        <f>IFERROR(IF(Data_Entry!V401/Data_Entry!$H401&lt;0,0,Data_Entry!V401/Data_Entry!$H401),0)</f>
        <v>0.79007247598179675</v>
      </c>
      <c r="R412" s="49">
        <f>IFERROR(IF(Data_Entry!W401/Data_Entry!$H401&lt;0,0,Data_Entry!W401/Data_Entry!$H401),0)</f>
        <v>0.89541547277936961</v>
      </c>
      <c r="S412" s="49">
        <f>IFERROR(IF(Data_Entry!X401/Data_Entry!$H401&lt;0,0,Data_Entry!X401/Data_Entry!$H401),0)</f>
        <v>0.88488117309961234</v>
      </c>
      <c r="T412" s="49">
        <f>IFERROR(IF(Data_Entry!Y401/Data_Entry!$H401&lt;0,0,Data_Entry!Y401/Data_Entry!$H401),0)</f>
        <v>0.79709534243496827</v>
      </c>
      <c r="U412" s="49">
        <f>IFERROR(IF(Data_Entry!Z401/Data_Entry!$H401&lt;0,0,Data_Entry!Z401/Data_Entry!$H401),0)</f>
        <v>0.87434687341985506</v>
      </c>
      <c r="V412" s="49">
        <f>IFERROR(IF(Data_Entry!AA401/Data_Entry!$H401&lt;0,0,Data_Entry!AA401/Data_Entry!$H401),0)</f>
        <v>0.95159840440474186</v>
      </c>
      <c r="W412" s="49">
        <f>IFERROR(IF(Data_Entry!AB401/Data_Entry!$H401&lt;0,0,Data_Entry!AB401/Data_Entry!$H401),0)</f>
        <v>0.78656104275521099</v>
      </c>
      <c r="X412" s="49">
        <f>IFERROR(IF(Data_Entry!AC401/Data_Entry!$I401&lt;0,0,Data_Entry!AC401/Data_Entry!$I401),0)</f>
        <v>0.24509803921568629</v>
      </c>
      <c r="Y412" s="49">
        <f>IFERROR(IF(Data_Entry!AD401/Data_Entry!$I401&lt;0,0,Data_Entry!AD401/Data_Entry!$I401),0)</f>
        <v>0.16544117647058826</v>
      </c>
      <c r="Z412" s="49">
        <f>IFERROR(IF(Data_Entry!AE401/Data_Entry!$I401&lt;0,0,Data_Entry!AE401/Data_Entry!$I401),0)</f>
        <v>0.21752450980392157</v>
      </c>
      <c r="AA412" s="49">
        <f>IFERROR(IF(Data_Entry!AF401/Data_Entry!$I401&lt;0,0,Data_Entry!AF401/Data_Entry!$I401),0)</f>
        <v>0.18995098039215688</v>
      </c>
      <c r="AB412" s="49">
        <f>IFERROR(IF(Data_Entry!AG401/Data_Entry!$I401&lt;0,0,Data_Entry!AG401/Data_Entry!$I401),0)</f>
        <v>0.34620098039215691</v>
      </c>
      <c r="AC412" s="49">
        <f>IFERROR(IF(Data_Entry!AI401/Data_Entry!$I401&lt;0,0,Data_Entry!AI401/Data_Entry!$I401),0)</f>
        <v>0.17861519607843138</v>
      </c>
      <c r="AD412" s="49">
        <f>IFERROR(IF(Data_Entry!AM401/Data_Entry!$H401&lt;0,0,Data_Entry!AM401/Data_Entry!$H401),0)</f>
        <v>0.87434687341985506</v>
      </c>
      <c r="AE412" s="50">
        <f>Data_Entry!AK401</f>
        <v>0.78399999999999181</v>
      </c>
      <c r="AF412" s="50">
        <f>Data_Entry!AL401</f>
        <v>32</v>
      </c>
      <c r="AG412" s="153">
        <f>(Data_Entry!O401-Data_Entry!Q401)/Data_Entry!O401</f>
        <v>8.4507042253521125E-2</v>
      </c>
      <c r="AH412" s="79" t="str">
        <f t="shared" si="12"/>
        <v>CAT1</v>
      </c>
      <c r="AI412" s="51">
        <f>SUBTOTAL(3,Tableau1[[#This Row],[ZS]])</f>
        <v>0</v>
      </c>
      <c r="AJ412" s="51" t="e">
        <f t="shared" ca="1" si="13"/>
        <v>#NAME?</v>
      </c>
      <c r="AK412" s="50" t="str">
        <f>IFERROR(IF((Data_Entry!O401-Data_Entry!Q401)/Data_Entry!O401&lt;=10%,"&lt;=10%","&gt;10%"),"&lt;=10%")</f>
        <v>&lt;=10%</v>
      </c>
    </row>
    <row r="413" spans="1:37" s="48" customFormat="1" ht="13" hidden="1" x14ac:dyDescent="0.3">
      <c r="A413" s="31" t="s">
        <v>16</v>
      </c>
      <c r="B413" s="48" t="str">
        <f>Data_Entry!B402</f>
        <v>Butembo</v>
      </c>
      <c r="C413" s="48" t="str">
        <f>Data_Entry!C402</f>
        <v xml:space="preserve"> Lubero</v>
      </c>
      <c r="D413" s="48" t="str">
        <f>Data_Entry!D402</f>
        <v xml:space="preserve"> Mulo</v>
      </c>
      <c r="E413" s="49">
        <f>IFERROR(IF(Data_Entry!J402/Data_Entry!$I402&lt;0,0,Data_Entry!J402/Data_Entry!$I402),0)</f>
        <v>0.77586206896551724</v>
      </c>
      <c r="F413" s="49">
        <f>IFERROR(IF(Data_Entry!K402/Data_Entry!$H402&lt;0,0,Data_Entry!K402/Data_Entry!$H402),0)</f>
        <v>0.26613460992953014</v>
      </c>
      <c r="G413" s="49">
        <f>IFERROR(IF(Data_Entry!L402/Data_Entry!$H402&lt;0,0,Data_Entry!L402/Data_Entry!$H402),0)</f>
        <v>0.84621244235078141</v>
      </c>
      <c r="H413" s="49">
        <f>IFERROR(IF(Data_Entry!M402/Data_Entry!$H402&lt;0,0,Data_Entry!M402/Data_Entry!$H402),0)</f>
        <v>0.81434003397598742</v>
      </c>
      <c r="I413" s="49">
        <f>IFERROR(IF(Data_Entry!N402/Data_Entry!$H402&lt;0,0,Data_Entry!N402/Data_Entry!$H402),0)</f>
        <v>0.81912089523220655</v>
      </c>
      <c r="J413" s="49">
        <f>IFERROR(IF(Data_Entry!O402/Data_Entry!$H402&lt;0,0,Data_Entry!O402/Data_Entry!$H402),0)</f>
        <v>0.83983796067582261</v>
      </c>
      <c r="K413" s="49">
        <f>IFERROR(IF(Data_Entry!P402/Data_Entry!$H402&lt;0,0,Data_Entry!P402/Data_Entry!$H402),0)</f>
        <v>0.84302520151330196</v>
      </c>
      <c r="L413" s="49">
        <f>IFERROR(IF(Data_Entry!Q402/Data_Entry!$H402&lt;0,0,Data_Entry!Q402/Data_Entry!$H402),0)</f>
        <v>0.94023604705642383</v>
      </c>
      <c r="M413" s="49">
        <f>IFERROR(IF(Data_Entry!R402/Data_Entry!$H402&lt;0,0,Data_Entry!R402/Data_Entry!$H402),0)</f>
        <v>0.81912089523220655</v>
      </c>
      <c r="N413" s="49">
        <f>IFERROR(IF(Data_Entry!S402/Data_Entry!$H402&lt;0,0,Data_Entry!S402/Data_Entry!$H402),0)</f>
        <v>0.79840382978859037</v>
      </c>
      <c r="O413" s="49">
        <f>IFERROR(IF(Data_Entry!T402/Data_Entry!$H402&lt;0,0,Data_Entry!T402/Data_Entry!$H402),0)</f>
        <v>0.80477831146354917</v>
      </c>
      <c r="P413" s="49">
        <f>IFERROR(IF(Data_Entry!U402/Data_Entry!$H402&lt;0,0,Data_Entry!U402/Data_Entry!$H402),0)</f>
        <v>0.89402105491297246</v>
      </c>
      <c r="Q413" s="49">
        <f>IFERROR(IF(Data_Entry!V402/Data_Entry!$H402&lt;0,0,Data_Entry!V402/Data_Entry!$H402),0)</f>
        <v>0.95298501040634143</v>
      </c>
      <c r="R413" s="49">
        <f>IFERROR(IF(Data_Entry!W402/Data_Entry!$H402&lt;0,0,Data_Entry!W402/Data_Entry!$H402),0)</f>
        <v>0.8844593324005342</v>
      </c>
      <c r="S413" s="49">
        <f>IFERROR(IF(Data_Entry!X402/Data_Entry!$H402&lt;0,0,Data_Entry!X402/Data_Entry!$H402),0)</f>
        <v>0.7394398742952214</v>
      </c>
      <c r="T413" s="49">
        <f>IFERROR(IF(Data_Entry!Y402/Data_Entry!$H402&lt;0,0,Data_Entry!Y402/Data_Entry!$H402),0)</f>
        <v>0.27728995286070801</v>
      </c>
      <c r="U413" s="49">
        <f>IFERROR(IF(Data_Entry!Z402/Data_Entry!$H402&lt;0,0,Data_Entry!Z402/Data_Entry!$H402),0)</f>
        <v>0.7394398742952214</v>
      </c>
      <c r="V413" s="49">
        <f>IFERROR(IF(Data_Entry!AA402/Data_Entry!$H402&lt;0,0,Data_Entry!AA402/Data_Entry!$H402),0)</f>
        <v>0.83346347900086382</v>
      </c>
      <c r="W413" s="49">
        <f>IFERROR(IF(Data_Entry!AB402/Data_Entry!$H402&lt;0,0,Data_Entry!AB402/Data_Entry!$H402),0)</f>
        <v>0.7330653926202626</v>
      </c>
      <c r="X413" s="49">
        <f>IFERROR(IF(Data_Entry!AC402/Data_Entry!$I402&lt;0,0,Data_Entry!AC402/Data_Entry!$I402),0)</f>
        <v>8.2035595105672959E-2</v>
      </c>
      <c r="Y413" s="49">
        <f>IFERROR(IF(Data_Entry!AD402/Data_Entry!$I402&lt;0,0,Data_Entry!AD402/Data_Entry!$I402),0)</f>
        <v>6.1179087875417128E-2</v>
      </c>
      <c r="Z413" s="49">
        <f>IFERROR(IF(Data_Entry!AE402/Data_Entry!$I402&lt;0,0,Data_Entry!AE402/Data_Entry!$I402),0)</f>
        <v>9.4549499443826471E-2</v>
      </c>
      <c r="AA413" s="49">
        <f>IFERROR(IF(Data_Entry!AF402/Data_Entry!$I402&lt;0,0,Data_Entry!AF402/Data_Entry!$I402),0)</f>
        <v>6.1179087875417128E-2</v>
      </c>
      <c r="AB413" s="49">
        <f>IFERROR(IF(Data_Entry!AG402/Data_Entry!$I402&lt;0,0,Data_Entry!AG402/Data_Entry!$I402),0)</f>
        <v>5.5617352614015569E-2</v>
      </c>
      <c r="AC413" s="49">
        <f>IFERROR(IF(Data_Entry!AI402/Data_Entry!$I402&lt;0,0,Data_Entry!AI402/Data_Entry!$I402),0)</f>
        <v>8.1062291434927686E-2</v>
      </c>
      <c r="AD413" s="49">
        <f>IFERROR(IF(Data_Entry!AM402/Data_Entry!$H402&lt;0,0,Data_Entry!AM402/Data_Entry!$H402),0)</f>
        <v>0.7394398742952214</v>
      </c>
      <c r="AE413" s="50">
        <f>Data_Entry!AK402</f>
        <v>100.50199999999995</v>
      </c>
      <c r="AF413" s="50">
        <f>Data_Entry!AL402</f>
        <v>63</v>
      </c>
      <c r="AG413" s="153">
        <f>(Data_Entry!O402-Data_Entry!Q402)/Data_Entry!O402</f>
        <v>-0.11954459203036052</v>
      </c>
      <c r="AH413" s="79" t="str">
        <f t="shared" si="12"/>
        <v>CAT3</v>
      </c>
      <c r="AI413" s="51">
        <f>SUBTOTAL(3,Tableau1[[#This Row],[ZS]])</f>
        <v>0</v>
      </c>
      <c r="AJ413" s="51" t="e">
        <f t="shared" ca="1" si="13"/>
        <v>#NAME?</v>
      </c>
      <c r="AK413" s="50" t="str">
        <f>IFERROR(IF((Data_Entry!O402-Data_Entry!Q402)/Data_Entry!O402&lt;=10%,"&lt;=10%","&gt;10%"),"&lt;=10%")</f>
        <v>&lt;=10%</v>
      </c>
    </row>
    <row r="414" spans="1:37" s="48" customFormat="1" ht="13" hidden="1" x14ac:dyDescent="0.3">
      <c r="A414" s="31" t="s">
        <v>16</v>
      </c>
      <c r="B414" s="48" t="str">
        <f>Data_Entry!B403</f>
        <v>Butembo</v>
      </c>
      <c r="C414" s="48" t="str">
        <f>Data_Entry!C403</f>
        <v xml:space="preserve"> Lubero</v>
      </c>
      <c r="D414" s="48" t="str">
        <f>Data_Entry!D403</f>
        <v xml:space="preserve"> Vukendo</v>
      </c>
      <c r="E414" s="49">
        <f>IFERROR(IF(Data_Entry!J403/Data_Entry!$I403&lt;0,0,Data_Entry!J403/Data_Entry!$I403),0)</f>
        <v>0.47247969813797069</v>
      </c>
      <c r="F414" s="49">
        <f>IFERROR(IF(Data_Entry!K403/Data_Entry!$H403&lt;0,0,Data_Entry!K403/Data_Entry!$H403),0)</f>
        <v>0.41460431964112754</v>
      </c>
      <c r="G414" s="49">
        <f>IFERROR(IF(Data_Entry!L403/Data_Entry!$H403&lt;0,0,Data_Entry!L403/Data_Entry!$H403),0)</f>
        <v>0.91664220328820711</v>
      </c>
      <c r="H414" s="49">
        <f>IFERROR(IF(Data_Entry!M403/Data_Entry!$H403&lt;0,0,Data_Entry!M403/Data_Entry!$H403),0)</f>
        <v>0.81792688908793865</v>
      </c>
      <c r="I414" s="49">
        <f>IFERROR(IF(Data_Entry!N403/Data_Entry!$H403&lt;0,0,Data_Entry!N403/Data_Entry!$H403),0)</f>
        <v>0.91946264083678619</v>
      </c>
      <c r="J414" s="49">
        <f>IFERROR(IF(Data_Entry!O403/Data_Entry!$H403&lt;0,0,Data_Entry!O403/Data_Entry!$H403),0)</f>
        <v>0.8884378278024162</v>
      </c>
      <c r="K414" s="49">
        <f>IFERROR(IF(Data_Entry!P403/Data_Entry!$H403&lt;0,0,Data_Entry!P403/Data_Entry!$H403),0)</f>
        <v>0.76715901321351487</v>
      </c>
      <c r="L414" s="49">
        <f>IFERROR(IF(Data_Entry!Q403/Data_Entry!$H403&lt;0,0,Data_Entry!Q403/Data_Entry!$H403),0)</f>
        <v>0.89125826535099528</v>
      </c>
      <c r="M414" s="49">
        <f>IFERROR(IF(Data_Entry!R403/Data_Entry!$H403&lt;0,0,Data_Entry!R403/Data_Entry!$H403),0)</f>
        <v>0.73331376263056569</v>
      </c>
      <c r="N414" s="49">
        <f>IFERROR(IF(Data_Entry!S403/Data_Entry!$H403&lt;0,0,Data_Entry!S403/Data_Entry!$H403),0)</f>
        <v>0.63177801088171814</v>
      </c>
      <c r="O414" s="49">
        <f>IFERROR(IF(Data_Entry!T403/Data_Entry!$H403&lt;0,0,Data_Entry!T403/Data_Entry!$H403),0)</f>
        <v>0.73613420017914477</v>
      </c>
      <c r="P414" s="49">
        <f>IFERROR(IF(Data_Entry!U403/Data_Entry!$H403&lt;0,0,Data_Entry!U403/Data_Entry!$H403),0)</f>
        <v>0.83766995192799232</v>
      </c>
      <c r="Q414" s="49">
        <f>IFERROR(IF(Data_Entry!V403/Data_Entry!$H403&lt;0,0,Data_Entry!V403/Data_Entry!$H403),0)</f>
        <v>0.74459551282488212</v>
      </c>
      <c r="R414" s="49">
        <f>IFERROR(IF(Data_Entry!W403/Data_Entry!$H403&lt;0,0,Data_Entry!W403/Data_Entry!$H403),0)</f>
        <v>0.84049038947657151</v>
      </c>
      <c r="S414" s="49">
        <f>IFERROR(IF(Data_Entry!X403/Data_Entry!$H403&lt;0,0,Data_Entry!X403/Data_Entry!$H403),0)</f>
        <v>0.86305388986520426</v>
      </c>
      <c r="T414" s="49">
        <f>IFERROR(IF(Data_Entry!Y403/Data_Entry!$H403&lt;0,0,Data_Entry!Y403/Data_Entry!$H403),0)</f>
        <v>0.49921744609850049</v>
      </c>
      <c r="U414" s="49">
        <f>IFERROR(IF(Data_Entry!Z403/Data_Entry!$H403&lt;0,0,Data_Entry!Z403/Data_Entry!$H403),0)</f>
        <v>0.86305388986520426</v>
      </c>
      <c r="V414" s="49">
        <f>IFERROR(IF(Data_Entry!AA403/Data_Entry!$H403&lt;0,0,Data_Entry!AA403/Data_Entry!$H403),0)</f>
        <v>0.91946264083678619</v>
      </c>
      <c r="W414" s="49">
        <f>IFERROR(IF(Data_Entry!AB403/Data_Entry!$H403&lt;0,0,Data_Entry!AB403/Data_Entry!$H403),0)</f>
        <v>0.86305388986520426</v>
      </c>
      <c r="X414" s="49">
        <f>IFERROR(IF(Data_Entry!AC403/Data_Entry!$I403&lt;0,0,Data_Entry!AC403/Data_Entry!$I403),0)</f>
        <v>0.11319826101222215</v>
      </c>
      <c r="Y414" s="49">
        <f>IFERROR(IF(Data_Entry!AD403/Data_Entry!$I403&lt;0,0,Data_Entry!AD403/Data_Entry!$I403),0)</f>
        <v>0.11565909277335741</v>
      </c>
      <c r="Z414" s="49">
        <f>IFERROR(IF(Data_Entry!AE403/Data_Entry!$I403&lt;0,0,Data_Entry!AE403/Data_Entry!$I403),0)</f>
        <v>0.12058075629562794</v>
      </c>
      <c r="AA414" s="49">
        <f>IFERROR(IF(Data_Entry!AF403/Data_Entry!$I403&lt;0,0,Data_Entry!AF403/Data_Entry!$I403),0)</f>
        <v>8.1207448117463707E-2</v>
      </c>
      <c r="AB414" s="49">
        <f>IFERROR(IF(Data_Entry!AG403/Data_Entry!$I403&lt;0,0,Data_Entry!AG403/Data_Entry!$I403),0)</f>
        <v>5.6599130506111074E-2</v>
      </c>
      <c r="AC414" s="49">
        <f>IFERROR(IF(Data_Entry!AI403/Data_Entry!$I403&lt;0,0,Data_Entry!AI403/Data_Entry!$I403),0)</f>
        <v>0.14346649167418588</v>
      </c>
      <c r="AD414" s="49">
        <f>IFERROR(IF(Data_Entry!AM403/Data_Entry!$H403&lt;0,0,Data_Entry!AM403/Data_Entry!$H403),0)</f>
        <v>0.86305388986520426</v>
      </c>
      <c r="AE414" s="50">
        <f>Data_Entry!AK403</f>
        <v>39.554916666666657</v>
      </c>
      <c r="AF414" s="50">
        <f>Data_Entry!AL403</f>
        <v>9</v>
      </c>
      <c r="AG414" s="153">
        <f>(Data_Entry!O403-Data_Entry!Q403)/Data_Entry!O403</f>
        <v>-3.1746031746031746E-3</v>
      </c>
      <c r="AH414" s="79" t="str">
        <f t="shared" si="12"/>
        <v>CAT3</v>
      </c>
      <c r="AI414" s="51">
        <f>SUBTOTAL(3,Tableau1[[#This Row],[ZS]])</f>
        <v>0</v>
      </c>
      <c r="AJ414" s="51" t="e">
        <f t="shared" ca="1" si="13"/>
        <v>#NAME?</v>
      </c>
      <c r="AK414" s="50" t="str">
        <f>IFERROR(IF((Data_Entry!O403-Data_Entry!Q403)/Data_Entry!O403&lt;=10%,"&lt;=10%","&gt;10%"),"&lt;=10%")</f>
        <v>&lt;=10%</v>
      </c>
    </row>
    <row r="415" spans="1:37" s="48" customFormat="1" ht="13" hidden="1" x14ac:dyDescent="0.3">
      <c r="A415" s="31" t="s">
        <v>16</v>
      </c>
      <c r="B415" s="48" t="str">
        <f>Data_Entry!B404</f>
        <v>Butembo</v>
      </c>
      <c r="C415" s="48" t="str">
        <f>Data_Entry!C404</f>
        <v xml:space="preserve"> Lubero</v>
      </c>
      <c r="D415" s="48" t="str">
        <f>Data_Entry!D404</f>
        <v xml:space="preserve"> Vulambo</v>
      </c>
      <c r="E415" s="49">
        <f>IFERROR(IF(Data_Entry!J404/Data_Entry!$I404&lt;0,0,Data_Entry!J404/Data_Entry!$I404),0)</f>
        <v>0.52187572725157094</v>
      </c>
      <c r="F415" s="49">
        <f>IFERROR(IF(Data_Entry!K404/Data_Entry!$H404&lt;0,0,Data_Entry!K404/Data_Entry!$H404),0)</f>
        <v>0.21004859124077366</v>
      </c>
      <c r="G415" s="49">
        <f>IFERROR(IF(Data_Entry!L404/Data_Entry!$H404&lt;0,0,Data_Entry!L404/Data_Entry!$H404),0)</f>
        <v>1.0742485094885281</v>
      </c>
      <c r="H415" s="49">
        <f>IFERROR(IF(Data_Entry!M404/Data_Entry!$H404&lt;0,0,Data_Entry!M404/Data_Entry!$H404),0)</f>
        <v>1.1002545255469096</v>
      </c>
      <c r="I415" s="49">
        <f>IFERROR(IF(Data_Entry!N404/Data_Entry!$H404&lt;0,0,Data_Entry!N404/Data_Entry!$H404),0)</f>
        <v>1.0202360145980436</v>
      </c>
      <c r="J415" s="49">
        <f>IFERROR(IF(Data_Entry!O404/Data_Entry!$H404&lt;0,0,Data_Entry!O404/Data_Entry!$H404),0)</f>
        <v>1.0642461956199198</v>
      </c>
      <c r="K415" s="49">
        <f>IFERROR(IF(Data_Entry!P404/Data_Entry!$H404&lt;0,0,Data_Entry!P404/Data_Entry!$H404),0)</f>
        <v>1.1142577649629613</v>
      </c>
      <c r="L415" s="49">
        <f>IFERROR(IF(Data_Entry!Q404/Data_Entry!$H404&lt;0,0,Data_Entry!Q404/Data_Entry!$H404),0)</f>
        <v>0.9682239824812805</v>
      </c>
      <c r="M415" s="49">
        <f>IFERROR(IF(Data_Entry!R404/Data_Entry!$H404&lt;0,0,Data_Entry!R404/Data_Entry!$H404),0)</f>
        <v>0.91221102481707417</v>
      </c>
      <c r="N415" s="49">
        <f>IFERROR(IF(Data_Entry!S404/Data_Entry!$H404&lt;0,0,Data_Entry!S404/Data_Entry!$H404),0)</f>
        <v>0.85819852992658952</v>
      </c>
      <c r="O415" s="49">
        <f>IFERROR(IF(Data_Entry!T404/Data_Entry!$H404&lt;0,0,Data_Entry!T404/Data_Entry!$H404),0)</f>
        <v>0.78618187007260998</v>
      </c>
      <c r="P415" s="49">
        <f>IFERROR(IF(Data_Entry!U404/Data_Entry!$H404&lt;0,0,Data_Entry!U404/Data_Entry!$H404),0)</f>
        <v>0.83419297664192971</v>
      </c>
      <c r="Q415" s="49">
        <f>IFERROR(IF(Data_Entry!V404/Data_Entry!$H404&lt;0,0,Data_Entry!V404/Data_Entry!$H404),0)</f>
        <v>0.76017585401422849</v>
      </c>
      <c r="R415" s="49">
        <f>IFERROR(IF(Data_Entry!W404/Data_Entry!$H404&lt;0,0,Data_Entry!W404/Data_Entry!$H404),0)</f>
        <v>0.37808746423339262</v>
      </c>
      <c r="S415" s="49">
        <f>IFERROR(IF(Data_Entry!X404/Data_Entry!$H404&lt;0,0,Data_Entry!X404/Data_Entry!$H404),0)</f>
        <v>0.99222953576594031</v>
      </c>
      <c r="T415" s="49">
        <f>IFERROR(IF(Data_Entry!Y404/Data_Entry!$H404&lt;0,0,Data_Entry!Y404/Data_Entry!$H404),0)</f>
        <v>0.47811060291947527</v>
      </c>
      <c r="U415" s="49">
        <f>IFERROR(IF(Data_Entry!Z404/Data_Entry!$H404&lt;0,0,Data_Entry!Z404/Data_Entry!$H404),0)</f>
        <v>1.1462651693425077</v>
      </c>
      <c r="V415" s="49">
        <f>IFERROR(IF(Data_Entry!AA404/Data_Entry!$H404&lt;0,0,Data_Entry!AA404/Data_Entry!$H404),0)</f>
        <v>1.1962767386855491</v>
      </c>
      <c r="W415" s="49">
        <f>IFERROR(IF(Data_Entry!AB404/Data_Entry!$H404&lt;0,0,Data_Entry!AB404/Data_Entry!$H404),0)</f>
        <v>0.87820315766380608</v>
      </c>
      <c r="X415" s="49">
        <f>IFERROR(IF(Data_Entry!AC404/Data_Entry!$I404&lt;0,0,Data_Entry!AC404/Data_Entry!$I404),0)</f>
        <v>0.17279497323714221</v>
      </c>
      <c r="Y415" s="49">
        <f>IFERROR(IF(Data_Entry!AD404/Data_Entry!$I404&lt;0,0,Data_Entry!AD404/Data_Entry!$I404),0)</f>
        <v>0.12566907144519435</v>
      </c>
      <c r="Z415" s="49">
        <f>IFERROR(IF(Data_Entry!AE404/Data_Entry!$I404&lt;0,0,Data_Entry!AE404/Data_Entry!$I404),0)</f>
        <v>0.12566907144519435</v>
      </c>
      <c r="AA415" s="49">
        <f>IFERROR(IF(Data_Entry!AF404/Data_Entry!$I404&lt;0,0,Data_Entry!AF404/Data_Entry!$I404),0)</f>
        <v>8.901559227367932E-2</v>
      </c>
      <c r="AB415" s="49">
        <f>IFERROR(IF(Data_Entry!AG404/Data_Entry!$I404&lt;0,0,Data_Entry!AG404/Data_Entry!$I404),0)</f>
        <v>8.7270188503607182E-2</v>
      </c>
      <c r="AC415" s="49">
        <f>IFERROR(IF(Data_Entry!AI404/Data_Entry!$I404&lt;0,0,Data_Entry!AI404/Data_Entry!$I404),0)</f>
        <v>0.10175703979520596</v>
      </c>
      <c r="AD415" s="49">
        <f>IFERROR(IF(Data_Entry!AM404/Data_Entry!$H404&lt;0,0,Data_Entry!AM404/Data_Entry!$H404),0)</f>
        <v>0.99222953576594031</v>
      </c>
      <c r="AE415" s="50">
        <f>Data_Entry!AK404</f>
        <v>0</v>
      </c>
      <c r="AF415" s="50">
        <f>Data_Entry!AL404</f>
        <v>36</v>
      </c>
      <c r="AG415" s="153">
        <f>(Data_Entry!O404-Data_Entry!Q404)/Data_Entry!O404</f>
        <v>9.0225563909774431E-2</v>
      </c>
      <c r="AH415" s="79" t="str">
        <f t="shared" si="12"/>
        <v>CAT1</v>
      </c>
      <c r="AI415" s="51">
        <f>SUBTOTAL(3,Tableau1[[#This Row],[ZS]])</f>
        <v>0</v>
      </c>
      <c r="AJ415" s="51" t="e">
        <f t="shared" ca="1" si="13"/>
        <v>#NAME?</v>
      </c>
      <c r="AK415" s="50" t="str">
        <f>IFERROR(IF((Data_Entry!O404-Data_Entry!Q404)/Data_Entry!O404&lt;=10%,"&lt;=10%","&gt;10%"),"&lt;=10%")</f>
        <v>&lt;=10%</v>
      </c>
    </row>
    <row r="416" spans="1:37" s="48" customFormat="1" ht="13" hidden="1" x14ac:dyDescent="0.3">
      <c r="A416" s="31" t="s">
        <v>16</v>
      </c>
      <c r="B416" s="48" t="str">
        <f>Data_Entry!B405</f>
        <v>Butembo</v>
      </c>
      <c r="C416" s="48" t="str">
        <f>Data_Entry!C405</f>
        <v xml:space="preserve"> Lubero</v>
      </c>
      <c r="D416" s="48" t="str">
        <f>Data_Entry!D405</f>
        <v xml:space="preserve"> Vunyakondomi</v>
      </c>
      <c r="E416" s="49">
        <f>IFERROR(IF(Data_Entry!J405/Data_Entry!$I405&lt;0,0,Data_Entry!J405/Data_Entry!$I405),0)</f>
        <v>0.7811411733190462</v>
      </c>
      <c r="F416" s="49">
        <f>IFERROR(IF(Data_Entry!K405/Data_Entry!$H405&lt;0,0,Data_Entry!K405/Data_Entry!$H405),0)</f>
        <v>1.2471436894053425</v>
      </c>
      <c r="G416" s="49">
        <f>IFERROR(IF(Data_Entry!L405/Data_Entry!$H405&lt;0,0,Data_Entry!L405/Data_Entry!$H405),0)</f>
        <v>0.95608208981000398</v>
      </c>
      <c r="H416" s="49">
        <f>IFERROR(IF(Data_Entry!M405/Data_Entry!$H405&lt;0,0,Data_Entry!M405/Data_Entry!$H405),0)</f>
        <v>0.91739668733214252</v>
      </c>
      <c r="I416" s="49">
        <f>IFERROR(IF(Data_Entry!N405/Data_Entry!$H405&lt;0,0,Data_Entry!N405/Data_Entry!$H405),0)</f>
        <v>0.93581830755969564</v>
      </c>
      <c r="J416" s="49">
        <f>IFERROR(IF(Data_Entry!O405/Data_Entry!$H405&lt;0,0,Data_Entry!O405/Data_Entry!$H405),0)</f>
        <v>1.0223999226291951</v>
      </c>
      <c r="K416" s="49">
        <f>IFERROR(IF(Data_Entry!P405/Data_Entry!$H405&lt;0,0,Data_Entry!P405/Data_Entry!$H405),0)</f>
        <v>0.91739668733214252</v>
      </c>
      <c r="L416" s="49">
        <f>IFERROR(IF(Data_Entry!Q405/Data_Entry!$H405&lt;0,0,Data_Entry!Q405/Data_Entry!$H405),0)</f>
        <v>0.93581830755969564</v>
      </c>
      <c r="M416" s="49">
        <f>IFERROR(IF(Data_Entry!R405/Data_Entry!$H405&lt;0,0,Data_Entry!R405/Data_Entry!$H405),0)</f>
        <v>0.74975994326140971</v>
      </c>
      <c r="N416" s="49">
        <f>IFERROR(IF(Data_Entry!S405/Data_Entry!$H405&lt;0,0,Data_Entry!S405/Data_Entry!$H405),0)</f>
        <v>0.69265292055599514</v>
      </c>
      <c r="O416" s="49">
        <f>IFERROR(IF(Data_Entry!T405/Data_Entry!$H405&lt;0,0,Data_Entry!T405/Data_Entry!$H405),0)</f>
        <v>0.65212535605537847</v>
      </c>
      <c r="P416" s="49">
        <f>IFERROR(IF(Data_Entry!U405/Data_Entry!$H405&lt;0,0,Data_Entry!U405/Data_Entry!$H405),0)</f>
        <v>0.91923884935489786</v>
      </c>
      <c r="Q416" s="49">
        <f>IFERROR(IF(Data_Entry!V405/Data_Entry!$H405&lt;0,0,Data_Entry!V405/Data_Entry!$H405),0)</f>
        <v>0.89897506710458952</v>
      </c>
      <c r="R416" s="49">
        <f>IFERROR(IF(Data_Entry!W405/Data_Entry!$H405&lt;0,0,Data_Entry!W405/Data_Entry!$H405),0)</f>
        <v>0.88055344687703641</v>
      </c>
      <c r="S416" s="49">
        <f>IFERROR(IF(Data_Entry!X405/Data_Entry!$H405&lt;0,0,Data_Entry!X405/Data_Entry!$H405),0)</f>
        <v>0.94318695565071686</v>
      </c>
      <c r="T416" s="49">
        <f>IFERROR(IF(Data_Entry!Y405/Data_Entry!$H405&lt;0,0,Data_Entry!Y405/Data_Entry!$H405),0)</f>
        <v>0.76818156348896272</v>
      </c>
      <c r="U416" s="49">
        <f>IFERROR(IF(Data_Entry!Z405/Data_Entry!$H405&lt;0,0,Data_Entry!Z405/Data_Entry!$H405),0)</f>
        <v>0.94318695565071686</v>
      </c>
      <c r="V416" s="49">
        <f>IFERROR(IF(Data_Entry!AA405/Data_Entry!$H405&lt;0,0,Data_Entry!AA405/Data_Entry!$H405),0)</f>
        <v>0.93581830755969564</v>
      </c>
      <c r="W416" s="49">
        <f>IFERROR(IF(Data_Entry!AB405/Data_Entry!$H405&lt;0,0,Data_Entry!AB405/Data_Entry!$H405),0)</f>
        <v>0.91187020126387663</v>
      </c>
      <c r="X416" s="49">
        <f>IFERROR(IF(Data_Entry!AC405/Data_Entry!$I405&lt;0,0,Data_Entry!AC405/Data_Entry!$I405),0)</f>
        <v>0.12376105009375836</v>
      </c>
      <c r="Y416" s="49">
        <f>IFERROR(IF(Data_Entry!AD405/Data_Entry!$I405&lt;0,0,Data_Entry!AD405/Data_Entry!$I405),0)</f>
        <v>0.16715778194481648</v>
      </c>
      <c r="Z416" s="49">
        <f>IFERROR(IF(Data_Entry!AE405/Data_Entry!$I405&lt;0,0,Data_Entry!AE405/Data_Entry!$I405),0)</f>
        <v>0.28288240021430483</v>
      </c>
      <c r="AA416" s="49">
        <f>IFERROR(IF(Data_Entry!AF405/Data_Entry!$I405&lt;0,0,Data_Entry!AF405/Data_Entry!$I405),0)</f>
        <v>0.26520225020091076</v>
      </c>
      <c r="AB416" s="49">
        <f>IFERROR(IF(Data_Entry!AG405/Data_Entry!$I405&lt;0,0,Data_Entry!AG405/Data_Entry!$I405),0)</f>
        <v>0.12536833645861237</v>
      </c>
      <c r="AC416" s="49">
        <f>IFERROR(IF(Data_Entry!AI405/Data_Entry!$I405&lt;0,0,Data_Entry!AI405/Data_Entry!$I405),0)</f>
        <v>9.3704795070988459E-2</v>
      </c>
      <c r="AD416" s="49">
        <f>IFERROR(IF(Data_Entry!AM405/Data_Entry!$H405&lt;0,0,Data_Entry!AM405/Data_Entry!$H405),0)</f>
        <v>0.94318695565071686</v>
      </c>
      <c r="AE416" s="50">
        <f>Data_Entry!AK405</f>
        <v>0</v>
      </c>
      <c r="AF416" s="50">
        <f>Data_Entry!AL405</f>
        <v>43</v>
      </c>
      <c r="AG416" s="153">
        <f>(Data_Entry!O405-Data_Entry!Q405)/Data_Entry!O405</f>
        <v>8.468468468468468E-2</v>
      </c>
      <c r="AH416" s="79" t="str">
        <f t="shared" si="12"/>
        <v>CAT1</v>
      </c>
      <c r="AI416" s="51">
        <f>SUBTOTAL(3,Tableau1[[#This Row],[ZS]])</f>
        <v>0</v>
      </c>
      <c r="AJ416" s="51" t="e">
        <f t="shared" ca="1" si="13"/>
        <v>#NAME?</v>
      </c>
      <c r="AK416" s="50" t="str">
        <f>IFERROR(IF((Data_Entry!O405-Data_Entry!Q405)/Data_Entry!O405&lt;=10%,"&lt;=10%","&gt;10%"),"&lt;=10%")</f>
        <v>&lt;=10%</v>
      </c>
    </row>
    <row r="417" spans="1:37" s="48" customFormat="1" ht="13" hidden="1" x14ac:dyDescent="0.3">
      <c r="A417" s="31" t="s">
        <v>16</v>
      </c>
      <c r="B417" s="48" t="str">
        <f>Data_Entry!B406</f>
        <v>Butembo</v>
      </c>
      <c r="C417" s="48" t="str">
        <f>Data_Entry!C406</f>
        <v xml:space="preserve"> Mabalako</v>
      </c>
      <c r="D417" s="48" t="str">
        <f>Data_Entry!D406</f>
        <v xml:space="preserve"> Aloya</v>
      </c>
      <c r="E417" s="49">
        <f>IFERROR(IF(Data_Entry!J406/Data_Entry!$I406&lt;0,0,Data_Entry!J406/Data_Entry!$I406),0)</f>
        <v>0.7848703391130889</v>
      </c>
      <c r="F417" s="49">
        <f>IFERROR(IF(Data_Entry!K406/Data_Entry!$H406&lt;0,0,Data_Entry!K406/Data_Entry!$H406),0)</f>
        <v>1.0842262665024647</v>
      </c>
      <c r="G417" s="49">
        <f>IFERROR(IF(Data_Entry!L406/Data_Entry!$H406&lt;0,0,Data_Entry!L406/Data_Entry!$H406),0)</f>
        <v>1.7978107071081013</v>
      </c>
      <c r="H417" s="49">
        <f>IFERROR(IF(Data_Entry!M406/Data_Entry!$H406&lt;0,0,Data_Entry!M406/Data_Entry!$H406),0)</f>
        <v>1.638210490262848</v>
      </c>
      <c r="I417" s="49">
        <f>IFERROR(IF(Data_Entry!N406/Data_Entry!$H406&lt;0,0,Data_Entry!N406/Data_Entry!$H406),0)</f>
        <v>1.7490073350149247</v>
      </c>
      <c r="J417" s="49">
        <f>IFERROR(IF(Data_Entry!O406/Data_Entry!$H406&lt;0,0,Data_Entry!O406/Data_Entry!$H406),0)</f>
        <v>1.3612183783826564</v>
      </c>
      <c r="K417" s="49">
        <f>IFERROR(IF(Data_Entry!P406/Data_Entry!$H406&lt;0,0,Data_Entry!P406/Data_Entry!$H406),0)</f>
        <v>1.301862925836901</v>
      </c>
      <c r="L417" s="49">
        <f>IFERROR(IF(Data_Entry!Q406/Data_Entry!$H406&lt;0,0,Data_Entry!Q406/Data_Entry!$H406),0)</f>
        <v>1.3467092677603605</v>
      </c>
      <c r="M417" s="49">
        <f>IFERROR(IF(Data_Entry!R406/Data_Entry!$H406&lt;0,0,Data_Entry!R406/Data_Entry!$H406),0)</f>
        <v>1.3612183783826564</v>
      </c>
      <c r="N417" s="49">
        <f>IFERROR(IF(Data_Entry!S406/Data_Entry!$H406&lt;0,0,Data_Entry!S406/Data_Entry!$H406),0)</f>
        <v>1.3031819358934733</v>
      </c>
      <c r="O417" s="49">
        <f>IFERROR(IF(Data_Entry!T406/Data_Entry!$H406&lt;0,0,Data_Entry!T406/Data_Entry!$H406),0)</f>
        <v>1.2200843023294159</v>
      </c>
      <c r="P417" s="49">
        <f>IFERROR(IF(Data_Entry!U406/Data_Entry!$H406&lt;0,0,Data_Entry!U406/Data_Entry!$H406),0)</f>
        <v>1.2570165839134413</v>
      </c>
      <c r="Q417" s="49">
        <f>IFERROR(IF(Data_Entry!V406/Data_Entry!$H406&lt;0,0,Data_Entry!V406/Data_Entry!$H406),0)</f>
        <v>1.1831520207453903</v>
      </c>
      <c r="R417" s="49">
        <f>IFERROR(IF(Data_Entry!W406/Data_Entry!$H406&lt;0,0,Data_Entry!W406/Data_Entry!$H406),0)</f>
        <v>1.2293173727254221</v>
      </c>
      <c r="S417" s="49">
        <f>IFERROR(IF(Data_Entry!X406/Data_Entry!$H406&lt;0,0,Data_Entry!X406/Data_Entry!$H406),0)</f>
        <v>1.3902365996272479</v>
      </c>
      <c r="T417" s="49">
        <f>IFERROR(IF(Data_Entry!Y406/Data_Entry!$H406&lt;0,0,Data_Entry!Y406/Data_Entry!$H406),0)</f>
        <v>0.2651210213710406</v>
      </c>
      <c r="U417" s="49">
        <f>IFERROR(IF(Data_Entry!Z406/Data_Entry!$H406&lt;0,0,Data_Entry!Z406/Data_Entry!$H406),0)</f>
        <v>1.1343486486522136</v>
      </c>
      <c r="V417" s="49">
        <f>IFERROR(IF(Data_Entry!AA406/Data_Entry!$H406&lt;0,0,Data_Entry!AA406/Data_Entry!$H406),0)</f>
        <v>1.7490073350149247</v>
      </c>
      <c r="W417" s="49">
        <f>IFERROR(IF(Data_Entry!AB406/Data_Entry!$H406&lt;0,0,Data_Entry!AB406/Data_Entry!$H406),0)</f>
        <v>1.1198395380299178</v>
      </c>
      <c r="X417" s="49">
        <f>IFERROR(IF(Data_Entry!AC406/Data_Entry!$I406&lt;0,0,Data_Entry!AC406/Data_Entry!$I406),0)</f>
        <v>1.0184901028080406</v>
      </c>
      <c r="Y417" s="49">
        <f>IFERROR(IF(Data_Entry!AD406/Data_Entry!$I406&lt;0,0,Data_Entry!AD406/Data_Entry!$I406),0)</f>
        <v>0.55930642933865282</v>
      </c>
      <c r="Z417" s="49">
        <f>IFERROR(IF(Data_Entry!AE406/Data_Entry!$I406&lt;0,0,Data_Entry!AE406/Data_Entry!$I406),0)</f>
        <v>0.41660273131809117</v>
      </c>
      <c r="AA417" s="49">
        <f>IFERROR(IF(Data_Entry!AF406/Data_Entry!$I406&lt;0,0,Data_Entry!AF406/Data_Entry!$I406),0)</f>
        <v>0.32338499309498236</v>
      </c>
      <c r="AB417" s="49">
        <f>IFERROR(IF(Data_Entry!AG406/Data_Entry!$I406&lt;0,0,Data_Entry!AG406/Data_Entry!$I406),0)</f>
        <v>0.23937394506674853</v>
      </c>
      <c r="AC417" s="49">
        <f>IFERROR(IF(Data_Entry!AI406/Data_Entry!$I406&lt;0,0,Data_Entry!AI406/Data_Entry!$I406),0)</f>
        <v>3.832284793616695E-2</v>
      </c>
      <c r="AD417" s="49">
        <f>IFERROR(IF(Data_Entry!AM406/Data_Entry!$H406&lt;0,0,Data_Entry!AM406/Data_Entry!$H406),0)</f>
        <v>1.1343486486522136</v>
      </c>
      <c r="AE417" s="50">
        <f>Data_Entry!AK406</f>
        <v>0</v>
      </c>
      <c r="AF417" s="50">
        <f>Data_Entry!AL406</f>
        <v>0</v>
      </c>
      <c r="AG417" s="153">
        <f>(Data_Entry!O406-Data_Entry!Q406)/Data_Entry!O406</f>
        <v>1.065891472868217E-2</v>
      </c>
      <c r="AH417" s="79" t="str">
        <f t="shared" si="12"/>
        <v>CAT1</v>
      </c>
      <c r="AI417" s="51">
        <f>SUBTOTAL(3,Tableau1[[#This Row],[ZS]])</f>
        <v>0</v>
      </c>
      <c r="AJ417" s="51" t="e">
        <f t="shared" ca="1" si="13"/>
        <v>#NAME?</v>
      </c>
      <c r="AK417" s="50" t="str">
        <f>IFERROR(IF((Data_Entry!O406-Data_Entry!Q406)/Data_Entry!O406&lt;=10%,"&lt;=10%","&gt;10%"),"&lt;=10%")</f>
        <v>&lt;=10%</v>
      </c>
    </row>
    <row r="418" spans="1:37" s="48" customFormat="1" ht="13" hidden="1" x14ac:dyDescent="0.3">
      <c r="A418" s="31" t="s">
        <v>16</v>
      </c>
      <c r="B418" s="48" t="str">
        <f>Data_Entry!B407</f>
        <v>Butembo</v>
      </c>
      <c r="C418" s="48" t="str">
        <f>Data_Entry!C407</f>
        <v xml:space="preserve"> Mabalako</v>
      </c>
      <c r="D418" s="48" t="str">
        <f>Data_Entry!D407</f>
        <v xml:space="preserve"> Bingo</v>
      </c>
      <c r="E418" s="49">
        <f>IFERROR(IF(Data_Entry!J407/Data_Entry!$I407&lt;0,0,Data_Entry!J407/Data_Entry!$I407),0)</f>
        <v>0.47835990888382685</v>
      </c>
      <c r="F418" s="49">
        <f>IFERROR(IF(Data_Entry!K407/Data_Entry!$H407&lt;0,0,Data_Entry!K407/Data_Entry!$H407),0)</f>
        <v>0.15313969993776022</v>
      </c>
      <c r="G418" s="49">
        <f>IFERROR(IF(Data_Entry!L407/Data_Entry!$H407&lt;0,0,Data_Entry!L407/Data_Entry!$H407),0)</f>
        <v>0.8440218576722357</v>
      </c>
      <c r="H418" s="49">
        <f>IFERROR(IF(Data_Entry!M407/Data_Entry!$H407&lt;0,0,Data_Entry!M407/Data_Entry!$H407),0)</f>
        <v>0.68036110964714847</v>
      </c>
      <c r="I418" s="49">
        <f>IFERROR(IF(Data_Entry!N407/Data_Entry!$H407&lt;0,0,Data_Entry!N407/Data_Entry!$H407),0)</f>
        <v>0.75167043557236513</v>
      </c>
      <c r="J418" s="49">
        <f>IFERROR(IF(Data_Entry!O407/Data_Entry!$H407&lt;0,0,Data_Entry!O407/Data_Entry!$H407),0)</f>
        <v>0.81128970806721834</v>
      </c>
      <c r="K418" s="49">
        <f>IFERROR(IF(Data_Entry!P407/Data_Entry!$H407&lt;0,0,Data_Entry!P407/Data_Entry!$H407),0)</f>
        <v>0.65815000812945812</v>
      </c>
      <c r="L418" s="49">
        <f>IFERROR(IF(Data_Entry!Q407/Data_Entry!$H407&lt;0,0,Data_Entry!Q407/Data_Entry!$H407),0)</f>
        <v>0.73881137679896536</v>
      </c>
      <c r="M418" s="49">
        <f>IFERROR(IF(Data_Entry!R407/Data_Entry!$H407&lt;0,0,Data_Entry!R407/Data_Entry!$H407),0)</f>
        <v>0.76102247831665581</v>
      </c>
      <c r="N418" s="49">
        <f>IFERROR(IF(Data_Entry!S407/Data_Entry!$H407&lt;0,0,Data_Entry!S407/Data_Entry!$H407),0)</f>
        <v>0.60788277837889559</v>
      </c>
      <c r="O418" s="49">
        <f>IFERROR(IF(Data_Entry!T407/Data_Entry!$H407&lt;0,0,Data_Entry!T407/Data_Entry!$H407),0)</f>
        <v>0.6967271844496572</v>
      </c>
      <c r="P418" s="49">
        <f>IFERROR(IF(Data_Entry!U407/Data_Entry!$H407&lt;0,0,Data_Entry!U407/Data_Entry!$H407),0)</f>
        <v>0.73998038214200168</v>
      </c>
      <c r="Q418" s="49">
        <f>IFERROR(IF(Data_Entry!V407/Data_Entry!$H407&lt;0,0,Data_Entry!V407/Data_Entry!$H407),0)</f>
        <v>0.60788277837889559</v>
      </c>
      <c r="R418" s="49">
        <f>IFERROR(IF(Data_Entry!W407/Data_Entry!$H407&lt;0,0,Data_Entry!W407/Data_Entry!$H407),0)</f>
        <v>0.65347398675731272</v>
      </c>
      <c r="S418" s="49">
        <f>IFERROR(IF(Data_Entry!X407/Data_Entry!$H407&lt;0,0,Data_Entry!X407/Data_Entry!$H407),0)</f>
        <v>0.93169725839996109</v>
      </c>
      <c r="T418" s="49">
        <f>IFERROR(IF(Data_Entry!Y407/Data_Entry!$H407&lt;0,0,Data_Entry!Y407/Data_Entry!$H407),0)</f>
        <v>0.19522389228706838</v>
      </c>
      <c r="U418" s="49">
        <f>IFERROR(IF(Data_Entry!Z407/Data_Entry!$H407&lt;0,0,Data_Entry!Z407/Data_Entry!$H407),0)</f>
        <v>0.76219148365969214</v>
      </c>
      <c r="V418" s="49">
        <f>IFERROR(IF(Data_Entry!AA407/Data_Entry!$H407&lt;0,0,Data_Entry!AA407/Data_Entry!$H407),0)</f>
        <v>0.75634645694451041</v>
      </c>
      <c r="W418" s="49">
        <f>IFERROR(IF(Data_Entry!AB407/Data_Entry!$H407&lt;0,0,Data_Entry!AB407/Data_Entry!$H407),0)</f>
        <v>0.71426226459520226</v>
      </c>
      <c r="X418" s="49">
        <f>IFERROR(IF(Data_Entry!AC407/Data_Entry!$I407&lt;0,0,Data_Entry!AC407/Data_Entry!$I407),0)</f>
        <v>0.22439057559582495</v>
      </c>
      <c r="Y418" s="49">
        <f>IFERROR(IF(Data_Entry!AD407/Data_Entry!$I407&lt;0,0,Data_Entry!AD407/Data_Entry!$I407),0)</f>
        <v>0.14585387413728623</v>
      </c>
      <c r="Z418" s="49">
        <f>IFERROR(IF(Data_Entry!AE407/Data_Entry!$I407&lt;0,0,Data_Entry!AE407/Data_Entry!$I407),0)</f>
        <v>0.12953455954849896</v>
      </c>
      <c r="AA418" s="49">
        <f>IFERROR(IF(Data_Entry!AF407/Data_Entry!$I407&lt;0,0,Data_Entry!AF407/Data_Entry!$I407),0)</f>
        <v>6.4257301193349881E-2</v>
      </c>
      <c r="AB418" s="49">
        <f>IFERROR(IF(Data_Entry!AG407/Data_Entry!$I407&lt;0,0,Data_Entry!AG407/Data_Entry!$I407),0)</f>
        <v>7.2416958487743516E-2</v>
      </c>
      <c r="AC418" s="49">
        <f>IFERROR(IF(Data_Entry!AI407/Data_Entry!$I407&lt;0,0,Data_Entry!AI407/Data_Entry!$I407),0)</f>
        <v>4.2532213647026827E-2</v>
      </c>
      <c r="AD418" s="49">
        <f>IFERROR(IF(Data_Entry!AM407/Data_Entry!$H407&lt;0,0,Data_Entry!AM407/Data_Entry!$H407),0)</f>
        <v>0.76219148365969214</v>
      </c>
      <c r="AE418" s="50">
        <f>Data_Entry!AK407</f>
        <v>161.42808333333323</v>
      </c>
      <c r="AF418" s="50">
        <f>Data_Entry!AL407</f>
        <v>0</v>
      </c>
      <c r="AG418" s="153">
        <f>(Data_Entry!O407-Data_Entry!Q407)/Data_Entry!O407</f>
        <v>8.9337175792507204E-2</v>
      </c>
      <c r="AH418" s="79" t="str">
        <f t="shared" si="12"/>
        <v>CAT3</v>
      </c>
      <c r="AI418" s="51">
        <f>SUBTOTAL(3,Tableau1[[#This Row],[ZS]])</f>
        <v>0</v>
      </c>
      <c r="AJ418" s="51" t="e">
        <f t="shared" ca="1" si="13"/>
        <v>#NAME?</v>
      </c>
      <c r="AK418" s="50" t="str">
        <f>IFERROR(IF((Data_Entry!O407-Data_Entry!Q407)/Data_Entry!O407&lt;=10%,"&lt;=10%","&gt;10%"),"&lt;=10%")</f>
        <v>&lt;=10%</v>
      </c>
    </row>
    <row r="419" spans="1:37" s="48" customFormat="1" ht="13" hidden="1" x14ac:dyDescent="0.3">
      <c r="A419" s="31" t="s">
        <v>16</v>
      </c>
      <c r="B419" s="48" t="str">
        <f>Data_Entry!B408</f>
        <v>Butembo</v>
      </c>
      <c r="C419" s="48" t="str">
        <f>Data_Entry!C408</f>
        <v xml:space="preserve"> Mabalako</v>
      </c>
      <c r="D419" s="48" t="str">
        <f>Data_Entry!D408</f>
        <v xml:space="preserve"> Buhumbani</v>
      </c>
      <c r="E419" s="49">
        <f>IFERROR(IF(Data_Entry!J408/Data_Entry!$I408&lt;0,0,Data_Entry!J408/Data_Entry!$I408),0)</f>
        <v>0.5880588058805879</v>
      </c>
      <c r="F419" s="49">
        <f>IFERROR(IF(Data_Entry!K408/Data_Entry!$H408&lt;0,0,Data_Entry!K408/Data_Entry!$H408),0)</f>
        <v>0.19600813949589799</v>
      </c>
      <c r="G419" s="49">
        <f>IFERROR(IF(Data_Entry!L408/Data_Entry!$H408&lt;0,0,Data_Entry!L408/Data_Entry!$H408),0)</f>
        <v>0.75996138295777993</v>
      </c>
      <c r="H419" s="49">
        <f>IFERROR(IF(Data_Entry!M408/Data_Entry!$H408&lt;0,0,Data_Entry!M408/Data_Entry!$H408),0)</f>
        <v>0.66367668285453185</v>
      </c>
      <c r="I419" s="49">
        <f>IFERROR(IF(Data_Entry!N408/Data_Entry!$H408&lt;0,0,Data_Entry!N408/Data_Entry!$H408),0)</f>
        <v>0.80466499372000233</v>
      </c>
      <c r="J419" s="49">
        <f>IFERROR(IF(Data_Entry!O408/Data_Entry!$H408&lt;0,0,Data_Entry!O408/Data_Entry!$H408),0)</f>
        <v>0.78059381869419031</v>
      </c>
      <c r="K419" s="49">
        <f>IFERROR(IF(Data_Entry!P408/Data_Entry!$H408&lt;0,0,Data_Entry!P408/Data_Entry!$H408),0)</f>
        <v>0.71181903290615589</v>
      </c>
      <c r="L419" s="49">
        <f>IFERROR(IF(Data_Entry!Q408/Data_Entry!$H408&lt;0,0,Data_Entry!Q408/Data_Entry!$H408),0)</f>
        <v>0.7874712972729937</v>
      </c>
      <c r="M419" s="49">
        <f>IFERROR(IF(Data_Entry!R408/Data_Entry!$H408&lt;0,0,Data_Entry!R408/Data_Entry!$H408),0)</f>
        <v>0.76340012224718168</v>
      </c>
      <c r="N419" s="49">
        <f>IFERROR(IF(Data_Entry!S408/Data_Entry!$H408&lt;0,0,Data_Entry!S408/Data_Entry!$H408),0)</f>
        <v>0.6602379435651301</v>
      </c>
      <c r="O419" s="49">
        <f>IFERROR(IF(Data_Entry!T408/Data_Entry!$H408&lt;0,0,Data_Entry!T408/Data_Entry!$H408),0)</f>
        <v>0.71181903290615589</v>
      </c>
      <c r="P419" s="49">
        <f>IFERROR(IF(Data_Entry!U408/Data_Entry!$H408&lt;0,0,Data_Entry!U408/Data_Entry!$H408),0)</f>
        <v>0.68774785788034387</v>
      </c>
      <c r="Q419" s="49">
        <f>IFERROR(IF(Data_Entry!V408/Data_Entry!$H408&lt;0,0,Data_Entry!V408/Data_Entry!$H408),0)</f>
        <v>0.6602379435651301</v>
      </c>
      <c r="R419" s="49">
        <f>IFERROR(IF(Data_Entry!W408/Data_Entry!$H408&lt;0,0,Data_Entry!W408/Data_Entry!$H408),0)</f>
        <v>0.71869651148495928</v>
      </c>
      <c r="S419" s="49">
        <f>IFERROR(IF(Data_Entry!X408/Data_Entry!$H408&lt;0,0,Data_Entry!X408/Data_Entry!$H408),0)</f>
        <v>0.73932894722136966</v>
      </c>
      <c r="T419" s="49">
        <f>IFERROR(IF(Data_Entry!Y408/Data_Entry!$H408&lt;0,0,Data_Entry!Y408/Data_Entry!$H408),0)</f>
        <v>0.26478292528393238</v>
      </c>
      <c r="U419" s="49">
        <f>IFERROR(IF(Data_Entry!Z408/Data_Entry!$H408&lt;0,0,Data_Entry!Z408/Data_Entry!$H408),0)</f>
        <v>0.65679920427572835</v>
      </c>
      <c r="V419" s="49">
        <f>IFERROR(IF(Data_Entry!AA408/Data_Entry!$H408&lt;0,0,Data_Entry!AA408/Data_Entry!$H408),0)</f>
        <v>0.72213525077436103</v>
      </c>
      <c r="W419" s="49">
        <f>IFERROR(IF(Data_Entry!AB408/Data_Entry!$H408&lt;0,0,Data_Entry!AB408/Data_Entry!$H408),0)</f>
        <v>0.55019828630427503</v>
      </c>
      <c r="X419" s="49">
        <f>IFERROR(IF(Data_Entry!AC408/Data_Entry!$I408&lt;0,0,Data_Entry!AC408/Data_Entry!$I408),0)</f>
        <v>0.42004200420041998</v>
      </c>
      <c r="Y419" s="49">
        <f>IFERROR(IF(Data_Entry!AD408/Data_Entry!$I408&lt;0,0,Data_Entry!AD408/Data_Entry!$I408),0)</f>
        <v>0.17401740174017399</v>
      </c>
      <c r="Z419" s="49">
        <f>IFERROR(IF(Data_Entry!AE408/Data_Entry!$I408&lt;0,0,Data_Entry!AE408/Data_Entry!$I408),0)</f>
        <v>0.14101410141014098</v>
      </c>
      <c r="AA419" s="49">
        <f>IFERROR(IF(Data_Entry!AF408/Data_Entry!$I408&lt;0,0,Data_Entry!AF408/Data_Entry!$I408),0)</f>
        <v>0.11701170117011699</v>
      </c>
      <c r="AB419" s="49">
        <f>IFERROR(IF(Data_Entry!AG408/Data_Entry!$I408&lt;0,0,Data_Entry!AG408/Data_Entry!$I408),0)</f>
        <v>0.16201620162016198</v>
      </c>
      <c r="AC419" s="49">
        <f>IFERROR(IF(Data_Entry!AI408/Data_Entry!$I408&lt;0,0,Data_Entry!AI408/Data_Entry!$I408),0)</f>
        <v>0.1251125112511251</v>
      </c>
      <c r="AD419" s="49">
        <f>IFERROR(IF(Data_Entry!AM408/Data_Entry!$H408&lt;0,0,Data_Entry!AM408/Data_Entry!$H408),0)</f>
        <v>0.65679920427572835</v>
      </c>
      <c r="AE419" s="50">
        <f>Data_Entry!AK408</f>
        <v>63.804250000000025</v>
      </c>
      <c r="AF419" s="50">
        <f>Data_Entry!AL408</f>
        <v>12</v>
      </c>
      <c r="AG419" s="153">
        <f>(Data_Entry!O408-Data_Entry!Q408)/Data_Entry!O408</f>
        <v>-8.8105726872246704E-3</v>
      </c>
      <c r="AH419" s="79" t="str">
        <f t="shared" si="12"/>
        <v>CAT3</v>
      </c>
      <c r="AI419" s="51">
        <f>SUBTOTAL(3,Tableau1[[#This Row],[ZS]])</f>
        <v>0</v>
      </c>
      <c r="AJ419" s="51" t="e">
        <f t="shared" ca="1" si="13"/>
        <v>#NAME?</v>
      </c>
      <c r="AK419" s="50" t="str">
        <f>IFERROR(IF((Data_Entry!O408-Data_Entry!Q408)/Data_Entry!O408&lt;=10%,"&lt;=10%","&gt;10%"),"&lt;=10%")</f>
        <v>&lt;=10%</v>
      </c>
    </row>
    <row r="420" spans="1:37" s="48" customFormat="1" ht="13" hidden="1" x14ac:dyDescent="0.3">
      <c r="A420" s="31" t="s">
        <v>16</v>
      </c>
      <c r="B420" s="48" t="str">
        <f>Data_Entry!B409</f>
        <v>Butembo</v>
      </c>
      <c r="C420" s="48" t="str">
        <f>Data_Entry!C409</f>
        <v xml:space="preserve"> Mabalako</v>
      </c>
      <c r="D420" s="48" t="str">
        <f>Data_Entry!D409</f>
        <v xml:space="preserve"> Linzo</v>
      </c>
      <c r="E420" s="49">
        <f>IFERROR(IF(Data_Entry!J409/Data_Entry!$I409&lt;0,0,Data_Entry!J409/Data_Entry!$I409),0)</f>
        <v>0.66396508728179537</v>
      </c>
      <c r="F420" s="49">
        <f>IFERROR(IF(Data_Entry!K409/Data_Entry!$H409&lt;0,0,Data_Entry!K409/Data_Entry!$H409),0)</f>
        <v>0.56806408048646295</v>
      </c>
      <c r="G420" s="49">
        <f>IFERROR(IF(Data_Entry!L409/Data_Entry!$H409&lt;0,0,Data_Entry!L409/Data_Entry!$H409),0)</f>
        <v>0.98392986016334516</v>
      </c>
      <c r="H420" s="49">
        <f>IFERROR(IF(Data_Entry!M409/Data_Entry!$H409&lt;0,0,Data_Entry!M409/Data_Entry!$H409),0)</f>
        <v>0.97964258408420213</v>
      </c>
      <c r="I420" s="49">
        <f>IFERROR(IF(Data_Entry!N409/Data_Entry!$H409&lt;0,0,Data_Entry!N409/Data_Entry!$H409),0)</f>
        <v>0.99679168840077459</v>
      </c>
      <c r="J420" s="49">
        <f>IFERROR(IF(Data_Entry!O409/Data_Entry!$H409&lt;0,0,Data_Entry!O409/Data_Entry!$H409),0)</f>
        <v>0.87031704406605259</v>
      </c>
      <c r="K420" s="49">
        <f>IFERROR(IF(Data_Entry!P409/Data_Entry!$H409&lt;0,0,Data_Entry!P409/Data_Entry!$H409),0)</f>
        <v>0.86817340602648108</v>
      </c>
      <c r="L420" s="49">
        <f>IFERROR(IF(Data_Entry!Q409/Data_Entry!$H409&lt;0,0,Data_Entry!Q409/Data_Entry!$H409),0)</f>
        <v>0.88532251034305354</v>
      </c>
      <c r="M420" s="49">
        <f>IFERROR(IF(Data_Entry!R409/Data_Entry!$H409&lt;0,0,Data_Entry!R409/Data_Entry!$H409),0)</f>
        <v>0.87031704406605259</v>
      </c>
      <c r="N420" s="49">
        <f>IFERROR(IF(Data_Entry!S409/Data_Entry!$H409&lt;0,0,Data_Entry!S409/Data_Entry!$H409),0)</f>
        <v>0.86817340602648108</v>
      </c>
      <c r="O420" s="49">
        <f>IFERROR(IF(Data_Entry!T409/Data_Entry!$H409&lt;0,0,Data_Entry!T409/Data_Entry!$H409),0)</f>
        <v>0.88532251034305354</v>
      </c>
      <c r="P420" s="49">
        <f>IFERROR(IF(Data_Entry!U409/Data_Entry!$H409&lt;0,0,Data_Entry!U409/Data_Entry!$H409),0)</f>
        <v>0.9131898048574838</v>
      </c>
      <c r="Q420" s="49">
        <f>IFERROR(IF(Data_Entry!V409/Data_Entry!$H409&lt;0,0,Data_Entry!V409/Data_Entry!$H409),0)</f>
        <v>0.9131898048574838</v>
      </c>
      <c r="R420" s="49">
        <f>IFERROR(IF(Data_Entry!W409/Data_Entry!$H409&lt;0,0,Data_Entry!W409/Data_Entry!$H409),0)</f>
        <v>0.9346261852531994</v>
      </c>
      <c r="S420" s="49">
        <f>IFERROR(IF(Data_Entry!X409/Data_Entry!$H409&lt;0,0,Data_Entry!X409/Data_Entry!$H409),0)</f>
        <v>0.77814060836447563</v>
      </c>
      <c r="T420" s="49">
        <f>IFERROR(IF(Data_Entry!Y409/Data_Entry!$H409&lt;0,0,Data_Entry!Y409/Data_Entry!$H409),0)</f>
        <v>7.0740055305861416E-2</v>
      </c>
      <c r="U420" s="49">
        <f>IFERROR(IF(Data_Entry!Z409/Data_Entry!$H409&lt;0,0,Data_Entry!Z409/Data_Entry!$H409),0)</f>
        <v>0.71383146717732893</v>
      </c>
      <c r="V420" s="49">
        <f>IFERROR(IF(Data_Entry!AA409/Data_Entry!$H409&lt;0,0,Data_Entry!AA409/Data_Entry!$H409),0)</f>
        <v>0.94320073741148558</v>
      </c>
      <c r="W420" s="49">
        <f>IFERROR(IF(Data_Entry!AB409/Data_Entry!$H409&lt;0,0,Data_Entry!AB409/Data_Entry!$H409),0)</f>
        <v>0.70740055305861416</v>
      </c>
      <c r="X420" s="49">
        <f>IFERROR(IF(Data_Entry!AC409/Data_Entry!$I409&lt;0,0,Data_Entry!AC409/Data_Entry!$I409),0)</f>
        <v>0.1645885286783042</v>
      </c>
      <c r="Y420" s="49">
        <f>IFERROR(IF(Data_Entry!AD409/Data_Entry!$I409&lt;0,0,Data_Entry!AD409/Data_Entry!$I409),0)</f>
        <v>0.11783042394014961</v>
      </c>
      <c r="Z420" s="49">
        <f>IFERROR(IF(Data_Entry!AE409/Data_Entry!$I409&lt;0,0,Data_Entry!AE409/Data_Entry!$I409),0)</f>
        <v>9.9127182044887768E-2</v>
      </c>
      <c r="AA420" s="49">
        <f>IFERROR(IF(Data_Entry!AF409/Data_Entry!$I409&lt;0,0,Data_Entry!AF409/Data_Entry!$I409),0)</f>
        <v>4.1147132169576051E-2</v>
      </c>
      <c r="AB420" s="49">
        <f>IFERROR(IF(Data_Entry!AG409/Data_Entry!$I409&lt;0,0,Data_Entry!AG409/Data_Entry!$I409),0)</f>
        <v>5.4239401496259346E-2</v>
      </c>
      <c r="AC420" s="49">
        <f>IFERROR(IF(Data_Entry!AI409/Data_Entry!$I409&lt;0,0,Data_Entry!AI409/Data_Entry!$I409),0)</f>
        <v>7.7992518703241892E-2</v>
      </c>
      <c r="AD420" s="49">
        <f>IFERROR(IF(Data_Entry!AM409/Data_Entry!$H409&lt;0,0,Data_Entry!AM409/Data_Entry!$H409),0)</f>
        <v>0.71383146717732893</v>
      </c>
      <c r="AE420" s="50">
        <f>Data_Entry!AK409</f>
        <v>60.49666666666667</v>
      </c>
      <c r="AF420" s="50">
        <f>Data_Entry!AL409</f>
        <v>43</v>
      </c>
      <c r="AG420" s="153">
        <f>(Data_Entry!O409-Data_Entry!Q409)/Data_Entry!O409</f>
        <v>-1.7241379310344827E-2</v>
      </c>
      <c r="AH420" s="79" t="str">
        <f t="shared" si="12"/>
        <v>CAT3</v>
      </c>
      <c r="AI420" s="51">
        <f>SUBTOTAL(3,Tableau1[[#This Row],[ZS]])</f>
        <v>0</v>
      </c>
      <c r="AJ420" s="51" t="e">
        <f t="shared" ca="1" si="13"/>
        <v>#NAME?</v>
      </c>
      <c r="AK420" s="50" t="str">
        <f>IFERROR(IF((Data_Entry!O409-Data_Entry!Q409)/Data_Entry!O409&lt;=10%,"&lt;=10%","&gt;10%"),"&lt;=10%")</f>
        <v>&lt;=10%</v>
      </c>
    </row>
    <row r="421" spans="1:37" s="48" customFormat="1" ht="13" hidden="1" x14ac:dyDescent="0.3">
      <c r="A421" s="31" t="s">
        <v>16</v>
      </c>
      <c r="B421" s="48" t="str">
        <f>Data_Entry!B410</f>
        <v>Butembo</v>
      </c>
      <c r="C421" s="48" t="str">
        <f>Data_Entry!C410</f>
        <v xml:space="preserve"> Mabalako</v>
      </c>
      <c r="D421" s="48" t="str">
        <f>Data_Entry!D410</f>
        <v xml:space="preserve"> Lubena</v>
      </c>
      <c r="E421" s="49">
        <f>IFERROR(IF(Data_Entry!J410/Data_Entry!$I410&lt;0,0,Data_Entry!J410/Data_Entry!$I410),0)</f>
        <v>0.61426684280052835</v>
      </c>
      <c r="F421" s="49">
        <f>IFERROR(IF(Data_Entry!K410/Data_Entry!$H410&lt;0,0,Data_Entry!K410/Data_Entry!$H410),0)</f>
        <v>0.69467931309575137</v>
      </c>
      <c r="G421" s="49">
        <f>IFERROR(IF(Data_Entry!L410/Data_Entry!$H410&lt;0,0,Data_Entry!L410/Data_Entry!$H410),0)</f>
        <v>0.94048891619117114</v>
      </c>
      <c r="H421" s="49">
        <f>IFERROR(IF(Data_Entry!M410/Data_Entry!$H410&lt;0,0,Data_Entry!M410/Data_Entry!$H410),0)</f>
        <v>0.9084267940482903</v>
      </c>
      <c r="I421" s="49">
        <f>IFERROR(IF(Data_Entry!N410/Data_Entry!$H410&lt;0,0,Data_Entry!N410/Data_Entry!$H410),0)</f>
        <v>0.82827148869108824</v>
      </c>
      <c r="J421" s="49">
        <f>IFERROR(IF(Data_Entry!O410/Data_Entry!$H410&lt;0,0,Data_Entry!O410/Data_Entry!$H410),0)</f>
        <v>0.72139774821481883</v>
      </c>
      <c r="K421" s="49">
        <f>IFERROR(IF(Data_Entry!P410/Data_Entry!$H410&lt;0,0,Data_Entry!P410/Data_Entry!$H410),0)</f>
        <v>0.78017830547676703</v>
      </c>
      <c r="L421" s="49">
        <f>IFERROR(IF(Data_Entry!Q410/Data_Entry!$H410&lt;0,0,Data_Entry!Q410/Data_Entry!$H410),0)</f>
        <v>0.77617054020890686</v>
      </c>
      <c r="M421" s="49">
        <f>IFERROR(IF(Data_Entry!R410/Data_Entry!$H410&lt;0,0,Data_Entry!R410/Data_Entry!$H410),0)</f>
        <v>0.71738998294695866</v>
      </c>
      <c r="N421" s="49">
        <f>IFERROR(IF(Data_Entry!S410/Data_Entry!$H410&lt;0,0,Data_Entry!S410/Data_Entry!$H410),0)</f>
        <v>0.68933562607193799</v>
      </c>
      <c r="O421" s="49">
        <f>IFERROR(IF(Data_Entry!T410/Data_Entry!$H410&lt;0,0,Data_Entry!T410/Data_Entry!$H410),0)</f>
        <v>0.60784439895878251</v>
      </c>
      <c r="P421" s="49">
        <f>IFERROR(IF(Data_Entry!U410/Data_Entry!$H410&lt;0,0,Data_Entry!U410/Data_Entry!$H410),0)</f>
        <v>0.72139774821481883</v>
      </c>
      <c r="Q421" s="49">
        <f>IFERROR(IF(Data_Entry!V410/Data_Entry!$H410&lt;0,0,Data_Entry!V410/Data_Entry!$H410),0)</f>
        <v>0.8082326623517877</v>
      </c>
      <c r="R421" s="49">
        <f>IFERROR(IF(Data_Entry!W410/Data_Entry!$H410&lt;0,0,Data_Entry!W410/Data_Entry!$H410),0)</f>
        <v>0.81624819288750794</v>
      </c>
      <c r="S421" s="49">
        <f>IFERROR(IF(Data_Entry!X410/Data_Entry!$H410&lt;0,0,Data_Entry!X410/Data_Entry!$H410),0)</f>
        <v>0.96052774253047168</v>
      </c>
      <c r="T421" s="49">
        <f>IFERROR(IF(Data_Entry!Y410/Data_Entry!$H410&lt;0,0,Data_Entry!Y410/Data_Entry!$H410),0)</f>
        <v>6.6796087797668408E-2</v>
      </c>
      <c r="U421" s="49">
        <f>IFERROR(IF(Data_Entry!Z410/Data_Entry!$H410&lt;0,0,Data_Entry!Z410/Data_Entry!$H410),0)</f>
        <v>0.85632584556610902</v>
      </c>
      <c r="V421" s="49">
        <f>IFERROR(IF(Data_Entry!AA410/Data_Entry!$H410&lt;0,0,Data_Entry!AA410/Data_Entry!$H410),0)</f>
        <v>0.82827148869108824</v>
      </c>
      <c r="W421" s="49">
        <f>IFERROR(IF(Data_Entry!AB410/Data_Entry!$H410&lt;0,0,Data_Entry!AB410/Data_Entry!$H410),0)</f>
        <v>0.86033361083396909</v>
      </c>
      <c r="X421" s="49">
        <f>IFERROR(IF(Data_Entry!AC410/Data_Entry!$I410&lt;0,0,Data_Entry!AC410/Data_Entry!$I410),0)</f>
        <v>0.1526925169010801</v>
      </c>
      <c r="Y421" s="49">
        <f>IFERROR(IF(Data_Entry!AD410/Data_Entry!$I410&lt;0,0,Data_Entry!AD410/Data_Entry!$I410),0)</f>
        <v>9.9075297225891673E-2</v>
      </c>
      <c r="Z421" s="49">
        <f>IFERROR(IF(Data_Entry!AE410/Data_Entry!$I410&lt;0,0,Data_Entry!AE410/Data_Entry!$I410),0)</f>
        <v>9.7909705493822358E-2</v>
      </c>
      <c r="AA421" s="49">
        <f>IFERROR(IF(Data_Entry!AF410/Data_Entry!$I410&lt;0,0,Data_Entry!AF410/Data_Entry!$I410),0)</f>
        <v>6.1776361799673628E-2</v>
      </c>
      <c r="AB421" s="49">
        <f>IFERROR(IF(Data_Entry!AG410/Data_Entry!$I410&lt;0,0,Data_Entry!AG410/Data_Entry!$I410),0)</f>
        <v>5.2451627943119118E-2</v>
      </c>
      <c r="AC421" s="49">
        <f>IFERROR(IF(Data_Entry!AI410/Data_Entry!$I410&lt;0,0,Data_Entry!AI410/Data_Entry!$I410),0)</f>
        <v>4.3709689952599266E-2</v>
      </c>
      <c r="AD421" s="49">
        <f>IFERROR(IF(Data_Entry!AM410/Data_Entry!$H410&lt;0,0,Data_Entry!AM410/Data_Entry!$H410),0)</f>
        <v>0.85632584556610902</v>
      </c>
      <c r="AE421" s="50">
        <f>Data_Entry!AK410</f>
        <v>208.54683333333344</v>
      </c>
      <c r="AF421" s="50">
        <f>Data_Entry!AL410</f>
        <v>0</v>
      </c>
      <c r="AG421" s="153">
        <f>(Data_Entry!O410-Data_Entry!Q410)/Data_Entry!O410</f>
        <v>-7.5925925925925924E-2</v>
      </c>
      <c r="AH421" s="79" t="str">
        <f t="shared" si="12"/>
        <v>CAT3</v>
      </c>
      <c r="AI421" s="51">
        <f>SUBTOTAL(3,Tableau1[[#This Row],[ZS]])</f>
        <v>0</v>
      </c>
      <c r="AJ421" s="51" t="e">
        <f t="shared" ca="1" si="13"/>
        <v>#NAME?</v>
      </c>
      <c r="AK421" s="50" t="str">
        <f>IFERROR(IF((Data_Entry!O410-Data_Entry!Q410)/Data_Entry!O410&lt;=10%,"&lt;=10%","&gt;10%"),"&lt;=10%")</f>
        <v>&lt;=10%</v>
      </c>
    </row>
    <row r="422" spans="1:37" s="48" customFormat="1" ht="13" hidden="1" x14ac:dyDescent="0.3">
      <c r="A422" s="31" t="s">
        <v>16</v>
      </c>
      <c r="B422" s="48" t="str">
        <f>Data_Entry!B411</f>
        <v>Butembo</v>
      </c>
      <c r="C422" s="48" t="str">
        <f>Data_Entry!C411</f>
        <v xml:space="preserve"> Mabalako</v>
      </c>
      <c r="D422" s="48" t="str">
        <f>Data_Entry!D411</f>
        <v xml:space="preserve"> Mabalako</v>
      </c>
      <c r="E422" s="49">
        <f>IFERROR(IF(Data_Entry!J411/Data_Entry!$I411&lt;0,0,Data_Entry!J411/Data_Entry!$I411),0)</f>
        <v>0.69892969182506004</v>
      </c>
      <c r="F422" s="49">
        <f>IFERROR(IF(Data_Entry!K411/Data_Entry!$H411&lt;0,0,Data_Entry!K411/Data_Entry!$H411),0)</f>
        <v>0.19511101499499534</v>
      </c>
      <c r="G422" s="49">
        <f>IFERROR(IF(Data_Entry!L411/Data_Entry!$H411&lt;0,0,Data_Entry!L411/Data_Entry!$H411),0)</f>
        <v>1.0215568589981869</v>
      </c>
      <c r="H422" s="49">
        <f>IFERROR(IF(Data_Entry!M411/Data_Entry!$H411&lt;0,0,Data_Entry!M411/Data_Entry!$H411),0)</f>
        <v>0.93272582778095336</v>
      </c>
      <c r="I422" s="49">
        <f>IFERROR(IF(Data_Entry!N411/Data_Entry!$H411&lt;0,0,Data_Entry!N411/Data_Entry!$H411),0)</f>
        <v>0.90893180156205144</v>
      </c>
      <c r="J422" s="49">
        <f>IFERROR(IF(Data_Entry!O411/Data_Entry!$H411&lt;0,0,Data_Entry!O411/Data_Entry!$H411),0)</f>
        <v>0.91369060680583192</v>
      </c>
      <c r="K422" s="49">
        <f>IFERROR(IF(Data_Entry!P411/Data_Entry!$H411&lt;0,0,Data_Entry!P411/Data_Entry!$H411),0)</f>
        <v>1.9907668603147899</v>
      </c>
      <c r="L422" s="49">
        <f>IFERROR(IF(Data_Entry!Q411/Data_Entry!$H411&lt;0,0,Data_Entry!Q411/Data_Entry!$H411),0)</f>
        <v>0.78837540205294865</v>
      </c>
      <c r="M422" s="49">
        <f>IFERROR(IF(Data_Entry!R411/Data_Entry!$H411&lt;0,0,Data_Entry!R411/Data_Entry!$H411),0)</f>
        <v>0.91210433839123839</v>
      </c>
      <c r="N422" s="49">
        <f>IFERROR(IF(Data_Entry!S411/Data_Entry!$H411&lt;0,0,Data_Entry!S411/Data_Entry!$H411),0)</f>
        <v>0.82168703875941129</v>
      </c>
      <c r="O422" s="49">
        <f>IFERROR(IF(Data_Entry!T411/Data_Entry!$H411&lt;0,0,Data_Entry!T411/Data_Entry!$H411),0)</f>
        <v>0.78837540205294865</v>
      </c>
      <c r="P422" s="49">
        <f>IFERROR(IF(Data_Entry!U411/Data_Entry!$H411&lt;0,0,Data_Entry!U411/Data_Entry!$H411),0)</f>
        <v>0.91369060680583192</v>
      </c>
      <c r="Q422" s="49">
        <f>IFERROR(IF(Data_Entry!V411/Data_Entry!$H411&lt;0,0,Data_Entry!V411/Data_Entry!$H411),0)</f>
        <v>0.83437718607615896</v>
      </c>
      <c r="R422" s="49">
        <f>IFERROR(IF(Data_Entry!W411/Data_Entry!$H411&lt;0,0,Data_Entry!W411/Data_Entry!$H411),0)</f>
        <v>0.83596345449075238</v>
      </c>
      <c r="S422" s="49">
        <f>IFERROR(IF(Data_Entry!X411/Data_Entry!$H411&lt;0,0,Data_Entry!X411/Data_Entry!$H411),0)</f>
        <v>0.97079626973119637</v>
      </c>
      <c r="T422" s="49">
        <f>IFERROR(IF(Data_Entry!Y411/Data_Entry!$H411&lt;0,0,Data_Entry!Y411/Data_Entry!$H411),0)</f>
        <v>0.10469371536316824</v>
      </c>
      <c r="U422" s="49">
        <f>IFERROR(IF(Data_Entry!Z411/Data_Entry!$H411&lt;0,0,Data_Entry!Z411/Data_Entry!$H411),0)</f>
        <v>0.72651093388380383</v>
      </c>
      <c r="V422" s="49">
        <f>IFERROR(IF(Data_Entry!AA411/Data_Entry!$H411&lt;0,0,Data_Entry!AA411/Data_Entry!$H411),0)</f>
        <v>0.90575926473286461</v>
      </c>
      <c r="W422" s="49">
        <f>IFERROR(IF(Data_Entry!AB411/Data_Entry!$H411&lt;0,0,Data_Entry!AB411/Data_Entry!$H411),0)</f>
        <v>0.93589836461014031</v>
      </c>
      <c r="X422" s="49">
        <f>IFERROR(IF(Data_Entry!AC411/Data_Entry!$I411&lt;0,0,Data_Entry!AC411/Data_Entry!$I411),0)</f>
        <v>0.34462077874146524</v>
      </c>
      <c r="Y422" s="49">
        <f>IFERROR(IF(Data_Entry!AD411/Data_Entry!$I411&lt;0,0,Data_Entry!AD411/Data_Entry!$I411),0)</f>
        <v>0.21313895552684997</v>
      </c>
      <c r="Z422" s="49">
        <f>IFERROR(IF(Data_Entry!AE411/Data_Entry!$I411&lt;0,0,Data_Entry!AE411/Data_Entry!$I411),0)</f>
        <v>2.0663406532570585</v>
      </c>
      <c r="AA422" s="49">
        <f>IFERROR(IF(Data_Entry!AF411/Data_Entry!$I411&lt;0,0,Data_Entry!AF411/Data_Entry!$I411),0)</f>
        <v>0.11348957372208895</v>
      </c>
      <c r="AB422" s="49">
        <f>IFERROR(IF(Data_Entry!AG411/Data_Entry!$I411&lt;0,0,Data_Entry!AG411/Data_Entry!$I411),0)</f>
        <v>8.3041151503967528E-2</v>
      </c>
      <c r="AC422" s="49">
        <f>IFERROR(IF(Data_Entry!AI411/Data_Entry!$I411&lt;0,0,Data_Entry!AI411/Data_Entry!$I411),0)</f>
        <v>5.7713600295257433E-2</v>
      </c>
      <c r="AD422" s="49">
        <f>IFERROR(IF(Data_Entry!AM411/Data_Entry!$H411&lt;0,0,Data_Entry!AM411/Data_Entry!$H411),0)</f>
        <v>0.72651093388380383</v>
      </c>
      <c r="AE422" s="50">
        <f>Data_Entry!AK411</f>
        <v>54.410333333333256</v>
      </c>
      <c r="AF422" s="50">
        <f>Data_Entry!AL411</f>
        <v>0</v>
      </c>
      <c r="AG422" s="153">
        <f>(Data_Entry!O411-Data_Entry!Q411)/Data_Entry!O411</f>
        <v>0.13715277777777779</v>
      </c>
      <c r="AH422" s="79" t="str">
        <f t="shared" si="12"/>
        <v>CAT2</v>
      </c>
      <c r="AI422" s="51">
        <f>SUBTOTAL(3,Tableau1[[#This Row],[ZS]])</f>
        <v>0</v>
      </c>
      <c r="AJ422" s="51" t="e">
        <f t="shared" ca="1" si="13"/>
        <v>#NAME?</v>
      </c>
      <c r="AK422" s="50" t="str">
        <f>IFERROR(IF((Data_Entry!O411-Data_Entry!Q411)/Data_Entry!O411&lt;=10%,"&lt;=10%","&gt;10%"),"&lt;=10%")</f>
        <v>&gt;10%</v>
      </c>
    </row>
    <row r="423" spans="1:37" s="48" customFormat="1" ht="13" hidden="1" x14ac:dyDescent="0.3">
      <c r="A423" s="31" t="s">
        <v>16</v>
      </c>
      <c r="B423" s="48" t="str">
        <f>Data_Entry!B412</f>
        <v>Butembo</v>
      </c>
      <c r="C423" s="48" t="str">
        <f>Data_Entry!C412</f>
        <v xml:space="preserve"> Mabalako</v>
      </c>
      <c r="D423" s="48" t="str">
        <f>Data_Entry!D412</f>
        <v xml:space="preserve"> Malese</v>
      </c>
      <c r="E423" s="49">
        <f>IFERROR(IF(Data_Entry!J412/Data_Entry!$I412&lt;0,0,Data_Entry!J412/Data_Entry!$I412),0)</f>
        <v>0.54762694988383664</v>
      </c>
      <c r="F423" s="49">
        <f>IFERROR(IF(Data_Entry!K412/Data_Entry!$H412&lt;0,0,Data_Entry!K412/Data_Entry!$H412),0)</f>
        <v>0.32523819894116895</v>
      </c>
      <c r="G423" s="49">
        <f>IFERROR(IF(Data_Entry!L412/Data_Entry!$H412&lt;0,0,Data_Entry!L412/Data_Entry!$H412),0)</f>
        <v>0.94718493024972017</v>
      </c>
      <c r="H423" s="49">
        <f>IFERROR(IF(Data_Entry!M412/Data_Entry!$H412&lt;0,0,Data_Entry!M412/Data_Entry!$H412),0)</f>
        <v>0.87300779715787458</v>
      </c>
      <c r="I423" s="49">
        <f>IFERROR(IF(Data_Entry!N412/Data_Entry!$H412&lt;0,0,Data_Entry!N412/Data_Entry!$H412),0)</f>
        <v>1.027067996656323</v>
      </c>
      <c r="J423" s="49">
        <f>IFERROR(IF(Data_Entry!O412/Data_Entry!$H412&lt;0,0,Data_Entry!O412/Data_Entry!$H412),0)</f>
        <v>0.9528908635644775</v>
      </c>
      <c r="K423" s="49">
        <f>IFERROR(IF(Data_Entry!P412/Data_Entry!$H412&lt;0,0,Data_Entry!P412/Data_Entry!$H412),0)</f>
        <v>0.87300779715787458</v>
      </c>
      <c r="L423" s="49">
        <f>IFERROR(IF(Data_Entry!Q412/Data_Entry!$H412&lt;0,0,Data_Entry!Q412/Data_Entry!$H412),0)</f>
        <v>1.027067996656323</v>
      </c>
      <c r="M423" s="49">
        <f>IFERROR(IF(Data_Entry!R412/Data_Entry!$H412&lt;0,0,Data_Entry!R412/Data_Entry!$H412),0)</f>
        <v>0.71894759765942617</v>
      </c>
      <c r="N423" s="49">
        <f>IFERROR(IF(Data_Entry!S412/Data_Entry!$H412&lt;0,0,Data_Entry!S412/Data_Entry!$H412),0)</f>
        <v>0.67900606445612466</v>
      </c>
      <c r="O423" s="49">
        <f>IFERROR(IF(Data_Entry!T412/Data_Entry!$H412&lt;0,0,Data_Entry!T412/Data_Entry!$H412),0)</f>
        <v>0.77600693080699967</v>
      </c>
      <c r="P423" s="49">
        <f>IFERROR(IF(Data_Entry!U412/Data_Entry!$H412&lt;0,0,Data_Entry!U412/Data_Entry!$H412),0)</f>
        <v>0.8387721972693305</v>
      </c>
      <c r="Q423" s="49">
        <f>IFERROR(IF(Data_Entry!V412/Data_Entry!$H412&lt;0,0,Data_Entry!V412/Data_Entry!$H412),0)</f>
        <v>0.77030099749224223</v>
      </c>
      <c r="R423" s="49">
        <f>IFERROR(IF(Data_Entry!W412/Data_Entry!$H412&lt;0,0,Data_Entry!W412/Data_Entry!$H412),0)</f>
        <v>0.91294933036117609</v>
      </c>
      <c r="S423" s="49">
        <f>IFERROR(IF(Data_Entry!X412/Data_Entry!$H412&lt;0,0,Data_Entry!X412/Data_Entry!$H412),0)</f>
        <v>0.85018406389884515</v>
      </c>
      <c r="T423" s="49">
        <f>IFERROR(IF(Data_Entry!Y412/Data_Entry!$H412&lt;0,0,Data_Entry!Y412/Data_Entry!$H412),0)</f>
        <v>0.27959073242311017</v>
      </c>
      <c r="U423" s="49">
        <f>IFERROR(IF(Data_Entry!Z412/Data_Entry!$H412&lt;0,0,Data_Entry!Z412/Data_Entry!$H412),0)</f>
        <v>1.0156561300268083</v>
      </c>
      <c r="V423" s="49">
        <f>IFERROR(IF(Data_Entry!AA412/Data_Entry!$H412&lt;0,0,Data_Entry!AA412/Data_Entry!$H412),0)</f>
        <v>1.027067996656323</v>
      </c>
      <c r="W423" s="49">
        <f>IFERROR(IF(Data_Entry!AB412/Data_Entry!$H412&lt;0,0,Data_Entry!AB412/Data_Entry!$H412),0)</f>
        <v>0.50782806501340416</v>
      </c>
      <c r="X423" s="49">
        <f>IFERROR(IF(Data_Entry!AC412/Data_Entry!$I412&lt;0,0,Data_Entry!AC412/Data_Entry!$I412),0)</f>
        <v>0.98572850979090598</v>
      </c>
      <c r="Y423" s="49">
        <f>IFERROR(IF(Data_Entry!AD412/Data_Entry!$I412&lt;0,0,Data_Entry!AD412/Data_Entry!$I412),0)</f>
        <v>0.67208762031198144</v>
      </c>
      <c r="Z423" s="49">
        <f>IFERROR(IF(Data_Entry!AE412/Data_Entry!$I412&lt;0,0,Data_Entry!AE412/Data_Entry!$I412),0)</f>
        <v>0.48290740126120146</v>
      </c>
      <c r="AA423" s="49">
        <f>IFERROR(IF(Data_Entry!AF412/Data_Entry!$I412&lt;0,0,Data_Entry!AF412/Data_Entry!$I412),0)</f>
        <v>0</v>
      </c>
      <c r="AB423" s="49">
        <f>IFERROR(IF(Data_Entry!AG412/Data_Entry!$I412&lt;0,0,Data_Entry!AG412/Data_Entry!$I412),0)</f>
        <v>0</v>
      </c>
      <c r="AC423" s="49">
        <f>IFERROR(IF(Data_Entry!AI412/Data_Entry!$I412&lt;0,0,Data_Entry!AI412/Data_Entry!$I412),0)</f>
        <v>0.20760039827414536</v>
      </c>
      <c r="AD423" s="49">
        <f>IFERROR(IF(Data_Entry!AM412/Data_Entry!$H412&lt;0,0,Data_Entry!AM412/Data_Entry!$H412),0)</f>
        <v>0.85018406389884515</v>
      </c>
      <c r="AE423" s="50">
        <f>Data_Entry!AK412</f>
        <v>8.2561666666666724</v>
      </c>
      <c r="AF423" s="50">
        <f>Data_Entry!AL412</f>
        <v>18</v>
      </c>
      <c r="AG423" s="153">
        <f>(Data_Entry!O412-Data_Entry!Q412)/Data_Entry!O412</f>
        <v>-7.7844311377245512E-2</v>
      </c>
      <c r="AH423" s="79" t="str">
        <f t="shared" si="12"/>
        <v>CAT1</v>
      </c>
      <c r="AI423" s="51">
        <f>SUBTOTAL(3,Tableau1[[#This Row],[ZS]])</f>
        <v>0</v>
      </c>
      <c r="AJ423" s="51" t="e">
        <f t="shared" ca="1" si="13"/>
        <v>#NAME?</v>
      </c>
      <c r="AK423" s="50" t="str">
        <f>IFERROR(IF((Data_Entry!O412-Data_Entry!Q412)/Data_Entry!O412&lt;=10%,"&lt;=10%","&gt;10%"),"&lt;=10%")</f>
        <v>&lt;=10%</v>
      </c>
    </row>
    <row r="424" spans="1:37" s="48" customFormat="1" ht="13" hidden="1" x14ac:dyDescent="0.3">
      <c r="A424" s="31" t="s">
        <v>16</v>
      </c>
      <c r="B424" s="48" t="str">
        <f>Data_Entry!B413</f>
        <v>Butembo</v>
      </c>
      <c r="C424" s="48" t="str">
        <f>Data_Entry!C413</f>
        <v xml:space="preserve"> Mabalako</v>
      </c>
      <c r="D424" s="48" t="str">
        <f>Data_Entry!D413</f>
        <v xml:space="preserve"> Mangina</v>
      </c>
      <c r="E424" s="49">
        <f>IFERROR(IF(Data_Entry!J413/Data_Entry!$I413&lt;0,0,Data_Entry!J413/Data_Entry!$I413),0)</f>
        <v>0.98531684698608968</v>
      </c>
      <c r="F424" s="49">
        <f>IFERROR(IF(Data_Entry!K413/Data_Entry!$H413&lt;0,0,Data_Entry!K413/Data_Entry!$H413),0)</f>
        <v>0.36204124834479612</v>
      </c>
      <c r="G424" s="49">
        <f>IFERROR(IF(Data_Entry!L413/Data_Entry!$H413&lt;0,0,Data_Entry!L413/Data_Entry!$H413),0)</f>
        <v>0.89347794316284546</v>
      </c>
      <c r="H424" s="49">
        <f>IFERROR(IF(Data_Entry!M413/Data_Entry!$H413&lt;0,0,Data_Entry!M413/Data_Entry!$H413),0)</f>
        <v>0.80878021992621885</v>
      </c>
      <c r="I424" s="49">
        <f>IFERROR(IF(Data_Entry!N413/Data_Entry!$H413&lt;0,0,Data_Entry!N413/Data_Entry!$H413),0)</f>
        <v>0.85860241006541094</v>
      </c>
      <c r="J424" s="49">
        <f>IFERROR(IF(Data_Entry!O413/Data_Entry!$H413&lt;0,0,Data_Entry!O413/Data_Entry!$H413),0)</f>
        <v>0.82040539762536369</v>
      </c>
      <c r="K424" s="49">
        <f>IFERROR(IF(Data_Entry!P413/Data_Entry!$H413&lt;0,0,Data_Entry!P413/Data_Entry!$H413),0)</f>
        <v>0.79051208354184843</v>
      </c>
      <c r="L424" s="49">
        <f>IFERROR(IF(Data_Entry!Q413/Data_Entry!$H413&lt;0,0,Data_Entry!Q413/Data_Entry!$H413),0)</f>
        <v>0.81210169926883169</v>
      </c>
      <c r="M424" s="49">
        <f>IFERROR(IF(Data_Entry!R413/Data_Entry!$H413&lt;0,0,Data_Entry!R413/Data_Entry!$H413),0)</f>
        <v>0.82040539762536369</v>
      </c>
      <c r="N424" s="49">
        <f>IFERROR(IF(Data_Entry!S413/Data_Entry!$H413&lt;0,0,Data_Entry!S413/Data_Entry!$H413),0)</f>
        <v>0.76892246781486517</v>
      </c>
      <c r="O424" s="49">
        <f>IFERROR(IF(Data_Entry!T413/Data_Entry!$H413&lt;0,0,Data_Entry!T413/Data_Entry!$H413),0)</f>
        <v>0.79715504222707401</v>
      </c>
      <c r="P424" s="49">
        <f>IFERROR(IF(Data_Entry!U413/Data_Entry!$H413&lt;0,0,Data_Entry!U413/Data_Entry!$H413),0)</f>
        <v>0.6709388272077873</v>
      </c>
      <c r="Q424" s="49">
        <f>IFERROR(IF(Data_Entry!V413/Data_Entry!$H413&lt;0,0,Data_Entry!V413/Data_Entry!$H413),0)</f>
        <v>0.49490042204930845</v>
      </c>
      <c r="R424" s="49">
        <f>IFERROR(IF(Data_Entry!W413/Data_Entry!$H413&lt;0,0,Data_Entry!W413/Data_Entry!$H413),0)</f>
        <v>0.67426030655040015</v>
      </c>
      <c r="S424" s="49">
        <f>IFERROR(IF(Data_Entry!X413/Data_Entry!$H413&lt;0,0,Data_Entry!X413/Data_Entry!$H413),0)</f>
        <v>0.92004977790374787</v>
      </c>
      <c r="T424" s="49">
        <f>IFERROR(IF(Data_Entry!Y413/Data_Entry!$H413&lt;0,0,Data_Entry!Y413/Data_Entry!$H413),0)</f>
        <v>0.35041607064565128</v>
      </c>
      <c r="U424" s="49">
        <f>IFERROR(IF(Data_Entry!Z413/Data_Entry!$H413&lt;0,0,Data_Entry!Z413/Data_Entry!$H413),0)</f>
        <v>0.79217282321315474</v>
      </c>
      <c r="V424" s="49">
        <f>IFERROR(IF(Data_Entry!AA413/Data_Entry!$H413&lt;0,0,Data_Entry!AA413/Data_Entry!$H413),0)</f>
        <v>0.87853128612108777</v>
      </c>
      <c r="W424" s="49">
        <f>IFERROR(IF(Data_Entry!AB413/Data_Entry!$H413&lt;0,0,Data_Entry!AB413/Data_Entry!$H413),0)</f>
        <v>0.64104551312427205</v>
      </c>
      <c r="X424" s="49">
        <f>IFERROR(IF(Data_Entry!AC413/Data_Entry!$I413&lt;0,0,Data_Entry!AC413/Data_Entry!$I413),0)</f>
        <v>0.53757727975270475</v>
      </c>
      <c r="Y424" s="49">
        <f>IFERROR(IF(Data_Entry!AD413/Data_Entry!$I413&lt;0,0,Data_Entry!AD413/Data_Entry!$I413),0)</f>
        <v>0.10287867078825348</v>
      </c>
      <c r="Z424" s="49">
        <f>IFERROR(IF(Data_Entry!AE413/Data_Entry!$I413&lt;0,0,Data_Entry!AE413/Data_Entry!$I413),0)</f>
        <v>0.37094281298299847</v>
      </c>
      <c r="AA424" s="49">
        <f>IFERROR(IF(Data_Entry!AF413/Data_Entry!$I413&lt;0,0,Data_Entry!AF413/Data_Entry!$I413),0)</f>
        <v>0.28400309119010819</v>
      </c>
      <c r="AB424" s="49">
        <f>IFERROR(IF(Data_Entry!AG413/Data_Entry!$I413&lt;0,0,Data_Entry!AG413/Data_Entry!$I413),0)</f>
        <v>0.19706336939721794</v>
      </c>
      <c r="AC424" s="49">
        <f>IFERROR(IF(Data_Entry!AI413/Data_Entry!$I413&lt;0,0,Data_Entry!AI413/Data_Entry!$I413),0)</f>
        <v>4.8251545595054089E-2</v>
      </c>
      <c r="AD424" s="49">
        <f>IFERROR(IF(Data_Entry!AM413/Data_Entry!$H413&lt;0,0,Data_Entry!AM413/Data_Entry!$H413),0)</f>
        <v>0.79217282321315474</v>
      </c>
      <c r="AE424" s="50">
        <f>Data_Entry!AK413</f>
        <v>108.14133333333336</v>
      </c>
      <c r="AF424" s="50">
        <f>Data_Entry!AL413</f>
        <v>0</v>
      </c>
      <c r="AG424" s="153">
        <f>(Data_Entry!O413-Data_Entry!Q413)/Data_Entry!O413</f>
        <v>1.0121457489878543E-2</v>
      </c>
      <c r="AH424" s="79" t="str">
        <f t="shared" si="12"/>
        <v>CAT3</v>
      </c>
      <c r="AI424" s="51">
        <f>SUBTOTAL(3,Tableau1[[#This Row],[ZS]])</f>
        <v>0</v>
      </c>
      <c r="AJ424" s="51" t="e">
        <f t="shared" ca="1" si="13"/>
        <v>#NAME?</v>
      </c>
      <c r="AK424" s="50" t="str">
        <f>IFERROR(IF((Data_Entry!O413-Data_Entry!Q413)/Data_Entry!O413&lt;=10%,"&lt;=10%","&gt;10%"),"&lt;=10%")</f>
        <v>&lt;=10%</v>
      </c>
    </row>
    <row r="425" spans="1:37" s="48" customFormat="1" ht="13" hidden="1" x14ac:dyDescent="0.3">
      <c r="A425" s="31" t="s">
        <v>16</v>
      </c>
      <c r="B425" s="48" t="str">
        <f>Data_Entry!B414</f>
        <v>Butembo</v>
      </c>
      <c r="C425" s="48" t="str">
        <f>Data_Entry!C414</f>
        <v xml:space="preserve"> Mabalako</v>
      </c>
      <c r="D425" s="48" t="str">
        <f>Data_Entry!D414</f>
        <v xml:space="preserve"> Mangodomu</v>
      </c>
      <c r="E425" s="49">
        <f>IFERROR(IF(Data_Entry!J414/Data_Entry!$I414&lt;0,0,Data_Entry!J414/Data_Entry!$I414),0)</f>
        <v>0.49996745003580489</v>
      </c>
      <c r="F425" s="49">
        <f>IFERROR(IF(Data_Entry!K414/Data_Entry!$H414&lt;0,0,Data_Entry!K414/Data_Entry!$H414),0)</f>
        <v>3.8052680205089028E-2</v>
      </c>
      <c r="G425" s="49">
        <f>IFERROR(IF(Data_Entry!L414/Data_Entry!$H414&lt;0,0,Data_Entry!L414/Data_Entry!$H414),0)</f>
        <v>0.79910628430686959</v>
      </c>
      <c r="H425" s="49">
        <f>IFERROR(IF(Data_Entry!M414/Data_Entry!$H414&lt;0,0,Data_Entry!M414/Data_Entry!$H414),0)</f>
        <v>0.57750538193605705</v>
      </c>
      <c r="I425" s="49">
        <f>IFERROR(IF(Data_Entry!N414/Data_Entry!$H414&lt;0,0,Data_Entry!N414/Data_Entry!$H414),0)</f>
        <v>0.67599467187864037</v>
      </c>
      <c r="J425" s="49">
        <f>IFERROR(IF(Data_Entry!O414/Data_Entry!$H414&lt;0,0,Data_Entry!O414/Data_Entry!$H414),0)</f>
        <v>0.73419288866289423</v>
      </c>
      <c r="K425" s="49">
        <f>IFERROR(IF(Data_Entry!P414/Data_Entry!$H414&lt;0,0,Data_Entry!P414/Data_Entry!$H414),0)</f>
        <v>0.57302859602957601</v>
      </c>
      <c r="L425" s="49">
        <f>IFERROR(IF(Data_Entry!Q414/Data_Entry!$H414&lt;0,0,Data_Entry!Q414/Data_Entry!$H414),0)</f>
        <v>0.67599467187864037</v>
      </c>
      <c r="M425" s="49">
        <f>IFERROR(IF(Data_Entry!R414/Data_Entry!$H414&lt;0,0,Data_Entry!R414/Data_Entry!$H414),0)</f>
        <v>0.74986163933557792</v>
      </c>
      <c r="N425" s="49">
        <f>IFERROR(IF(Data_Entry!S414/Data_Entry!$H414&lt;0,0,Data_Entry!S414/Data_Entry!$H414),0)</f>
        <v>0.57526698898281647</v>
      </c>
      <c r="O425" s="49">
        <f>IFERROR(IF(Data_Entry!T414/Data_Entry!$H414&lt;0,0,Data_Entry!T414/Data_Entry!$H414),0)</f>
        <v>0.67599467187864037</v>
      </c>
      <c r="P425" s="49">
        <f>IFERROR(IF(Data_Entry!U414/Data_Entry!$H414&lt;0,0,Data_Entry!U414/Data_Entry!$H414),0)</f>
        <v>0.66480270711243772</v>
      </c>
      <c r="Q425" s="49">
        <f>IFERROR(IF(Data_Entry!V414/Data_Entry!$H414&lt;0,0,Data_Entry!V414/Data_Entry!$H414),0)</f>
        <v>0.52378395105828435</v>
      </c>
      <c r="R425" s="49">
        <f>IFERROR(IF(Data_Entry!W414/Data_Entry!$H414&lt;0,0,Data_Entry!W414/Data_Entry!$H414),0)</f>
        <v>0.55735984535689231</v>
      </c>
      <c r="S425" s="49">
        <f>IFERROR(IF(Data_Entry!X414/Data_Entry!$H414&lt;0,0,Data_Entry!X414/Data_Entry!$H414),0)</f>
        <v>0.63794199167355137</v>
      </c>
      <c r="T425" s="49">
        <f>IFERROR(IF(Data_Entry!Y414/Data_Entry!$H414&lt;0,0,Data_Entry!Y414/Data_Entry!$H414),0)</f>
        <v>0.14101875605415345</v>
      </c>
      <c r="U425" s="49">
        <f>IFERROR(IF(Data_Entry!Z414/Data_Entry!$H414&lt;0,0,Data_Entry!Z414/Data_Entry!$H414),0)</f>
        <v>0.58645895374901913</v>
      </c>
      <c r="V425" s="49">
        <f>IFERROR(IF(Data_Entry!AA414/Data_Entry!$H414&lt;0,0,Data_Entry!AA414/Data_Entry!$H414),0)</f>
        <v>0.68494824369160257</v>
      </c>
      <c r="W425" s="49">
        <f>IFERROR(IF(Data_Entry!AB414/Data_Entry!$H414&lt;0,0,Data_Entry!AB414/Data_Entry!$H414),0)</f>
        <v>0.5506446664971707</v>
      </c>
      <c r="X425" s="49">
        <f>IFERROR(IF(Data_Entry!AC414/Data_Entry!$I414&lt;0,0,Data_Entry!AC414/Data_Entry!$I414),0)</f>
        <v>0.24217173361109298</v>
      </c>
      <c r="Y425" s="49">
        <f>IFERROR(IF(Data_Entry!AD414/Data_Entry!$I414&lt;0,0,Data_Entry!AD414/Data_Entry!$I414),0)</f>
        <v>0.17186381094980793</v>
      </c>
      <c r="Z425" s="49">
        <f>IFERROR(IF(Data_Entry!AE414/Data_Entry!$I414&lt;0,0,Data_Entry!AE414/Data_Entry!$I414),0)</f>
        <v>8.7884903326606326E-2</v>
      </c>
      <c r="AA425" s="49">
        <f>IFERROR(IF(Data_Entry!AF414/Data_Entry!$I414&lt;0,0,Data_Entry!AF414/Data_Entry!$I414),0)</f>
        <v>0</v>
      </c>
      <c r="AB425" s="49">
        <f>IFERROR(IF(Data_Entry!AG414/Data_Entry!$I414&lt;0,0,Data_Entry!AG414/Data_Entry!$I414),0)</f>
        <v>0</v>
      </c>
      <c r="AC425" s="49">
        <f>IFERROR(IF(Data_Entry!AI414/Data_Entry!$I414&lt;0,0,Data_Entry!AI414/Data_Entry!$I414),0)</f>
        <v>7.3237419438838602E-2</v>
      </c>
      <c r="AD425" s="49">
        <f>IFERROR(IF(Data_Entry!AM414/Data_Entry!$H414&lt;0,0,Data_Entry!AM414/Data_Entry!$H414),0)</f>
        <v>0.58645895374901913</v>
      </c>
      <c r="AE425" s="50">
        <f>Data_Entry!AK414</f>
        <v>118.74908333333326</v>
      </c>
      <c r="AF425" s="50">
        <f>Data_Entry!AL414</f>
        <v>43</v>
      </c>
      <c r="AG425" s="153">
        <f>(Data_Entry!O414-Data_Entry!Q414)/Data_Entry!O414</f>
        <v>7.926829268292683E-2</v>
      </c>
      <c r="AH425" s="79" t="str">
        <f t="shared" si="12"/>
        <v>CAT3</v>
      </c>
      <c r="AI425" s="51">
        <f>SUBTOTAL(3,Tableau1[[#This Row],[ZS]])</f>
        <v>0</v>
      </c>
      <c r="AJ425" s="51" t="e">
        <f t="shared" ca="1" si="13"/>
        <v>#NAME?</v>
      </c>
      <c r="AK425" s="50" t="str">
        <f>IFERROR(IF((Data_Entry!O414-Data_Entry!Q414)/Data_Entry!O414&lt;=10%,"&lt;=10%","&gt;10%"),"&lt;=10%")</f>
        <v>&lt;=10%</v>
      </c>
    </row>
    <row r="426" spans="1:37" s="48" customFormat="1" ht="13" hidden="1" x14ac:dyDescent="0.3">
      <c r="A426" s="31" t="s">
        <v>16</v>
      </c>
      <c r="B426" s="48" t="str">
        <f>Data_Entry!B415</f>
        <v>Butembo</v>
      </c>
      <c r="C426" s="48" t="str">
        <f>Data_Entry!C415</f>
        <v xml:space="preserve"> Mabalako</v>
      </c>
      <c r="D426" s="48" t="str">
        <f>Data_Entry!D415</f>
        <v xml:space="preserve"> Masimbembe</v>
      </c>
      <c r="E426" s="49">
        <f>IFERROR(IF(Data_Entry!J415/Data_Entry!$I415&lt;0,0,Data_Entry!J415/Data_Entry!$I415),0)</f>
        <v>0.79961649089165876</v>
      </c>
      <c r="F426" s="49">
        <f>IFERROR(IF(Data_Entry!K415/Data_Entry!$H415&lt;0,0,Data_Entry!K415/Data_Entry!$H415),0)</f>
        <v>0.23406143288453246</v>
      </c>
      <c r="G426" s="49">
        <f>IFERROR(IF(Data_Entry!L415/Data_Entry!$H415&lt;0,0,Data_Entry!L415/Data_Entry!$H415),0)</f>
        <v>0.87031293354248684</v>
      </c>
      <c r="H426" s="49">
        <f>IFERROR(IF(Data_Entry!M415/Data_Entry!$H415&lt;0,0,Data_Entry!M415/Data_Entry!$H415),0)</f>
        <v>0.90657597244009047</v>
      </c>
      <c r="I426" s="49">
        <f>IFERROR(IF(Data_Entry!N415/Data_Entry!$H415&lt;0,0,Data_Entry!N415/Data_Entry!$H415),0)</f>
        <v>0.90657597244009047</v>
      </c>
      <c r="J426" s="49">
        <f>IFERROR(IF(Data_Entry!O415/Data_Entry!$H415&lt;0,0,Data_Entry!O415/Data_Entry!$H415),0)</f>
        <v>0.78460029614815108</v>
      </c>
      <c r="K426" s="49">
        <f>IFERROR(IF(Data_Entry!P415/Data_Entry!$H415&lt;0,0,Data_Entry!P415/Data_Entry!$H415),0)</f>
        <v>0.79449021584749746</v>
      </c>
      <c r="L426" s="49">
        <f>IFERROR(IF(Data_Entry!Q415/Data_Entry!$H415&lt;0,0,Data_Entry!Q415/Data_Entry!$H415),0)</f>
        <v>0.86042301384314046</v>
      </c>
      <c r="M426" s="49">
        <f>IFERROR(IF(Data_Entry!R415/Data_Entry!$H415&lt;0,0,Data_Entry!R415/Data_Entry!$H415),0)</f>
        <v>0.80108349564706183</v>
      </c>
      <c r="N426" s="49">
        <f>IFERROR(IF(Data_Entry!S415/Data_Entry!$H415&lt;0,0,Data_Entry!S415/Data_Entry!$H415),0)</f>
        <v>0.7977868557472797</v>
      </c>
      <c r="O426" s="49">
        <f>IFERROR(IF(Data_Entry!T415/Data_Entry!$H415&lt;0,0,Data_Entry!T415/Data_Entry!$H415),0)</f>
        <v>0.86042301384314046</v>
      </c>
      <c r="P426" s="49">
        <f>IFERROR(IF(Data_Entry!U415/Data_Entry!$H415&lt;0,0,Data_Entry!U415/Data_Entry!$H415),0)</f>
        <v>0.80108349564706183</v>
      </c>
      <c r="Q426" s="49">
        <f>IFERROR(IF(Data_Entry!V415/Data_Entry!$H415&lt;0,0,Data_Entry!V415/Data_Entry!$H415),0)</f>
        <v>0.81097341534640821</v>
      </c>
      <c r="R426" s="49">
        <f>IFERROR(IF(Data_Entry!W415/Data_Entry!$H415&lt;0,0,Data_Entry!W415/Data_Entry!$H415),0)</f>
        <v>0.82745661484531896</v>
      </c>
      <c r="S426" s="49">
        <f>IFERROR(IF(Data_Entry!X415/Data_Entry!$H415&lt;0,0,Data_Entry!X415/Data_Entry!$H415),0)</f>
        <v>0.82745661484531896</v>
      </c>
      <c r="T426" s="49">
        <f>IFERROR(IF(Data_Entry!Y415/Data_Entry!$H415&lt;0,0,Data_Entry!Y415/Data_Entry!$H415),0)</f>
        <v>0.30329087077995753</v>
      </c>
      <c r="U426" s="49">
        <f>IFERROR(IF(Data_Entry!Z415/Data_Entry!$H415&lt;0,0,Data_Entry!Z415/Data_Entry!$H415),0)</f>
        <v>0.64614142035730082</v>
      </c>
      <c r="V426" s="49">
        <f>IFERROR(IF(Data_Entry!AA415/Data_Entry!$H415&lt;0,0,Data_Entry!AA415/Data_Entry!$H415),0)</f>
        <v>1.0087718093333371</v>
      </c>
      <c r="W426" s="49">
        <f>IFERROR(IF(Data_Entry!AB415/Data_Entry!$H415&lt;0,0,Data_Entry!AB415/Data_Entry!$H415),0)</f>
        <v>0.36592702887581835</v>
      </c>
      <c r="X426" s="49">
        <f>IFERROR(IF(Data_Entry!AC415/Data_Entry!$I415&lt;0,0,Data_Entry!AC415/Data_Entry!$I415),0)</f>
        <v>0.44870565675934809</v>
      </c>
      <c r="Y426" s="49">
        <f>IFERROR(IF(Data_Entry!AD415/Data_Entry!$I415&lt;0,0,Data_Entry!AD415/Data_Entry!$I415),0)</f>
        <v>0.24736337488015342</v>
      </c>
      <c r="Z426" s="49">
        <f>IFERROR(IF(Data_Entry!AE415/Data_Entry!$I415&lt;0,0,Data_Entry!AE415/Data_Entry!$I415),0)</f>
        <v>4.6021093000958781E-2</v>
      </c>
      <c r="AA426" s="49">
        <f>IFERROR(IF(Data_Entry!AF415/Data_Entry!$I415&lt;0,0,Data_Entry!AF415/Data_Entry!$I415),0)</f>
        <v>1.4381591562799619E-2</v>
      </c>
      <c r="AB426" s="49">
        <f>IFERROR(IF(Data_Entry!AG415/Data_Entry!$I415&lt;0,0,Data_Entry!AG415/Data_Entry!$I415),0)</f>
        <v>1.725790987535954E-2</v>
      </c>
      <c r="AC426" s="49">
        <f>IFERROR(IF(Data_Entry!AI415/Data_Entry!$I415&lt;0,0,Data_Entry!AI415/Data_Entry!$I415),0)</f>
        <v>9.5781399808245446E-2</v>
      </c>
      <c r="AD426" s="49">
        <f>IFERROR(IF(Data_Entry!AM415/Data_Entry!$H415&lt;0,0,Data_Entry!AM415/Data_Entry!$H415),0)</f>
        <v>0.64614142035730082</v>
      </c>
      <c r="AE426" s="50">
        <f>Data_Entry!AK415</f>
        <v>65.339166666666642</v>
      </c>
      <c r="AF426" s="50">
        <f>Data_Entry!AL415</f>
        <v>0</v>
      </c>
      <c r="AG426" s="153">
        <f>(Data_Entry!O415-Data_Entry!Q415)/Data_Entry!O415</f>
        <v>-9.6638655462184878E-2</v>
      </c>
      <c r="AH426" s="79" t="str">
        <f t="shared" si="12"/>
        <v>CAT3</v>
      </c>
      <c r="AI426" s="51">
        <f>SUBTOTAL(3,Tableau1[[#This Row],[ZS]])</f>
        <v>0</v>
      </c>
      <c r="AJ426" s="51" t="e">
        <f t="shared" ca="1" si="13"/>
        <v>#NAME?</v>
      </c>
      <c r="AK426" s="50" t="str">
        <f>IFERROR(IF((Data_Entry!O415-Data_Entry!Q415)/Data_Entry!O415&lt;=10%,"&lt;=10%","&gt;10%"),"&lt;=10%")</f>
        <v>&lt;=10%</v>
      </c>
    </row>
    <row r="427" spans="1:37" s="48" customFormat="1" ht="13" hidden="1" x14ac:dyDescent="0.3">
      <c r="A427" s="31" t="s">
        <v>16</v>
      </c>
      <c r="B427" s="48" t="str">
        <f>Data_Entry!B416</f>
        <v>Butembo</v>
      </c>
      <c r="C427" s="48" t="str">
        <f>Data_Entry!C416</f>
        <v xml:space="preserve"> Mabalako</v>
      </c>
      <c r="D427" s="48" t="str">
        <f>Data_Entry!D416</f>
        <v xml:space="preserve"> Metale</v>
      </c>
      <c r="E427" s="49">
        <f>IFERROR(IF(Data_Entry!J416/Data_Entry!$I416&lt;0,0,Data_Entry!J416/Data_Entry!$I416),0)</f>
        <v>0.1417624521072797</v>
      </c>
      <c r="F427" s="49">
        <f>IFERROR(IF(Data_Entry!K416/Data_Entry!$H416&lt;0,0,Data_Entry!K416/Data_Entry!$H416),0)</f>
        <v>0.47426143661693509</v>
      </c>
      <c r="G427" s="49">
        <f>IFERROR(IF(Data_Entry!L416/Data_Entry!$H416&lt;0,0,Data_Entry!L416/Data_Entry!$H416),0)</f>
        <v>0.9748707308236999</v>
      </c>
      <c r="H427" s="49">
        <f>IFERROR(IF(Data_Entry!M416/Data_Entry!$H416&lt;0,0,Data_Entry!M416/Data_Entry!$H416),0)</f>
        <v>0.93095763484065042</v>
      </c>
      <c r="I427" s="49">
        <f>IFERROR(IF(Data_Entry!N416/Data_Entry!$H416&lt;0,0,Data_Entry!N416/Data_Entry!$H416),0)</f>
        <v>0.97047942122539499</v>
      </c>
      <c r="J427" s="49">
        <f>IFERROR(IF(Data_Entry!O416/Data_Entry!$H416&lt;0,0,Data_Entry!O416/Data_Entry!$H416),0)</f>
        <v>0.91778370604573545</v>
      </c>
      <c r="K427" s="49">
        <f>IFERROR(IF(Data_Entry!P416/Data_Entry!$H416&lt;0,0,Data_Entry!P416/Data_Entry!$H416),0)</f>
        <v>0.92656632524234539</v>
      </c>
      <c r="L427" s="49">
        <f>IFERROR(IF(Data_Entry!Q416/Data_Entry!$H416&lt;0,0,Data_Entry!Q416/Data_Entry!$H416),0)</f>
        <v>0.8387401332762463</v>
      </c>
      <c r="M427" s="49">
        <f>IFERROR(IF(Data_Entry!R416/Data_Entry!$H416&lt;0,0,Data_Entry!R416/Data_Entry!$H416),0)</f>
        <v>0.88704453885760082</v>
      </c>
      <c r="N427" s="49">
        <f>IFERROR(IF(Data_Entry!S416/Data_Entry!$H416&lt;0,0,Data_Entry!S416/Data_Entry!$H416),0)</f>
        <v>0.77287048930167201</v>
      </c>
      <c r="O427" s="49">
        <f>IFERROR(IF(Data_Entry!T416/Data_Entry!$H416&lt;0,0,Data_Entry!T416/Data_Entry!$H416),0)</f>
        <v>0.75530525090845213</v>
      </c>
      <c r="P427" s="49">
        <f>IFERROR(IF(Data_Entry!U416/Data_Entry!$H416&lt;0,0,Data_Entry!U416/Data_Entry!$H416),0)</f>
        <v>0.75530525090845213</v>
      </c>
      <c r="Q427" s="49">
        <f>IFERROR(IF(Data_Entry!V416/Data_Entry!$H416&lt;0,0,Data_Entry!V416/Data_Entry!$H416),0)</f>
        <v>0.71578346452370756</v>
      </c>
      <c r="R427" s="49">
        <f>IFERROR(IF(Data_Entry!W416/Data_Entry!$H416&lt;0,0,Data_Entry!W416/Data_Entry!$H416),0)</f>
        <v>0.64991382054913327</v>
      </c>
      <c r="S427" s="49">
        <f>IFERROR(IF(Data_Entry!X416/Data_Entry!$H416&lt;0,0,Data_Entry!X416/Data_Entry!$H416),0)</f>
        <v>0.98804465961861476</v>
      </c>
      <c r="T427" s="49">
        <f>IFERROR(IF(Data_Entry!Y416/Data_Entry!$H416&lt;0,0,Data_Entry!Y416/Data_Entry!$H416),0)</f>
        <v>0.67187036854065807</v>
      </c>
      <c r="U427" s="49">
        <f>IFERROR(IF(Data_Entry!Z416/Data_Entry!$H416&lt;0,0,Data_Entry!Z416/Data_Entry!$H416),0)</f>
        <v>0.87387061006268596</v>
      </c>
      <c r="V427" s="49">
        <f>IFERROR(IF(Data_Entry!AA416/Data_Entry!$H416&lt;0,0,Data_Entry!AA416/Data_Entry!$H416),0)</f>
        <v>0.90900108684912562</v>
      </c>
      <c r="W427" s="49">
        <f>IFERROR(IF(Data_Entry!AB416/Data_Entry!$H416&lt;0,0,Data_Entry!AB416/Data_Entry!$H416),0)</f>
        <v>0.80800096608811167</v>
      </c>
      <c r="X427" s="49">
        <f>IFERROR(IF(Data_Entry!AC416/Data_Entry!$I416&lt;0,0,Data_Entry!AC416/Data_Entry!$I416),0)</f>
        <v>0.21072796934865901</v>
      </c>
      <c r="Y427" s="49">
        <f>IFERROR(IF(Data_Entry!AD416/Data_Entry!$I416&lt;0,0,Data_Entry!AD416/Data_Entry!$I416),0)</f>
        <v>0.13793103448275862</v>
      </c>
      <c r="Z427" s="49">
        <f>IFERROR(IF(Data_Entry!AE416/Data_Entry!$I416&lt;0,0,Data_Entry!AE416/Data_Entry!$I416),0)</f>
        <v>0.14942528735632185</v>
      </c>
      <c r="AA427" s="49">
        <f>IFERROR(IF(Data_Entry!AF416/Data_Entry!$I416&lt;0,0,Data_Entry!AF416/Data_Entry!$I416),0)</f>
        <v>8.0459770114942528E-2</v>
      </c>
      <c r="AB427" s="49">
        <f>IFERROR(IF(Data_Entry!AG416/Data_Entry!$I416&lt;0,0,Data_Entry!AG416/Data_Entry!$I416),0)</f>
        <v>5.3639846743295021E-2</v>
      </c>
      <c r="AC427" s="49">
        <f>IFERROR(IF(Data_Entry!AI416/Data_Entry!$I416&lt;0,0,Data_Entry!AI416/Data_Entry!$I416),0)</f>
        <v>0.15977011494252874</v>
      </c>
      <c r="AD427" s="49">
        <f>IFERROR(IF(Data_Entry!AM416/Data_Entry!$H416&lt;0,0,Data_Entry!AM416/Data_Entry!$H416),0)</f>
        <v>0.87387061006268596</v>
      </c>
      <c r="AE427" s="50">
        <f>Data_Entry!AK416</f>
        <v>18.722499999999997</v>
      </c>
      <c r="AF427" s="50">
        <f>Data_Entry!AL416</f>
        <v>0</v>
      </c>
      <c r="AG427" s="153">
        <f>(Data_Entry!O416-Data_Entry!Q416)/Data_Entry!O416</f>
        <v>8.6124401913875603E-2</v>
      </c>
      <c r="AH427" s="79" t="str">
        <f t="shared" si="12"/>
        <v>CAT1</v>
      </c>
      <c r="AI427" s="51">
        <f>SUBTOTAL(3,Tableau1[[#This Row],[ZS]])</f>
        <v>0</v>
      </c>
      <c r="AJ427" s="51" t="e">
        <f t="shared" ca="1" si="13"/>
        <v>#NAME?</v>
      </c>
      <c r="AK427" s="50" t="str">
        <f>IFERROR(IF((Data_Entry!O416-Data_Entry!Q416)/Data_Entry!O416&lt;=10%,"&lt;=10%","&gt;10%"),"&lt;=10%")</f>
        <v>&lt;=10%</v>
      </c>
    </row>
    <row r="428" spans="1:37" s="48" customFormat="1" ht="13" hidden="1" x14ac:dyDescent="0.3">
      <c r="A428" s="31" t="s">
        <v>16</v>
      </c>
      <c r="B428" s="48" t="str">
        <f>Data_Entry!B417</f>
        <v>Butembo</v>
      </c>
      <c r="C428" s="48" t="str">
        <f>Data_Entry!C417</f>
        <v xml:space="preserve"> Mabalako</v>
      </c>
      <c r="D428" s="48" t="str">
        <f>Data_Entry!D417</f>
        <v xml:space="preserve"> Mununze</v>
      </c>
      <c r="E428" s="49">
        <f>IFERROR(IF(Data_Entry!J417/Data_Entry!$I417&lt;0,0,Data_Entry!J417/Data_Entry!$I417),0)</f>
        <v>0.52475247524752477</v>
      </c>
      <c r="F428" s="49">
        <f>IFERROR(IF(Data_Entry!K417/Data_Entry!$H417&lt;0,0,Data_Entry!K417/Data_Entry!$H417),0)</f>
        <v>0.2193915666638297</v>
      </c>
      <c r="G428" s="49">
        <f>IFERROR(IF(Data_Entry!L417/Data_Entry!$H417&lt;0,0,Data_Entry!L417/Data_Entry!$H417),0)</f>
        <v>0.82460968159853232</v>
      </c>
      <c r="H428" s="49">
        <f>IFERROR(IF(Data_Entry!M417/Data_Entry!$H417&lt;0,0,Data_Entry!M417/Data_Entry!$H417),0)</f>
        <v>0.82460968159853232</v>
      </c>
      <c r="I428" s="49">
        <f>IFERROR(IF(Data_Entry!N417/Data_Entry!$H417&lt;0,0,Data_Entry!N417/Data_Entry!$H417),0)</f>
        <v>0.74139219079501073</v>
      </c>
      <c r="J428" s="49">
        <f>IFERROR(IF(Data_Entry!O417/Data_Entry!$H417&lt;0,0,Data_Entry!O417/Data_Entry!$H417),0)</f>
        <v>0.70356605861159183</v>
      </c>
      <c r="K428" s="49">
        <f>IFERROR(IF(Data_Entry!P417/Data_Entry!$H417&lt;0,0,Data_Entry!P417/Data_Entry!$H417),0)</f>
        <v>0.72247912470330122</v>
      </c>
      <c r="L428" s="49">
        <f>IFERROR(IF(Data_Entry!Q417/Data_Entry!$H417&lt;0,0,Data_Entry!Q417/Data_Entry!$H417),0)</f>
        <v>0.68087037930154048</v>
      </c>
      <c r="M428" s="49">
        <f>IFERROR(IF(Data_Entry!R417/Data_Entry!$H417&lt;0,0,Data_Entry!R417/Data_Entry!$H417),0)</f>
        <v>0.83595752125355804</v>
      </c>
      <c r="N428" s="49">
        <f>IFERROR(IF(Data_Entry!S417/Data_Entry!$H417&lt;0,0,Data_Entry!S417/Data_Entry!$H417),0)</f>
        <v>0.80191400228848098</v>
      </c>
      <c r="O428" s="49">
        <f>IFERROR(IF(Data_Entry!T417/Data_Entry!$H417&lt;0,0,Data_Entry!T417/Data_Entry!$H417),0)</f>
        <v>0.71869651148495939</v>
      </c>
      <c r="P428" s="49">
        <f>IFERROR(IF(Data_Entry!U417/Data_Entry!$H417&lt;0,0,Data_Entry!U417/Data_Entry!$H417),0)</f>
        <v>0.68843560573822427</v>
      </c>
      <c r="Q428" s="49">
        <f>IFERROR(IF(Data_Entry!V417/Data_Entry!$H417&lt;0,0,Data_Entry!V417/Data_Entry!$H417),0)</f>
        <v>0.62791379424475402</v>
      </c>
      <c r="R428" s="49">
        <f>IFERROR(IF(Data_Entry!W417/Data_Entry!$H417&lt;0,0,Data_Entry!W417/Data_Entry!$H417),0)</f>
        <v>0.48795710516610397</v>
      </c>
      <c r="S428" s="49">
        <f>IFERROR(IF(Data_Entry!X417/Data_Entry!$H417&lt;0,0,Data_Entry!X417/Data_Entry!$H417),0)</f>
        <v>0.87378365343697695</v>
      </c>
      <c r="T428" s="49">
        <f>IFERROR(IF(Data_Entry!Y417/Data_Entry!$H417&lt;0,0,Data_Entry!Y417/Data_Entry!$H417),0)</f>
        <v>0.20426111379046213</v>
      </c>
      <c r="U428" s="49">
        <f>IFERROR(IF(Data_Entry!Z417/Data_Entry!$H417&lt;0,0,Data_Entry!Z417/Data_Entry!$H417),0)</f>
        <v>0.6922182189565661</v>
      </c>
      <c r="V428" s="49">
        <f>IFERROR(IF(Data_Entry!AA417/Data_Entry!$H417&lt;0,0,Data_Entry!AA417/Data_Entry!$H417),0)</f>
        <v>0.77921832297842963</v>
      </c>
      <c r="W428" s="49">
        <f>IFERROR(IF(Data_Entry!AB417/Data_Entry!$H417&lt;0,0,Data_Entry!AB417/Data_Entry!$H417),0)</f>
        <v>0.70356605861159183</v>
      </c>
      <c r="X428" s="49">
        <f>IFERROR(IF(Data_Entry!AC417/Data_Entry!$I417&lt;0,0,Data_Entry!AC417/Data_Entry!$I417),0)</f>
        <v>0.21122112211221122</v>
      </c>
      <c r="Y428" s="49">
        <f>IFERROR(IF(Data_Entry!AD417/Data_Entry!$I417&lt;0,0,Data_Entry!AD417/Data_Entry!$I417),0)</f>
        <v>0.18811881188118812</v>
      </c>
      <c r="Z428" s="49">
        <f>IFERROR(IF(Data_Entry!AE417/Data_Entry!$I417&lt;0,0,Data_Entry!AE417/Data_Entry!$I417),0)</f>
        <v>0.11551155115511551</v>
      </c>
      <c r="AA428" s="49">
        <f>IFERROR(IF(Data_Entry!AF417/Data_Entry!$I417&lt;0,0,Data_Entry!AF417/Data_Entry!$I417),0)</f>
        <v>6.2706270627062702E-2</v>
      </c>
      <c r="AB428" s="49">
        <f>IFERROR(IF(Data_Entry!AG417/Data_Entry!$I417&lt;0,0,Data_Entry!AG417/Data_Entry!$I417),0)</f>
        <v>4.9504950495049507E-2</v>
      </c>
      <c r="AC428" s="49">
        <f>IFERROR(IF(Data_Entry!AI417/Data_Entry!$I417&lt;0,0,Data_Entry!AI417/Data_Entry!$I417),0)</f>
        <v>0.10990099009900989</v>
      </c>
      <c r="AD428" s="49">
        <f>IFERROR(IF(Data_Entry!AM417/Data_Entry!$H417&lt;0,0,Data_Entry!AM417/Data_Entry!$H417),0)</f>
        <v>0.6922182189565661</v>
      </c>
      <c r="AE428" s="50">
        <f>Data_Entry!AK417</f>
        <v>78.367500000000007</v>
      </c>
      <c r="AF428" s="50">
        <f>Data_Entry!AL417</f>
        <v>0</v>
      </c>
      <c r="AG428" s="153">
        <f>(Data_Entry!O417-Data_Entry!Q417)/Data_Entry!O417</f>
        <v>3.2258064516129031E-2</v>
      </c>
      <c r="AH428" s="79" t="str">
        <f t="shared" si="12"/>
        <v>CAT3</v>
      </c>
      <c r="AI428" s="51">
        <f>SUBTOTAL(3,Tableau1[[#This Row],[ZS]])</f>
        <v>0</v>
      </c>
      <c r="AJ428" s="51" t="e">
        <f t="shared" ca="1" si="13"/>
        <v>#NAME?</v>
      </c>
      <c r="AK428" s="50" t="str">
        <f>IFERROR(IF((Data_Entry!O417-Data_Entry!Q417)/Data_Entry!O417&lt;=10%,"&lt;=10%","&gt;10%"),"&lt;=10%")</f>
        <v>&lt;=10%</v>
      </c>
    </row>
    <row r="429" spans="1:37" s="48" customFormat="1" ht="13" hidden="1" x14ac:dyDescent="0.3">
      <c r="A429" s="31" t="s">
        <v>16</v>
      </c>
      <c r="B429" s="48" t="str">
        <f>Data_Entry!B418</f>
        <v>Butembo</v>
      </c>
      <c r="C429" s="48" t="str">
        <f>Data_Entry!C418</f>
        <v xml:space="preserve"> Mabalako</v>
      </c>
      <c r="D429" s="48" t="str">
        <f>Data_Entry!D418</f>
        <v xml:space="preserve"> Ngazi</v>
      </c>
      <c r="E429" s="49">
        <f>IFERROR(IF(Data_Entry!J418/Data_Entry!$I418&lt;0,0,Data_Entry!J418/Data_Entry!$I418),0)</f>
        <v>0.56850846374960073</v>
      </c>
      <c r="F429" s="49">
        <f>IFERROR(IF(Data_Entry!K418/Data_Entry!$H418&lt;0,0,Data_Entry!K418/Data_Entry!$H418),0)</f>
        <v>0.98836022801836521</v>
      </c>
      <c r="G429" s="49">
        <f>IFERROR(IF(Data_Entry!L418/Data_Entry!$H418&lt;0,0,Data_Entry!L418/Data_Entry!$H418),0)</f>
        <v>0.96273607395862981</v>
      </c>
      <c r="H429" s="49">
        <f>IFERROR(IF(Data_Entry!M418/Data_Entry!$H418&lt;0,0,Data_Entry!M418/Data_Entry!$H418),0)</f>
        <v>0.98103904114415508</v>
      </c>
      <c r="I429" s="49">
        <f>IFERROR(IF(Data_Entry!N418/Data_Entry!$H418&lt;0,0,Data_Entry!N418/Data_Entry!$H418),0)</f>
        <v>0.94077251333599943</v>
      </c>
      <c r="J429" s="49">
        <f>IFERROR(IF(Data_Entry!O418/Data_Entry!$H418&lt;0,0,Data_Entry!O418/Data_Entry!$H418),0)</f>
        <v>0.88220301834231851</v>
      </c>
      <c r="K429" s="49">
        <f>IFERROR(IF(Data_Entry!P418/Data_Entry!$H418&lt;0,0,Data_Entry!P418/Data_Entry!$H418),0)</f>
        <v>0.90782717240205391</v>
      </c>
      <c r="L429" s="49">
        <f>IFERROR(IF(Data_Entry!Q418/Data_Entry!$H418&lt;0,0,Data_Entry!Q418/Data_Entry!$H418),0)</f>
        <v>0.86023945771968824</v>
      </c>
      <c r="M429" s="49">
        <f>IFERROR(IF(Data_Entry!R418/Data_Entry!$H418&lt;0,0,Data_Entry!R418/Data_Entry!$H418),0)</f>
        <v>0.79068818241469208</v>
      </c>
      <c r="N429" s="49">
        <f>IFERROR(IF(Data_Entry!S418/Data_Entry!$H418&lt;0,0,Data_Entry!S418/Data_Entry!$H418),0)</f>
        <v>0.7943487758517972</v>
      </c>
      <c r="O429" s="49">
        <f>IFERROR(IF(Data_Entry!T418/Data_Entry!$H418&lt;0,0,Data_Entry!T418/Data_Entry!$H418),0)</f>
        <v>0.76506402835495668</v>
      </c>
      <c r="P429" s="49">
        <f>IFERROR(IF(Data_Entry!U418/Data_Entry!$H418&lt;0,0,Data_Entry!U418/Data_Entry!$H418),0)</f>
        <v>0.81265174303732246</v>
      </c>
      <c r="Q429" s="49">
        <f>IFERROR(IF(Data_Entry!V418/Data_Entry!$H418&lt;0,0,Data_Entry!V418/Data_Entry!$H418),0)</f>
        <v>0.8236335233486376</v>
      </c>
      <c r="R429" s="49">
        <f>IFERROR(IF(Data_Entry!W418/Data_Entry!$H418&lt;0,0,Data_Entry!W418/Data_Entry!$H418),0)</f>
        <v>0.80533055616311233</v>
      </c>
      <c r="S429" s="49">
        <f>IFERROR(IF(Data_Entry!X418/Data_Entry!$H418&lt;0,0,Data_Entry!X418/Data_Entry!$H418),0)</f>
        <v>0.84925767740837299</v>
      </c>
      <c r="T429" s="49">
        <f>IFERROR(IF(Data_Entry!Y418/Data_Entry!$H418&lt;0,0,Data_Entry!Y418/Data_Entry!$H418),0)</f>
        <v>0.5490890155657584</v>
      </c>
      <c r="U429" s="49">
        <f>IFERROR(IF(Data_Entry!Z418/Data_Entry!$H418&lt;0,0,Data_Entry!Z418/Data_Entry!$H418),0)</f>
        <v>0.69551275304996063</v>
      </c>
      <c r="V429" s="49">
        <f>IFERROR(IF(Data_Entry!AA418/Data_Entry!$H418&lt;0,0,Data_Entry!AA418/Data_Entry!$H418),0)</f>
        <v>0.8785424249052135</v>
      </c>
      <c r="W429" s="49">
        <f>IFERROR(IF(Data_Entry!AB418/Data_Entry!$H418&lt;0,0,Data_Entry!AB418/Data_Entry!$H418),0)</f>
        <v>0.81265174303732246</v>
      </c>
      <c r="X429" s="49">
        <f>IFERROR(IF(Data_Entry!AC418/Data_Entry!$I418&lt;0,0,Data_Entry!AC418/Data_Entry!$I418),0)</f>
        <v>0.18843819865857553</v>
      </c>
      <c r="Y429" s="49">
        <f>IFERROR(IF(Data_Entry!AD418/Data_Entry!$I418&lt;0,0,Data_Entry!AD418/Data_Entry!$I418),0)</f>
        <v>0.1724688597892047</v>
      </c>
      <c r="Z429" s="49">
        <f>IFERROR(IF(Data_Entry!AE418/Data_Entry!$I418&lt;0,0,Data_Entry!AE418/Data_Entry!$I418),0)</f>
        <v>0.20121366975407218</v>
      </c>
      <c r="AA429" s="49">
        <f>IFERROR(IF(Data_Entry!AF418/Data_Entry!$I418&lt;0,0,Data_Entry!AF418/Data_Entry!$I418),0)</f>
        <v>0.15649952091983391</v>
      </c>
      <c r="AB429" s="49">
        <f>IFERROR(IF(Data_Entry!AG418/Data_Entry!$I418&lt;0,0,Data_Entry!AG418/Data_Entry!$I418),0)</f>
        <v>0.12775471095496646</v>
      </c>
      <c r="AC429" s="49">
        <f>IFERROR(IF(Data_Entry!AI418/Data_Entry!$I418&lt;0,0,Data_Entry!AI418/Data_Entry!$I418),0)</f>
        <v>0.13318428617055253</v>
      </c>
      <c r="AD429" s="49">
        <f>IFERROR(IF(Data_Entry!AM418/Data_Entry!$H418&lt;0,0,Data_Entry!AM418/Data_Entry!$H418),0)</f>
        <v>0.69551275304996063</v>
      </c>
      <c r="AE429" s="50">
        <f>Data_Entry!AK418</f>
        <v>32.179750000000013</v>
      </c>
      <c r="AF429" s="50">
        <f>Data_Entry!AL418</f>
        <v>9</v>
      </c>
      <c r="AG429" s="153">
        <f>(Data_Entry!O418-Data_Entry!Q418)/Data_Entry!O418</f>
        <v>2.4896265560165973E-2</v>
      </c>
      <c r="AH429" s="79" t="str">
        <f t="shared" si="12"/>
        <v>CAT3</v>
      </c>
      <c r="AI429" s="51">
        <f>SUBTOTAL(3,Tableau1[[#This Row],[ZS]])</f>
        <v>0</v>
      </c>
      <c r="AJ429" s="51" t="e">
        <f t="shared" ca="1" si="13"/>
        <v>#NAME?</v>
      </c>
      <c r="AK429" s="50" t="str">
        <f>IFERROR(IF((Data_Entry!O418-Data_Entry!Q418)/Data_Entry!O418&lt;=10%,"&lt;=10%","&gt;10%"),"&lt;=10%")</f>
        <v>&lt;=10%</v>
      </c>
    </row>
    <row r="430" spans="1:37" s="48" customFormat="1" ht="13" hidden="1" x14ac:dyDescent="0.3">
      <c r="A430" s="31" t="s">
        <v>16</v>
      </c>
      <c r="B430" s="48" t="str">
        <f>Data_Entry!B419</f>
        <v>Butembo</v>
      </c>
      <c r="C430" s="48" t="str">
        <f>Data_Entry!C419</f>
        <v xml:space="preserve"> Mabalako</v>
      </c>
      <c r="D430" s="48" t="str">
        <f>Data_Entry!D419</f>
        <v xml:space="preserve"> Ngoyo</v>
      </c>
      <c r="E430" s="49">
        <f>IFERROR(IF(Data_Entry!J419/Data_Entry!$I419&lt;0,0,Data_Entry!J419/Data_Entry!$I419),0)</f>
        <v>0.40846844010703609</v>
      </c>
      <c r="F430" s="49">
        <f>IFERROR(IF(Data_Entry!K419/Data_Entry!$H419&lt;0,0,Data_Entry!K419/Data_Entry!$H419),0)</f>
        <v>0.6711176318567994</v>
      </c>
      <c r="G430" s="49">
        <f>IFERROR(IF(Data_Entry!L419/Data_Entry!$H419&lt;0,0,Data_Entry!L419/Data_Entry!$H419),0)</f>
        <v>0.80642360602147667</v>
      </c>
      <c r="H430" s="49">
        <f>IFERROR(IF(Data_Entry!M419/Data_Entry!$H419&lt;0,0,Data_Entry!M419/Data_Entry!$H419),0)</f>
        <v>0.84160315930429286</v>
      </c>
      <c r="I430" s="49">
        <f>IFERROR(IF(Data_Entry!N419/Data_Entry!$H419&lt;0,0,Data_Entry!N419/Data_Entry!$H419),0)</f>
        <v>0.79830524757159604</v>
      </c>
      <c r="J430" s="49">
        <f>IFERROR(IF(Data_Entry!O419/Data_Entry!$H419&lt;0,0,Data_Entry!O419/Data_Entry!$H419),0)</f>
        <v>0.87407659310381536</v>
      </c>
      <c r="K430" s="49">
        <f>IFERROR(IF(Data_Entry!P419/Data_Entry!$H419&lt;0,0,Data_Entry!P419/Data_Entry!$H419),0)</f>
        <v>0.89572554897016377</v>
      </c>
      <c r="L430" s="49">
        <f>IFERROR(IF(Data_Entry!Q419/Data_Entry!$H419&lt;0,0,Data_Entry!Q419/Data_Entry!$H419),0)</f>
        <v>0.86866435413722831</v>
      </c>
      <c r="M430" s="49">
        <f>IFERROR(IF(Data_Entry!R419/Data_Entry!$H419&lt;0,0,Data_Entry!R419/Data_Entry!$H419),0)</f>
        <v>0.8253664424045315</v>
      </c>
      <c r="N430" s="49">
        <f>IFERROR(IF(Data_Entry!S419/Data_Entry!$H419&lt;0,0,Data_Entry!S419/Data_Entry!$H419),0)</f>
        <v>0.84972151775417348</v>
      </c>
      <c r="O430" s="49">
        <f>IFERROR(IF(Data_Entry!T419/Data_Entry!$H419&lt;0,0,Data_Entry!T419/Data_Entry!$H419),0)</f>
        <v>0.81183584498806383</v>
      </c>
      <c r="P430" s="49">
        <f>IFERROR(IF(Data_Entry!U419/Data_Entry!$H419&lt;0,0,Data_Entry!U419/Data_Entry!$H419),0)</f>
        <v>0.8470153982708799</v>
      </c>
      <c r="Q430" s="49">
        <f>IFERROR(IF(Data_Entry!V419/Data_Entry!$H419&lt;0,0,Data_Entry!V419/Data_Entry!$H419),0)</f>
        <v>0.86866435413722831</v>
      </c>
      <c r="R430" s="49">
        <f>IFERROR(IF(Data_Entry!W419/Data_Entry!$H419&lt;0,0,Data_Entry!W419/Data_Entry!$H419),0)</f>
        <v>0.83889703982099928</v>
      </c>
      <c r="S430" s="49">
        <f>IFERROR(IF(Data_Entry!X419/Data_Entry!$H419&lt;0,0,Data_Entry!X419/Data_Entry!$H419),0)</f>
        <v>0.73606449945584451</v>
      </c>
      <c r="T430" s="49">
        <f>IFERROR(IF(Data_Entry!Y419/Data_Entry!$H419&lt;0,0,Data_Entry!Y419/Data_Entry!$H419),0)</f>
        <v>0.24625687297971269</v>
      </c>
      <c r="U430" s="49">
        <f>IFERROR(IF(Data_Entry!Z419/Data_Entry!$H419&lt;0,0,Data_Entry!Z419/Data_Entry!$H419),0)</f>
        <v>0.73606449945584451</v>
      </c>
      <c r="V430" s="49">
        <f>IFERROR(IF(Data_Entry!AA419/Data_Entry!$H419&lt;0,0,Data_Entry!AA419/Data_Entry!$H419),0)</f>
        <v>0.92278674380309922</v>
      </c>
      <c r="W430" s="49">
        <f>IFERROR(IF(Data_Entry!AB419/Data_Entry!$H419&lt;0,0,Data_Entry!AB419/Data_Entry!$H419),0)</f>
        <v>0.64135031754057037</v>
      </c>
      <c r="X430" s="49">
        <f>IFERROR(IF(Data_Entry!AC419/Data_Entry!$I419&lt;0,0,Data_Entry!AC419/Data_Entry!$I419),0)</f>
        <v>0.58082795529671027</v>
      </c>
      <c r="Y430" s="49">
        <f>IFERROR(IF(Data_Entry!AD419/Data_Entry!$I419&lt;0,0,Data_Entry!AD419/Data_Entry!$I419),0)</f>
        <v>0.32583031638595944</v>
      </c>
      <c r="Z430" s="49">
        <f>IFERROR(IF(Data_Entry!AE419/Data_Entry!$I419&lt;0,0,Data_Entry!AE419/Data_Entry!$I419),0)</f>
        <v>1.8888713993388952E-2</v>
      </c>
      <c r="AA430" s="49">
        <f>IFERROR(IF(Data_Entry!AF419/Data_Entry!$I419&lt;0,0,Data_Entry!AF419/Data_Entry!$I419),0)</f>
        <v>2.361089249173619E-3</v>
      </c>
      <c r="AB430" s="49">
        <f>IFERROR(IF(Data_Entry!AG419/Data_Entry!$I419&lt;0,0,Data_Entry!AG419/Data_Entry!$I419),0)</f>
        <v>4.7221784983472381E-3</v>
      </c>
      <c r="AC430" s="49">
        <f>IFERROR(IF(Data_Entry!AI419/Data_Entry!$I419&lt;0,0,Data_Entry!AI419/Data_Entry!$I419),0)</f>
        <v>7.862427199748151E-2</v>
      </c>
      <c r="AD430" s="49">
        <f>IFERROR(IF(Data_Entry!AM419/Data_Entry!$H419&lt;0,0,Data_Entry!AM419/Data_Entry!$H419),0)</f>
        <v>0.73606449945584451</v>
      </c>
      <c r="AE430" s="50">
        <f>Data_Entry!AK419</f>
        <v>46.532833333333315</v>
      </c>
      <c r="AF430" s="50">
        <f>Data_Entry!AL419</f>
        <v>51</v>
      </c>
      <c r="AG430" s="153">
        <f>(Data_Entry!O419-Data_Entry!Q419)/Data_Entry!O419</f>
        <v>6.1919504643962852E-3</v>
      </c>
      <c r="AH430" s="79" t="str">
        <f t="shared" si="12"/>
        <v>CAT3</v>
      </c>
      <c r="AI430" s="51">
        <f>SUBTOTAL(3,Tableau1[[#This Row],[ZS]])</f>
        <v>0</v>
      </c>
      <c r="AJ430" s="51" t="e">
        <f t="shared" ca="1" si="13"/>
        <v>#NAME?</v>
      </c>
      <c r="AK430" s="50" t="str">
        <f>IFERROR(IF((Data_Entry!O419-Data_Entry!Q419)/Data_Entry!O419&lt;=10%,"&lt;=10%","&gt;10%"),"&lt;=10%")</f>
        <v>&lt;=10%</v>
      </c>
    </row>
    <row r="431" spans="1:37" s="48" customFormat="1" ht="13" hidden="1" x14ac:dyDescent="0.3">
      <c r="A431" s="31" t="s">
        <v>16</v>
      </c>
      <c r="B431" s="48" t="str">
        <f>Data_Entry!B420</f>
        <v>Butembo</v>
      </c>
      <c r="C431" s="48" t="str">
        <f>Data_Entry!C420</f>
        <v xml:space="preserve"> Mabalako</v>
      </c>
      <c r="D431" s="48" t="str">
        <f>Data_Entry!D420</f>
        <v xml:space="preserve"> Visiki</v>
      </c>
      <c r="E431" s="49">
        <f>IFERROR(IF(Data_Entry!J420/Data_Entry!$I420&lt;0,0,Data_Entry!J420/Data_Entry!$I420),0)</f>
        <v>0.61482820976491859</v>
      </c>
      <c r="F431" s="49">
        <f>IFERROR(IF(Data_Entry!K420/Data_Entry!$H420&lt;0,0,Data_Entry!K420/Data_Entry!$H420),0)</f>
        <v>0.41710492909216201</v>
      </c>
      <c r="G431" s="49">
        <f>IFERROR(IF(Data_Entry!L420/Data_Entry!$H420&lt;0,0,Data_Entry!L420/Data_Entry!$H420),0)</f>
        <v>0.93783841199604134</v>
      </c>
      <c r="H431" s="49">
        <f>IFERROR(IF(Data_Entry!M420/Data_Entry!$H420&lt;0,0,Data_Entry!M420/Data_Entry!$H420),0)</f>
        <v>0.88602413509018263</v>
      </c>
      <c r="I431" s="49">
        <f>IFERROR(IF(Data_Entry!N420/Data_Entry!$H420&lt;0,0,Data_Entry!N420/Data_Entry!$H420),0)</f>
        <v>0.93265698430545541</v>
      </c>
      <c r="J431" s="49">
        <f>IFERROR(IF(Data_Entry!O420/Data_Entry!$H420&lt;0,0,Data_Entry!O420/Data_Entry!$H420),0)</f>
        <v>0.98447126121131412</v>
      </c>
      <c r="K431" s="49">
        <f>IFERROR(IF(Data_Entry!P420/Data_Entry!$H420&lt;0,0,Data_Entry!P420/Data_Entry!$H420),0)</f>
        <v>0.93006627046016255</v>
      </c>
      <c r="L431" s="49">
        <f>IFERROR(IF(Data_Entry!Q420/Data_Entry!$H420&lt;0,0,Data_Entry!Q420/Data_Entry!$H420),0)</f>
        <v>0.94301983968662717</v>
      </c>
      <c r="M431" s="49">
        <f>IFERROR(IF(Data_Entry!R420/Data_Entry!$H420&lt;0,0,Data_Entry!R420/Data_Entry!$H420),0)</f>
        <v>0.98447126121131412</v>
      </c>
      <c r="N431" s="49">
        <f>IFERROR(IF(Data_Entry!S420/Data_Entry!$H420&lt;0,0,Data_Entry!S420/Data_Entry!$H420),0)</f>
        <v>0.93006627046016255</v>
      </c>
      <c r="O431" s="49">
        <f>IFERROR(IF(Data_Entry!T420/Data_Entry!$H420&lt;0,0,Data_Entry!T420/Data_Entry!$H420),0)</f>
        <v>0.948201267377213</v>
      </c>
      <c r="P431" s="49">
        <f>IFERROR(IF(Data_Entry!U420/Data_Entry!$H420&lt;0,0,Data_Entry!U420/Data_Entry!$H420),0)</f>
        <v>0.97928983352072818</v>
      </c>
      <c r="Q431" s="49">
        <f>IFERROR(IF(Data_Entry!V420/Data_Entry!$H420&lt;0,0,Data_Entry!V420/Data_Entry!$H420),0)</f>
        <v>0.93783841199604134</v>
      </c>
      <c r="R431" s="49">
        <f>IFERROR(IF(Data_Entry!W420/Data_Entry!$H420&lt;0,0,Data_Entry!W420/Data_Entry!$H420),0)</f>
        <v>0.9404291258413342</v>
      </c>
      <c r="S431" s="49">
        <f>IFERROR(IF(Data_Entry!X420/Data_Entry!$H420&lt;0,0,Data_Entry!X420/Data_Entry!$H420),0)</f>
        <v>1.0492391073436373</v>
      </c>
      <c r="T431" s="49">
        <f>IFERROR(IF(Data_Entry!Y420/Data_Entry!$H420&lt;0,0,Data_Entry!Y420/Data_Entry!$H420),0)</f>
        <v>0.83161914433903117</v>
      </c>
      <c r="U431" s="49">
        <f>IFERROR(IF(Data_Entry!Z420/Data_Entry!$H420&lt;0,0,Data_Entry!Z420/Data_Entry!$H420),0)</f>
        <v>0.80053057819551598</v>
      </c>
      <c r="V431" s="49">
        <f>IFERROR(IF(Data_Entry!AA420/Data_Entry!$H420&lt;0,0,Data_Entry!AA420/Data_Entry!$H420),0)</f>
        <v>1.0362855381171727</v>
      </c>
      <c r="W431" s="49">
        <f>IFERROR(IF(Data_Entry!AB420/Data_Entry!$H420&lt;0,0,Data_Entry!AB420/Data_Entry!$H420),0)</f>
        <v>1.0570112488795163</v>
      </c>
      <c r="X431" s="49">
        <f>IFERROR(IF(Data_Entry!AC420/Data_Entry!$I420&lt;0,0,Data_Entry!AC420/Data_Entry!$I420),0)</f>
        <v>0.95162748643761297</v>
      </c>
      <c r="Y431" s="49">
        <f>IFERROR(IF(Data_Entry!AD420/Data_Entry!$I420&lt;0,0,Data_Entry!AD420/Data_Entry!$I420),0)</f>
        <v>0.74367088607594933</v>
      </c>
      <c r="Z431" s="49">
        <f>IFERROR(IF(Data_Entry!AE420/Data_Entry!$I420&lt;0,0,Data_Entry!AE420/Data_Entry!$I420),0)</f>
        <v>0.1446654611211573</v>
      </c>
      <c r="AA431" s="49">
        <f>IFERROR(IF(Data_Entry!AF420/Data_Entry!$I420&lt;0,0,Data_Entry!AF420/Data_Entry!$I420),0)</f>
        <v>3.6166365280289325E-2</v>
      </c>
      <c r="AB431" s="49">
        <f>IFERROR(IF(Data_Entry!AG420/Data_Entry!$I420&lt;0,0,Data_Entry!AG420/Data_Entry!$I420),0)</f>
        <v>1.1301989150090414E-2</v>
      </c>
      <c r="AC431" s="49">
        <f>IFERROR(IF(Data_Entry!AI420/Data_Entry!$I420&lt;0,0,Data_Entry!AI420/Data_Entry!$I420),0)</f>
        <v>9.4258589511754073E-2</v>
      </c>
      <c r="AD431" s="49">
        <f>IFERROR(IF(Data_Entry!AM420/Data_Entry!$H420&lt;0,0,Data_Entry!AM420/Data_Entry!$H420),0)</f>
        <v>0.80053057819551598</v>
      </c>
      <c r="AE431" s="50">
        <f>Data_Entry!AK420</f>
        <v>5.9940000000000282</v>
      </c>
      <c r="AF431" s="50">
        <f>Data_Entry!AL420</f>
        <v>0</v>
      </c>
      <c r="AG431" s="153">
        <f>(Data_Entry!O420-Data_Entry!Q420)/Data_Entry!O420</f>
        <v>4.2105263157894736E-2</v>
      </c>
      <c r="AH431" s="79" t="str">
        <f t="shared" si="12"/>
        <v>CAT1</v>
      </c>
      <c r="AI431" s="51">
        <f>SUBTOTAL(3,Tableau1[[#This Row],[ZS]])</f>
        <v>0</v>
      </c>
      <c r="AJ431" s="51" t="e">
        <f t="shared" ca="1" si="13"/>
        <v>#NAME?</v>
      </c>
      <c r="AK431" s="50" t="str">
        <f>IFERROR(IF((Data_Entry!O420-Data_Entry!Q420)/Data_Entry!O420&lt;=10%,"&lt;=10%","&gt;10%"),"&lt;=10%")</f>
        <v>&lt;=10%</v>
      </c>
    </row>
    <row r="432" spans="1:37" s="48" customFormat="1" ht="13" hidden="1" x14ac:dyDescent="0.3">
      <c r="A432" s="31" t="s">
        <v>16</v>
      </c>
      <c r="B432" s="48" t="str">
        <f>Data_Entry!B421</f>
        <v>Butembo</v>
      </c>
      <c r="C432" s="48" t="str">
        <f>Data_Entry!C421</f>
        <v xml:space="preserve"> Mabalako</v>
      </c>
      <c r="D432" s="48" t="str">
        <f>Data_Entry!D421</f>
        <v xml:space="preserve"> Vusayiro</v>
      </c>
      <c r="E432" s="49">
        <f>IFERROR(IF(Data_Entry!J421/Data_Entry!$I421&lt;0,0,Data_Entry!J421/Data_Entry!$I421),0)</f>
        <v>0.52019972764412159</v>
      </c>
      <c r="F432" s="49">
        <f>IFERROR(IF(Data_Entry!K421/Data_Entry!$H421&lt;0,0,Data_Entry!K421/Data_Entry!$H421),0)</f>
        <v>0.22163057149211743</v>
      </c>
      <c r="G432" s="49">
        <f>IFERROR(IF(Data_Entry!L421/Data_Entry!$H421&lt;0,0,Data_Entry!L421/Data_Entry!$H421),0)</f>
        <v>0.68986417323602744</v>
      </c>
      <c r="H432" s="49">
        <f>IFERROR(IF(Data_Entry!M421/Data_Entry!$H421&lt;0,0,Data_Entry!M421/Data_Entry!$H421),0)</f>
        <v>0.66177015713139287</v>
      </c>
      <c r="I432" s="49">
        <f>IFERROR(IF(Data_Entry!N421/Data_Entry!$H421&lt;0,0,Data_Entry!N421/Data_Entry!$H421),0)</f>
        <v>0.58060966616244847</v>
      </c>
      <c r="J432" s="49">
        <f>IFERROR(IF(Data_Entry!O421/Data_Entry!$H421&lt;0,0,Data_Entry!O421/Data_Entry!$H421),0)</f>
        <v>0.70547195996082446</v>
      </c>
      <c r="K432" s="49">
        <f>IFERROR(IF(Data_Entry!P421/Data_Entry!$H421&lt;0,0,Data_Entry!P421/Data_Entry!$H421),0)</f>
        <v>0.64304081306163652</v>
      </c>
      <c r="L432" s="49">
        <f>IFERROR(IF(Data_Entry!Q421/Data_Entry!$H421&lt;0,0,Data_Entry!Q421/Data_Entry!$H421),0)</f>
        <v>0.68362105854610866</v>
      </c>
      <c r="M432" s="49">
        <f>IFERROR(IF(Data_Entry!R421/Data_Entry!$H421&lt;0,0,Data_Entry!R421/Data_Entry!$H421),0)</f>
        <v>0.68986417323602744</v>
      </c>
      <c r="N432" s="49">
        <f>IFERROR(IF(Data_Entry!S421/Data_Entry!$H421&lt;0,0,Data_Entry!S421/Data_Entry!$H421),0)</f>
        <v>0.65864859978643342</v>
      </c>
      <c r="O432" s="49">
        <f>IFERROR(IF(Data_Entry!T421/Data_Entry!$H421&lt;0,0,Data_Entry!T421/Data_Entry!$H421),0)</f>
        <v>0.62118991164692061</v>
      </c>
      <c r="P432" s="49">
        <f>IFERROR(IF(Data_Entry!U421/Data_Entry!$H421&lt;0,0,Data_Entry!U421/Data_Entry!$H421),0)</f>
        <v>0.69298573058098689</v>
      </c>
      <c r="Q432" s="49">
        <f>IFERROR(IF(Data_Entry!V421/Data_Entry!$H421&lt;0,0,Data_Entry!V421/Data_Entry!$H421),0)</f>
        <v>0.64304081306163652</v>
      </c>
      <c r="R432" s="49">
        <f>IFERROR(IF(Data_Entry!W421/Data_Entry!$H421&lt;0,0,Data_Entry!W421/Data_Entry!$H421),0)</f>
        <v>0.62118991164692061</v>
      </c>
      <c r="S432" s="49">
        <f>IFERROR(IF(Data_Entry!X421/Data_Entry!$H421&lt;0,0,Data_Entry!X421/Data_Entry!$H421),0)</f>
        <v>0.61806835430196128</v>
      </c>
      <c r="T432" s="49">
        <f>IFERROR(IF(Data_Entry!Y421/Data_Entry!$H421&lt;0,0,Data_Entry!Y421/Data_Entry!$H421),0)</f>
        <v>9.9889835038700817E-2</v>
      </c>
      <c r="U432" s="49">
        <f>IFERROR(IF(Data_Entry!Z421/Data_Entry!$H421&lt;0,0,Data_Entry!Z421/Data_Entry!$H421),0)</f>
        <v>0.56500187943765146</v>
      </c>
      <c r="V432" s="49">
        <f>IFERROR(IF(Data_Entry!AA421/Data_Entry!$H421&lt;0,0,Data_Entry!AA421/Data_Entry!$H421),0)</f>
        <v>0.5899743381973267</v>
      </c>
      <c r="W432" s="49">
        <f>IFERROR(IF(Data_Entry!AB421/Data_Entry!$H421&lt;0,0,Data_Entry!AB421/Data_Entry!$H421),0)</f>
        <v>0.22475212883707682</v>
      </c>
      <c r="X432" s="49">
        <f>IFERROR(IF(Data_Entry!AC421/Data_Entry!$I421&lt;0,0,Data_Entry!AC421/Data_Entry!$I421),0)</f>
        <v>0.25601452564684518</v>
      </c>
      <c r="Y432" s="49">
        <f>IFERROR(IF(Data_Entry!AD421/Data_Entry!$I421&lt;0,0,Data_Entry!AD421/Data_Entry!$I421),0)</f>
        <v>0.1525192918747163</v>
      </c>
      <c r="Z432" s="49">
        <f>IFERROR(IF(Data_Entry!AE421/Data_Entry!$I421&lt;0,0,Data_Entry!AE421/Data_Entry!$I421),0)</f>
        <v>0.14979573309123922</v>
      </c>
      <c r="AA432" s="49">
        <f>IFERROR(IF(Data_Entry!AF421/Data_Entry!$I421&lt;0,0,Data_Entry!AF421/Data_Entry!$I421),0)</f>
        <v>0.12800726282342259</v>
      </c>
      <c r="AB432" s="49">
        <f>IFERROR(IF(Data_Entry!AG421/Data_Entry!$I421&lt;0,0,Data_Entry!AG421/Data_Entry!$I421),0)</f>
        <v>5.7194734453018606E-2</v>
      </c>
      <c r="AC432" s="49">
        <f>IFERROR(IF(Data_Entry!AI421/Data_Entry!$I421&lt;0,0,Data_Entry!AI421/Data_Entry!$I421),0)</f>
        <v>0.11357240127099411</v>
      </c>
      <c r="AD432" s="49">
        <f>IFERROR(IF(Data_Entry!AM421/Data_Entry!$H421&lt;0,0,Data_Entry!AM421/Data_Entry!$H421),0)</f>
        <v>0.56500187943765146</v>
      </c>
      <c r="AE432" s="50">
        <f>Data_Entry!AK421</f>
        <v>94.352916666666658</v>
      </c>
      <c r="AF432" s="50">
        <f>Data_Entry!AL421</f>
        <v>28</v>
      </c>
      <c r="AG432" s="153">
        <f>(Data_Entry!O421-Data_Entry!Q421)/Data_Entry!O421</f>
        <v>3.0973451327433628E-2</v>
      </c>
      <c r="AH432" s="79" t="str">
        <f t="shared" si="12"/>
        <v>CAT3</v>
      </c>
      <c r="AI432" s="51">
        <f>SUBTOTAL(3,Tableau1[[#This Row],[ZS]])</f>
        <v>0</v>
      </c>
      <c r="AJ432" s="51" t="e">
        <f t="shared" ca="1" si="13"/>
        <v>#NAME?</v>
      </c>
      <c r="AK432" s="50" t="str">
        <f>IFERROR(IF((Data_Entry!O421-Data_Entry!Q421)/Data_Entry!O421&lt;=10%,"&lt;=10%","&gt;10%"),"&lt;=10%")</f>
        <v>&lt;=10%</v>
      </c>
    </row>
    <row r="433" spans="1:37" s="48" customFormat="1" ht="13" hidden="1" x14ac:dyDescent="0.3">
      <c r="A433" s="31" t="s">
        <v>16</v>
      </c>
      <c r="B433" s="48" t="str">
        <f>Data_Entry!B422</f>
        <v>Butembo</v>
      </c>
      <c r="C433" s="48" t="str">
        <f>Data_Entry!C422</f>
        <v xml:space="preserve"> Manguredjipa</v>
      </c>
      <c r="D433" s="48" t="str">
        <f>Data_Entry!D422</f>
        <v xml:space="preserve"> Akwele</v>
      </c>
      <c r="E433" s="49">
        <f>IFERROR(IF(Data_Entry!J422/Data_Entry!$I422&lt;0,0,Data_Entry!J422/Data_Entry!$I422),0)</f>
        <v>0.28776978417266191</v>
      </c>
      <c r="F433" s="49">
        <f>IFERROR(IF(Data_Entry!K422/Data_Entry!$H422&lt;0,0,Data_Entry!K422/Data_Entry!$H422),0)</f>
        <v>0.14242318049701944</v>
      </c>
      <c r="G433" s="49">
        <f>IFERROR(IF(Data_Entry!L422/Data_Entry!$H422&lt;0,0,Data_Entry!L422/Data_Entry!$H422),0)</f>
        <v>0.98946630661087176</v>
      </c>
      <c r="H433" s="49">
        <f>IFERROR(IF(Data_Entry!M422/Data_Entry!$H422&lt;0,0,Data_Entry!M422/Data_Entry!$H422),0)</f>
        <v>0.96697843600607924</v>
      </c>
      <c r="I433" s="49">
        <f>IFERROR(IF(Data_Entry!N422/Data_Entry!$H422&lt;0,0,Data_Entry!N422/Data_Entry!$H422),0)</f>
        <v>0.74959568682641797</v>
      </c>
      <c r="J433" s="49">
        <f>IFERROR(IF(Data_Entry!O422/Data_Entry!$H422&lt;0,0,Data_Entry!O422/Data_Entry!$H422),0)</f>
        <v>0.98946630661087176</v>
      </c>
      <c r="K433" s="49">
        <f>IFERROR(IF(Data_Entry!P422/Data_Entry!$H422&lt;0,0,Data_Entry!P422/Data_Entry!$H422),0)</f>
        <v>0.97447439287434345</v>
      </c>
      <c r="L433" s="49">
        <f>IFERROR(IF(Data_Entry!Q422/Data_Entry!$H422&lt;0,0,Data_Entry!Q422/Data_Entry!$H422),0)</f>
        <v>0.74959568682641797</v>
      </c>
      <c r="M433" s="49">
        <f>IFERROR(IF(Data_Entry!R422/Data_Entry!$H422&lt;0,0,Data_Entry!R422/Data_Entry!$H422),0)</f>
        <v>0.65214824753898371</v>
      </c>
      <c r="N433" s="49">
        <f>IFERROR(IF(Data_Entry!S422/Data_Entry!$H422&lt;0,0,Data_Entry!S422/Data_Entry!$H422),0)</f>
        <v>0.55470080825154933</v>
      </c>
      <c r="O433" s="49">
        <f>IFERROR(IF(Data_Entry!T422/Data_Entry!$H422&lt;0,0,Data_Entry!T422/Data_Entry!$H422),0)</f>
        <v>0.40478167088626571</v>
      </c>
      <c r="P433" s="49">
        <f>IFERROR(IF(Data_Entry!U422/Data_Entry!$H422&lt;0,0,Data_Entry!U422/Data_Entry!$H422),0)</f>
        <v>0.74959568682641797</v>
      </c>
      <c r="Q433" s="49">
        <f>IFERROR(IF(Data_Entry!V422/Data_Entry!$H422&lt;0,0,Data_Entry!V422/Data_Entry!$H422),0)</f>
        <v>0.7795795142994747</v>
      </c>
      <c r="R433" s="49">
        <f>IFERROR(IF(Data_Entry!W422/Data_Entry!$H422&lt;0,0,Data_Entry!W422/Data_Entry!$H422),0)</f>
        <v>0.5097250670419643</v>
      </c>
      <c r="S433" s="49">
        <f>IFERROR(IF(Data_Entry!X422/Data_Entry!$H422&lt;0,0,Data_Entry!X422/Data_Entry!$H422),0)</f>
        <v>0.79457142803600311</v>
      </c>
      <c r="T433" s="49">
        <f>IFERROR(IF(Data_Entry!Y422/Data_Entry!$H422&lt;0,0,Data_Entry!Y422/Data_Entry!$H422),0)</f>
        <v>0.44226145522758664</v>
      </c>
      <c r="U433" s="49">
        <f>IFERROR(IF(Data_Entry!Z422/Data_Entry!$H422&lt;0,0,Data_Entry!Z422/Data_Entry!$H422),0)</f>
        <v>0.79457142803600311</v>
      </c>
      <c r="V433" s="49">
        <f>IFERROR(IF(Data_Entry!AA422/Data_Entry!$H422&lt;0,0,Data_Entry!AA422/Data_Entry!$H422),0)</f>
        <v>0.74959568682641797</v>
      </c>
      <c r="W433" s="49">
        <f>IFERROR(IF(Data_Entry!AB422/Data_Entry!$H422&lt;0,0,Data_Entry!AB422/Data_Entry!$H422),0)</f>
        <v>0.51722102391022839</v>
      </c>
      <c r="X433" s="49">
        <f>IFERROR(IF(Data_Entry!AC422/Data_Entry!$I422&lt;0,0,Data_Entry!AC422/Data_Entry!$I422),0)</f>
        <v>0.17004578155657296</v>
      </c>
      <c r="Y433" s="49">
        <f>IFERROR(IF(Data_Entry!AD422/Data_Entry!$I422&lt;0,0,Data_Entry!AD422/Data_Entry!$I422),0)</f>
        <v>0.18966644865925444</v>
      </c>
      <c r="Z433" s="49">
        <f>IFERROR(IF(Data_Entry!AE422/Data_Entry!$I422&lt;0,0,Data_Entry!AE422/Data_Entry!$I422),0)</f>
        <v>0.17004578155657296</v>
      </c>
      <c r="AA433" s="49">
        <f>IFERROR(IF(Data_Entry!AF422/Data_Entry!$I422&lt;0,0,Data_Entry!AF422/Data_Entry!$I422),0)</f>
        <v>0.17658600392413346</v>
      </c>
      <c r="AB433" s="49">
        <f>IFERROR(IF(Data_Entry!AG422/Data_Entry!$I422&lt;0,0,Data_Entry!AG422/Data_Entry!$I422),0)</f>
        <v>7.8482668410725973E-2</v>
      </c>
      <c r="AC433" s="49">
        <f>IFERROR(IF(Data_Entry!AI422/Data_Entry!$I422&lt;0,0,Data_Entry!AI422/Data_Entry!$I422),0)</f>
        <v>0.35448005232177904</v>
      </c>
      <c r="AD433" s="49">
        <f>IFERROR(IF(Data_Entry!AM422/Data_Entry!$H422&lt;0,0,Data_Entry!AM422/Data_Entry!$H422),0)</f>
        <v>0.79457142803600311</v>
      </c>
      <c r="AE433" s="50">
        <f>Data_Entry!AK422</f>
        <v>1.4052499999999952</v>
      </c>
      <c r="AF433" s="50">
        <f>Data_Entry!AL422</f>
        <v>26</v>
      </c>
      <c r="AG433" s="153">
        <f>(Data_Entry!O422-Data_Entry!Q422)/Data_Entry!O422</f>
        <v>0.24242424242424243</v>
      </c>
      <c r="AH433" s="79" t="str">
        <f t="shared" si="12"/>
        <v>CAT2</v>
      </c>
      <c r="AI433" s="51">
        <f>SUBTOTAL(3,Tableau1[[#This Row],[ZS]])</f>
        <v>0</v>
      </c>
      <c r="AJ433" s="51" t="e">
        <f t="shared" ca="1" si="13"/>
        <v>#NAME?</v>
      </c>
      <c r="AK433" s="50" t="str">
        <f>IFERROR(IF((Data_Entry!O422-Data_Entry!Q422)/Data_Entry!O422&lt;=10%,"&lt;=10%","&gt;10%"),"&lt;=10%")</f>
        <v>&gt;10%</v>
      </c>
    </row>
    <row r="434" spans="1:37" s="48" customFormat="1" ht="13" hidden="1" x14ac:dyDescent="0.3">
      <c r="A434" s="31" t="s">
        <v>16</v>
      </c>
      <c r="B434" s="48" t="str">
        <f>Data_Entry!B423</f>
        <v>Butembo</v>
      </c>
      <c r="C434" s="48" t="str">
        <f>Data_Entry!C423</f>
        <v xml:space="preserve"> Manguredjipa</v>
      </c>
      <c r="D434" s="48" t="str">
        <f>Data_Entry!D423</f>
        <v xml:space="preserve"> Bandulu</v>
      </c>
      <c r="E434" s="49">
        <f>IFERROR(IF(Data_Entry!J423/Data_Entry!$I423&lt;0,0,Data_Entry!J423/Data_Entry!$I423),0)</f>
        <v>0.41379310344827591</v>
      </c>
      <c r="F434" s="49">
        <f>IFERROR(IF(Data_Entry!K423/Data_Entry!$H423&lt;0,0,Data_Entry!K423/Data_Entry!$H423),0)</f>
        <v>0.66652958659677364</v>
      </c>
      <c r="G434" s="49">
        <f>IFERROR(IF(Data_Entry!L423/Data_Entry!$H423&lt;0,0,Data_Entry!L423/Data_Entry!$H423),0)</f>
        <v>0.80111729158266065</v>
      </c>
      <c r="H434" s="49">
        <f>IFERROR(IF(Data_Entry!M423/Data_Entry!$H423&lt;0,0,Data_Entry!M423/Data_Entry!$H423),0)</f>
        <v>0.60884914160282211</v>
      </c>
      <c r="I434" s="49">
        <f>IFERROR(IF(Data_Entry!N423/Data_Entry!$H423&lt;0,0,Data_Entry!N423/Data_Entry!$H423),0)</f>
        <v>0.87161561324193471</v>
      </c>
      <c r="J434" s="49">
        <f>IFERROR(IF(Data_Entry!O423/Data_Entry!$H423&lt;0,0,Data_Entry!O423/Data_Entry!$H423),0)</f>
        <v>0.80752622991532186</v>
      </c>
      <c r="K434" s="49">
        <f>IFERROR(IF(Data_Entry!P423/Data_Entry!$H423&lt;0,0,Data_Entry!P423/Data_Entry!$H423),0)</f>
        <v>0.60244020327016079</v>
      </c>
      <c r="L434" s="49">
        <f>IFERROR(IF(Data_Entry!Q423/Data_Entry!$H423&lt;0,0,Data_Entry!Q423/Data_Entry!$H423),0)</f>
        <v>0.68575640159475748</v>
      </c>
      <c r="M434" s="49">
        <f>IFERROR(IF(Data_Entry!R423/Data_Entry!$H423&lt;0,0,Data_Entry!R423/Data_Entry!$H423),0)</f>
        <v>0.49348825161491894</v>
      </c>
      <c r="N434" s="49">
        <f>IFERROR(IF(Data_Entry!S423/Data_Entry!$H423&lt;0,0,Data_Entry!S423/Data_Entry!$H423),0)</f>
        <v>0.3012201016350804</v>
      </c>
      <c r="O434" s="49">
        <f>IFERROR(IF(Data_Entry!T423/Data_Entry!$H423&lt;0,0,Data_Entry!T423/Data_Entry!$H423),0)</f>
        <v>0.31403797830040298</v>
      </c>
      <c r="P434" s="49">
        <f>IFERROR(IF(Data_Entry!U423/Data_Entry!$H423&lt;0,0,Data_Entry!U423/Data_Entry!$H423),0)</f>
        <v>0.80111729158266065</v>
      </c>
      <c r="Q434" s="49">
        <f>IFERROR(IF(Data_Entry!V423/Data_Entry!$H423&lt;0,0,Data_Entry!V423/Data_Entry!$H423),0)</f>
        <v>0.59603126493749947</v>
      </c>
      <c r="R434" s="49">
        <f>IFERROR(IF(Data_Entry!W423/Data_Entry!$H423&lt;0,0,Data_Entry!W423/Data_Entry!$H423),0)</f>
        <v>0.61525807993548332</v>
      </c>
      <c r="S434" s="49">
        <f>IFERROR(IF(Data_Entry!X423/Data_Entry!$H423&lt;0,0,Data_Entry!X423/Data_Entry!$H423),0)</f>
        <v>0.7370279082560478</v>
      </c>
      <c r="T434" s="49">
        <f>IFERROR(IF(Data_Entry!Y423/Data_Entry!$H423&lt;0,0,Data_Entry!Y423/Data_Entry!$H423),0)</f>
        <v>0.45503462161895125</v>
      </c>
      <c r="U434" s="49">
        <f>IFERROR(IF(Data_Entry!Z423/Data_Entry!$H423&lt;0,0,Data_Entry!Z423/Data_Entry!$H423),0)</f>
        <v>0.66012064826411232</v>
      </c>
      <c r="V434" s="49">
        <f>IFERROR(IF(Data_Entry!AA423/Data_Entry!$H423&lt;0,0,Data_Entry!AA423/Data_Entry!$H423),0)</f>
        <v>0.7370279082560478</v>
      </c>
      <c r="W434" s="49">
        <f>IFERROR(IF(Data_Entry!AB423/Data_Entry!$H423&lt;0,0,Data_Entry!AB423/Data_Entry!$H423),0)</f>
        <v>0.58321338827217695</v>
      </c>
      <c r="X434" s="49">
        <f>IFERROR(IF(Data_Entry!AC423/Data_Entry!$I423&lt;0,0,Data_Entry!AC423/Data_Entry!$I423),0)</f>
        <v>0.16775396085740915</v>
      </c>
      <c r="Y434" s="49">
        <f>IFERROR(IF(Data_Entry!AD423/Data_Entry!$I423&lt;0,0,Data_Entry!AD423/Data_Entry!$I423),0)</f>
        <v>0.12301957129543338</v>
      </c>
      <c r="Z434" s="49">
        <f>IFERROR(IF(Data_Entry!AE423/Data_Entry!$I423&lt;0,0,Data_Entry!AE423/Data_Entry!$I423),0)</f>
        <v>0.17334575955265613</v>
      </c>
      <c r="AA434" s="49">
        <f>IFERROR(IF(Data_Entry!AF423/Data_Entry!$I423&lt;0,0,Data_Entry!AF423/Data_Entry!$I423),0)</f>
        <v>0.10624417520969247</v>
      </c>
      <c r="AB434" s="49">
        <f>IFERROR(IF(Data_Entry!AG423/Data_Entry!$I423&lt;0,0,Data_Entry!AG423/Data_Entry!$I423),0)</f>
        <v>5.5917986952469717E-2</v>
      </c>
      <c r="AC434" s="49">
        <f>IFERROR(IF(Data_Entry!AI423/Data_Entry!$I423&lt;0,0,Data_Entry!AI423/Data_Entry!$I423),0)</f>
        <v>0.37297297297297305</v>
      </c>
      <c r="AD434" s="49">
        <f>IFERROR(IF(Data_Entry!AM423/Data_Entry!$H423&lt;0,0,Data_Entry!AM423/Data_Entry!$H423),0)</f>
        <v>0.66012064826411232</v>
      </c>
      <c r="AE434" s="50">
        <f>Data_Entry!AK423</f>
        <v>30.032083333333333</v>
      </c>
      <c r="AF434" s="50">
        <f>Data_Entry!AL423</f>
        <v>11</v>
      </c>
      <c r="AG434" s="153">
        <f>(Data_Entry!O423-Data_Entry!Q423)/Data_Entry!O423</f>
        <v>0.15079365079365079</v>
      </c>
      <c r="AH434" s="79" t="str">
        <f t="shared" si="12"/>
        <v>CAT4</v>
      </c>
      <c r="AI434" s="51">
        <f>SUBTOTAL(3,Tableau1[[#This Row],[ZS]])</f>
        <v>0</v>
      </c>
      <c r="AJ434" s="51" t="e">
        <f t="shared" ca="1" si="13"/>
        <v>#NAME?</v>
      </c>
      <c r="AK434" s="50" t="str">
        <f>IFERROR(IF((Data_Entry!O423-Data_Entry!Q423)/Data_Entry!O423&lt;=10%,"&lt;=10%","&gt;10%"),"&lt;=10%")</f>
        <v>&gt;10%</v>
      </c>
    </row>
    <row r="435" spans="1:37" s="48" customFormat="1" ht="13" hidden="1" x14ac:dyDescent="0.3">
      <c r="A435" s="31" t="s">
        <v>16</v>
      </c>
      <c r="B435" s="48" t="str">
        <f>Data_Entry!B424</f>
        <v>Butembo</v>
      </c>
      <c r="C435" s="48" t="str">
        <f>Data_Entry!C424</f>
        <v xml:space="preserve"> Manguredjipa</v>
      </c>
      <c r="D435" s="48" t="str">
        <f>Data_Entry!D424</f>
        <v xml:space="preserve"> Isange</v>
      </c>
      <c r="E435" s="49">
        <f>IFERROR(IF(Data_Entry!J424/Data_Entry!$I424&lt;0,0,Data_Entry!J424/Data_Entry!$I424),0)</f>
        <v>0.27114267269205938</v>
      </c>
      <c r="F435" s="49">
        <f>IFERROR(IF(Data_Entry!K424/Data_Entry!$H424&lt;0,0,Data_Entry!K424/Data_Entry!$H424),0)</f>
        <v>0.22197517207700318</v>
      </c>
      <c r="G435" s="49">
        <f>IFERROR(IF(Data_Entry!L424/Data_Entry!$H424&lt;0,0,Data_Entry!L424/Data_Entry!$H424),0)</f>
        <v>0.59933296460790864</v>
      </c>
      <c r="H435" s="49">
        <f>IFERROR(IF(Data_Entry!M424/Data_Entry!$H424&lt;0,0,Data_Entry!M424/Data_Entry!$H424),0)</f>
        <v>0.4994441371732572</v>
      </c>
      <c r="I435" s="49">
        <f>IFERROR(IF(Data_Entry!N424/Data_Entry!$H424&lt;0,0,Data_Entry!N424/Data_Entry!$H424),0)</f>
        <v>0.69922179204256008</v>
      </c>
      <c r="J435" s="49">
        <f>IFERROR(IF(Data_Entry!O424/Data_Entry!$H424&lt;0,0,Data_Entry!O424/Data_Entry!$H424),0)</f>
        <v>0.59933296460790864</v>
      </c>
      <c r="K435" s="49">
        <f>IFERROR(IF(Data_Entry!P424/Data_Entry!$H424&lt;0,0,Data_Entry!P424/Data_Entry!$H424),0)</f>
        <v>0.51054289577710732</v>
      </c>
      <c r="L435" s="49">
        <f>IFERROR(IF(Data_Entry!Q424/Data_Entry!$H424&lt;0,0,Data_Entry!Q424/Data_Entry!$H424),0)</f>
        <v>0.69922179204256008</v>
      </c>
      <c r="M435" s="49">
        <f>IFERROR(IF(Data_Entry!R424/Data_Entry!$H424&lt;0,0,Data_Entry!R424/Data_Entry!$H424),0)</f>
        <v>0.59933296460790864</v>
      </c>
      <c r="N435" s="49">
        <f>IFERROR(IF(Data_Entry!S424/Data_Entry!$H424&lt;0,0,Data_Entry!S424/Data_Entry!$H424),0)</f>
        <v>0.61043172321175876</v>
      </c>
      <c r="O435" s="49">
        <f>IFERROR(IF(Data_Entry!T424/Data_Entry!$H424&lt;0,0,Data_Entry!T424/Data_Entry!$H424),0)</f>
        <v>0.57713544740020828</v>
      </c>
      <c r="P435" s="49">
        <f>IFERROR(IF(Data_Entry!U424/Data_Entry!$H424&lt;0,0,Data_Entry!U424/Data_Entry!$H424),0)</f>
        <v>0.59933296460790864</v>
      </c>
      <c r="Q435" s="49">
        <f>IFERROR(IF(Data_Entry!V424/Data_Entry!$H424&lt;0,0,Data_Entry!V424/Data_Entry!$H424),0)</f>
        <v>0.4994441371732572</v>
      </c>
      <c r="R435" s="49">
        <f>IFERROR(IF(Data_Entry!W424/Data_Entry!$H424&lt;0,0,Data_Entry!W424/Data_Entry!$H424),0)</f>
        <v>0.57713544740020828</v>
      </c>
      <c r="S435" s="49">
        <f>IFERROR(IF(Data_Entry!X424/Data_Entry!$H424&lt;0,0,Data_Entry!X424/Data_Entry!$H424),0)</f>
        <v>0.62153048181560888</v>
      </c>
      <c r="T435" s="49">
        <f>IFERROR(IF(Data_Entry!Y424/Data_Entry!$H424&lt;0,0,Data_Entry!Y424/Data_Entry!$H424),0)</f>
        <v>0.29966648230395432</v>
      </c>
      <c r="U435" s="49">
        <f>IFERROR(IF(Data_Entry!Z424/Data_Entry!$H424&lt;0,0,Data_Entry!Z424/Data_Entry!$H424),0)</f>
        <v>0.51054289577710732</v>
      </c>
      <c r="V435" s="49">
        <f>IFERROR(IF(Data_Entry!AA424/Data_Entry!$H424&lt;0,0,Data_Entry!AA424/Data_Entry!$H424),0)</f>
        <v>0.57713544740020828</v>
      </c>
      <c r="W435" s="49">
        <f>IFERROR(IF(Data_Entry!AB424/Data_Entry!$H424&lt;0,0,Data_Entry!AB424/Data_Entry!$H424),0)</f>
        <v>0.43285158555015624</v>
      </c>
      <c r="X435" s="49">
        <f>IFERROR(IF(Data_Entry!AC424/Data_Entry!$I424&lt;0,0,Data_Entry!AC424/Data_Entry!$I424),0)</f>
        <v>0.2420916720464816</v>
      </c>
      <c r="Y435" s="49">
        <f>IFERROR(IF(Data_Entry!AD424/Data_Entry!$I424&lt;0,0,Data_Entry!AD424/Data_Entry!$I424),0)</f>
        <v>0.11620400258231117</v>
      </c>
      <c r="Z435" s="49">
        <f>IFERROR(IF(Data_Entry!AE424/Data_Entry!$I424&lt;0,0,Data_Entry!AE424/Data_Entry!$I424),0)</f>
        <v>8.7153001936733379E-2</v>
      </c>
      <c r="AA435" s="49">
        <f>IFERROR(IF(Data_Entry!AF424/Data_Entry!$I424&lt;0,0,Data_Entry!AF424/Data_Entry!$I424),0)</f>
        <v>0.12588766946417043</v>
      </c>
      <c r="AB435" s="49">
        <f>IFERROR(IF(Data_Entry!AG424/Data_Entry!$I424&lt;0,0,Data_Entry!AG424/Data_Entry!$I424),0)</f>
        <v>0.11620400258231117</v>
      </c>
      <c r="AC435" s="49">
        <f>IFERROR(IF(Data_Entry!AI424/Data_Entry!$I424&lt;0,0,Data_Entry!AI424/Data_Entry!$I424),0)</f>
        <v>0.48418334409296321</v>
      </c>
      <c r="AD435" s="49">
        <f>IFERROR(IF(Data_Entry!AM424/Data_Entry!$H424&lt;0,0,Data_Entry!AM424/Data_Entry!$H424),0)</f>
        <v>0.51054289577710732</v>
      </c>
      <c r="AE435" s="50">
        <f>Data_Entry!AK424</f>
        <v>36.100166666666667</v>
      </c>
      <c r="AF435" s="50">
        <f>Data_Entry!AL424</f>
        <v>0</v>
      </c>
      <c r="AG435" s="153">
        <f>(Data_Entry!O424-Data_Entry!Q424)/Data_Entry!O424</f>
        <v>-0.16666666666666666</v>
      </c>
      <c r="AH435" s="79" t="str">
        <f t="shared" si="12"/>
        <v>CAT3</v>
      </c>
      <c r="AI435" s="51">
        <f>SUBTOTAL(3,Tableau1[[#This Row],[ZS]])</f>
        <v>0</v>
      </c>
      <c r="AJ435" s="51" t="e">
        <f t="shared" ca="1" si="13"/>
        <v>#NAME?</v>
      </c>
      <c r="AK435" s="50" t="str">
        <f>IFERROR(IF((Data_Entry!O424-Data_Entry!Q424)/Data_Entry!O424&lt;=10%,"&lt;=10%","&gt;10%"),"&lt;=10%")</f>
        <v>&lt;=10%</v>
      </c>
    </row>
    <row r="436" spans="1:37" s="48" customFormat="1" ht="13" hidden="1" x14ac:dyDescent="0.3">
      <c r="A436" s="31" t="s">
        <v>16</v>
      </c>
      <c r="B436" s="48" t="str">
        <f>Data_Entry!B425</f>
        <v>Butembo</v>
      </c>
      <c r="C436" s="48" t="str">
        <f>Data_Entry!C425</f>
        <v xml:space="preserve"> Manguredjipa</v>
      </c>
      <c r="D436" s="48" t="str">
        <f>Data_Entry!D425</f>
        <v xml:space="preserve"> Kambau</v>
      </c>
      <c r="E436" s="49">
        <f>IFERROR(IF(Data_Entry!J425/Data_Entry!$I425&lt;0,0,Data_Entry!J425/Data_Entry!$I425),0)</f>
        <v>0.66666666666666663</v>
      </c>
      <c r="F436" s="49">
        <f>IFERROR(IF(Data_Entry!K425/Data_Entry!$H425&lt;0,0,Data_Entry!K425/Data_Entry!$H425),0)</f>
        <v>0.71576610756877346</v>
      </c>
      <c r="G436" s="49">
        <f>IFERROR(IF(Data_Entry!L425/Data_Entry!$H425&lt;0,0,Data_Entry!L425/Data_Entry!$H425),0)</f>
        <v>1.4375724354545831</v>
      </c>
      <c r="H436" s="49">
        <f>IFERROR(IF(Data_Entry!M425/Data_Entry!$H425&lt;0,0,Data_Entry!M425/Data_Entry!$H425),0)</f>
        <v>1.2563658259435011</v>
      </c>
      <c r="I436" s="49">
        <f>IFERROR(IF(Data_Entry!N425/Data_Entry!$H425&lt;0,0,Data_Entry!N425/Data_Entry!$H425),0)</f>
        <v>1.1929435126146224</v>
      </c>
      <c r="J436" s="49">
        <f>IFERROR(IF(Data_Entry!O425/Data_Entry!$H425&lt;0,0,Data_Entry!O425/Data_Entry!$H425),0)</f>
        <v>1.4164316643449568</v>
      </c>
      <c r="K436" s="49">
        <f>IFERROR(IF(Data_Entry!P425/Data_Entry!$H425&lt;0,0,Data_Entry!P425/Data_Entry!$H425),0)</f>
        <v>1.0389178945302029</v>
      </c>
      <c r="L436" s="49">
        <f>IFERROR(IF(Data_Entry!Q425/Data_Entry!$H425&lt;0,0,Data_Entry!Q425/Data_Entry!$H425),0)</f>
        <v>0.91811348818948157</v>
      </c>
      <c r="M436" s="49">
        <f>IFERROR(IF(Data_Entry!R425/Data_Entry!$H425&lt;0,0,Data_Entry!R425/Data_Entry!$H425),0)</f>
        <v>1.2865669275286815</v>
      </c>
      <c r="N436" s="49">
        <f>IFERROR(IF(Data_Entry!S425/Data_Entry!$H425&lt;0,0,Data_Entry!S425/Data_Entry!$H425),0)</f>
        <v>0.84563084438504887</v>
      </c>
      <c r="O436" s="49">
        <f>IFERROR(IF(Data_Entry!T425/Data_Entry!$H425&lt;0,0,Data_Entry!T425/Data_Entry!$H425),0)</f>
        <v>0.61912258249619645</v>
      </c>
      <c r="P436" s="49">
        <f>IFERROR(IF(Data_Entry!U425/Data_Entry!$H425&lt;0,0,Data_Entry!U425/Data_Entry!$H425),0)</f>
        <v>1.2442853853094291</v>
      </c>
      <c r="Q436" s="49">
        <f>IFERROR(IF(Data_Entry!V425/Data_Entry!$H425&lt;0,0,Data_Entry!V425/Data_Entry!$H425),0)</f>
        <v>0.85167106470208487</v>
      </c>
      <c r="R436" s="49">
        <f>IFERROR(IF(Data_Entry!W425/Data_Entry!$H425&lt;0,0,Data_Entry!W425/Data_Entry!$H425),0)</f>
        <v>0.66442423487396696</v>
      </c>
      <c r="S436" s="49">
        <f>IFERROR(IF(Data_Entry!X425/Data_Entry!$H425&lt;0,0,Data_Entry!X425/Data_Entry!$H425),0)</f>
        <v>0.94227436945762588</v>
      </c>
      <c r="T436" s="49">
        <f>IFERROR(IF(Data_Entry!Y425/Data_Entry!$H425&lt;0,0,Data_Entry!Y425/Data_Entry!$H425),0)</f>
        <v>0.35939310886364578</v>
      </c>
      <c r="U436" s="49">
        <f>IFERROR(IF(Data_Entry!Z425/Data_Entry!$H425&lt;0,0,Data_Entry!Z425/Data_Entry!$H425),0)</f>
        <v>0.74596720915395376</v>
      </c>
      <c r="V436" s="49">
        <f>IFERROR(IF(Data_Entry!AA425/Data_Entry!$H425&lt;0,0,Data_Entry!AA425/Data_Entry!$H425),0)</f>
        <v>1.0721391062739012</v>
      </c>
      <c r="W436" s="49">
        <f>IFERROR(IF(Data_Entry!AB425/Data_Entry!$H425&lt;0,0,Data_Entry!AB425/Data_Entry!$H425),0)</f>
        <v>0.80636941232431447</v>
      </c>
      <c r="X436" s="49">
        <f>IFERROR(IF(Data_Entry!AC425/Data_Entry!$I425&lt;0,0,Data_Entry!AC425/Data_Entry!$I425),0)</f>
        <v>0.35573122529644269</v>
      </c>
      <c r="Y436" s="49">
        <f>IFERROR(IF(Data_Entry!AD425/Data_Entry!$I425&lt;0,0,Data_Entry!AD425/Data_Entry!$I425),0)</f>
        <v>0.30039525691699603</v>
      </c>
      <c r="Z436" s="49">
        <f>IFERROR(IF(Data_Entry!AE425/Data_Entry!$I425&lt;0,0,Data_Entry!AE425/Data_Entry!$I425),0)</f>
        <v>0.22397891963109354</v>
      </c>
      <c r="AA436" s="49">
        <f>IFERROR(IF(Data_Entry!AF425/Data_Entry!$I425&lt;0,0,Data_Entry!AF425/Data_Entry!$I425),0)</f>
        <v>0.11594202898550725</v>
      </c>
      <c r="AB436" s="49">
        <f>IFERROR(IF(Data_Entry!AG425/Data_Entry!$I425&lt;0,0,Data_Entry!AG425/Data_Entry!$I425),0)</f>
        <v>9.22266139657444E-2</v>
      </c>
      <c r="AC436" s="49">
        <f>IFERROR(IF(Data_Entry!AI425/Data_Entry!$I425&lt;0,0,Data_Entry!AI425/Data_Entry!$I425),0)</f>
        <v>0.13175230566534915</v>
      </c>
      <c r="AD436" s="49">
        <f>IFERROR(IF(Data_Entry!AM425/Data_Entry!$H425&lt;0,0,Data_Entry!AM425/Data_Entry!$H425),0)</f>
        <v>0.74596720915395376</v>
      </c>
      <c r="AE436" s="50">
        <f>Data_Entry!AK425</f>
        <v>0</v>
      </c>
      <c r="AF436" s="50">
        <f>Data_Entry!AL425</f>
        <v>157</v>
      </c>
      <c r="AG436" s="153">
        <f>(Data_Entry!O425-Data_Entry!Q425)/Data_Entry!O425</f>
        <v>0.35181236673773986</v>
      </c>
      <c r="AH436" s="79" t="str">
        <f t="shared" si="12"/>
        <v>CAT2</v>
      </c>
      <c r="AI436" s="51">
        <f>SUBTOTAL(3,Tableau1[[#This Row],[ZS]])</f>
        <v>0</v>
      </c>
      <c r="AJ436" s="51" t="e">
        <f t="shared" ca="1" si="13"/>
        <v>#NAME?</v>
      </c>
      <c r="AK436" s="50" t="str">
        <f>IFERROR(IF((Data_Entry!O425-Data_Entry!Q425)/Data_Entry!O425&lt;=10%,"&lt;=10%","&gt;10%"),"&lt;=10%")</f>
        <v>&gt;10%</v>
      </c>
    </row>
    <row r="437" spans="1:37" s="48" customFormat="1" ht="13" hidden="1" x14ac:dyDescent="0.3">
      <c r="A437" s="31" t="s">
        <v>16</v>
      </c>
      <c r="B437" s="48" t="str">
        <f>Data_Entry!B426</f>
        <v>Butembo</v>
      </c>
      <c r="C437" s="48" t="str">
        <f>Data_Entry!C426</f>
        <v xml:space="preserve"> Manguredjipa</v>
      </c>
      <c r="D437" s="48" t="str">
        <f>Data_Entry!D426</f>
        <v xml:space="preserve"> Liboyo</v>
      </c>
      <c r="E437" s="49">
        <f>IFERROR(IF(Data_Entry!J426/Data_Entry!$I426&lt;0,0,Data_Entry!J426/Data_Entry!$I426),0)</f>
        <v>0.30101919886228962</v>
      </c>
      <c r="F437" s="49">
        <f>IFERROR(IF(Data_Entry!K426/Data_Entry!$H426&lt;0,0,Data_Entry!K426/Data_Entry!$H426),0)</f>
        <v>0.15756256150542877</v>
      </c>
      <c r="G437" s="49">
        <f>IFERROR(IF(Data_Entry!L426/Data_Entry!$H426&lt;0,0,Data_Entry!L426/Data_Entry!$H426),0)</f>
        <v>0.67914897200615854</v>
      </c>
      <c r="H437" s="49">
        <f>IFERROR(IF(Data_Entry!M426/Data_Entry!$H426&lt;0,0,Data_Entry!M426/Data_Entry!$H426),0)</f>
        <v>0.63296684190973973</v>
      </c>
      <c r="I437" s="49">
        <f>IFERROR(IF(Data_Entry!N426/Data_Entry!$H426&lt;0,0,Data_Entry!N426/Data_Entry!$H426),0)</f>
        <v>0.6248170542456658</v>
      </c>
      <c r="J437" s="49">
        <f>IFERROR(IF(Data_Entry!O426/Data_Entry!$H426&lt;0,0,Data_Entry!O426/Data_Entry!$H426),0)</f>
        <v>0.67371578023010925</v>
      </c>
      <c r="K437" s="49">
        <f>IFERROR(IF(Data_Entry!P426/Data_Entry!$H426&lt;0,0,Data_Entry!P426/Data_Entry!$H426),0)</f>
        <v>0.58135152003727164</v>
      </c>
      <c r="L437" s="49">
        <f>IFERROR(IF(Data_Entry!Q426/Data_Entry!$H426&lt;0,0,Data_Entry!Q426/Data_Entry!$H426),0)</f>
        <v>0.56233534882109926</v>
      </c>
      <c r="M437" s="49">
        <f>IFERROR(IF(Data_Entry!R426/Data_Entry!$H426&lt;0,0,Data_Entry!R426/Data_Entry!$H426),0)</f>
        <v>0.64926641723788758</v>
      </c>
      <c r="N437" s="49">
        <f>IFERROR(IF(Data_Entry!S426/Data_Entry!$H426&lt;0,0,Data_Entry!S426/Data_Entry!$H426),0)</f>
        <v>0.52430300638875438</v>
      </c>
      <c r="O437" s="49">
        <f>IFERROR(IF(Data_Entry!T426/Data_Entry!$H426&lt;0,0,Data_Entry!T426/Data_Entry!$H426),0)</f>
        <v>0.39662299965159659</v>
      </c>
      <c r="P437" s="49">
        <f>IFERROR(IF(Data_Entry!U426/Data_Entry!$H426&lt;0,0,Data_Entry!U426/Data_Entry!$H426),0)</f>
        <v>0.67371578023010925</v>
      </c>
      <c r="Q437" s="49">
        <f>IFERROR(IF(Data_Entry!V426/Data_Entry!$H426&lt;0,0,Data_Entry!V426/Data_Entry!$H426),0)</f>
        <v>0.55146896526900069</v>
      </c>
      <c r="R437" s="49">
        <f>IFERROR(IF(Data_Entry!W426/Data_Entry!$H426&lt;0,0,Data_Entry!W426/Data_Entry!$H426),0)</f>
        <v>0.47812087629233557</v>
      </c>
      <c r="S437" s="49">
        <f>IFERROR(IF(Data_Entry!X426/Data_Entry!$H426&lt;0,0,Data_Entry!X426/Data_Entry!$H426),0)</f>
        <v>0.80139578696726699</v>
      </c>
      <c r="T437" s="49">
        <f>IFERROR(IF(Data_Entry!Y426/Data_Entry!$H426&lt;0,0,Data_Entry!Y426/Data_Entry!$H426),0)</f>
        <v>0.4862706639564095</v>
      </c>
      <c r="U437" s="49">
        <f>IFERROR(IF(Data_Entry!Z426/Data_Entry!$H426&lt;0,0,Data_Entry!Z426/Data_Entry!$H426),0)</f>
        <v>0.76608004042294675</v>
      </c>
      <c r="V437" s="49">
        <f>IFERROR(IF(Data_Entry!AA426/Data_Entry!$H426&lt;0,0,Data_Entry!AA426/Data_Entry!$H426),0)</f>
        <v>0.6248170542456658</v>
      </c>
      <c r="W437" s="49">
        <f>IFERROR(IF(Data_Entry!AB426/Data_Entry!$H426&lt;0,0,Data_Entry!AB426/Data_Entry!$H426),0)</f>
        <v>0.73891408154270044</v>
      </c>
      <c r="X437" s="49">
        <f>IFERROR(IF(Data_Entry!AC426/Data_Entry!$I426&lt;0,0,Data_Entry!AC426/Data_Entry!$I426),0)</f>
        <v>0.16354586394880302</v>
      </c>
      <c r="Y437" s="49">
        <f>IFERROR(IF(Data_Entry!AD426/Data_Entry!$I426&lt;0,0,Data_Entry!AD426/Data_Entry!$I426),0)</f>
        <v>0.10666034605356718</v>
      </c>
      <c r="Z437" s="49">
        <f>IFERROR(IF(Data_Entry!AE426/Data_Entry!$I426&lt;0,0,Data_Entry!AE426/Data_Entry!$I426),0)</f>
        <v>0.12088172552737615</v>
      </c>
      <c r="AA437" s="49">
        <f>IFERROR(IF(Data_Entry!AF426/Data_Entry!$I426&lt;0,0,Data_Entry!AF426/Data_Entry!$I426),0)</f>
        <v>8.2958046930552254E-2</v>
      </c>
      <c r="AB437" s="49">
        <f>IFERROR(IF(Data_Entry!AG426/Data_Entry!$I426&lt;0,0,Data_Entry!AG426/Data_Entry!$I426),0)</f>
        <v>3.7923678596823891E-2</v>
      </c>
      <c r="AC437" s="49">
        <f>IFERROR(IF(Data_Entry!AI426/Data_Entry!$I426&lt;0,0,Data_Entry!AI426/Data_Entry!$I426),0)</f>
        <v>0.10523820810618628</v>
      </c>
      <c r="AD437" s="49">
        <f>IFERROR(IF(Data_Entry!AM426/Data_Entry!$H426&lt;0,0,Data_Entry!AM426/Data_Entry!$H426),0)</f>
        <v>0.76608004042294675</v>
      </c>
      <c r="AE437" s="50">
        <f>Data_Entry!AK426</f>
        <v>120.10775000000001</v>
      </c>
      <c r="AF437" s="50">
        <f>Data_Entry!AL426</f>
        <v>0</v>
      </c>
      <c r="AG437" s="153">
        <f>(Data_Entry!O426-Data_Entry!Q426)/Data_Entry!O426</f>
        <v>0.16532258064516128</v>
      </c>
      <c r="AH437" s="79" t="str">
        <f t="shared" si="12"/>
        <v>CAT4</v>
      </c>
      <c r="AI437" s="51">
        <f>SUBTOTAL(3,Tableau1[[#This Row],[ZS]])</f>
        <v>0</v>
      </c>
      <c r="AJ437" s="51" t="e">
        <f t="shared" ca="1" si="13"/>
        <v>#NAME?</v>
      </c>
      <c r="AK437" s="50" t="str">
        <f>IFERROR(IF((Data_Entry!O426-Data_Entry!Q426)/Data_Entry!O426&lt;=10%,"&lt;=10%","&gt;10%"),"&lt;=10%")</f>
        <v>&gt;10%</v>
      </c>
    </row>
    <row r="438" spans="1:37" s="48" customFormat="1" ht="13" hidden="1" x14ac:dyDescent="0.3">
      <c r="A438" s="31" t="s">
        <v>16</v>
      </c>
      <c r="B438" s="48" t="str">
        <f>Data_Entry!B427</f>
        <v>Butembo</v>
      </c>
      <c r="C438" s="48" t="str">
        <f>Data_Entry!C427</f>
        <v xml:space="preserve"> Manguredjipa</v>
      </c>
      <c r="D438" s="48" t="str">
        <f>Data_Entry!D427</f>
        <v xml:space="preserve"> Mabuo</v>
      </c>
      <c r="E438" s="49">
        <f>IFERROR(IF(Data_Entry!J427/Data_Entry!$I427&lt;0,0,Data_Entry!J427/Data_Entry!$I427),0)</f>
        <v>0.14901649115835486</v>
      </c>
      <c r="F438" s="49">
        <f>IFERROR(IF(Data_Entry!K427/Data_Entry!$H427&lt;0,0,Data_Entry!K427/Data_Entry!$H427),0)</f>
        <v>0.15029743520842667</v>
      </c>
      <c r="G438" s="49">
        <f>IFERROR(IF(Data_Entry!L427/Data_Entry!$H427&lt;0,0,Data_Entry!L427/Data_Entry!$H427),0)</f>
        <v>0.77198228084328246</v>
      </c>
      <c r="H438" s="49">
        <f>IFERROR(IF(Data_Entry!M427/Data_Entry!$H427&lt;0,0,Data_Entry!M427/Data_Entry!$H427),0)</f>
        <v>0.72416036964060126</v>
      </c>
      <c r="I438" s="49">
        <f>IFERROR(IF(Data_Entry!N427/Data_Entry!$H427&lt;0,0,Data_Entry!N427/Data_Entry!$H427),0)</f>
        <v>0.66950675683753702</v>
      </c>
      <c r="J438" s="49">
        <f>IFERROR(IF(Data_Entry!O427/Data_Entry!$H427&lt;0,0,Data_Entry!O427/Data_Entry!$H427),0)</f>
        <v>0.78564568404404855</v>
      </c>
      <c r="K438" s="49">
        <f>IFERROR(IF(Data_Entry!P427/Data_Entry!$H427&lt;0,0,Data_Entry!P427/Data_Entry!$H427),0)</f>
        <v>0.75831887764251638</v>
      </c>
      <c r="L438" s="49">
        <f>IFERROR(IF(Data_Entry!Q427/Data_Entry!$H427&lt;0,0,Data_Entry!Q427/Data_Entry!$H427),0)</f>
        <v>0.65584335363677093</v>
      </c>
      <c r="M438" s="49">
        <f>IFERROR(IF(Data_Entry!R427/Data_Entry!$H427&lt;0,0,Data_Entry!R427/Data_Entry!$H427),0)</f>
        <v>0.78564568404404855</v>
      </c>
      <c r="N438" s="49">
        <f>IFERROR(IF(Data_Entry!S427/Data_Entry!$H427&lt;0,0,Data_Entry!S427/Data_Entry!$H427),0)</f>
        <v>0.76515057924289942</v>
      </c>
      <c r="O438" s="49">
        <f>IFERROR(IF(Data_Entry!T427/Data_Entry!$H427&lt;0,0,Data_Entry!T427/Data_Entry!$H427),0)</f>
        <v>0.66950675683753702</v>
      </c>
      <c r="P438" s="49">
        <f>IFERROR(IF(Data_Entry!U427/Data_Entry!$H427&lt;0,0,Data_Entry!U427/Data_Entry!$H427),0)</f>
        <v>0.444060604024897</v>
      </c>
      <c r="Q438" s="49">
        <f>IFERROR(IF(Data_Entry!V427/Data_Entry!$H427&lt;0,0,Data_Entry!V427/Data_Entry!$H427),0)</f>
        <v>0.39623869282221574</v>
      </c>
      <c r="R438" s="49">
        <f>IFERROR(IF(Data_Entry!W427/Data_Entry!$H427&lt;0,0,Data_Entry!W427/Data_Entry!$H427),0)</f>
        <v>0.3415850800191515</v>
      </c>
      <c r="S438" s="49">
        <f>IFERROR(IF(Data_Entry!X427/Data_Entry!$H427&lt;0,0,Data_Entry!X427/Data_Entry!$H427),0)</f>
        <v>0.69683356323906909</v>
      </c>
      <c r="T438" s="49">
        <f>IFERROR(IF(Data_Entry!Y427/Data_Entry!$H427&lt;0,0,Data_Entry!Y427/Data_Entry!$H427),0)</f>
        <v>0.51237762002872733</v>
      </c>
      <c r="U438" s="49">
        <f>IFERROR(IF(Data_Entry!Z427/Data_Entry!$H427&lt;0,0,Data_Entry!Z427/Data_Entry!$H427),0)</f>
        <v>0.6353482488356218</v>
      </c>
      <c r="V438" s="49">
        <f>IFERROR(IF(Data_Entry!AA427/Data_Entry!$H427&lt;0,0,Data_Entry!AA427/Data_Entry!$H427),0)</f>
        <v>0.59435803923332364</v>
      </c>
      <c r="W438" s="49">
        <f>IFERROR(IF(Data_Entry!AB427/Data_Entry!$H427&lt;0,0,Data_Entry!AB427/Data_Entry!$H427),0)</f>
        <v>0.64901165203638789</v>
      </c>
      <c r="X438" s="49">
        <f>IFERROR(IF(Data_Entry!AC427/Data_Entry!$I427&lt;0,0,Data_Entry!AC427/Data_Entry!$I427),0)</f>
        <v>0.23842638585336776</v>
      </c>
      <c r="Y438" s="49">
        <f>IFERROR(IF(Data_Entry!AD427/Data_Entry!$I427&lt;0,0,Data_Entry!AD427/Data_Entry!$I427),0)</f>
        <v>0.13113451221935227</v>
      </c>
      <c r="Z438" s="49">
        <f>IFERROR(IF(Data_Entry!AE427/Data_Entry!$I427&lt;0,0,Data_Entry!AE427/Data_Entry!$I427),0)</f>
        <v>0.13113451221935227</v>
      </c>
      <c r="AA438" s="49">
        <f>IFERROR(IF(Data_Entry!AF427/Data_Entry!$I427&lt;0,0,Data_Entry!AF427/Data_Entry!$I427),0)</f>
        <v>5.9606596463341939E-2</v>
      </c>
      <c r="AB438" s="49">
        <f>IFERROR(IF(Data_Entry!AG427/Data_Entry!$I427&lt;0,0,Data_Entry!AG427/Data_Entry!$I427),0)</f>
        <v>2.980329823167097E-2</v>
      </c>
      <c r="AC438" s="49">
        <f>IFERROR(IF(Data_Entry!AI427/Data_Entry!$I427&lt;0,0,Data_Entry!AI427/Data_Entry!$I427),0)</f>
        <v>0.29803298231670972</v>
      </c>
      <c r="AD438" s="49">
        <f>IFERROR(IF(Data_Entry!AM427/Data_Entry!$H427&lt;0,0,Data_Entry!AM427/Data_Entry!$H427),0)</f>
        <v>0.6353482488356218</v>
      </c>
      <c r="AE438" s="50">
        <f>Data_Entry!AK427</f>
        <v>31.376416666666671</v>
      </c>
      <c r="AF438" s="50">
        <f>Data_Entry!AL427</f>
        <v>13</v>
      </c>
      <c r="AG438" s="153">
        <f>(Data_Entry!O427-Data_Entry!Q427)/Data_Entry!O427</f>
        <v>0.16521739130434782</v>
      </c>
      <c r="AH438" s="79" t="str">
        <f t="shared" si="12"/>
        <v>CAT4</v>
      </c>
      <c r="AI438" s="51">
        <f>SUBTOTAL(3,Tableau1[[#This Row],[ZS]])</f>
        <v>0</v>
      </c>
      <c r="AJ438" s="51" t="e">
        <f t="shared" ca="1" si="13"/>
        <v>#NAME?</v>
      </c>
      <c r="AK438" s="50" t="str">
        <f>IFERROR(IF((Data_Entry!O427-Data_Entry!Q427)/Data_Entry!O427&lt;=10%,"&lt;=10%","&gt;10%"),"&lt;=10%")</f>
        <v>&gt;10%</v>
      </c>
    </row>
    <row r="439" spans="1:37" s="48" customFormat="1" ht="13" hidden="1" x14ac:dyDescent="0.3">
      <c r="A439" s="31" t="s">
        <v>16</v>
      </c>
      <c r="B439" s="48" t="str">
        <f>Data_Entry!B428</f>
        <v>Butembo</v>
      </c>
      <c r="C439" s="48" t="str">
        <f>Data_Entry!C428</f>
        <v xml:space="preserve"> Manguredjipa</v>
      </c>
      <c r="D439" s="48" t="str">
        <f>Data_Entry!D428</f>
        <v xml:space="preserve"> Malunguma</v>
      </c>
      <c r="E439" s="49">
        <f>IFERROR(IF(Data_Entry!J428/Data_Entry!$I428&lt;0,0,Data_Entry!J428/Data_Entry!$I428),0)</f>
        <v>0.78489425981873118</v>
      </c>
      <c r="F439" s="49">
        <f>IFERROR(IF(Data_Entry!K428/Data_Entry!$H428&lt;0,0,Data_Entry!K428/Data_Entry!$H428),0)</f>
        <v>0.6918342437174837</v>
      </c>
      <c r="G439" s="49">
        <f>IFERROR(IF(Data_Entry!L428/Data_Entry!$H428&lt;0,0,Data_Entry!L428/Data_Entry!$H428),0)</f>
        <v>1.1198157878790502</v>
      </c>
      <c r="H439" s="49">
        <f>IFERROR(IF(Data_Entry!M428/Data_Entry!$H428&lt;0,0,Data_Entry!M428/Data_Entry!$H428),0)</f>
        <v>0.92867839922437001</v>
      </c>
      <c r="I439" s="49">
        <f>IFERROR(IF(Data_Entry!N428/Data_Entry!$H428&lt;0,0,Data_Entry!N428/Data_Entry!$H428),0)</f>
        <v>0.90374743548680303</v>
      </c>
      <c r="J439" s="49">
        <f>IFERROR(IF(Data_Entry!O428/Data_Entry!$H428&lt;0,0,Data_Entry!O428/Data_Entry!$H428),0)</f>
        <v>0.93491114015876176</v>
      </c>
      <c r="K439" s="49">
        <f>IFERROR(IF(Data_Entry!P428/Data_Entry!$H428&lt;0,0,Data_Entry!P428/Data_Entry!$H428),0)</f>
        <v>0.76662713493018464</v>
      </c>
      <c r="L439" s="49">
        <f>IFERROR(IF(Data_Entry!Q428/Data_Entry!$H428&lt;0,0,Data_Entry!Q428/Data_Entry!$H428),0)</f>
        <v>0.77493745617604037</v>
      </c>
      <c r="M439" s="49">
        <f>IFERROR(IF(Data_Entry!R428/Data_Entry!$H428&lt;0,0,Data_Entry!R428/Data_Entry!$H428),0)</f>
        <v>0.9411438810931535</v>
      </c>
      <c r="N439" s="49">
        <f>IFERROR(IF(Data_Entry!S428/Data_Entry!$H428&lt;0,0,Data_Entry!S428/Data_Entry!$H428),0)</f>
        <v>0.76870471524164863</v>
      </c>
      <c r="O439" s="49">
        <f>IFERROR(IF(Data_Entry!T428/Data_Entry!$H428&lt;0,0,Data_Entry!T428/Data_Entry!$H428),0)</f>
        <v>0.77493745617604037</v>
      </c>
      <c r="P439" s="49">
        <f>IFERROR(IF(Data_Entry!U428/Data_Entry!$H428&lt;0,0,Data_Entry!U428/Data_Entry!$H428),0)</f>
        <v>0.82895454427410209</v>
      </c>
      <c r="Q439" s="49">
        <f>IFERROR(IF(Data_Entry!V428/Data_Entry!$H428&lt;0,0,Data_Entry!V428/Data_Entry!$H428),0)</f>
        <v>0.66274811935698896</v>
      </c>
      <c r="R439" s="49">
        <f>IFERROR(IF(Data_Entry!W428/Data_Entry!$H428&lt;0,0,Data_Entry!W428/Data_Entry!$H428),0)</f>
        <v>0.67105844060284459</v>
      </c>
      <c r="S439" s="49">
        <f>IFERROR(IF(Data_Entry!X428/Data_Entry!$H428&lt;0,0,Data_Entry!X428/Data_Entry!$H428),0)</f>
        <v>0.84142002614288558</v>
      </c>
      <c r="T439" s="49">
        <f>IFERROR(IF(Data_Entry!Y428/Data_Entry!$H428&lt;0,0,Data_Entry!Y428/Data_Entry!$H428),0)</f>
        <v>0.10180143526173184</v>
      </c>
      <c r="U439" s="49">
        <f>IFERROR(IF(Data_Entry!Z428/Data_Entry!$H428&lt;0,0,Data_Entry!Z428/Data_Entry!$H428),0)</f>
        <v>0.63573957530795799</v>
      </c>
      <c r="V439" s="49">
        <f>IFERROR(IF(Data_Entry!AA428/Data_Entry!$H428&lt;0,0,Data_Entry!AA428/Data_Entry!$H428),0)</f>
        <v>0.93491114015876176</v>
      </c>
      <c r="W439" s="49">
        <f>IFERROR(IF(Data_Entry!AB428/Data_Entry!$H428&lt;0,0,Data_Entry!AB428/Data_Entry!$H428),0)</f>
        <v>0.80817874115946298</v>
      </c>
      <c r="X439" s="49">
        <f>IFERROR(IF(Data_Entry!AC428/Data_Entry!$I428&lt;0,0,Data_Entry!AC428/Data_Entry!$I428),0)</f>
        <v>0.48761329305135953</v>
      </c>
      <c r="Y439" s="49">
        <f>IFERROR(IF(Data_Entry!AD428/Data_Entry!$I428&lt;0,0,Data_Entry!AD428/Data_Entry!$I428),0)</f>
        <v>0.4042296072507553</v>
      </c>
      <c r="Z439" s="49">
        <f>IFERROR(IF(Data_Entry!AE428/Data_Entry!$I428&lt;0,0,Data_Entry!AE428/Data_Entry!$I428),0)</f>
        <v>0.27190332326283989</v>
      </c>
      <c r="AA439" s="49">
        <f>IFERROR(IF(Data_Entry!AF428/Data_Entry!$I428&lt;0,0,Data_Entry!AF428/Data_Entry!$I428),0)</f>
        <v>0.14320241691842903</v>
      </c>
      <c r="AB439" s="49">
        <f>IFERROR(IF(Data_Entry!AG428/Data_Entry!$I428&lt;0,0,Data_Entry!AG428/Data_Entry!$I428),0)</f>
        <v>0.10513595166163142</v>
      </c>
      <c r="AC439" s="49">
        <f>IFERROR(IF(Data_Entry!AI428/Data_Entry!$I428&lt;0,0,Data_Entry!AI428/Data_Entry!$I428),0)</f>
        <v>9.0634441087613302E-2</v>
      </c>
      <c r="AD439" s="49">
        <f>IFERROR(IF(Data_Entry!AM428/Data_Entry!$H428&lt;0,0,Data_Entry!AM428/Data_Entry!$H428),0)</f>
        <v>0.63573957530795799</v>
      </c>
      <c r="AE439" s="50">
        <f>Data_Entry!AK428</f>
        <v>31.329166666666652</v>
      </c>
      <c r="AF439" s="50">
        <f>Data_Entry!AL428</f>
        <v>45</v>
      </c>
      <c r="AG439" s="153">
        <f>(Data_Entry!O428-Data_Entry!Q428)/Data_Entry!O428</f>
        <v>0.1711111111111111</v>
      </c>
      <c r="AH439" s="79" t="str">
        <f t="shared" si="12"/>
        <v>CAT2</v>
      </c>
      <c r="AI439" s="51">
        <f>SUBTOTAL(3,Tableau1[[#This Row],[ZS]])</f>
        <v>0</v>
      </c>
      <c r="AJ439" s="51" t="e">
        <f t="shared" ca="1" si="13"/>
        <v>#NAME?</v>
      </c>
      <c r="AK439" s="50" t="str">
        <f>IFERROR(IF((Data_Entry!O428-Data_Entry!Q428)/Data_Entry!O428&lt;=10%,"&lt;=10%","&gt;10%"),"&lt;=10%")</f>
        <v>&gt;10%</v>
      </c>
    </row>
    <row r="440" spans="1:37" s="48" customFormat="1" ht="13" hidden="1" x14ac:dyDescent="0.3">
      <c r="A440" s="31" t="s">
        <v>16</v>
      </c>
      <c r="B440" s="48" t="str">
        <f>Data_Entry!B429</f>
        <v>Butembo</v>
      </c>
      <c r="C440" s="48" t="str">
        <f>Data_Entry!C429</f>
        <v xml:space="preserve"> Manguredjipa</v>
      </c>
      <c r="D440" s="48" t="str">
        <f>Data_Entry!D429</f>
        <v xml:space="preserve"> Mama Wa Huruma</v>
      </c>
      <c r="E440" s="49">
        <f>IFERROR(IF(Data_Entry!J429/Data_Entry!$I429&lt;0,0,Data_Entry!J429/Data_Entry!$I429),0)</f>
        <v>0.81390754642433816</v>
      </c>
      <c r="F440" s="49">
        <f>IFERROR(IF(Data_Entry!K429/Data_Entry!$H429&lt;0,0,Data_Entry!K429/Data_Entry!$H429),0)</f>
        <v>0.31245790026026837</v>
      </c>
      <c r="G440" s="49">
        <f>IFERROR(IF(Data_Entry!L429/Data_Entry!$H429&lt;0,0,Data_Entry!L429/Data_Entry!$H429),0)</f>
        <v>1.4898354954438882</v>
      </c>
      <c r="H440" s="49">
        <f>IFERROR(IF(Data_Entry!M429/Data_Entry!$H429&lt;0,0,Data_Entry!M429/Data_Entry!$H429),0)</f>
        <v>0.86944807028944238</v>
      </c>
      <c r="I440" s="49">
        <f>IFERROR(IF(Data_Entry!N429/Data_Entry!$H429&lt;0,0,Data_Entry!N429/Data_Entry!$H429),0)</f>
        <v>0.77435218760153457</v>
      </c>
      <c r="J440" s="49">
        <f>IFERROR(IF(Data_Entry!O429/Data_Entry!$H429&lt;0,0,Data_Entry!O429/Data_Entry!$H429),0)</f>
        <v>1.0596398356652579</v>
      </c>
      <c r="K440" s="49">
        <f>IFERROR(IF(Data_Entry!P429/Data_Entry!$H429&lt;0,0,Data_Entry!P429/Data_Entry!$H429),0)</f>
        <v>0.90114669785207824</v>
      </c>
      <c r="L440" s="49">
        <f>IFERROR(IF(Data_Entry!Q429/Data_Entry!$H429&lt;0,0,Data_Entry!Q429/Data_Entry!$H429),0)</f>
        <v>0.85586294419116982</v>
      </c>
      <c r="M440" s="49">
        <f>IFERROR(IF(Data_Entry!R429/Data_Entry!$H429&lt;0,0,Data_Entry!R429/Data_Entry!$H429),0)</f>
        <v>0.94190207614689592</v>
      </c>
      <c r="N440" s="49">
        <f>IFERROR(IF(Data_Entry!S429/Data_Entry!$H429&lt;0,0,Data_Entry!S429/Data_Entry!$H429),0)</f>
        <v>0.74265356003889871</v>
      </c>
      <c r="O440" s="49">
        <f>IFERROR(IF(Data_Entry!T429/Data_Entry!$H429&lt;0,0,Data_Entry!T429/Data_Entry!$H429),0)</f>
        <v>0.67472792954753602</v>
      </c>
      <c r="P440" s="49">
        <f>IFERROR(IF(Data_Entry!U429/Data_Entry!$H429&lt;0,0,Data_Entry!U429/Data_Entry!$H429),0)</f>
        <v>0.91020344858425994</v>
      </c>
      <c r="Q440" s="49">
        <f>IFERROR(IF(Data_Entry!V429/Data_Entry!$H429&lt;0,0,Data_Entry!V429/Data_Entry!$H429),0)</f>
        <v>0.76982381223544372</v>
      </c>
      <c r="R440" s="49">
        <f>IFERROR(IF(Data_Entry!W429/Data_Entry!$H429&lt;0,0,Data_Entry!W429/Data_Entry!$H429),0)</f>
        <v>0.66114280344926346</v>
      </c>
      <c r="S440" s="49">
        <f>IFERROR(IF(Data_Entry!X429/Data_Entry!$H429&lt;0,0,Data_Entry!X429/Data_Entry!$H429),0)</f>
        <v>0.95548720224516848</v>
      </c>
      <c r="T440" s="49">
        <f>IFERROR(IF(Data_Entry!Y429/Data_Entry!$H429&lt;0,0,Data_Entry!Y429/Data_Entry!$H429),0)</f>
        <v>0.20830526684017889</v>
      </c>
      <c r="U440" s="49">
        <f>IFERROR(IF(Data_Entry!Z429/Data_Entry!$H429&lt;0,0,Data_Entry!Z429/Data_Entry!$H429),0)</f>
        <v>0.77435218760153457</v>
      </c>
      <c r="V440" s="49">
        <f>IFERROR(IF(Data_Entry!AA429/Data_Entry!$H429&lt;0,0,Data_Entry!AA429/Data_Entry!$H429),0)</f>
        <v>0.76076706150326201</v>
      </c>
      <c r="W440" s="49">
        <f>IFERROR(IF(Data_Entry!AB429/Data_Entry!$H429&lt;0,0,Data_Entry!AB429/Data_Entry!$H429),0)</f>
        <v>0.78340893833371628</v>
      </c>
      <c r="X440" s="49">
        <f>IFERROR(IF(Data_Entry!AC429/Data_Entry!$I429&lt;0,0,Data_Entry!AC429/Data_Entry!$I429),0)</f>
        <v>0.20545239035954166</v>
      </c>
      <c r="Y440" s="49">
        <f>IFERROR(IF(Data_Entry!AD429/Data_Entry!$I429&lt;0,0,Data_Entry!AD429/Data_Entry!$I429),0)</f>
        <v>0.13433425523508494</v>
      </c>
      <c r="Z440" s="49">
        <f>IFERROR(IF(Data_Entry!AE429/Data_Entry!$I429&lt;0,0,Data_Entry!AE429/Data_Entry!$I429),0)</f>
        <v>0.12248123271434215</v>
      </c>
      <c r="AA440" s="49">
        <f>IFERROR(IF(Data_Entry!AF429/Data_Entry!$I429&lt;0,0,Data_Entry!AF429/Data_Entry!$I429),0)</f>
        <v>0.13038324772817067</v>
      </c>
      <c r="AB440" s="49">
        <f>IFERROR(IF(Data_Entry!AG429/Data_Entry!$I429&lt;0,0,Data_Entry!AG429/Data_Entry!$I429),0)</f>
        <v>8.2971157645199523E-2</v>
      </c>
      <c r="AC440" s="49">
        <f>IFERROR(IF(Data_Entry!AI429/Data_Entry!$I429&lt;0,0,Data_Entry!AI429/Data_Entry!$I429),0)</f>
        <v>0.19755037534571315</v>
      </c>
      <c r="AD440" s="49">
        <f>IFERROR(IF(Data_Entry!AM429/Data_Entry!$H429&lt;0,0,Data_Entry!AM429/Data_Entry!$H429),0)</f>
        <v>0.77435218760153457</v>
      </c>
      <c r="AE440" s="50">
        <f>Data_Entry!AK429</f>
        <v>0</v>
      </c>
      <c r="AF440" s="50">
        <f>Data_Entry!AL429</f>
        <v>23</v>
      </c>
      <c r="AG440" s="153">
        <f>(Data_Entry!O429-Data_Entry!Q429)/Data_Entry!O429</f>
        <v>0.19230769230769232</v>
      </c>
      <c r="AH440" s="79" t="str">
        <f t="shared" si="12"/>
        <v>CAT2</v>
      </c>
      <c r="AI440" s="51">
        <f>SUBTOTAL(3,Tableau1[[#This Row],[ZS]])</f>
        <v>0</v>
      </c>
      <c r="AJ440" s="51" t="e">
        <f t="shared" ca="1" si="13"/>
        <v>#NAME?</v>
      </c>
      <c r="AK440" s="50" t="str">
        <f>IFERROR(IF((Data_Entry!O429-Data_Entry!Q429)/Data_Entry!O429&lt;=10%,"&lt;=10%","&gt;10%"),"&lt;=10%")</f>
        <v>&gt;10%</v>
      </c>
    </row>
    <row r="441" spans="1:37" s="48" customFormat="1" ht="13" hidden="1" x14ac:dyDescent="0.3">
      <c r="A441" s="31" t="s">
        <v>16</v>
      </c>
      <c r="B441" s="48" t="str">
        <f>Data_Entry!B430</f>
        <v>Butembo</v>
      </c>
      <c r="C441" s="48" t="str">
        <f>Data_Entry!C430</f>
        <v xml:space="preserve"> Manguredjipa</v>
      </c>
      <c r="D441" s="48" t="str">
        <f>Data_Entry!D430</f>
        <v xml:space="preserve"> Manguredjipa</v>
      </c>
      <c r="E441" s="49">
        <f>IFERROR(IF(Data_Entry!J430/Data_Entry!$I430&lt;0,0,Data_Entry!J430/Data_Entry!$I430),0)</f>
        <v>2.1096950386891216</v>
      </c>
      <c r="F441" s="49">
        <f>IFERROR(IF(Data_Entry!K430/Data_Entry!$H430&lt;0,0,Data_Entry!K430/Data_Entry!$H430),0)</f>
        <v>0</v>
      </c>
      <c r="G441" s="49">
        <f>IFERROR(IF(Data_Entry!L430/Data_Entry!$H430&lt;0,0,Data_Entry!L430/Data_Entry!$H430),0)</f>
        <v>2.0697669262461309</v>
      </c>
      <c r="H441" s="49">
        <f>IFERROR(IF(Data_Entry!M430/Data_Entry!$H430&lt;0,0,Data_Entry!M430/Data_Entry!$H430),0)</f>
        <v>1.8702241791033094</v>
      </c>
      <c r="I441" s="49">
        <f>IFERROR(IF(Data_Entry!N430/Data_Entry!$H430&lt;0,0,Data_Entry!N430/Data_Entry!$H430),0)</f>
        <v>1.5220025223246596</v>
      </c>
      <c r="J441" s="49">
        <f>IFERROR(IF(Data_Entry!O430/Data_Entry!$H430&lt;0,0,Data_Entry!O430/Data_Entry!$H430),0)</f>
        <v>1.9132628108399965</v>
      </c>
      <c r="K441" s="49">
        <f>IFERROR(IF(Data_Entry!P430/Data_Entry!$H430&lt;0,0,Data_Entry!P430/Data_Entry!$H430),0)</f>
        <v>1.7411082838932483</v>
      </c>
      <c r="L441" s="49">
        <f>IFERROR(IF(Data_Entry!Q430/Data_Entry!$H430&lt;0,0,Data_Entry!Q430/Data_Entry!$H430),0)</f>
        <v>1.3420227896076049</v>
      </c>
      <c r="M441" s="49">
        <f>IFERROR(IF(Data_Entry!R430/Data_Entry!$H430&lt;0,0,Data_Entry!R430/Data_Entry!$H430),0)</f>
        <v>1.7645839012041684</v>
      </c>
      <c r="N441" s="49">
        <f>IFERROR(IF(Data_Entry!S430/Data_Entry!$H430&lt;0,0,Data_Entry!S430/Data_Entry!$H430),0)</f>
        <v>1.3146345694115313</v>
      </c>
      <c r="O441" s="49">
        <f>IFERROR(IF(Data_Entry!T430/Data_Entry!$H430&lt;0,0,Data_Entry!T430/Data_Entry!$H430),0)</f>
        <v>1.2050816886272371</v>
      </c>
      <c r="P441" s="49">
        <f>IFERROR(IF(Data_Entry!U430/Data_Entry!$H430&lt;0,0,Data_Entry!U430/Data_Entry!$H430),0)</f>
        <v>1.7489334896635549</v>
      </c>
      <c r="Q441" s="49">
        <f>IFERROR(IF(Data_Entry!V430/Data_Entry!$H430&lt;0,0,Data_Entry!V430/Data_Entry!$H430),0)</f>
        <v>1.2950715549857645</v>
      </c>
      <c r="R441" s="49">
        <f>IFERROR(IF(Data_Entry!W430/Data_Entry!$H430&lt;0,0,Data_Entry!W430/Data_Entry!$H430),0)</f>
        <v>1.1933438799717768</v>
      </c>
      <c r="S441" s="49">
        <f>IFERROR(IF(Data_Entry!X430/Data_Entry!$H430&lt;0,0,Data_Entry!X430/Data_Entry!$H430),0)</f>
        <v>1.291158952100611</v>
      </c>
      <c r="T441" s="49">
        <f>IFERROR(IF(Data_Entry!Y430/Data_Entry!$H430&lt;0,0,Data_Entry!Y430/Data_Entry!$H430),0)</f>
        <v>0.1525915125209813</v>
      </c>
      <c r="U441" s="49">
        <f>IFERROR(IF(Data_Entry!Z430/Data_Entry!$H430&lt;0,0,Data_Entry!Z430/Data_Entry!$H430),0)</f>
        <v>1.1972564828569303</v>
      </c>
      <c r="V441" s="49">
        <f>IFERROR(IF(Data_Entry!AA430/Data_Entry!$H430&lt;0,0,Data_Entry!AA430/Data_Entry!$H430),0)</f>
        <v>1.5611285511761934</v>
      </c>
      <c r="W441" s="49">
        <f>IFERROR(IF(Data_Entry!AB430/Data_Entry!$H430&lt;0,0,Data_Entry!AB430/Data_Entry!$H430),0)</f>
        <v>1.0055389414844154</v>
      </c>
      <c r="X441" s="49">
        <f>IFERROR(IF(Data_Entry!AC430/Data_Entry!$I430&lt;0,0,Data_Entry!AC430/Data_Entry!$I430),0)</f>
        <v>0.5188893946290396</v>
      </c>
      <c r="Y441" s="49">
        <f>IFERROR(IF(Data_Entry!AD430/Data_Entry!$I430&lt;0,0,Data_Entry!AD430/Data_Entry!$I430),0)</f>
        <v>0.2355484751934456</v>
      </c>
      <c r="Z441" s="49">
        <f>IFERROR(IF(Data_Entry!AE430/Data_Entry!$I430&lt;0,0,Data_Entry!AE430/Data_Entry!$I430),0)</f>
        <v>0.20482476103777877</v>
      </c>
      <c r="AA441" s="49">
        <f>IFERROR(IF(Data_Entry!AF430/Data_Entry!$I430&lt;0,0,Data_Entry!AF430/Data_Entry!$I430),0)</f>
        <v>0.14337733272644515</v>
      </c>
      <c r="AB441" s="49">
        <f>IFERROR(IF(Data_Entry!AG430/Data_Entry!$I430&lt;0,0,Data_Entry!AG430/Data_Entry!$I430),0)</f>
        <v>0.12630860263996357</v>
      </c>
      <c r="AC441" s="49">
        <f>IFERROR(IF(Data_Entry!AI430/Data_Entry!$I430&lt;0,0,Data_Entry!AI430/Data_Entry!$I430),0)</f>
        <v>0.19902139280837505</v>
      </c>
      <c r="AD441" s="49">
        <f>IFERROR(IF(Data_Entry!AM430/Data_Entry!$H430&lt;0,0,Data_Entry!AM430/Data_Entry!$H430),0)</f>
        <v>1.1972564828569303</v>
      </c>
      <c r="AE441" s="50">
        <f>Data_Entry!AK430</f>
        <v>0</v>
      </c>
      <c r="AF441" s="50">
        <f>Data_Entry!AL430</f>
        <v>159</v>
      </c>
      <c r="AG441" s="153">
        <f>(Data_Entry!O430-Data_Entry!Q430)/Data_Entry!O430</f>
        <v>0.29856850715746419</v>
      </c>
      <c r="AH441" s="79" t="str">
        <f t="shared" si="12"/>
        <v>CAT2</v>
      </c>
      <c r="AI441" s="51">
        <f>SUBTOTAL(3,Tableau1[[#This Row],[ZS]])</f>
        <v>0</v>
      </c>
      <c r="AJ441" s="51" t="e">
        <f t="shared" ca="1" si="13"/>
        <v>#NAME?</v>
      </c>
      <c r="AK441" s="50" t="str">
        <f>IFERROR(IF((Data_Entry!O430-Data_Entry!Q430)/Data_Entry!O430&lt;=10%,"&lt;=10%","&gt;10%"),"&lt;=10%")</f>
        <v>&gt;10%</v>
      </c>
    </row>
    <row r="442" spans="1:37" s="48" customFormat="1" ht="13" hidden="1" x14ac:dyDescent="0.3">
      <c r="A442" s="31" t="s">
        <v>16</v>
      </c>
      <c r="B442" s="48" t="str">
        <f>Data_Entry!B431</f>
        <v>Butembo</v>
      </c>
      <c r="C442" s="48" t="str">
        <f>Data_Entry!C431</f>
        <v xml:space="preserve"> Manguredjipa</v>
      </c>
      <c r="D442" s="48" t="str">
        <f>Data_Entry!D431</f>
        <v xml:space="preserve"> Mbunia</v>
      </c>
      <c r="E442" s="49">
        <f>IFERROR(IF(Data_Entry!J431/Data_Entry!$I431&lt;0,0,Data_Entry!J431/Data_Entry!$I431),0)</f>
        <v>0.27055043018554992</v>
      </c>
      <c r="F442" s="49">
        <f>IFERROR(IF(Data_Entry!K431/Data_Entry!$H431&lt;0,0,Data_Entry!K431/Data_Entry!$H431),0)</f>
        <v>0.363549634475198</v>
      </c>
      <c r="G442" s="49">
        <f>IFERROR(IF(Data_Entry!L431/Data_Entry!$H431&lt;0,0,Data_Entry!L431/Data_Entry!$H431),0)</f>
        <v>0.90887408618799503</v>
      </c>
      <c r="H442" s="49">
        <f>IFERROR(IF(Data_Entry!M431/Data_Entry!$H431&lt;0,0,Data_Entry!M431/Data_Entry!$H431),0)</f>
        <v>0.95877305562576731</v>
      </c>
      <c r="I442" s="49">
        <f>IFERROR(IF(Data_Entry!N431/Data_Entry!$H431&lt;0,0,Data_Entry!N431/Data_Entry!$H431),0)</f>
        <v>0.96946569193386134</v>
      </c>
      <c r="J442" s="49">
        <f>IFERROR(IF(Data_Entry!O431/Data_Entry!$H431&lt;0,0,Data_Entry!O431/Data_Entry!$H431),0)</f>
        <v>0.80194772310705442</v>
      </c>
      <c r="K442" s="49">
        <f>IFERROR(IF(Data_Entry!P431/Data_Entry!$H431&lt;0,0,Data_Entry!P431/Data_Entry!$H431),0)</f>
        <v>0.85897511675022276</v>
      </c>
      <c r="L442" s="49">
        <f>IFERROR(IF(Data_Entry!Q431/Data_Entry!$H431&lt;0,0,Data_Entry!Q431/Data_Entry!$H431),0)</f>
        <v>0.86253932885292073</v>
      </c>
      <c r="M442" s="49">
        <f>IFERROR(IF(Data_Entry!R431/Data_Entry!$H431&lt;0,0,Data_Entry!R431/Data_Entry!$H431),0)</f>
        <v>0.70214978423150987</v>
      </c>
      <c r="N442" s="49">
        <f>IFERROR(IF(Data_Entry!S431/Data_Entry!$H431&lt;0,0,Data_Entry!S431/Data_Entry!$H431),0)</f>
        <v>0.75204875366928214</v>
      </c>
      <c r="O442" s="49">
        <f>IFERROR(IF(Data_Entry!T431/Data_Entry!$H431&lt;0,0,Data_Entry!T431/Data_Entry!$H431),0)</f>
        <v>0.76274138997737617</v>
      </c>
      <c r="P442" s="49">
        <f>IFERROR(IF(Data_Entry!U431/Data_Entry!$H431&lt;0,0,Data_Entry!U431/Data_Entry!$H431),0)</f>
        <v>0.70214978423150987</v>
      </c>
      <c r="Q442" s="49">
        <f>IFERROR(IF(Data_Entry!V431/Data_Entry!$H431&lt;0,0,Data_Entry!V431/Data_Entry!$H431),0)</f>
        <v>0.75561296577198012</v>
      </c>
      <c r="R442" s="49">
        <f>IFERROR(IF(Data_Entry!W431/Data_Entry!$H431&lt;0,0,Data_Entry!W431/Data_Entry!$H431),0)</f>
        <v>0.76274138997737617</v>
      </c>
      <c r="S442" s="49">
        <f>IFERROR(IF(Data_Entry!X431/Data_Entry!$H431&lt;0,0,Data_Entry!X431/Data_Entry!$H431),0)</f>
        <v>0.79125508679896039</v>
      </c>
      <c r="T442" s="49">
        <f>IFERROR(IF(Data_Entry!Y431/Data_Entry!$H431&lt;0,0,Data_Entry!Y431/Data_Entry!$H431),0)</f>
        <v>0.59522342115056925</v>
      </c>
      <c r="U442" s="49">
        <f>IFERROR(IF(Data_Entry!Z431/Data_Entry!$H431&lt;0,0,Data_Entry!Z431/Data_Entry!$H431),0)</f>
        <v>0.79125508679896039</v>
      </c>
      <c r="V442" s="49">
        <f>IFERROR(IF(Data_Entry!AA431/Data_Entry!$H431&lt;0,0,Data_Entry!AA431/Data_Entry!$H431),0)</f>
        <v>0.77699823838816828</v>
      </c>
      <c r="W442" s="49">
        <f>IFERROR(IF(Data_Entry!AB431/Data_Entry!$H431&lt;0,0,Data_Entry!AB431/Data_Entry!$H431),0)</f>
        <v>0.60948026956136137</v>
      </c>
      <c r="X442" s="49">
        <f>IFERROR(IF(Data_Entry!AC431/Data_Entry!$I431&lt;0,0,Data_Entry!AC431/Data_Entry!$I431),0)</f>
        <v>0.10884212708614077</v>
      </c>
      <c r="Y442" s="49">
        <f>IFERROR(IF(Data_Entry!AD431/Data_Entry!$I431&lt;0,0,Data_Entry!AD431/Data_Entry!$I431),0)</f>
        <v>9.6403026847724685E-2</v>
      </c>
      <c r="Z442" s="49">
        <f>IFERROR(IF(Data_Entry!AE431/Data_Entry!$I431&lt;0,0,Data_Entry!AE431/Data_Entry!$I431),0)</f>
        <v>0.1119519021457448</v>
      </c>
      <c r="AA442" s="49">
        <f>IFERROR(IF(Data_Entry!AF431/Data_Entry!$I431&lt;0,0,Data_Entry!AF431/Data_Entry!$I431),0)</f>
        <v>9.951280190732871E-2</v>
      </c>
      <c r="AB442" s="49">
        <f>IFERROR(IF(Data_Entry!AG431/Data_Entry!$I431&lt;0,0,Data_Entry!AG431/Data_Entry!$I431),0)</f>
        <v>9.0183476728516634E-2</v>
      </c>
      <c r="AC442" s="49">
        <f>IFERROR(IF(Data_Entry!AI431/Data_Entry!$I431&lt;0,0,Data_Entry!AI431/Data_Entry!$I431),0)</f>
        <v>0.11661656473515082</v>
      </c>
      <c r="AD442" s="49">
        <f>IFERROR(IF(Data_Entry!AM431/Data_Entry!$H431&lt;0,0,Data_Entry!AM431/Data_Entry!$H431),0)</f>
        <v>0.79125508679896039</v>
      </c>
      <c r="AE442" s="50">
        <f>Data_Entry!AK431</f>
        <v>55.566916666666657</v>
      </c>
      <c r="AF442" s="50">
        <f>Data_Entry!AL431</f>
        <v>3</v>
      </c>
      <c r="AG442" s="153">
        <f>(Data_Entry!O431-Data_Entry!Q431)/Data_Entry!O431</f>
        <v>-7.5555555555555556E-2</v>
      </c>
      <c r="AH442" s="79" t="str">
        <f t="shared" si="12"/>
        <v>CAT3</v>
      </c>
      <c r="AI442" s="51">
        <f>SUBTOTAL(3,Tableau1[[#This Row],[ZS]])</f>
        <v>0</v>
      </c>
      <c r="AJ442" s="51" t="e">
        <f t="shared" ca="1" si="13"/>
        <v>#NAME?</v>
      </c>
      <c r="AK442" s="50" t="str">
        <f>IFERROR(IF((Data_Entry!O431-Data_Entry!Q431)/Data_Entry!O431&lt;=10%,"&lt;=10%","&gt;10%"),"&lt;=10%")</f>
        <v>&lt;=10%</v>
      </c>
    </row>
    <row r="443" spans="1:37" s="48" customFormat="1" ht="13" hidden="1" x14ac:dyDescent="0.3">
      <c r="A443" s="31" t="s">
        <v>16</v>
      </c>
      <c r="B443" s="48" t="str">
        <f>Data_Entry!B432</f>
        <v>Butembo</v>
      </c>
      <c r="C443" s="48" t="str">
        <f>Data_Entry!C432</f>
        <v xml:space="preserve"> Manguredjipa</v>
      </c>
      <c r="D443" s="48" t="str">
        <f>Data_Entry!D432</f>
        <v xml:space="preserve"> Midede</v>
      </c>
      <c r="E443" s="49">
        <f>IFERROR(IF(Data_Entry!J432/Data_Entry!$I432&lt;0,0,Data_Entry!J432/Data_Entry!$I432),0)</f>
        <v>0.4924454392837157</v>
      </c>
      <c r="F443" s="49">
        <f>IFERROR(IF(Data_Entry!K432/Data_Entry!$H432&lt;0,0,Data_Entry!K432/Data_Entry!$H432),0)</f>
        <v>0.10261952368506709</v>
      </c>
      <c r="G443" s="49">
        <f>IFERROR(IF(Data_Entry!L432/Data_Entry!$H432&lt;0,0,Data_Entry!L432/Data_Entry!$H432),0)</f>
        <v>0.83378362994117017</v>
      </c>
      <c r="H443" s="49">
        <f>IFERROR(IF(Data_Entry!M432/Data_Entry!$H432&lt;0,0,Data_Entry!M432/Data_Entry!$H432),0)</f>
        <v>0.68626806464388623</v>
      </c>
      <c r="I443" s="49">
        <f>IFERROR(IF(Data_Entry!N432/Data_Entry!$H432&lt;0,0,Data_Entry!N432/Data_Entry!$H432),0)</f>
        <v>0.84019735017148678</v>
      </c>
      <c r="J443" s="49">
        <f>IFERROR(IF(Data_Entry!O432/Data_Entry!$H432&lt;0,0,Data_Entry!O432/Data_Entry!$H432),0)</f>
        <v>0.73116410625610306</v>
      </c>
      <c r="K443" s="49">
        <f>IFERROR(IF(Data_Entry!P432/Data_Entry!$H432&lt;0,0,Data_Entry!P432/Data_Entry!$H432),0)</f>
        <v>0.56440738026786896</v>
      </c>
      <c r="L443" s="49">
        <f>IFERROR(IF(Data_Entry!Q432/Data_Entry!$H432&lt;0,0,Data_Entry!Q432/Data_Entry!$H432),0)</f>
        <v>0.73757782648641979</v>
      </c>
      <c r="M443" s="49">
        <f>IFERROR(IF(Data_Entry!R432/Data_Entry!$H432&lt;0,0,Data_Entry!R432/Data_Entry!$H432),0)</f>
        <v>0.51309761842533552</v>
      </c>
      <c r="N443" s="49">
        <f>IFERROR(IF(Data_Entry!S432/Data_Entry!$H432&lt;0,0,Data_Entry!S432/Data_Entry!$H432),0)</f>
        <v>0.39123693404931831</v>
      </c>
      <c r="O443" s="49">
        <f>IFERROR(IF(Data_Entry!T432/Data_Entry!$H432&lt;0,0,Data_Entry!T432/Data_Entry!$H432),0)</f>
        <v>0.51951133865565213</v>
      </c>
      <c r="P443" s="49">
        <f>IFERROR(IF(Data_Entry!U432/Data_Entry!$H432&lt;0,0,Data_Entry!U432/Data_Entry!$H432),0)</f>
        <v>0.61571714211040252</v>
      </c>
      <c r="Q443" s="49">
        <f>IFERROR(IF(Data_Entry!V432/Data_Entry!$H432&lt;0,0,Data_Entry!V432/Data_Entry!$H432),0)</f>
        <v>0.48102901727375202</v>
      </c>
      <c r="R443" s="49">
        <f>IFERROR(IF(Data_Entry!W432/Data_Entry!$H432&lt;0,0,Data_Entry!W432/Data_Entry!$H432),0)</f>
        <v>0.62213086234071924</v>
      </c>
      <c r="S443" s="49">
        <f>IFERROR(IF(Data_Entry!X432/Data_Entry!$H432&lt;0,0,Data_Entry!X432/Data_Entry!$H432),0)</f>
        <v>0.77606014786831989</v>
      </c>
      <c r="T443" s="49">
        <f>IFERROR(IF(Data_Entry!Y432/Data_Entry!$H432&lt;0,0,Data_Entry!Y432/Data_Entry!$H432),0)</f>
        <v>5.1309761842533545E-2</v>
      </c>
      <c r="U443" s="49">
        <f>IFERROR(IF(Data_Entry!Z432/Data_Entry!$H432&lt;0,0,Data_Entry!Z432/Data_Entry!$H432),0)</f>
        <v>0.77606014786831989</v>
      </c>
      <c r="V443" s="49">
        <f>IFERROR(IF(Data_Entry!AA432/Data_Entry!$H432&lt;0,0,Data_Entry!AA432/Data_Entry!$H432),0)</f>
        <v>0.84019735017148678</v>
      </c>
      <c r="W443" s="49">
        <f>IFERROR(IF(Data_Entry!AB432/Data_Entry!$H432&lt;0,0,Data_Entry!AB432/Data_Entry!$H432),0)</f>
        <v>0.77606014786831989</v>
      </c>
      <c r="X443" s="49">
        <f>IFERROR(IF(Data_Entry!AC432/Data_Entry!$I432&lt;0,0,Data_Entry!AC432/Data_Entry!$I432),0)</f>
        <v>0.24622271964185785</v>
      </c>
      <c r="Y443" s="49">
        <f>IFERROR(IF(Data_Entry!AD432/Data_Entry!$I432&lt;0,0,Data_Entry!AD432/Data_Entry!$I432),0)</f>
        <v>0.12311135982092893</v>
      </c>
      <c r="Z443" s="49">
        <f>IFERROR(IF(Data_Entry!AE432/Data_Entry!$I432&lt;0,0,Data_Entry!AE432/Data_Entry!$I432),0)</f>
        <v>6.1555679910464463E-2</v>
      </c>
      <c r="AA443" s="49">
        <f>IFERROR(IF(Data_Entry!AF432/Data_Entry!$I432&lt;0,0,Data_Entry!AF432/Data_Entry!$I432),0)</f>
        <v>6.1555679910464463E-2</v>
      </c>
      <c r="AB443" s="49">
        <f>IFERROR(IF(Data_Entry!AG432/Data_Entry!$I432&lt;0,0,Data_Entry!AG432/Data_Entry!$I432),0)</f>
        <v>2.238388360380526E-2</v>
      </c>
      <c r="AC443" s="49">
        <f>IFERROR(IF(Data_Entry!AI432/Data_Entry!$I432&lt;0,0,Data_Entry!AI432/Data_Entry!$I432),0)</f>
        <v>0.30330162283156126</v>
      </c>
      <c r="AD443" s="49">
        <f>IFERROR(IF(Data_Entry!AM432/Data_Entry!$H432&lt;0,0,Data_Entry!AM432/Data_Entry!$H432),0)</f>
        <v>0.77606014786831989</v>
      </c>
      <c r="AE443" s="50">
        <f>Data_Entry!AK432</f>
        <v>41.915750000000003</v>
      </c>
      <c r="AF443" s="50">
        <f>Data_Entry!AL432</f>
        <v>0</v>
      </c>
      <c r="AG443" s="153">
        <f>(Data_Entry!O432-Data_Entry!Q432)/Data_Entry!O432</f>
        <v>-8.771929824561403E-3</v>
      </c>
      <c r="AH443" s="79" t="str">
        <f t="shared" si="12"/>
        <v>CAT3</v>
      </c>
      <c r="AI443" s="51">
        <f>SUBTOTAL(3,Tableau1[[#This Row],[ZS]])</f>
        <v>0</v>
      </c>
      <c r="AJ443" s="51" t="e">
        <f t="shared" ca="1" si="13"/>
        <v>#NAME?</v>
      </c>
      <c r="AK443" s="50" t="str">
        <f>IFERROR(IF((Data_Entry!O432-Data_Entry!Q432)/Data_Entry!O432&lt;=10%,"&lt;=10%","&gt;10%"),"&lt;=10%")</f>
        <v>&lt;=10%</v>
      </c>
    </row>
    <row r="444" spans="1:37" s="48" customFormat="1" ht="13" hidden="1" x14ac:dyDescent="0.3">
      <c r="A444" s="31" t="s">
        <v>16</v>
      </c>
      <c r="B444" s="48" t="str">
        <f>Data_Entry!B433</f>
        <v>Butembo</v>
      </c>
      <c r="C444" s="48" t="str">
        <f>Data_Entry!C433</f>
        <v xml:space="preserve"> Manguredjipa</v>
      </c>
      <c r="D444" s="48" t="str">
        <f>Data_Entry!D433</f>
        <v xml:space="preserve"> Ombole</v>
      </c>
      <c r="E444" s="49">
        <f>IFERROR(IF(Data_Entry!J433/Data_Entry!$I433&lt;0,0,Data_Entry!J433/Data_Entry!$I433),0)</f>
        <v>0.11430823807646827</v>
      </c>
      <c r="F444" s="49">
        <f>IFERROR(IF(Data_Entry!K433/Data_Entry!$H433&lt;0,0,Data_Entry!K433/Data_Entry!$H433),0)</f>
        <v>0.12197697571641709</v>
      </c>
      <c r="G444" s="49">
        <f>IFERROR(IF(Data_Entry!L433/Data_Entry!$H433&lt;0,0,Data_Entry!L433/Data_Entry!$H433),0)</f>
        <v>0.95774514266223798</v>
      </c>
      <c r="H444" s="49">
        <f>IFERROR(IF(Data_Entry!M433/Data_Entry!$H433&lt;0,0,Data_Entry!M433/Data_Entry!$H433),0)</f>
        <v>0.75445018313487611</v>
      </c>
      <c r="I444" s="49">
        <f>IFERROR(IF(Data_Entry!N433/Data_Entry!$H433&lt;0,0,Data_Entry!N433/Data_Entry!$H433),0)</f>
        <v>0.82673283541127141</v>
      </c>
      <c r="J444" s="49">
        <f>IFERROR(IF(Data_Entry!O433/Data_Entry!$H433&lt;0,0,Data_Entry!O433/Data_Entry!$H433),0)</f>
        <v>0.87642715885129319</v>
      </c>
      <c r="K444" s="49">
        <f>IFERROR(IF(Data_Entry!P433/Data_Entry!$H433&lt;0,0,Data_Entry!P433/Data_Entry!$H433),0)</f>
        <v>0.95774514266223798</v>
      </c>
      <c r="L444" s="49">
        <f>IFERROR(IF(Data_Entry!Q433/Data_Entry!$H433&lt;0,0,Data_Entry!Q433/Data_Entry!$H433),0)</f>
        <v>0.80866217234217264</v>
      </c>
      <c r="M444" s="49">
        <f>IFERROR(IF(Data_Entry!R433/Data_Entry!$H433&lt;0,0,Data_Entry!R433/Data_Entry!$H433),0)</f>
        <v>0.73186185429850259</v>
      </c>
      <c r="N444" s="49">
        <f>IFERROR(IF(Data_Entry!S433/Data_Entry!$H433&lt;0,0,Data_Entry!S433/Data_Entry!$H433),0)</f>
        <v>0.52404922900386608</v>
      </c>
      <c r="O444" s="49">
        <f>IFERROR(IF(Data_Entry!T433/Data_Entry!$H433&lt;0,0,Data_Entry!T433/Data_Entry!$H433),0)</f>
        <v>0.67764986509120606</v>
      </c>
      <c r="P444" s="49">
        <f>IFERROR(IF(Data_Entry!U433/Data_Entry!$H433&lt;0,0,Data_Entry!U433/Data_Entry!$H433),0)</f>
        <v>0.63247320741845903</v>
      </c>
      <c r="Q444" s="49">
        <f>IFERROR(IF(Data_Entry!V433/Data_Entry!$H433&lt;0,0,Data_Entry!V433/Data_Entry!$H433),0)</f>
        <v>0.42014291635654777</v>
      </c>
      <c r="R444" s="49">
        <f>IFERROR(IF(Data_Entry!W433/Data_Entry!$H433&lt;0,0,Data_Entry!W433/Data_Entry!$H433),0)</f>
        <v>0.58729654974571199</v>
      </c>
      <c r="S444" s="49">
        <f>IFERROR(IF(Data_Entry!X433/Data_Entry!$H433&lt;0,0,Data_Entry!X433/Data_Entry!$H433),0)</f>
        <v>0.49242556863294312</v>
      </c>
      <c r="T444" s="49">
        <f>IFERROR(IF(Data_Entry!Y433/Data_Entry!$H433&lt;0,0,Data_Entry!Y433/Data_Entry!$H433),0)</f>
        <v>0.20781262529463654</v>
      </c>
      <c r="U444" s="49">
        <f>IFERROR(IF(Data_Entry!Z433/Data_Entry!$H433&lt;0,0,Data_Entry!Z433/Data_Entry!$H433),0)</f>
        <v>0.49242556863294312</v>
      </c>
      <c r="V444" s="49">
        <f>IFERROR(IF(Data_Entry!AA433/Data_Entry!$H433&lt;0,0,Data_Entry!AA433/Data_Entry!$H433),0)</f>
        <v>0.81769750387672202</v>
      </c>
      <c r="W444" s="49">
        <f>IFERROR(IF(Data_Entry!AB433/Data_Entry!$H433&lt;0,0,Data_Entry!AB433/Data_Entry!$H433),0)</f>
        <v>0.46983723979656955</v>
      </c>
      <c r="X444" s="49">
        <f>IFERROR(IF(Data_Entry!AC433/Data_Entry!$I433&lt;0,0,Data_Entry!AC433/Data_Entry!$I433),0)</f>
        <v>6.3066614111154898E-2</v>
      </c>
      <c r="Y444" s="49">
        <f>IFERROR(IF(Data_Entry!AD433/Data_Entry!$I433&lt;0,0,Data_Entry!AD433/Data_Entry!$I433),0)</f>
        <v>4.3358297201418997E-2</v>
      </c>
      <c r="Z444" s="49">
        <f>IFERROR(IF(Data_Entry!AE433/Data_Entry!$I433&lt;0,0,Data_Entry!AE433/Data_Entry!$I433),0)</f>
        <v>5.5183287347260537E-2</v>
      </c>
      <c r="AA444" s="49">
        <f>IFERROR(IF(Data_Entry!AF433/Data_Entry!$I433&lt;0,0,Data_Entry!AF433/Data_Entry!$I433),0)</f>
        <v>3.1533307055577449E-2</v>
      </c>
      <c r="AB444" s="49">
        <f>IFERROR(IF(Data_Entry!AG433/Data_Entry!$I433&lt;0,0,Data_Entry!AG433/Data_Entry!$I433),0)</f>
        <v>7.8833267638943622E-3</v>
      </c>
      <c r="AC444" s="49">
        <f>IFERROR(IF(Data_Entry!AI433/Data_Entry!$I433&lt;0,0,Data_Entry!AI433/Data_Entry!$I433),0)</f>
        <v>0.16436736302719748</v>
      </c>
      <c r="AD444" s="49">
        <f>IFERROR(IF(Data_Entry!AM433/Data_Entry!$H433&lt;0,0,Data_Entry!AM433/Data_Entry!$H433),0)</f>
        <v>0.49242556863294312</v>
      </c>
      <c r="AE444" s="50">
        <f>Data_Entry!AK433</f>
        <v>27.353249999999974</v>
      </c>
      <c r="AF444" s="50">
        <f>Data_Entry!AL433</f>
        <v>85</v>
      </c>
      <c r="AG444" s="153">
        <f>(Data_Entry!O433-Data_Entry!Q433)/Data_Entry!O433</f>
        <v>7.7319587628865982E-2</v>
      </c>
      <c r="AH444" s="79" t="str">
        <f t="shared" si="12"/>
        <v>CAT3</v>
      </c>
      <c r="AI444" s="51">
        <f>SUBTOTAL(3,Tableau1[[#This Row],[ZS]])</f>
        <v>0</v>
      </c>
      <c r="AJ444" s="51" t="e">
        <f t="shared" ca="1" si="13"/>
        <v>#NAME?</v>
      </c>
      <c r="AK444" s="50" t="str">
        <f>IFERROR(IF((Data_Entry!O433-Data_Entry!Q433)/Data_Entry!O433&lt;=10%,"&lt;=10%","&gt;10%"),"&lt;=10%")</f>
        <v>&lt;=10%</v>
      </c>
    </row>
    <row r="445" spans="1:37" s="48" customFormat="1" ht="13" hidden="1" x14ac:dyDescent="0.3">
      <c r="A445" s="31" t="s">
        <v>16</v>
      </c>
      <c r="B445" s="48" t="str">
        <f>Data_Entry!B434</f>
        <v>Butembo</v>
      </c>
      <c r="C445" s="48" t="str">
        <f>Data_Entry!C434</f>
        <v xml:space="preserve"> Masereka</v>
      </c>
      <c r="D445" s="48" t="str">
        <f>Data_Entry!D434</f>
        <v xml:space="preserve"> Bukondi</v>
      </c>
      <c r="E445" s="49">
        <f>IFERROR(IF(Data_Entry!J434/Data_Entry!$I434&lt;0,0,Data_Entry!J434/Data_Entry!$I434),0)</f>
        <v>0.59455312619869571</v>
      </c>
      <c r="F445" s="49">
        <f>IFERROR(IF(Data_Entry!K434/Data_Entry!$H434&lt;0,0,Data_Entry!K434/Data_Entry!$H434),0)</f>
        <v>0.26817813622789866</v>
      </c>
      <c r="G445" s="49">
        <f>IFERROR(IF(Data_Entry!L434/Data_Entry!$H434&lt;0,0,Data_Entry!L434/Data_Entry!$H434),0)</f>
        <v>1.0639198191336308</v>
      </c>
      <c r="H445" s="49">
        <f>IFERROR(IF(Data_Entry!M434/Data_Entry!$H434&lt;0,0,Data_Entry!M434/Data_Entry!$H434),0)</f>
        <v>1.1606398026912335</v>
      </c>
      <c r="I445" s="49">
        <f>IFERROR(IF(Data_Entry!N434/Data_Entry!$H434&lt;0,0,Data_Entry!N434/Data_Entry!$H434),0)</f>
        <v>1.0639198191336308</v>
      </c>
      <c r="J445" s="49">
        <f>IFERROR(IF(Data_Entry!O434/Data_Entry!$H434&lt;0,0,Data_Entry!O434/Data_Entry!$H434),0)</f>
        <v>1.0683161820226126</v>
      </c>
      <c r="K445" s="49">
        <f>IFERROR(IF(Data_Entry!P434/Data_Entry!$H434&lt;0,0,Data_Entry!P434/Data_Entry!$H434),0)</f>
        <v>0.97159619846500977</v>
      </c>
      <c r="L445" s="49">
        <f>IFERROR(IF(Data_Entry!Q434/Data_Entry!$H434&lt;0,0,Data_Entry!Q434/Data_Entry!$H434),0)</f>
        <v>1.1386579882463237</v>
      </c>
      <c r="M445" s="49">
        <f>IFERROR(IF(Data_Entry!R434/Data_Entry!$H434&lt;0,0,Data_Entry!R434/Data_Entry!$H434),0)</f>
        <v>1.0199561902438112</v>
      </c>
      <c r="N445" s="49">
        <f>IFERROR(IF(Data_Entry!S434/Data_Entry!$H434&lt;0,0,Data_Entry!S434/Data_Entry!$H434),0)</f>
        <v>1.0551270933556667</v>
      </c>
      <c r="O445" s="49">
        <f>IFERROR(IF(Data_Entry!T434/Data_Entry!$H434&lt;0,0,Data_Entry!T434/Data_Entry!$H434),0)</f>
        <v>0.95401074690908205</v>
      </c>
      <c r="P445" s="49">
        <f>IFERROR(IF(Data_Entry!U434/Data_Entry!$H434&lt;0,0,Data_Entry!U434/Data_Entry!$H434),0)</f>
        <v>0.94961438402010012</v>
      </c>
      <c r="Q445" s="49">
        <f>IFERROR(IF(Data_Entry!V434/Data_Entry!$H434&lt;0,0,Data_Entry!V434/Data_Entry!$H434),0)</f>
        <v>1.0199561902438112</v>
      </c>
      <c r="R445" s="49">
        <f>IFERROR(IF(Data_Entry!W434/Data_Entry!$H434&lt;0,0,Data_Entry!W434/Data_Entry!$H434),0)</f>
        <v>0.95840710979806398</v>
      </c>
      <c r="S445" s="49">
        <f>IFERROR(IF(Data_Entry!X434/Data_Entry!$H434&lt;0,0,Data_Entry!X434/Data_Entry!$H434),0)</f>
        <v>1.0463343675777028</v>
      </c>
      <c r="T445" s="49">
        <f>IFERROR(IF(Data_Entry!Y434/Data_Entry!$H434&lt;0,0,Data_Entry!Y434/Data_Entry!$H434),0)</f>
        <v>0.30334903933975421</v>
      </c>
      <c r="U445" s="49">
        <f>IFERROR(IF(Data_Entry!Z434/Data_Entry!$H434&lt;0,0,Data_Entry!Z434/Data_Entry!$H434),0)</f>
        <v>0.87047985201842504</v>
      </c>
      <c r="V445" s="49">
        <f>IFERROR(IF(Data_Entry!AA434/Data_Entry!$H434&lt;0,0,Data_Entry!AA434/Data_Entry!$H434),0)</f>
        <v>1.0199561902438112</v>
      </c>
      <c r="W445" s="49">
        <f>IFERROR(IF(Data_Entry!AB434/Data_Entry!$H434&lt;0,0,Data_Entry!AB434/Data_Entry!$H434),0)</f>
        <v>0.96719983557602784</v>
      </c>
      <c r="X445" s="49">
        <f>IFERROR(IF(Data_Entry!AC434/Data_Entry!$I434&lt;0,0,Data_Entry!AC434/Data_Entry!$I434),0)</f>
        <v>0.16110471806674337</v>
      </c>
      <c r="Y445" s="49">
        <f>IFERROR(IF(Data_Entry!AD434/Data_Entry!$I434&lt;0,0,Data_Entry!AD434/Data_Entry!$I434),0)</f>
        <v>0.11891062523973914</v>
      </c>
      <c r="Z445" s="49">
        <f>IFERROR(IF(Data_Entry!AE434/Data_Entry!$I434&lt;0,0,Data_Entry!AE434/Data_Entry!$I434),0)</f>
        <v>0.17644802454929034</v>
      </c>
      <c r="AA445" s="49">
        <f>IFERROR(IF(Data_Entry!AF434/Data_Entry!$I434&lt;0,0,Data_Entry!AF434/Data_Entry!$I434),0)</f>
        <v>9.2059838895281923E-2</v>
      </c>
      <c r="AB445" s="49">
        <f>IFERROR(IF(Data_Entry!AG434/Data_Entry!$I434&lt;0,0,Data_Entry!AG434/Data_Entry!$I434),0)</f>
        <v>9.589566551591866E-2</v>
      </c>
      <c r="AC445" s="49">
        <f>IFERROR(IF(Data_Entry!AI434/Data_Entry!$I434&lt;0,0,Data_Entry!AI434/Data_Entry!$I434),0)</f>
        <v>0.22362869198312232</v>
      </c>
      <c r="AD445" s="49">
        <f>IFERROR(IF(Data_Entry!AM434/Data_Entry!$H434&lt;0,0,Data_Entry!AM434/Data_Entry!$H434),0)</f>
        <v>0.87047985201842504</v>
      </c>
      <c r="AE445" s="50">
        <f>Data_Entry!AK434</f>
        <v>0</v>
      </c>
      <c r="AF445" s="50">
        <f>Data_Entry!AL434</f>
        <v>5</v>
      </c>
      <c r="AG445" s="153">
        <f>(Data_Entry!O434-Data_Entry!Q434)/Data_Entry!O434</f>
        <v>-6.584362139917696E-2</v>
      </c>
      <c r="AH445" s="79" t="str">
        <f t="shared" si="12"/>
        <v>CAT1</v>
      </c>
      <c r="AI445" s="51">
        <f>SUBTOTAL(3,Tableau1[[#This Row],[ZS]])</f>
        <v>0</v>
      </c>
      <c r="AJ445" s="51" t="e">
        <f t="shared" ca="1" si="13"/>
        <v>#NAME?</v>
      </c>
      <c r="AK445" s="50" t="str">
        <f>IFERROR(IF((Data_Entry!O434-Data_Entry!Q434)/Data_Entry!O434&lt;=10%,"&lt;=10%","&gt;10%"),"&lt;=10%")</f>
        <v>&lt;=10%</v>
      </c>
    </row>
    <row r="446" spans="1:37" s="48" customFormat="1" ht="13" hidden="1" x14ac:dyDescent="0.3">
      <c r="A446" s="31" t="s">
        <v>16</v>
      </c>
      <c r="B446" s="48" t="str">
        <f>Data_Entry!B435</f>
        <v>Butembo</v>
      </c>
      <c r="C446" s="48" t="str">
        <f>Data_Entry!C435</f>
        <v xml:space="preserve"> Masereka</v>
      </c>
      <c r="D446" s="48" t="str">
        <f>Data_Entry!D435</f>
        <v xml:space="preserve"> Ikuvula</v>
      </c>
      <c r="E446" s="49">
        <f>IFERROR(IF(Data_Entry!J435/Data_Entry!$I435&lt;0,0,Data_Entry!J435/Data_Entry!$I435),0)</f>
        <v>0.95035868005738877</v>
      </c>
      <c r="F446" s="49">
        <f>IFERROR(IF(Data_Entry!K435/Data_Entry!$H435&lt;0,0,Data_Entry!K435/Data_Entry!$H435),0)</f>
        <v>0.1519405721614944</v>
      </c>
      <c r="G446" s="49">
        <f>IFERROR(IF(Data_Entry!L435/Data_Entry!$H435&lt;0,0,Data_Entry!L435/Data_Entry!$H435),0)</f>
        <v>1.0912095637052781</v>
      </c>
      <c r="H446" s="49">
        <f>IFERROR(IF(Data_Entry!M435/Data_Entry!$H435&lt;0,0,Data_Entry!M435/Data_Entry!$H435),0)</f>
        <v>0.88599112857806483</v>
      </c>
      <c r="I446" s="49">
        <f>IFERROR(IF(Data_Entry!N435/Data_Entry!$H435&lt;0,0,Data_Entry!N435/Data_Entry!$H435),0)</f>
        <v>0.9590015333829387</v>
      </c>
      <c r="J446" s="49">
        <f>IFERROR(IF(Data_Entry!O435/Data_Entry!$H435&lt;0,0,Data_Entry!O435/Data_Entry!$H435),0)</f>
        <v>0.95308177083119217</v>
      </c>
      <c r="K446" s="49">
        <f>IFERROR(IF(Data_Entry!P435/Data_Entry!$H435&lt;0,0,Data_Entry!P435/Data_Entry!$H435),0)</f>
        <v>0.91756319552071297</v>
      </c>
      <c r="L446" s="49">
        <f>IFERROR(IF(Data_Entry!Q435/Data_Entry!$H435&lt;0,0,Data_Entry!Q435/Data_Entry!$H435),0)</f>
        <v>1.00241312542908</v>
      </c>
      <c r="M446" s="49">
        <f>IFERROR(IF(Data_Entry!R435/Data_Entry!$H435&lt;0,0,Data_Entry!R435/Data_Entry!$H435),0)</f>
        <v>1.0043863796129955</v>
      </c>
      <c r="N446" s="49">
        <f>IFERROR(IF(Data_Entry!S435/Data_Entry!$H435&lt;0,0,Data_Entry!S435/Data_Entry!$H435),0)</f>
        <v>0.8267935030605994</v>
      </c>
      <c r="O446" s="49">
        <f>IFERROR(IF(Data_Entry!T435/Data_Entry!$H435&lt;0,0,Data_Entry!T435/Data_Entry!$H435),0)</f>
        <v>0.84652604489975458</v>
      </c>
      <c r="P446" s="49">
        <f>IFERROR(IF(Data_Entry!U435/Data_Entry!$H435&lt;0,0,Data_Entry!U435/Data_Entry!$H435),0)</f>
        <v>1.079370038601785</v>
      </c>
      <c r="Q446" s="49">
        <f>IFERROR(IF(Data_Entry!V435/Data_Entry!$H435&lt;0,0,Data_Entry!V435/Data_Entry!$H435),0)</f>
        <v>0.94321549991161469</v>
      </c>
      <c r="R446" s="49">
        <f>IFERROR(IF(Data_Entry!W435/Data_Entry!$H435&lt;0,0,Data_Entry!W435/Data_Entry!$H435),0)</f>
        <v>1.0517444800269677</v>
      </c>
      <c r="S446" s="49">
        <f>IFERROR(IF(Data_Entry!X435/Data_Entry!$H435&lt;0,0,Data_Entry!X435/Data_Entry!$H435),0)</f>
        <v>0.8800713660263183</v>
      </c>
      <c r="T446" s="49">
        <f>IFERROR(IF(Data_Entry!Y435/Data_Entry!$H435&lt;0,0,Data_Entry!Y435/Data_Entry!$H435),0)</f>
        <v>0.40846361607051096</v>
      </c>
      <c r="U446" s="49">
        <f>IFERROR(IF(Data_Entry!Z435/Data_Entry!$H435&lt;0,0,Data_Entry!Z435/Data_Entry!$H435),0)</f>
        <v>0.83074001142843046</v>
      </c>
      <c r="V446" s="49">
        <f>IFERROR(IF(Data_Entry!AA435/Data_Entry!$H435&lt;0,0,Data_Entry!AA435/Data_Entry!$H435),0)</f>
        <v>0.93137597480812162</v>
      </c>
      <c r="W446" s="49">
        <f>IFERROR(IF(Data_Entry!AB435/Data_Entry!$H435&lt;0,0,Data_Entry!AB435/Data_Entry!$H435),0)</f>
        <v>0.78930167356620473</v>
      </c>
      <c r="X446" s="49">
        <f>IFERROR(IF(Data_Entry!AC435/Data_Entry!$I435&lt;0,0,Data_Entry!AC435/Data_Entry!$I435),0)</f>
        <v>0.16527977044476325</v>
      </c>
      <c r="Y446" s="49">
        <f>IFERROR(IF(Data_Entry!AD435/Data_Entry!$I435&lt;0,0,Data_Entry!AD435/Data_Entry!$I435),0)</f>
        <v>0.17733142037302724</v>
      </c>
      <c r="Z446" s="49">
        <f>IFERROR(IF(Data_Entry!AE435/Data_Entry!$I435&lt;0,0,Data_Entry!AE435/Data_Entry!$I435),0)</f>
        <v>0.24619799139167861</v>
      </c>
      <c r="AA446" s="49">
        <f>IFERROR(IF(Data_Entry!AF435/Data_Entry!$I435&lt;0,0,Data_Entry!AF435/Data_Entry!$I435),0)</f>
        <v>0.15150645624103298</v>
      </c>
      <c r="AB446" s="49">
        <f>IFERROR(IF(Data_Entry!AG435/Data_Entry!$I435&lt;0,0,Data_Entry!AG435/Data_Entry!$I435),0)</f>
        <v>5.3371592539454803E-2</v>
      </c>
      <c r="AC446" s="49">
        <f>IFERROR(IF(Data_Entry!AI435/Data_Entry!$I435&lt;0,0,Data_Entry!AI435/Data_Entry!$I435),0)</f>
        <v>0.10037302725968435</v>
      </c>
      <c r="AD446" s="49">
        <f>IFERROR(IF(Data_Entry!AM435/Data_Entry!$H435&lt;0,0,Data_Entry!AM435/Data_Entry!$H435),0)</f>
        <v>0.83074001142843046</v>
      </c>
      <c r="AE446" s="50">
        <f>Data_Entry!AK435</f>
        <v>23.777083333333337</v>
      </c>
      <c r="AF446" s="50">
        <f>Data_Entry!AL435</f>
        <v>37</v>
      </c>
      <c r="AG446" s="153">
        <f>(Data_Entry!O435-Data_Entry!Q435)/Data_Entry!O435</f>
        <v>-5.1759834368530024E-2</v>
      </c>
      <c r="AH446" s="79" t="str">
        <f t="shared" si="12"/>
        <v>CAT1</v>
      </c>
      <c r="AI446" s="51">
        <f>SUBTOTAL(3,Tableau1[[#This Row],[ZS]])</f>
        <v>0</v>
      </c>
      <c r="AJ446" s="51" t="e">
        <f t="shared" ca="1" si="13"/>
        <v>#NAME?</v>
      </c>
      <c r="AK446" s="50" t="str">
        <f>IFERROR(IF((Data_Entry!O435-Data_Entry!Q435)/Data_Entry!O435&lt;=10%,"&lt;=10%","&gt;10%"),"&lt;=10%")</f>
        <v>&lt;=10%</v>
      </c>
    </row>
    <row r="447" spans="1:37" s="48" customFormat="1" ht="13" hidden="1" x14ac:dyDescent="0.3">
      <c r="A447" s="31" t="s">
        <v>16</v>
      </c>
      <c r="B447" s="48" t="str">
        <f>Data_Entry!B436</f>
        <v>Butembo</v>
      </c>
      <c r="C447" s="48" t="str">
        <f>Data_Entry!C436</f>
        <v xml:space="preserve"> Masereka</v>
      </c>
      <c r="D447" s="48" t="str">
        <f>Data_Entry!D436</f>
        <v xml:space="preserve"> Kaniyi</v>
      </c>
      <c r="E447" s="49">
        <f>IFERROR(IF(Data_Entry!J436/Data_Entry!$I436&lt;0,0,Data_Entry!J436/Data_Entry!$I436),0)</f>
        <v>0.74352234322193023</v>
      </c>
      <c r="F447" s="49">
        <f>IFERROR(IF(Data_Entry!K436/Data_Entry!$H436&lt;0,0,Data_Entry!K436/Data_Entry!$H436),0)</f>
        <v>0.22466421415406068</v>
      </c>
      <c r="G447" s="49">
        <f>IFERROR(IF(Data_Entry!L436/Data_Entry!$H436&lt;0,0,Data_Entry!L436/Data_Entry!$H436),0)</f>
        <v>0.88832746745973412</v>
      </c>
      <c r="H447" s="49">
        <f>IFERROR(IF(Data_Entry!M436/Data_Entry!$H436&lt;0,0,Data_Entry!M436/Data_Entry!$H436),0)</f>
        <v>0.81860409065330153</v>
      </c>
      <c r="I447" s="49">
        <f>IFERROR(IF(Data_Entry!N436/Data_Entry!$H436&lt;0,0,Data_Entry!N436/Data_Entry!$H436),0)</f>
        <v>0.79278061776203013</v>
      </c>
      <c r="J447" s="49">
        <f>IFERROR(IF(Data_Entry!O436/Data_Entry!$H436&lt;0,0,Data_Entry!O436/Data_Entry!$H436),0)</f>
        <v>0.81343939607504723</v>
      </c>
      <c r="K447" s="49">
        <f>IFERROR(IF(Data_Entry!P436/Data_Entry!$H436&lt;0,0,Data_Entry!P436/Data_Entry!$H436),0)</f>
        <v>0.75921010300337743</v>
      </c>
      <c r="L447" s="49">
        <f>IFERROR(IF(Data_Entry!Q436/Data_Entry!$H436&lt;0,0,Data_Entry!Q436/Data_Entry!$H436),0)</f>
        <v>0.80052765962941153</v>
      </c>
      <c r="M447" s="49">
        <f>IFERROR(IF(Data_Entry!R436/Data_Entry!$H436&lt;0,0,Data_Entry!R436/Data_Entry!$H436),0)</f>
        <v>0.78245122860552163</v>
      </c>
      <c r="N447" s="49">
        <f>IFERROR(IF(Data_Entry!S436/Data_Entry!$H436&lt;0,0,Data_Entry!S436/Data_Entry!$H436),0)</f>
        <v>0.75404540842512313</v>
      </c>
      <c r="O447" s="49">
        <f>IFERROR(IF(Data_Entry!T436/Data_Entry!$H436&lt;0,0,Data_Entry!T436/Data_Entry!$H436),0)</f>
        <v>0.71789254637734323</v>
      </c>
      <c r="P447" s="49">
        <f>IFERROR(IF(Data_Entry!U436/Data_Entry!$H436&lt;0,0,Data_Entry!U436/Data_Entry!$H436),0)</f>
        <v>0.85733929999020853</v>
      </c>
      <c r="Q447" s="49">
        <f>IFERROR(IF(Data_Entry!V436/Data_Entry!$H436&lt;0,0,Data_Entry!V436/Data_Entry!$H436),0)</f>
        <v>0.83409817438806433</v>
      </c>
      <c r="R447" s="49">
        <f>IFERROR(IF(Data_Entry!W436/Data_Entry!$H436&lt;0,0,Data_Entry!W436/Data_Entry!$H436),0)</f>
        <v>0.81085704878592013</v>
      </c>
      <c r="S447" s="49">
        <f>IFERROR(IF(Data_Entry!X436/Data_Entry!$H436&lt;0,0,Data_Entry!X436/Data_Entry!$H436),0)</f>
        <v>0.82893347980981003</v>
      </c>
      <c r="T447" s="49">
        <f>IFERROR(IF(Data_Entry!Y436/Data_Entry!$H436&lt;0,0,Data_Entry!Y436/Data_Entry!$H436),0)</f>
        <v>0.11620562801072104</v>
      </c>
      <c r="U447" s="49">
        <f>IFERROR(IF(Data_Entry!Z436/Data_Entry!$H436&lt;0,0,Data_Entry!Z436/Data_Entry!$H436),0)</f>
        <v>0.71789254637734323</v>
      </c>
      <c r="V447" s="49">
        <f>IFERROR(IF(Data_Entry!AA436/Data_Entry!$H436&lt;0,0,Data_Entry!AA436/Data_Entry!$H436),0)</f>
        <v>0.69206907348607194</v>
      </c>
      <c r="W447" s="49">
        <f>IFERROR(IF(Data_Entry!AB436/Data_Entry!$H436&lt;0,0,Data_Entry!AB436/Data_Entry!$H436),0)</f>
        <v>0.63267508583614784</v>
      </c>
      <c r="X447" s="49">
        <f>IFERROR(IF(Data_Entry!AC436/Data_Entry!$I436&lt;0,0,Data_Entry!AC436/Data_Entry!$I436),0)</f>
        <v>0.15546376267367631</v>
      </c>
      <c r="Y447" s="49">
        <f>IFERROR(IF(Data_Entry!AD436/Data_Entry!$I436&lt;0,0,Data_Entry!AD436/Data_Entry!$I436),0)</f>
        <v>0.16898235073225687</v>
      </c>
      <c r="Z447" s="49">
        <f>IFERROR(IF(Data_Entry!AE436/Data_Entry!$I436&lt;0,0,Data_Entry!AE436/Data_Entry!$I436),0)</f>
        <v>0.20728501689823509</v>
      </c>
      <c r="AA447" s="49">
        <f>IFERROR(IF(Data_Entry!AF436/Data_Entry!$I436&lt;0,0,Data_Entry!AF436/Data_Entry!$I436),0)</f>
        <v>0.13969207660533234</v>
      </c>
      <c r="AB447" s="49">
        <f>IFERROR(IF(Data_Entry!AG436/Data_Entry!$I436&lt;0,0,Data_Entry!AG436/Data_Entry!$I436),0)</f>
        <v>7.6605332331956447E-2</v>
      </c>
      <c r="AC447" s="49">
        <f>IFERROR(IF(Data_Entry!AI436/Data_Entry!$I436&lt;0,0,Data_Entry!AI436/Data_Entry!$I436),0)</f>
        <v>0.13135561396920767</v>
      </c>
      <c r="AD447" s="49">
        <f>IFERROR(IF(Data_Entry!AM436/Data_Entry!$H436&lt;0,0,Data_Entry!AM436/Data_Entry!$H436),0)</f>
        <v>0.71789254637734323</v>
      </c>
      <c r="AE447" s="50">
        <f>Data_Entry!AK436</f>
        <v>72.244583333333367</v>
      </c>
      <c r="AF447" s="50">
        <f>Data_Entry!AL436</f>
        <v>0</v>
      </c>
      <c r="AG447" s="153">
        <f>(Data_Entry!O436-Data_Entry!Q436)/Data_Entry!O436</f>
        <v>1.5873015873015872E-2</v>
      </c>
      <c r="AH447" s="79" t="str">
        <f t="shared" si="12"/>
        <v>CAT3</v>
      </c>
      <c r="AI447" s="51">
        <f>SUBTOTAL(3,Tableau1[[#This Row],[ZS]])</f>
        <v>0</v>
      </c>
      <c r="AJ447" s="51" t="e">
        <f t="shared" ca="1" si="13"/>
        <v>#NAME?</v>
      </c>
      <c r="AK447" s="50" t="str">
        <f>IFERROR(IF((Data_Entry!O436-Data_Entry!Q436)/Data_Entry!O436&lt;=10%,"&lt;=10%","&gt;10%"),"&lt;=10%")</f>
        <v>&lt;=10%</v>
      </c>
    </row>
    <row r="448" spans="1:37" s="48" customFormat="1" ht="13" hidden="1" x14ac:dyDescent="0.3">
      <c r="A448" s="31" t="s">
        <v>16</v>
      </c>
      <c r="B448" s="48" t="str">
        <f>Data_Entry!B437</f>
        <v>Butembo</v>
      </c>
      <c r="C448" s="48" t="str">
        <f>Data_Entry!C437</f>
        <v xml:space="preserve"> Masereka</v>
      </c>
      <c r="D448" s="48" t="str">
        <f>Data_Entry!D437</f>
        <v xml:space="preserve"> Kitembe</v>
      </c>
      <c r="E448" s="49">
        <f>IFERROR(IF(Data_Entry!J437/Data_Entry!$I437&lt;0,0,Data_Entry!J437/Data_Entry!$I437),0)</f>
        <v>0.67583834909716256</v>
      </c>
      <c r="F448" s="49">
        <f>IFERROR(IF(Data_Entry!K437/Data_Entry!$H437&lt;0,0,Data_Entry!K437/Data_Entry!$H437),0)</f>
        <v>0.27199688583275639</v>
      </c>
      <c r="G448" s="49">
        <f>IFERROR(IF(Data_Entry!L437/Data_Entry!$H437&lt;0,0,Data_Entry!L437/Data_Entry!$H437),0)</f>
        <v>0.9697280277515663</v>
      </c>
      <c r="H448" s="49">
        <f>IFERROR(IF(Data_Entry!M437/Data_Entry!$H437&lt;0,0,Data_Entry!M437/Data_Entry!$H437),0)</f>
        <v>0.93425017307772851</v>
      </c>
      <c r="I448" s="49">
        <f>IFERROR(IF(Data_Entry!N437/Data_Entry!$H437&lt;0,0,Data_Entry!N437/Data_Entry!$H437),0)</f>
        <v>0.78642577860340435</v>
      </c>
      <c r="J448" s="49">
        <f>IFERROR(IF(Data_Entry!O437/Data_Entry!$H437&lt;0,0,Data_Entry!O437/Data_Entry!$H437),0)</f>
        <v>0.92833719729875552</v>
      </c>
      <c r="K448" s="49">
        <f>IFERROR(IF(Data_Entry!P437/Data_Entry!$H437&lt;0,0,Data_Entry!P437/Data_Entry!$H437),0)</f>
        <v>0.89285934262491773</v>
      </c>
      <c r="L448" s="49">
        <f>IFERROR(IF(Data_Entry!Q437/Data_Entry!$H437&lt;0,0,Data_Entry!Q437/Data_Entry!$H437),0)</f>
        <v>0.83964256061416109</v>
      </c>
      <c r="M448" s="49">
        <f>IFERROR(IF(Data_Entry!R437/Data_Entry!$H437&lt;0,0,Data_Entry!R437/Data_Entry!$H437),0)</f>
        <v>0.94016314885670149</v>
      </c>
      <c r="N448" s="49">
        <f>IFERROR(IF(Data_Entry!S437/Data_Entry!$H437&lt;0,0,Data_Entry!S437/Data_Entry!$H437),0)</f>
        <v>0.9046852941828637</v>
      </c>
      <c r="O448" s="49">
        <f>IFERROR(IF(Data_Entry!T437/Data_Entry!$H437&lt;0,0,Data_Entry!T437/Data_Entry!$H437),0)</f>
        <v>0.8041647059403233</v>
      </c>
      <c r="P448" s="49">
        <f>IFERROR(IF(Data_Entry!U437/Data_Entry!$H437&lt;0,0,Data_Entry!U437/Data_Entry!$H437),0)</f>
        <v>0.99929290664643111</v>
      </c>
      <c r="Q448" s="49">
        <f>IFERROR(IF(Data_Entry!V437/Data_Entry!$H437&lt;0,0,Data_Entry!V437/Data_Entry!$H437),0)</f>
        <v>1.0702486159941067</v>
      </c>
      <c r="R448" s="49">
        <f>IFERROR(IF(Data_Entry!W437/Data_Entry!$H437&lt;0,0,Data_Entry!W437/Data_Entry!$H437),0)</f>
        <v>0.98746695508848514</v>
      </c>
      <c r="S448" s="49">
        <f>IFERROR(IF(Data_Entry!X437/Data_Entry!$H437&lt;0,0,Data_Entry!X437/Data_Entry!$H437),0)</f>
        <v>0.91059826996183668</v>
      </c>
      <c r="T448" s="49">
        <f>IFERROR(IF(Data_Entry!Y437/Data_Entry!$H437&lt;0,0,Data_Entry!Y437/Data_Entry!$H437),0)</f>
        <v>0.30747474050659418</v>
      </c>
      <c r="U448" s="49">
        <f>IFERROR(IF(Data_Entry!Z437/Data_Entry!$H437&lt;0,0,Data_Entry!Z437/Data_Entry!$H437),0)</f>
        <v>0.89285934262491773</v>
      </c>
      <c r="V448" s="49">
        <f>IFERROR(IF(Data_Entry!AA437/Data_Entry!$H437&lt;0,0,Data_Entry!AA437/Data_Entry!$H437),0)</f>
        <v>0.83372958483518811</v>
      </c>
      <c r="W448" s="49">
        <f>IFERROR(IF(Data_Entry!AB437/Data_Entry!$H437&lt;0,0,Data_Entry!AB437/Data_Entry!$H437),0)</f>
        <v>0.89285934262491773</v>
      </c>
      <c r="X448" s="49">
        <f>IFERROR(IF(Data_Entry!AC437/Data_Entry!$I437&lt;0,0,Data_Entry!AC437/Data_Entry!$I437),0)</f>
        <v>0.1238177128116939</v>
      </c>
      <c r="Y448" s="49">
        <f>IFERROR(IF(Data_Entry!AD437/Data_Entry!$I437&lt;0,0,Data_Entry!AD437/Data_Entry!$I437),0)</f>
        <v>0.17024935511607911</v>
      </c>
      <c r="Z448" s="49">
        <f>IFERROR(IF(Data_Entry!AE437/Data_Entry!$I437&lt;0,0,Data_Entry!AE437/Data_Entry!$I437),0)</f>
        <v>9.8022355975924347E-2</v>
      </c>
      <c r="AA448" s="49">
        <f>IFERROR(IF(Data_Entry!AF437/Data_Entry!$I437&lt;0,0,Data_Entry!AF437/Data_Entry!$I437),0)</f>
        <v>0.2063628546861565</v>
      </c>
      <c r="AB448" s="49">
        <f>IFERROR(IF(Data_Entry!AG437/Data_Entry!$I437&lt;0,0,Data_Entry!AG437/Data_Entry!$I437),0)</f>
        <v>0.1599312123817713</v>
      </c>
      <c r="AC448" s="49">
        <f>IFERROR(IF(Data_Entry!AI437/Data_Entry!$I437&lt;0,0,Data_Entry!AI437/Data_Entry!$I437),0)</f>
        <v>0.30077386070507311</v>
      </c>
      <c r="AD448" s="49">
        <f>IFERROR(IF(Data_Entry!AM437/Data_Entry!$H437&lt;0,0,Data_Entry!AM437/Data_Entry!$H437),0)</f>
        <v>0.89285934262491773</v>
      </c>
      <c r="AE448" s="50">
        <f>Data_Entry!AK437</f>
        <v>12.119583333333338</v>
      </c>
      <c r="AF448" s="50">
        <f>Data_Entry!AL437</f>
        <v>3</v>
      </c>
      <c r="AG448" s="153">
        <f>(Data_Entry!O437-Data_Entry!Q437)/Data_Entry!O437</f>
        <v>9.5541401273885357E-2</v>
      </c>
      <c r="AH448" s="79" t="str">
        <f t="shared" si="12"/>
        <v>CAT1</v>
      </c>
      <c r="AI448" s="51">
        <f>SUBTOTAL(3,Tableau1[[#This Row],[ZS]])</f>
        <v>0</v>
      </c>
      <c r="AJ448" s="51" t="e">
        <f t="shared" ca="1" si="13"/>
        <v>#NAME?</v>
      </c>
      <c r="AK448" s="50" t="str">
        <f>IFERROR(IF((Data_Entry!O437-Data_Entry!Q437)/Data_Entry!O437&lt;=10%,"&lt;=10%","&gt;10%"),"&lt;=10%")</f>
        <v>&lt;=10%</v>
      </c>
    </row>
    <row r="449" spans="1:37" s="48" customFormat="1" ht="13" hidden="1" x14ac:dyDescent="0.3">
      <c r="A449" s="31" t="s">
        <v>16</v>
      </c>
      <c r="B449" s="48" t="str">
        <f>Data_Entry!B438</f>
        <v>Butembo</v>
      </c>
      <c r="C449" s="48" t="str">
        <f>Data_Entry!C438</f>
        <v xml:space="preserve"> Masereka</v>
      </c>
      <c r="D449" s="48" t="str">
        <f>Data_Entry!D438</f>
        <v xml:space="preserve"> Kitsimba</v>
      </c>
      <c r="E449" s="49">
        <f>IFERROR(IF(Data_Entry!J438/Data_Entry!$I438&lt;0,0,Data_Entry!J438/Data_Entry!$I438),0)</f>
        <v>0.79603713454343905</v>
      </c>
      <c r="F449" s="49">
        <f>IFERROR(IF(Data_Entry!K438/Data_Entry!$H438&lt;0,0,Data_Entry!K438/Data_Entry!$H438),0)</f>
        <v>0.42640486307996917</v>
      </c>
      <c r="G449" s="49">
        <f>IFERROR(IF(Data_Entry!L438/Data_Entry!$H438&lt;0,0,Data_Entry!L438/Data_Entry!$H438),0)</f>
        <v>0.97906368003277833</v>
      </c>
      <c r="H449" s="49">
        <f>IFERROR(IF(Data_Entry!M438/Data_Entry!$H438&lt;0,0,Data_Entry!M438/Data_Entry!$H438),0)</f>
        <v>0.96715292966741606</v>
      </c>
      <c r="I449" s="49">
        <f>IFERROR(IF(Data_Entry!N438/Data_Entry!$H438&lt;0,0,Data_Entry!N438/Data_Entry!$H438),0)</f>
        <v>0.98144583010585085</v>
      </c>
      <c r="J449" s="49">
        <f>IFERROR(IF(Data_Entry!O438/Data_Entry!$H438&lt;0,0,Data_Entry!O438/Data_Entry!$H438),0)</f>
        <v>0.97191722981356099</v>
      </c>
      <c r="K449" s="49">
        <f>IFERROR(IF(Data_Entry!P438/Data_Entry!$H438&lt;0,0,Data_Entry!P438/Data_Entry!$H438),0)</f>
        <v>0.91236347798674966</v>
      </c>
      <c r="L449" s="49">
        <f>IFERROR(IF(Data_Entry!Q438/Data_Entry!$H438&lt;0,0,Data_Entry!Q438/Data_Entry!$H438),0)</f>
        <v>0.78610952411390966</v>
      </c>
      <c r="M449" s="49">
        <f>IFERROR(IF(Data_Entry!R438/Data_Entry!$H438&lt;0,0,Data_Entry!R438/Data_Entry!$H438),0)</f>
        <v>0.93618497871747419</v>
      </c>
      <c r="N449" s="49">
        <f>IFERROR(IF(Data_Entry!S438/Data_Entry!$H438&lt;0,0,Data_Entry!S438/Data_Entry!$H438),0)</f>
        <v>0.80754887477156168</v>
      </c>
      <c r="O449" s="49">
        <f>IFERROR(IF(Data_Entry!T438/Data_Entry!$H438&lt;0,0,Data_Entry!T438/Data_Entry!$H438),0)</f>
        <v>0.84566327594072099</v>
      </c>
      <c r="P449" s="49">
        <f>IFERROR(IF(Data_Entry!U438/Data_Entry!$H438&lt;0,0,Data_Entry!U438/Data_Entry!$H438),0)</f>
        <v>0.96953507974048858</v>
      </c>
      <c r="Q449" s="49">
        <f>IFERROR(IF(Data_Entry!V438/Data_Entry!$H438&lt;0,0,Data_Entry!V438/Data_Entry!$H438),0)</f>
        <v>0.92903852849825685</v>
      </c>
      <c r="R449" s="49">
        <f>IFERROR(IF(Data_Entry!W438/Data_Entry!$H438&lt;0,0,Data_Entry!W438/Data_Entry!$H438),0)</f>
        <v>0.90045272762138739</v>
      </c>
      <c r="S449" s="49">
        <f>IFERROR(IF(Data_Entry!X438/Data_Entry!$H438&lt;0,0,Data_Entry!X438/Data_Entry!$H438),0)</f>
        <v>1.0076494809096479</v>
      </c>
      <c r="T449" s="49">
        <f>IFERROR(IF(Data_Entry!Y438/Data_Entry!$H438&lt;0,0,Data_Entry!Y438/Data_Entry!$H438),0)</f>
        <v>0.23583285723417288</v>
      </c>
      <c r="U449" s="49">
        <f>IFERROR(IF(Data_Entry!Z438/Data_Entry!$H438&lt;0,0,Data_Entry!Z438/Data_Entry!$H438),0)</f>
        <v>0.84328112586764847</v>
      </c>
      <c r="V449" s="49">
        <f>IFERROR(IF(Data_Entry!AA438/Data_Entry!$H438&lt;0,0,Data_Entry!AA438/Data_Entry!$H438),0)</f>
        <v>0.9385671287905466</v>
      </c>
      <c r="W449" s="49">
        <f>IFERROR(IF(Data_Entry!AB438/Data_Entry!$H438&lt;0,0,Data_Entry!AB438/Data_Entry!$H438),0)</f>
        <v>0.92189207827903952</v>
      </c>
      <c r="X449" s="49">
        <f>IFERROR(IF(Data_Entry!AC438/Data_Entry!$I438&lt;0,0,Data_Entry!AC438/Data_Entry!$I438),0)</f>
        <v>0.20784259387557155</v>
      </c>
      <c r="Y449" s="49">
        <f>IFERROR(IF(Data_Entry!AD438/Data_Entry!$I438&lt;0,0,Data_Entry!AD438/Data_Entry!$I438),0)</f>
        <v>0.13925453789663295</v>
      </c>
      <c r="Z449" s="49">
        <f>IFERROR(IF(Data_Entry!AE438/Data_Entry!$I438&lt;0,0,Data_Entry!AE438/Data_Entry!$I438),0)</f>
        <v>0.14548981571290009</v>
      </c>
      <c r="AA449" s="49">
        <f>IFERROR(IF(Data_Entry!AF438/Data_Entry!$I438&lt;0,0,Data_Entry!AF438/Data_Entry!$I438),0)</f>
        <v>0.1205487044478315</v>
      </c>
      <c r="AB449" s="49">
        <f>IFERROR(IF(Data_Entry!AG438/Data_Entry!$I438&lt;0,0,Data_Entry!AG438/Data_Entry!$I438),0)</f>
        <v>7.0666481917694327E-2</v>
      </c>
      <c r="AC449" s="49">
        <f>IFERROR(IF(Data_Entry!AI438/Data_Entry!$I438&lt;0,0,Data_Entry!AI438/Data_Entry!$I438),0)</f>
        <v>0.12117223222945821</v>
      </c>
      <c r="AD449" s="49">
        <f>IFERROR(IF(Data_Entry!AM438/Data_Entry!$H438&lt;0,0,Data_Entry!AM438/Data_Entry!$H438),0)</f>
        <v>0.84328112586764847</v>
      </c>
      <c r="AE449" s="50">
        <f>Data_Entry!AK438</f>
        <v>11.788833333333343</v>
      </c>
      <c r="AF449" s="50">
        <f>Data_Entry!AL438</f>
        <v>0</v>
      </c>
      <c r="AG449" s="153">
        <f>(Data_Entry!O438-Data_Entry!Q438)/Data_Entry!O438</f>
        <v>0.19117647058823528</v>
      </c>
      <c r="AH449" s="79" t="str">
        <f t="shared" si="12"/>
        <v>CAT2</v>
      </c>
      <c r="AI449" s="51">
        <f>SUBTOTAL(3,Tableau1[[#This Row],[ZS]])</f>
        <v>0</v>
      </c>
      <c r="AJ449" s="51" t="e">
        <f t="shared" ca="1" si="13"/>
        <v>#NAME?</v>
      </c>
      <c r="AK449" s="50" t="str">
        <f>IFERROR(IF((Data_Entry!O438-Data_Entry!Q438)/Data_Entry!O438&lt;=10%,"&lt;=10%","&gt;10%"),"&lt;=10%")</f>
        <v>&gt;10%</v>
      </c>
    </row>
    <row r="450" spans="1:37" s="48" customFormat="1" ht="13" hidden="1" x14ac:dyDescent="0.3">
      <c r="A450" s="31" t="s">
        <v>16</v>
      </c>
      <c r="B450" s="48" t="str">
        <f>Data_Entry!B439</f>
        <v>Butembo</v>
      </c>
      <c r="C450" s="48" t="str">
        <f>Data_Entry!C439</f>
        <v xml:space="preserve"> Masereka</v>
      </c>
      <c r="D450" s="48" t="str">
        <f>Data_Entry!D439</f>
        <v xml:space="preserve"> Kitsuku</v>
      </c>
      <c r="E450" s="49">
        <f>IFERROR(IF(Data_Entry!J439/Data_Entry!$I439&lt;0,0,Data_Entry!J439/Data_Entry!$I439),0)</f>
        <v>0.66075514874141872</v>
      </c>
      <c r="F450" s="49">
        <f>IFERROR(IF(Data_Entry!K439/Data_Entry!$H439&lt;0,0,Data_Entry!K439/Data_Entry!$H439),0)</f>
        <v>0.51634942595057476</v>
      </c>
      <c r="G450" s="49">
        <f>IFERROR(IF(Data_Entry!L439/Data_Entry!$H439&lt;0,0,Data_Entry!L439/Data_Entry!$H439),0)</f>
        <v>1.2539914630228244</v>
      </c>
      <c r="H450" s="49">
        <f>IFERROR(IF(Data_Entry!M439/Data_Entry!$H439&lt;0,0,Data_Entry!M439/Data_Entry!$H439),0)</f>
        <v>1.1851448728960812</v>
      </c>
      <c r="I450" s="49">
        <f>IFERROR(IF(Data_Entry!N439/Data_Entry!$H439&lt;0,0,Data_Entry!N439/Data_Entry!$H439),0)</f>
        <v>1.0867926012864477</v>
      </c>
      <c r="J450" s="49">
        <f>IFERROR(IF(Data_Entry!O439/Data_Entry!$H439&lt;0,0,Data_Entry!O439/Data_Entry!$H439),0)</f>
        <v>1.1162982827693377</v>
      </c>
      <c r="K450" s="49">
        <f>IFERROR(IF(Data_Entry!P439/Data_Entry!$H439&lt;0,0,Data_Entry!P439/Data_Entry!$H439),0)</f>
        <v>1.1310511235107827</v>
      </c>
      <c r="L450" s="49">
        <f>IFERROR(IF(Data_Entry!Q439/Data_Entry!$H439&lt;0,0,Data_Entry!Q439/Data_Entry!$H439),0)</f>
        <v>1.0720397605450027</v>
      </c>
      <c r="M450" s="49">
        <f>IFERROR(IF(Data_Entry!R439/Data_Entry!$H439&lt;0,0,Data_Entry!R439/Data_Entry!$H439),0)</f>
        <v>1.0572869198035577</v>
      </c>
      <c r="N450" s="49">
        <f>IFERROR(IF(Data_Entry!S439/Data_Entry!$H439&lt;0,0,Data_Entry!S439/Data_Entry!$H439),0)</f>
        <v>1.0818749877059661</v>
      </c>
      <c r="O450" s="49">
        <f>IFERROR(IF(Data_Entry!T439/Data_Entry!$H439&lt;0,0,Data_Entry!T439/Data_Entry!$H439),0)</f>
        <v>1.0031931704182595</v>
      </c>
      <c r="P450" s="49">
        <f>IFERROR(IF(Data_Entry!U439/Data_Entry!$H439&lt;0,0,Data_Entry!U439/Data_Entry!$H439),0)</f>
        <v>1.0622045333840395</v>
      </c>
      <c r="Q450" s="49">
        <f>IFERROR(IF(Data_Entry!V439/Data_Entry!$H439&lt;0,0,Data_Entry!V439/Data_Entry!$H439),0)</f>
        <v>1.0622045333840395</v>
      </c>
      <c r="R450" s="49">
        <f>IFERROR(IF(Data_Entry!W439/Data_Entry!$H439&lt;0,0,Data_Entry!W439/Data_Entry!$H439),0)</f>
        <v>1.0917102148669295</v>
      </c>
      <c r="S450" s="49">
        <f>IFERROR(IF(Data_Entry!X439/Data_Entry!$H439&lt;0,0,Data_Entry!X439/Data_Entry!$H439),0)</f>
        <v>1.1507215778327093</v>
      </c>
      <c r="T450" s="49">
        <f>IFERROR(IF(Data_Entry!Y439/Data_Entry!$H439&lt;0,0,Data_Entry!Y439/Data_Entry!$H439),0)</f>
        <v>0.46225567656527644</v>
      </c>
      <c r="U450" s="49">
        <f>IFERROR(IF(Data_Entry!Z439/Data_Entry!$H439&lt;0,0,Data_Entry!Z439/Data_Entry!$H439),0)</f>
        <v>1.0523693062230761</v>
      </c>
      <c r="V450" s="49">
        <f>IFERROR(IF(Data_Entry!AA439/Data_Entry!$H439&lt;0,0,Data_Entry!AA439/Data_Entry!$H439),0)</f>
        <v>0.98352271609633279</v>
      </c>
      <c r="W450" s="49">
        <f>IFERROR(IF(Data_Entry!AB439/Data_Entry!$H439&lt;0,0,Data_Entry!AB439/Data_Entry!$H439),0)</f>
        <v>0.98352271609633279</v>
      </c>
      <c r="X450" s="49">
        <f>IFERROR(IF(Data_Entry!AC439/Data_Entry!$I439&lt;0,0,Data_Entry!AC439/Data_Entry!$I439),0)</f>
        <v>0.25743707093821505</v>
      </c>
      <c r="Y450" s="49">
        <f>IFERROR(IF(Data_Entry!AD439/Data_Entry!$I439&lt;0,0,Data_Entry!AD439/Data_Entry!$I439),0)</f>
        <v>0.25743707093821505</v>
      </c>
      <c r="Z450" s="49">
        <f>IFERROR(IF(Data_Entry!AE439/Data_Entry!$I439&lt;0,0,Data_Entry!AE439/Data_Entry!$I439),0)</f>
        <v>0.15017162471395878</v>
      </c>
      <c r="AA450" s="49">
        <f>IFERROR(IF(Data_Entry!AF439/Data_Entry!$I439&lt;0,0,Data_Entry!AF439/Data_Entry!$I439),0)</f>
        <v>0.1930778032036613</v>
      </c>
      <c r="AB450" s="49">
        <f>IFERROR(IF(Data_Entry!AG439/Data_Entry!$I439&lt;0,0,Data_Entry!AG439/Data_Entry!$I439),0)</f>
        <v>0.12442791762013729</v>
      </c>
      <c r="AC450" s="49">
        <f>IFERROR(IF(Data_Entry!AI439/Data_Entry!$I439&lt;0,0,Data_Entry!AI439/Data_Entry!$I439),0)</f>
        <v>0.25014302059496563</v>
      </c>
      <c r="AD450" s="49">
        <f>IFERROR(IF(Data_Entry!AM439/Data_Entry!$H439&lt;0,0,Data_Entry!AM439/Data_Entry!$H439),0)</f>
        <v>1.0523693062230761</v>
      </c>
      <c r="AE450" s="50">
        <f>Data_Entry!AK439</f>
        <v>0</v>
      </c>
      <c r="AF450" s="50">
        <f>Data_Entry!AL439</f>
        <v>0</v>
      </c>
      <c r="AG450" s="153">
        <f>(Data_Entry!O439-Data_Entry!Q439)/Data_Entry!O439</f>
        <v>3.9647577092511016E-2</v>
      </c>
      <c r="AH450" s="79" t="str">
        <f t="shared" si="12"/>
        <v>CAT1</v>
      </c>
      <c r="AI450" s="51">
        <f>SUBTOTAL(3,Tableau1[[#This Row],[ZS]])</f>
        <v>0</v>
      </c>
      <c r="AJ450" s="51" t="e">
        <f t="shared" ca="1" si="13"/>
        <v>#NAME?</v>
      </c>
      <c r="AK450" s="50" t="str">
        <f>IFERROR(IF((Data_Entry!O439-Data_Entry!Q439)/Data_Entry!O439&lt;=10%,"&lt;=10%","&gt;10%"),"&lt;=10%")</f>
        <v>&lt;=10%</v>
      </c>
    </row>
    <row r="451" spans="1:37" s="48" customFormat="1" ht="13" hidden="1" x14ac:dyDescent="0.3">
      <c r="A451" s="31" t="s">
        <v>16</v>
      </c>
      <c r="B451" s="48" t="str">
        <f>Data_Entry!B440</f>
        <v>Butembo</v>
      </c>
      <c r="C451" s="48" t="str">
        <f>Data_Entry!C440</f>
        <v xml:space="preserve"> Masereka</v>
      </c>
      <c r="D451" s="48" t="str">
        <f>Data_Entry!D440</f>
        <v xml:space="preserve"> Lukanga</v>
      </c>
      <c r="E451" s="49">
        <f>IFERROR(IF(Data_Entry!J440/Data_Entry!$I440&lt;0,0,Data_Entry!J440/Data_Entry!$I440),0)</f>
        <v>0.98732927431298345</v>
      </c>
      <c r="F451" s="49">
        <f>IFERROR(IF(Data_Entry!K440/Data_Entry!$H440&lt;0,0,Data_Entry!K440/Data_Entry!$H440),0)</f>
        <v>1.0439097484856472</v>
      </c>
      <c r="G451" s="49">
        <f>IFERROR(IF(Data_Entry!L440/Data_Entry!$H440&lt;0,0,Data_Entry!L440/Data_Entry!$H440),0)</f>
        <v>1.1033192463669441</v>
      </c>
      <c r="H451" s="49">
        <f>IFERROR(IF(Data_Entry!M440/Data_Entry!$H440&lt;0,0,Data_Entry!M440/Data_Entry!$H440),0)</f>
        <v>1.0750290092806123</v>
      </c>
      <c r="I451" s="49">
        <f>IFERROR(IF(Data_Entry!N440/Data_Entry!$H440&lt;0,0,Data_Entry!N440/Data_Entry!$H440),0)</f>
        <v>1.2334543369640709</v>
      </c>
      <c r="J451" s="49">
        <f>IFERROR(IF(Data_Entry!O440/Data_Entry!$H440&lt;0,0,Data_Entry!O440/Data_Entry!$H440),0)</f>
        <v>1.1061482700755774</v>
      </c>
      <c r="K451" s="49">
        <f>IFERROR(IF(Data_Entry!P440/Data_Entry!$H440&lt;0,0,Data_Entry!P440/Data_Entry!$H440),0)</f>
        <v>0.90811661047125403</v>
      </c>
      <c r="L451" s="49">
        <f>IFERROR(IF(Data_Entry!Q440/Data_Entry!$H440&lt;0,0,Data_Entry!Q440/Data_Entry!$H440),0)</f>
        <v>1.041080724777014</v>
      </c>
      <c r="M451" s="49">
        <f>IFERROR(IF(Data_Entry!R440/Data_Entry!$H440&lt;0,0,Data_Entry!R440/Data_Entry!$H440),0)</f>
        <v>1.0495677959029135</v>
      </c>
      <c r="N451" s="49">
        <f>IFERROR(IF(Data_Entry!S440/Data_Entry!$H440&lt;0,0,Data_Entry!S440/Data_Entry!$H440),0)</f>
        <v>0.85153613629859026</v>
      </c>
      <c r="O451" s="49">
        <f>IFERROR(IF(Data_Entry!T440/Data_Entry!$H440&lt;0,0,Data_Entry!T440/Data_Entry!$H440),0)</f>
        <v>0.97035513206118418</v>
      </c>
      <c r="P451" s="49">
        <f>IFERROR(IF(Data_Entry!U440/Data_Entry!$H440&lt;0,0,Data_Entry!U440/Data_Entry!$H440),0)</f>
        <v>0.94206489497485235</v>
      </c>
      <c r="Q451" s="49">
        <f>IFERROR(IF(Data_Entry!V440/Data_Entry!$H440&lt;0,0,Data_Entry!V440/Data_Entry!$H440),0)</f>
        <v>0.88831344451082173</v>
      </c>
      <c r="R451" s="49">
        <f>IFERROR(IF(Data_Entry!W440/Data_Entry!$H440&lt;0,0,Data_Entry!W440/Data_Entry!$H440),0)</f>
        <v>1.0156195113993152</v>
      </c>
      <c r="S451" s="49">
        <f>IFERROR(IF(Data_Entry!X440/Data_Entry!$H440&lt;0,0,Data_Entry!X440/Data_Entry!$H440),0)</f>
        <v>0.92509075272305319</v>
      </c>
      <c r="T451" s="49">
        <f>IFERROR(IF(Data_Entry!Y440/Data_Entry!$H440&lt;0,0,Data_Entry!Y440/Data_Entry!$H440),0)</f>
        <v>0.49507914901080829</v>
      </c>
      <c r="U451" s="49">
        <f>IFERROR(IF(Data_Entry!Z440/Data_Entry!$H440&lt;0,0,Data_Entry!Z440/Data_Entry!$H440),0)</f>
        <v>0.87133930225902256</v>
      </c>
      <c r="V451" s="49">
        <f>IFERROR(IF(Data_Entry!AA440/Data_Entry!$H440&lt;0,0,Data_Entry!AA440/Data_Entry!$H440),0)</f>
        <v>0.96469708464391779</v>
      </c>
      <c r="W451" s="49">
        <f>IFERROR(IF(Data_Entry!AB440/Data_Entry!$H440&lt;0,0,Data_Entry!AB440/Data_Entry!$H440),0)</f>
        <v>0.73554616424462949</v>
      </c>
      <c r="X451" s="49">
        <f>IFERROR(IF(Data_Entry!AC440/Data_Entry!$I440&lt;0,0,Data_Entry!AC440/Data_Entry!$I440),0)</f>
        <v>0.21227579397729143</v>
      </c>
      <c r="Y451" s="49">
        <f>IFERROR(IF(Data_Entry!AD440/Data_Entry!$I440&lt;0,0,Data_Entry!AD440/Data_Entry!$I440),0)</f>
        <v>0.19993417804837915</v>
      </c>
      <c r="Z451" s="49">
        <f>IFERROR(IF(Data_Entry!AE440/Data_Entry!$I440&lt;0,0,Data_Entry!AE440/Data_Entry!$I440),0)</f>
        <v>0.2567056113213757</v>
      </c>
      <c r="AA451" s="49">
        <f>IFERROR(IF(Data_Entry!AF440/Data_Entry!$I440&lt;0,0,Data_Entry!AF440/Data_Entry!$I440),0)</f>
        <v>0.15550436070429488</v>
      </c>
      <c r="AB451" s="49">
        <f>IFERROR(IF(Data_Entry!AG440/Data_Entry!$I440&lt;0,0,Data_Entry!AG440/Data_Entry!$I440),0)</f>
        <v>0.10366957380286326</v>
      </c>
      <c r="AC451" s="49">
        <f>IFERROR(IF(Data_Entry!AI440/Data_Entry!$I440&lt;0,0,Data_Entry!AI440/Data_Entry!$I440),0)</f>
        <v>0.16463715649169</v>
      </c>
      <c r="AD451" s="49">
        <f>IFERROR(IF(Data_Entry!AM440/Data_Entry!$H440&lt;0,0,Data_Entry!AM440/Data_Entry!$H440),0)</f>
        <v>0.87133930225902256</v>
      </c>
      <c r="AE451" s="50">
        <f>Data_Entry!AK440</f>
        <v>0</v>
      </c>
      <c r="AF451" s="50">
        <f>Data_Entry!AL440</f>
        <v>64</v>
      </c>
      <c r="AG451" s="153">
        <f>(Data_Entry!O440-Data_Entry!Q440)/Data_Entry!O440</f>
        <v>5.8823529411764705E-2</v>
      </c>
      <c r="AH451" s="79" t="str">
        <f t="shared" si="12"/>
        <v>CAT1</v>
      </c>
      <c r="AI451" s="51">
        <f>SUBTOTAL(3,Tableau1[[#This Row],[ZS]])</f>
        <v>0</v>
      </c>
      <c r="AJ451" s="51" t="e">
        <f t="shared" ca="1" si="13"/>
        <v>#NAME?</v>
      </c>
      <c r="AK451" s="50" t="str">
        <f>IFERROR(IF((Data_Entry!O440-Data_Entry!Q440)/Data_Entry!O440&lt;=10%,"&lt;=10%","&gt;10%"),"&lt;=10%")</f>
        <v>&lt;=10%</v>
      </c>
    </row>
    <row r="452" spans="1:37" s="48" customFormat="1" ht="13" hidden="1" x14ac:dyDescent="0.3">
      <c r="A452" s="31" t="s">
        <v>16</v>
      </c>
      <c r="B452" s="48" t="str">
        <f>Data_Entry!B441</f>
        <v>Butembo</v>
      </c>
      <c r="C452" s="48" t="str">
        <f>Data_Entry!C441</f>
        <v xml:space="preserve"> Masereka</v>
      </c>
      <c r="D452" s="48" t="str">
        <f>Data_Entry!D441</f>
        <v xml:space="preserve"> Luotu</v>
      </c>
      <c r="E452" s="49">
        <f>IFERROR(IF(Data_Entry!J441/Data_Entry!$I441&lt;0,0,Data_Entry!J441/Data_Entry!$I441),0)</f>
        <v>0.43003412969283278</v>
      </c>
      <c r="F452" s="49">
        <f>IFERROR(IF(Data_Entry!K441/Data_Entry!$H441&lt;0,0,Data_Entry!K441/Data_Entry!$H441),0)</f>
        <v>0.23134986218198128</v>
      </c>
      <c r="G452" s="49">
        <f>IFERROR(IF(Data_Entry!L441/Data_Entry!$H441&lt;0,0,Data_Entry!L441/Data_Entry!$H441),0)</f>
        <v>0.99916317290189016</v>
      </c>
      <c r="H452" s="49">
        <f>IFERROR(IF(Data_Entry!M441/Data_Entry!$H441&lt;0,0,Data_Entry!M441/Data_Entry!$H441),0)</f>
        <v>0.99413382807184703</v>
      </c>
      <c r="I452" s="49">
        <f>IFERROR(IF(Data_Entry!N441/Data_Entry!$H441&lt;0,0,Data_Entry!N441/Data_Entry!$H441),0)</f>
        <v>0.99078093151848501</v>
      </c>
      <c r="J452" s="49">
        <f>IFERROR(IF(Data_Entry!O441/Data_Entry!$H441&lt;0,0,Data_Entry!O441/Data_Entry!$H441),0)</f>
        <v>0.9723400004749938</v>
      </c>
      <c r="K452" s="49">
        <f>IFERROR(IF(Data_Entry!P441/Data_Entry!$H441&lt;0,0,Data_Entry!P441/Data_Entry!$H441),0)</f>
        <v>0.86337086249072725</v>
      </c>
      <c r="L452" s="49">
        <f>IFERROR(IF(Data_Entry!Q441/Data_Entry!$H441&lt;0,0,Data_Entry!Q441/Data_Entry!$H441),0)</f>
        <v>0.78122489693335706</v>
      </c>
      <c r="M452" s="49">
        <f>IFERROR(IF(Data_Entry!R441/Data_Entry!$H441&lt;0,0,Data_Entry!R441/Data_Entry!$H441),0)</f>
        <v>0.8046951728068914</v>
      </c>
      <c r="N452" s="49">
        <f>IFERROR(IF(Data_Entry!S441/Data_Entry!$H441&lt;0,0,Data_Entry!S441/Data_Entry!$H441),0)</f>
        <v>0.69237313826926283</v>
      </c>
      <c r="O452" s="49">
        <f>IFERROR(IF(Data_Entry!T441/Data_Entry!$H441&lt;0,0,Data_Entry!T441/Data_Entry!$H441),0)</f>
        <v>0.73428434518628838</v>
      </c>
      <c r="P452" s="49">
        <f>IFERROR(IF(Data_Entry!U441/Data_Entry!$H441&lt;0,0,Data_Entry!U441/Data_Entry!$H441),0)</f>
        <v>0.8549886211073221</v>
      </c>
      <c r="Q452" s="49">
        <f>IFERROR(IF(Data_Entry!V441/Data_Entry!$H441&lt;0,0,Data_Entry!V441/Data_Entry!$H441),0)</f>
        <v>0.83151834523378776</v>
      </c>
      <c r="R452" s="49">
        <f>IFERROR(IF(Data_Entry!W441/Data_Entry!$H441&lt;0,0,Data_Entry!W441/Data_Entry!$H441),0)</f>
        <v>0.71249051758943505</v>
      </c>
      <c r="S452" s="49">
        <f>IFERROR(IF(Data_Entry!X441/Data_Entry!$H441&lt;0,0,Data_Entry!X441/Data_Entry!$H441),0)</f>
        <v>0.8382241383405119</v>
      </c>
      <c r="T452" s="49">
        <f>IFERROR(IF(Data_Entry!Y441/Data_Entry!$H441&lt;0,0,Data_Entry!Y441/Data_Entry!$H441),0)</f>
        <v>0.21290893113849002</v>
      </c>
      <c r="U452" s="49">
        <f>IFERROR(IF(Data_Entry!Z441/Data_Entry!$H441&lt;0,0,Data_Entry!Z441/Data_Entry!$H441),0)</f>
        <v>0.75943106933650373</v>
      </c>
      <c r="V452" s="49">
        <f>IFERROR(IF(Data_Entry!AA441/Data_Entry!$H441&lt;0,0,Data_Entry!AA441/Data_Entry!$H441),0)</f>
        <v>0.88181179353421846</v>
      </c>
      <c r="W452" s="49">
        <f>IFERROR(IF(Data_Entry!AB441/Data_Entry!$H441&lt;0,0,Data_Entry!AB441/Data_Entry!$H441),0)</f>
        <v>0.77619555210331403</v>
      </c>
      <c r="X452" s="49">
        <f>IFERROR(IF(Data_Entry!AC441/Data_Entry!$I441&lt;0,0,Data_Entry!AC441/Data_Entry!$I441),0)</f>
        <v>0.22525597269624575</v>
      </c>
      <c r="Y452" s="49">
        <f>IFERROR(IF(Data_Entry!AD441/Data_Entry!$I441&lt;0,0,Data_Entry!AD441/Data_Entry!$I441),0)</f>
        <v>0.16235982447586544</v>
      </c>
      <c r="Z452" s="49">
        <f>IFERROR(IF(Data_Entry!AE441/Data_Entry!$I441&lt;0,0,Data_Entry!AE441/Data_Entry!$I441),0)</f>
        <v>0.16674792784007803</v>
      </c>
      <c r="AA452" s="49">
        <f>IFERROR(IF(Data_Entry!AF441/Data_Entry!$I441&lt;0,0,Data_Entry!AF441/Data_Entry!$I441),0)</f>
        <v>8.3373963920039013E-2</v>
      </c>
      <c r="AB452" s="49">
        <f>IFERROR(IF(Data_Entry!AG441/Data_Entry!$I441&lt;0,0,Data_Entry!AG441/Data_Entry!$I441),0)</f>
        <v>4.5343734763529986E-2</v>
      </c>
      <c r="AC452" s="49">
        <f>IFERROR(IF(Data_Entry!AI441/Data_Entry!$I441&lt;0,0,Data_Entry!AI441/Data_Entry!$I441),0)</f>
        <v>8.5275475377864451E-2</v>
      </c>
      <c r="AD452" s="49">
        <f>IFERROR(IF(Data_Entry!AM441/Data_Entry!$H441&lt;0,0,Data_Entry!AM441/Data_Entry!$H441),0)</f>
        <v>0.75943106933650373</v>
      </c>
      <c r="AE452" s="50">
        <f>Data_Entry!AK441</f>
        <v>16.499166666666611</v>
      </c>
      <c r="AF452" s="50">
        <f>Data_Entry!AL441</f>
        <v>80</v>
      </c>
      <c r="AG452" s="153">
        <f>(Data_Entry!O441-Data_Entry!Q441)/Data_Entry!O441</f>
        <v>0.19655172413793104</v>
      </c>
      <c r="AH452" s="79" t="str">
        <f t="shared" si="12"/>
        <v>CAT2</v>
      </c>
      <c r="AI452" s="51">
        <f>SUBTOTAL(3,Tableau1[[#This Row],[ZS]])</f>
        <v>0</v>
      </c>
      <c r="AJ452" s="51" t="e">
        <f t="shared" ca="1" si="13"/>
        <v>#NAME?</v>
      </c>
      <c r="AK452" s="50" t="str">
        <f>IFERROR(IF((Data_Entry!O441-Data_Entry!Q441)/Data_Entry!O441&lt;=10%,"&lt;=10%","&gt;10%"),"&lt;=10%")</f>
        <v>&gt;10%</v>
      </c>
    </row>
    <row r="453" spans="1:37" s="48" customFormat="1" ht="13" hidden="1" x14ac:dyDescent="0.3">
      <c r="A453" s="31" t="s">
        <v>16</v>
      </c>
      <c r="B453" s="48" t="str">
        <f>Data_Entry!B442</f>
        <v>Butembo</v>
      </c>
      <c r="C453" s="48" t="str">
        <f>Data_Entry!C442</f>
        <v xml:space="preserve"> Masereka</v>
      </c>
      <c r="D453" s="48" t="str">
        <f>Data_Entry!D442</f>
        <v xml:space="preserve"> Magheria</v>
      </c>
      <c r="E453" s="49">
        <f>IFERROR(IF(Data_Entry!J442/Data_Entry!$I442&lt;0,0,Data_Entry!J442/Data_Entry!$I442),0)</f>
        <v>0.72972972972972971</v>
      </c>
      <c r="F453" s="49">
        <f>IFERROR(IF(Data_Entry!K442/Data_Entry!$H442&lt;0,0,Data_Entry!K442/Data_Entry!$H442),0)</f>
        <v>0.84584906525143955</v>
      </c>
      <c r="G453" s="49">
        <f>IFERROR(IF(Data_Entry!L442/Data_Entry!$H442&lt;0,0,Data_Entry!L442/Data_Entry!$H442),0)</f>
        <v>1.010846528652505</v>
      </c>
      <c r="H453" s="49">
        <f>IFERROR(IF(Data_Entry!M442/Data_Entry!$H442&lt;0,0,Data_Entry!M442/Data_Entry!$H442),0)</f>
        <v>0.92170996796457305</v>
      </c>
      <c r="I453" s="49">
        <f>IFERROR(IF(Data_Entry!N442/Data_Entry!$H442&lt;0,0,Data_Entry!N442/Data_Entry!$H442),0)</f>
        <v>0.97670912243159491</v>
      </c>
      <c r="J453" s="49">
        <f>IFERROR(IF(Data_Entry!O442/Data_Entry!$H442&lt;0,0,Data_Entry!O442/Data_Entry!$H442),0)</f>
        <v>0.93308910337154316</v>
      </c>
      <c r="K453" s="49">
        <f>IFERROR(IF(Data_Entry!P442/Data_Entry!$H442&lt;0,0,Data_Entry!P442/Data_Entry!$H442),0)</f>
        <v>0.89515865201497635</v>
      </c>
      <c r="L453" s="49">
        <f>IFERROR(IF(Data_Entry!Q442/Data_Entry!$H442&lt;0,0,Data_Entry!Q442/Data_Entry!$H442),0)</f>
        <v>0.8970551745828047</v>
      </c>
      <c r="M453" s="49">
        <f>IFERROR(IF(Data_Entry!R442/Data_Entry!$H442&lt;0,0,Data_Entry!R442/Data_Entry!$H442),0)</f>
        <v>0.89895169715063306</v>
      </c>
      <c r="N453" s="49">
        <f>IFERROR(IF(Data_Entry!S442/Data_Entry!$H442&lt;0,0,Data_Entry!S442/Data_Entry!$H442),0)</f>
        <v>0.82309079443749944</v>
      </c>
      <c r="O453" s="49">
        <f>IFERROR(IF(Data_Entry!T442/Data_Entry!$H442&lt;0,0,Data_Entry!T442/Data_Entry!$H442),0)</f>
        <v>0.8439525426836112</v>
      </c>
      <c r="P453" s="49">
        <f>IFERROR(IF(Data_Entry!U442/Data_Entry!$H442&lt;0,0,Data_Entry!U442/Data_Entry!$H442),0)</f>
        <v>0.97291607729593832</v>
      </c>
      <c r="Q453" s="49">
        <f>IFERROR(IF(Data_Entry!V442/Data_Entry!$H442&lt;0,0,Data_Entry!V442/Data_Entry!$H442),0)</f>
        <v>0.99188130297422172</v>
      </c>
      <c r="R453" s="49">
        <f>IFERROR(IF(Data_Entry!W442/Data_Entry!$H442&lt;0,0,Data_Entry!W442/Data_Entry!$H442),0)</f>
        <v>0.8439525426836112</v>
      </c>
      <c r="S453" s="49">
        <f>IFERROR(IF(Data_Entry!X442/Data_Entry!$H442&lt;0,0,Data_Entry!X442/Data_Entry!$H442),0)</f>
        <v>1.0013639158133634</v>
      </c>
      <c r="T453" s="49">
        <f>IFERROR(IF(Data_Entry!Y442/Data_Entry!$H442&lt;0,0,Data_Entry!Y442/Data_Entry!$H442),0)</f>
        <v>0.2806853400385943</v>
      </c>
      <c r="U453" s="49">
        <f>IFERROR(IF(Data_Entry!Z442/Data_Entry!$H442&lt;0,0,Data_Entry!Z442/Data_Entry!$H442),0)</f>
        <v>0.92550301310022975</v>
      </c>
      <c r="V453" s="49">
        <f>IFERROR(IF(Data_Entry!AA442/Data_Entry!$H442&lt;0,0,Data_Entry!AA442/Data_Entry!$H442),0)</f>
        <v>0.95584737418548327</v>
      </c>
      <c r="W453" s="49">
        <f>IFERROR(IF(Data_Entry!AB442/Data_Entry!$H442&lt;0,0,Data_Entry!AB442/Data_Entry!$H442),0)</f>
        <v>0.98619173527073667</v>
      </c>
      <c r="X453" s="49">
        <f>IFERROR(IF(Data_Entry!AC442/Data_Entry!$I442&lt;0,0,Data_Entry!AC442/Data_Entry!$I442),0)</f>
        <v>0.17539988968560397</v>
      </c>
      <c r="Y453" s="49">
        <f>IFERROR(IF(Data_Entry!AD442/Data_Entry!$I442&lt;0,0,Data_Entry!AD442/Data_Entry!$I442),0)</f>
        <v>0.19194704908990623</v>
      </c>
      <c r="Z453" s="49">
        <f>IFERROR(IF(Data_Entry!AE442/Data_Entry!$I442&lt;0,0,Data_Entry!AE442/Data_Entry!$I442),0)</f>
        <v>0.20187534473248758</v>
      </c>
      <c r="AA453" s="49">
        <f>IFERROR(IF(Data_Entry!AF442/Data_Entry!$I442&lt;0,0,Data_Entry!AF442/Data_Entry!$I442),0)</f>
        <v>0.12906784335355764</v>
      </c>
      <c r="AB453" s="49">
        <f>IFERROR(IF(Data_Entry!AG442/Data_Entry!$I442&lt;0,0,Data_Entry!AG442/Data_Entry!$I442),0)</f>
        <v>0.1406508549365692</v>
      </c>
      <c r="AC453" s="49">
        <f>IFERROR(IF(Data_Entry!AI442/Data_Entry!$I442&lt;0,0,Data_Entry!AI442/Data_Entry!$I442),0)</f>
        <v>0.11036955322669609</v>
      </c>
      <c r="AD453" s="49">
        <f>IFERROR(IF(Data_Entry!AM442/Data_Entry!$H442&lt;0,0,Data_Entry!AM442/Data_Entry!$H442),0)</f>
        <v>0.92550301310022975</v>
      </c>
      <c r="AE453" s="50">
        <f>Data_Entry!AK442</f>
        <v>35.280833333333248</v>
      </c>
      <c r="AF453" s="50">
        <f>Data_Entry!AL442</f>
        <v>0</v>
      </c>
      <c r="AG453" s="153">
        <f>(Data_Entry!O442-Data_Entry!Q442)/Data_Entry!O442</f>
        <v>3.8617886178861791E-2</v>
      </c>
      <c r="AH453" s="79" t="str">
        <f t="shared" si="12"/>
        <v>CAT1</v>
      </c>
      <c r="AI453" s="51">
        <f>SUBTOTAL(3,Tableau1[[#This Row],[ZS]])</f>
        <v>0</v>
      </c>
      <c r="AJ453" s="51" t="e">
        <f t="shared" ca="1" si="13"/>
        <v>#NAME?</v>
      </c>
      <c r="AK453" s="50" t="str">
        <f>IFERROR(IF((Data_Entry!O442-Data_Entry!Q442)/Data_Entry!O442&lt;=10%,"&lt;=10%","&gt;10%"),"&lt;=10%")</f>
        <v>&lt;=10%</v>
      </c>
    </row>
    <row r="454" spans="1:37" s="48" customFormat="1" ht="13" hidden="1" x14ac:dyDescent="0.3">
      <c r="A454" s="31" t="s">
        <v>16</v>
      </c>
      <c r="B454" s="48" t="str">
        <f>Data_Entry!B443</f>
        <v>Butembo</v>
      </c>
      <c r="C454" s="48" t="str">
        <f>Data_Entry!C443</f>
        <v xml:space="preserve"> Masereka</v>
      </c>
      <c r="D454" s="48" t="str">
        <f>Data_Entry!D443</f>
        <v xml:space="preserve"> Masereka</v>
      </c>
      <c r="E454" s="49">
        <f>IFERROR(IF(Data_Entry!J443/Data_Entry!$I443&lt;0,0,Data_Entry!J443/Data_Entry!$I443),0)</f>
        <v>1.1050877582759386</v>
      </c>
      <c r="F454" s="49">
        <f>IFERROR(IF(Data_Entry!K443/Data_Entry!$H443&lt;0,0,Data_Entry!K443/Data_Entry!$H443),0)</f>
        <v>0.45529519387286749</v>
      </c>
      <c r="G454" s="49">
        <f>IFERROR(IF(Data_Entry!L443/Data_Entry!$H443&lt;0,0,Data_Entry!L443/Data_Entry!$H443),0)</f>
        <v>1.1030977515980214</v>
      </c>
      <c r="H454" s="49">
        <f>IFERROR(IF(Data_Entry!M443/Data_Entry!$H443&lt;0,0,Data_Entry!M443/Data_Entry!$H443),0)</f>
        <v>0.99462137990347899</v>
      </c>
      <c r="I454" s="49">
        <f>IFERROR(IF(Data_Entry!N443/Data_Entry!$H443&lt;0,0,Data_Entry!N443/Data_Entry!$H443),0)</f>
        <v>1.0053162334508283</v>
      </c>
      <c r="J454" s="49">
        <f>IFERROR(IF(Data_Entry!O443/Data_Entry!$H443&lt;0,0,Data_Entry!O443/Data_Entry!$H443),0)</f>
        <v>1.0878193893875223</v>
      </c>
      <c r="K454" s="49">
        <f>IFERROR(IF(Data_Entry!P443/Data_Entry!$H443&lt;0,0,Data_Entry!P443/Data_Entry!$H443),0)</f>
        <v>1.0053162334508283</v>
      </c>
      <c r="L454" s="49">
        <f>IFERROR(IF(Data_Entry!Q443/Data_Entry!$H443&lt;0,0,Data_Entry!Q443/Data_Entry!$H443),0)</f>
        <v>1.0526791563033748</v>
      </c>
      <c r="M454" s="49">
        <f>IFERROR(IF(Data_Entry!R443/Data_Entry!$H443&lt;0,0,Data_Entry!R443/Data_Entry!$H443),0)</f>
        <v>0.95031412949303218</v>
      </c>
      <c r="N454" s="49">
        <f>IFERROR(IF(Data_Entry!S443/Data_Entry!$H443&lt;0,0,Data_Entry!S443/Data_Entry!$H443),0)</f>
        <v>0.85406044756688904</v>
      </c>
      <c r="O454" s="49">
        <f>IFERROR(IF(Data_Entry!T443/Data_Entry!$H443&lt;0,0,Data_Entry!T443/Data_Entry!$H443),0)</f>
        <v>0.97323167280878053</v>
      </c>
      <c r="P454" s="49">
        <f>IFERROR(IF(Data_Entry!U443/Data_Entry!$H443&lt;0,0,Data_Entry!U443/Data_Entry!$H443),0)</f>
        <v>1.0908750618296221</v>
      </c>
      <c r="Q454" s="49">
        <f>IFERROR(IF(Data_Entry!V443/Data_Entry!$H443&lt;0,0,Data_Entry!V443/Data_Entry!$H443),0)</f>
        <v>1.049623483861275</v>
      </c>
      <c r="R454" s="49">
        <f>IFERROR(IF(Data_Entry!W443/Data_Entry!$H443&lt;0,0,Data_Entry!W443/Data_Entry!$H443),0)</f>
        <v>0.77614080029334465</v>
      </c>
      <c r="S454" s="49">
        <f>IFERROR(IF(Data_Entry!X443/Data_Entry!$H443&lt;0,0,Data_Entry!X443/Data_Entry!$H443),0)</f>
        <v>1.0465678114191752</v>
      </c>
      <c r="T454" s="49">
        <f>IFERROR(IF(Data_Entry!Y443/Data_Entry!$H443&lt;0,0,Data_Entry!Y443/Data_Entry!$H443),0)</f>
        <v>0.27348268356793048</v>
      </c>
      <c r="U454" s="49">
        <f>IFERROR(IF(Data_Entry!Z443/Data_Entry!$H443&lt;0,0,Data_Entry!Z443/Data_Entry!$H443),0)</f>
        <v>1.0542069925244248</v>
      </c>
      <c r="V454" s="49">
        <f>IFERROR(IF(Data_Entry!AA443/Data_Entry!$H443&lt;0,0,Data_Entry!AA443/Data_Entry!$H443),0)</f>
        <v>1.0710131909559735</v>
      </c>
      <c r="W454" s="49">
        <f>IFERROR(IF(Data_Entry!AB443/Data_Entry!$H443&lt;0,0,Data_Entry!AB443/Data_Entry!$H443),0)</f>
        <v>0.96406465548248121</v>
      </c>
      <c r="X454" s="49">
        <f>IFERROR(IF(Data_Entry!AC443/Data_Entry!$I443&lt;0,0,Data_Entry!AC443/Data_Entry!$I443),0)</f>
        <v>0.24927793823594757</v>
      </c>
      <c r="Y454" s="49">
        <f>IFERROR(IF(Data_Entry!AD443/Data_Entry!$I443&lt;0,0,Data_Entry!AD443/Data_Entry!$I443),0)</f>
        <v>0.29726727393912467</v>
      </c>
      <c r="Z454" s="49">
        <f>IFERROR(IF(Data_Entry!AE443/Data_Entry!$I443&lt;0,0,Data_Entry!AE443/Data_Entry!$I443),0)</f>
        <v>0.21195289935569875</v>
      </c>
      <c r="AA454" s="49">
        <f>IFERROR(IF(Data_Entry!AF443/Data_Entry!$I443&lt;0,0,Data_Entry!AF443/Data_Entry!$I443),0)</f>
        <v>0.19195734281270829</v>
      </c>
      <c r="AB454" s="49">
        <f>IFERROR(IF(Data_Entry!AG443/Data_Entry!$I443&lt;0,0,Data_Entry!AG443/Data_Entry!$I443),0)</f>
        <v>0.15196622972672741</v>
      </c>
      <c r="AC454" s="49">
        <f>IFERROR(IF(Data_Entry!AI443/Data_Entry!$I443&lt;0,0,Data_Entry!AI443/Data_Entry!$I443),0)</f>
        <v>7.7716063097089533E-2</v>
      </c>
      <c r="AD454" s="49">
        <f>IFERROR(IF(Data_Entry!AM443/Data_Entry!$H443&lt;0,0,Data_Entry!AM443/Data_Entry!$H443),0)</f>
        <v>1.0465678114191752</v>
      </c>
      <c r="AE454" s="50">
        <f>Data_Entry!AK443</f>
        <v>0</v>
      </c>
      <c r="AF454" s="50">
        <f>Data_Entry!AL443</f>
        <v>27</v>
      </c>
      <c r="AG454" s="153">
        <f>(Data_Entry!O443-Data_Entry!Q443)/Data_Entry!O443</f>
        <v>3.2303370786516857E-2</v>
      </c>
      <c r="AH454" s="79" t="str">
        <f t="shared" si="12"/>
        <v>CAT1</v>
      </c>
      <c r="AI454" s="51">
        <f>SUBTOTAL(3,Tableau1[[#This Row],[ZS]])</f>
        <v>0</v>
      </c>
      <c r="AJ454" s="51" t="e">
        <f t="shared" ca="1" si="13"/>
        <v>#NAME?</v>
      </c>
      <c r="AK454" s="50" t="str">
        <f>IFERROR(IF((Data_Entry!O443-Data_Entry!Q443)/Data_Entry!O443&lt;=10%,"&lt;=10%","&gt;10%"),"&lt;=10%")</f>
        <v>&lt;=10%</v>
      </c>
    </row>
    <row r="455" spans="1:37" s="48" customFormat="1" ht="13" hidden="1" x14ac:dyDescent="0.3">
      <c r="A455" s="31" t="s">
        <v>16</v>
      </c>
      <c r="B455" s="48" t="str">
        <f>Data_Entry!B444</f>
        <v>Butembo</v>
      </c>
      <c r="C455" s="48" t="str">
        <f>Data_Entry!C444</f>
        <v xml:space="preserve"> Masereka</v>
      </c>
      <c r="D455" s="48" t="str">
        <f>Data_Entry!D444</f>
        <v xml:space="preserve"> Mihake</v>
      </c>
      <c r="E455" s="49">
        <f>IFERROR(IF(Data_Entry!J444/Data_Entry!$I444&lt;0,0,Data_Entry!J444/Data_Entry!$I444),0)</f>
        <v>0.6310679611650486</v>
      </c>
      <c r="F455" s="49">
        <f>IFERROR(IF(Data_Entry!K444/Data_Entry!$H444&lt;0,0,Data_Entry!K444/Data_Entry!$H444),0)</f>
        <v>0.25036859821403734</v>
      </c>
      <c r="G455" s="49">
        <f>IFERROR(IF(Data_Entry!L444/Data_Entry!$H444&lt;0,0,Data_Entry!L444/Data_Entry!$H444),0)</f>
        <v>1.0237293793640636</v>
      </c>
      <c r="H455" s="49">
        <f>IFERROR(IF(Data_Entry!M444/Data_Entry!$H444&lt;0,0,Data_Entry!M444/Data_Entry!$H444),0)</f>
        <v>1.0960580855147857</v>
      </c>
      <c r="I455" s="49">
        <f>IFERROR(IF(Data_Entry!N444/Data_Entry!$H444&lt;0,0,Data_Entry!N444/Data_Entry!$H444),0)</f>
        <v>1.0126018861101065</v>
      </c>
      <c r="J455" s="49">
        <f>IFERROR(IF(Data_Entry!O444/Data_Entry!$H444&lt;0,0,Data_Entry!O444/Data_Entry!$H444),0)</f>
        <v>1.0181656327370852</v>
      </c>
      <c r="K455" s="49">
        <f>IFERROR(IF(Data_Entry!P444/Data_Entry!$H444&lt;0,0,Data_Entry!P444/Data_Entry!$H444),0)</f>
        <v>0.97365565972125623</v>
      </c>
      <c r="L455" s="49">
        <f>IFERROR(IF(Data_Entry!Q444/Data_Entry!$H444&lt;0,0,Data_Entry!Q444/Data_Entry!$H444),0)</f>
        <v>0.99034689960219202</v>
      </c>
      <c r="M455" s="49">
        <f>IFERROR(IF(Data_Entry!R444/Data_Entry!$H444&lt;0,0,Data_Entry!R444/Data_Entry!$H444),0)</f>
        <v>1.0181656327370852</v>
      </c>
      <c r="N455" s="49">
        <f>IFERROR(IF(Data_Entry!S444/Data_Entry!$H444&lt;0,0,Data_Entry!S444/Data_Entry!$H444),0)</f>
        <v>0.97365565972125623</v>
      </c>
      <c r="O455" s="49">
        <f>IFERROR(IF(Data_Entry!T444/Data_Entry!$H444&lt;0,0,Data_Entry!T444/Data_Entry!$H444),0)</f>
        <v>0.97365565972125623</v>
      </c>
      <c r="P455" s="49">
        <f>IFERROR(IF(Data_Entry!U444/Data_Entry!$H444&lt;0,0,Data_Entry!U444/Data_Entry!$H444),0)</f>
        <v>0.96809191309427767</v>
      </c>
      <c r="Q455" s="49">
        <f>IFERROR(IF(Data_Entry!V444/Data_Entry!$H444&lt;0,0,Data_Entry!V444/Data_Entry!$H444),0)</f>
        <v>0.98478315297521346</v>
      </c>
      <c r="R455" s="49">
        <f>IFERROR(IF(Data_Entry!W444/Data_Entry!$H444&lt;0,0,Data_Entry!W444/Data_Entry!$H444),0)</f>
        <v>0.97921940634823479</v>
      </c>
      <c r="S455" s="49">
        <f>IFERROR(IF(Data_Entry!X444/Data_Entry!$H444&lt;0,0,Data_Entry!X444/Data_Entry!$H444),0)</f>
        <v>1.1183130720226999</v>
      </c>
      <c r="T455" s="49">
        <f>IFERROR(IF(Data_Entry!Y444/Data_Entry!$H444&lt;0,0,Data_Entry!Y444/Data_Entry!$H444),0)</f>
        <v>0.50630094305505324</v>
      </c>
      <c r="U455" s="49">
        <f>IFERROR(IF(Data_Entry!Z444/Data_Entry!$H444&lt;0,0,Data_Entry!Z444/Data_Entry!$H444),0)</f>
        <v>0.89576320694355571</v>
      </c>
      <c r="V455" s="49">
        <f>IFERROR(IF(Data_Entry!AA444/Data_Entry!$H444&lt;0,0,Data_Entry!AA444/Data_Entry!$H444),0)</f>
        <v>1.1350043119036359</v>
      </c>
      <c r="W455" s="49">
        <f>IFERROR(IF(Data_Entry!AB444/Data_Entry!$H444&lt;0,0,Data_Entry!AB444/Data_Entry!$H444),0)</f>
        <v>1.0292931259910423</v>
      </c>
      <c r="X455" s="49">
        <f>IFERROR(IF(Data_Entry!AC444/Data_Entry!$I444&lt;0,0,Data_Entry!AC444/Data_Entry!$I444),0)</f>
        <v>0.1650485436893204</v>
      </c>
      <c r="Y455" s="49">
        <f>IFERROR(IF(Data_Entry!AD444/Data_Entry!$I444&lt;0,0,Data_Entry!AD444/Data_Entry!$I444),0)</f>
        <v>0.21844660194174756</v>
      </c>
      <c r="Z455" s="49">
        <f>IFERROR(IF(Data_Entry!AE444/Data_Entry!$I444&lt;0,0,Data_Entry!AE444/Data_Entry!$I444),0)</f>
        <v>0.26699029126213591</v>
      </c>
      <c r="AA455" s="49">
        <f>IFERROR(IF(Data_Entry!AF444/Data_Entry!$I444&lt;0,0,Data_Entry!AF444/Data_Entry!$I444),0)</f>
        <v>0.14077669902912621</v>
      </c>
      <c r="AB455" s="49">
        <f>IFERROR(IF(Data_Entry!AG444/Data_Entry!$I444&lt;0,0,Data_Entry!AG444/Data_Entry!$I444),0)</f>
        <v>7.281553398058252E-2</v>
      </c>
      <c r="AC455" s="49">
        <f>IFERROR(IF(Data_Entry!AI444/Data_Entry!$I444&lt;0,0,Data_Entry!AI444/Data_Entry!$I444),0)</f>
        <v>0.28300970873786407</v>
      </c>
      <c r="AD455" s="49">
        <f>IFERROR(IF(Data_Entry!AM444/Data_Entry!$H444&lt;0,0,Data_Entry!AM444/Data_Entry!$H444),0)</f>
        <v>0.89576320694355571</v>
      </c>
      <c r="AE455" s="50">
        <f>Data_Entry!AK444</f>
        <v>0</v>
      </c>
      <c r="AF455" s="50">
        <f>Data_Entry!AL444</f>
        <v>0</v>
      </c>
      <c r="AG455" s="153">
        <f>(Data_Entry!O444-Data_Entry!Q444)/Data_Entry!O444</f>
        <v>2.7322404371584699E-2</v>
      </c>
      <c r="AH455" s="79" t="str">
        <f t="shared" si="12"/>
        <v>CAT1</v>
      </c>
      <c r="AI455" s="51">
        <f>SUBTOTAL(3,Tableau1[[#This Row],[ZS]])</f>
        <v>0</v>
      </c>
      <c r="AJ455" s="51" t="e">
        <f t="shared" ca="1" si="13"/>
        <v>#NAME?</v>
      </c>
      <c r="AK455" s="50" t="str">
        <f>IFERROR(IF((Data_Entry!O444-Data_Entry!Q444)/Data_Entry!O444&lt;=10%,"&lt;=10%","&gt;10%"),"&lt;=10%")</f>
        <v>&lt;=10%</v>
      </c>
    </row>
    <row r="456" spans="1:37" s="48" customFormat="1" ht="13" hidden="1" x14ac:dyDescent="0.3">
      <c r="A456" s="31" t="s">
        <v>16</v>
      </c>
      <c r="B456" s="48" t="str">
        <f>Data_Entry!B445</f>
        <v>Butembo</v>
      </c>
      <c r="C456" s="48" t="str">
        <f>Data_Entry!C445</f>
        <v xml:space="preserve"> Masereka</v>
      </c>
      <c r="D456" s="48" t="str">
        <f>Data_Entry!D445</f>
        <v xml:space="preserve"> Miringate</v>
      </c>
      <c r="E456" s="49">
        <f>IFERROR(IF(Data_Entry!J445/Data_Entry!$I445&lt;0,0,Data_Entry!J445/Data_Entry!$I445),0)</f>
        <v>0.8957006369426751</v>
      </c>
      <c r="F456" s="49">
        <f>IFERROR(IF(Data_Entry!K445/Data_Entry!$H445&lt;0,0,Data_Entry!K445/Data_Entry!$H445),0)</f>
        <v>0.94902633548080972</v>
      </c>
      <c r="G456" s="49">
        <f>IFERROR(IF(Data_Entry!L445/Data_Entry!$H445&lt;0,0,Data_Entry!L445/Data_Entry!$H445),0)</f>
        <v>0.88971218951325914</v>
      </c>
      <c r="H456" s="49">
        <f>IFERROR(IF(Data_Entry!M445/Data_Entry!$H445&lt;0,0,Data_Entry!M445/Data_Entry!$H445),0)</f>
        <v>0.88971218951325914</v>
      </c>
      <c r="I456" s="49">
        <f>IFERROR(IF(Data_Entry!N445/Data_Entry!$H445&lt;0,0,Data_Entry!N445/Data_Entry!$H445),0)</f>
        <v>0.90796269596481316</v>
      </c>
      <c r="J456" s="49">
        <f>IFERROR(IF(Data_Entry!O445/Data_Entry!$H445&lt;0,0,Data_Entry!O445/Data_Entry!$H445),0)</f>
        <v>0.99008997499680629</v>
      </c>
      <c r="K456" s="49">
        <f>IFERROR(IF(Data_Entry!P445/Data_Entry!$H445&lt;0,0,Data_Entry!P445/Data_Entry!$H445),0)</f>
        <v>0.98096472177102934</v>
      </c>
      <c r="L456" s="49">
        <f>IFERROR(IF(Data_Entry!Q445/Data_Entry!$H445&lt;0,0,Data_Entry!Q445/Data_Entry!$H445),0)</f>
        <v>1.0037778548354719</v>
      </c>
      <c r="M456" s="49">
        <f>IFERROR(IF(Data_Entry!R445/Data_Entry!$H445&lt;0,0,Data_Entry!R445/Data_Entry!$H445),0)</f>
        <v>0.83039804354570856</v>
      </c>
      <c r="N456" s="49">
        <f>IFERROR(IF(Data_Entry!S445/Data_Entry!$H445&lt;0,0,Data_Entry!S445/Data_Entry!$H445),0)</f>
        <v>0.83039804354570856</v>
      </c>
      <c r="O456" s="49">
        <f>IFERROR(IF(Data_Entry!T445/Data_Entry!$H445&lt;0,0,Data_Entry!T445/Data_Entry!$H445),0)</f>
        <v>0.90340006935192463</v>
      </c>
      <c r="P456" s="49">
        <f>IFERROR(IF(Data_Entry!U445/Data_Entry!$H445&lt;0,0,Data_Entry!U445/Data_Entry!$H445),0)</f>
        <v>1.085905133867465</v>
      </c>
      <c r="Q456" s="49">
        <f>IFERROR(IF(Data_Entry!V445/Data_Entry!$H445&lt;0,0,Data_Entry!V445/Data_Entry!$H445),0)</f>
        <v>0.76652127096526934</v>
      </c>
      <c r="R456" s="49">
        <f>IFERROR(IF(Data_Entry!W445/Data_Entry!$H445&lt;0,0,Data_Entry!W445/Data_Entry!$H445),0)</f>
        <v>0.80302228386837748</v>
      </c>
      <c r="S456" s="49">
        <f>IFERROR(IF(Data_Entry!X445/Data_Entry!$H445&lt;0,0,Data_Entry!X445/Data_Entry!$H445),0)</f>
        <v>1.0767798806416879</v>
      </c>
      <c r="T456" s="49">
        <f>IFERROR(IF(Data_Entry!Y445/Data_Entry!$H445&lt;0,0,Data_Entry!Y445/Data_Entry!$H445),0)</f>
        <v>0.53382731370795544</v>
      </c>
      <c r="U456" s="49">
        <f>IFERROR(IF(Data_Entry!Z445/Data_Entry!$H445&lt;0,0,Data_Entry!Z445/Data_Entry!$H445),0)</f>
        <v>1.0539667475772454</v>
      </c>
      <c r="V456" s="49">
        <f>IFERROR(IF(Data_Entry!AA445/Data_Entry!$H445&lt;0,0,Data_Entry!AA445/Data_Entry!$H445),0)</f>
        <v>0.90796269596481316</v>
      </c>
      <c r="W456" s="49">
        <f>IFERROR(IF(Data_Entry!AB445/Data_Entry!$H445&lt;0,0,Data_Entry!AB445/Data_Entry!$H445),0)</f>
        <v>0.71633237822349582</v>
      </c>
      <c r="X456" s="49">
        <f>IFERROR(IF(Data_Entry!AC445/Data_Entry!$I445&lt;0,0,Data_Entry!AC445/Data_Entry!$I445),0)</f>
        <v>0.30254777070063693</v>
      </c>
      <c r="Y456" s="49">
        <f>IFERROR(IF(Data_Entry!AD445/Data_Entry!$I445&lt;0,0,Data_Entry!AD445/Data_Entry!$I445),0)</f>
        <v>0.21894904458598724</v>
      </c>
      <c r="Z456" s="49">
        <f>IFERROR(IF(Data_Entry!AE445/Data_Entry!$I445&lt;0,0,Data_Entry!AE445/Data_Entry!$I445),0)</f>
        <v>0.20700636942675157</v>
      </c>
      <c r="AA456" s="49">
        <f>IFERROR(IF(Data_Entry!AF445/Data_Entry!$I445&lt;0,0,Data_Entry!AF445/Data_Entry!$I445),0)</f>
        <v>0.21496815286624202</v>
      </c>
      <c r="AB456" s="49">
        <f>IFERROR(IF(Data_Entry!AG445/Data_Entry!$I445&lt;0,0,Data_Entry!AG445/Data_Entry!$I445),0)</f>
        <v>0.19108280254777069</v>
      </c>
      <c r="AC456" s="49">
        <f>IFERROR(IF(Data_Entry!AI445/Data_Entry!$I445&lt;0,0,Data_Entry!AI445/Data_Entry!$I445),0)</f>
        <v>0.24880573248407642</v>
      </c>
      <c r="AD456" s="49">
        <f>IFERROR(IF(Data_Entry!AM445/Data_Entry!$H445&lt;0,0,Data_Entry!AM445/Data_Entry!$H445),0)</f>
        <v>1.0539667475772454</v>
      </c>
      <c r="AE456" s="50">
        <f>Data_Entry!AK445</f>
        <v>2.1719999999999686</v>
      </c>
      <c r="AF456" s="50">
        <f>Data_Entry!AL445</f>
        <v>0</v>
      </c>
      <c r="AG456" s="153">
        <f>(Data_Entry!O445-Data_Entry!Q445)/Data_Entry!O445</f>
        <v>-1.3824884792626729E-2</v>
      </c>
      <c r="AH456" s="79" t="str">
        <f t="shared" si="12"/>
        <v>CAT1</v>
      </c>
      <c r="AI456" s="51">
        <f>SUBTOTAL(3,Tableau1[[#This Row],[ZS]])</f>
        <v>0</v>
      </c>
      <c r="AJ456" s="51" t="e">
        <f t="shared" ca="1" si="13"/>
        <v>#NAME?</v>
      </c>
      <c r="AK456" s="50" t="str">
        <f>IFERROR(IF((Data_Entry!O445-Data_Entry!Q445)/Data_Entry!O445&lt;=10%,"&lt;=10%","&gt;10%"),"&lt;=10%")</f>
        <v>&lt;=10%</v>
      </c>
    </row>
    <row r="457" spans="1:37" s="48" customFormat="1" ht="13" hidden="1" x14ac:dyDescent="0.3">
      <c r="A457" s="31" t="s">
        <v>16</v>
      </c>
      <c r="B457" s="48" t="str">
        <f>Data_Entry!B446</f>
        <v>Butembo</v>
      </c>
      <c r="C457" s="48" t="str">
        <f>Data_Entry!C446</f>
        <v xml:space="preserve"> Masereka</v>
      </c>
      <c r="D457" s="48" t="str">
        <f>Data_Entry!D446</f>
        <v xml:space="preserve"> Nyabili</v>
      </c>
      <c r="E457" s="49">
        <f>IFERROR(IF(Data_Entry!J446/Data_Entry!$I446&lt;0,0,Data_Entry!J446/Data_Entry!$I446),0)</f>
        <v>0.80815767445399889</v>
      </c>
      <c r="F457" s="49">
        <f>IFERROR(IF(Data_Entry!K446/Data_Entry!$H446&lt;0,0,Data_Entry!K446/Data_Entry!$H446),0)</f>
        <v>0.40294718361069015</v>
      </c>
      <c r="G457" s="49">
        <f>IFERROR(IF(Data_Entry!L446/Data_Entry!$H446&lt;0,0,Data_Entry!L446/Data_Entry!$H446),0)</f>
        <v>1.0047514188734092</v>
      </c>
      <c r="H457" s="49">
        <f>IFERROR(IF(Data_Entry!M446/Data_Entry!$H446&lt;0,0,Data_Entry!M446/Data_Entry!$H446),0)</f>
        <v>0.91055597335402716</v>
      </c>
      <c r="I457" s="49">
        <f>IFERROR(IF(Data_Entry!N446/Data_Entry!$H446&lt;0,0,Data_Entry!N446/Data_Entry!$H446),0)</f>
        <v>0.86345825059433612</v>
      </c>
      <c r="J457" s="49">
        <f>IFERROR(IF(Data_Entry!O446/Data_Entry!$H446&lt;0,0,Data_Entry!O446/Data_Entry!$H446),0)</f>
        <v>1.1408115068458502</v>
      </c>
      <c r="K457" s="49">
        <f>IFERROR(IF(Data_Entry!P446/Data_Entry!$H446&lt;0,0,Data_Entry!P446/Data_Entry!$H446),0)</f>
        <v>1.0230671999466225</v>
      </c>
      <c r="L457" s="49">
        <f>IFERROR(IF(Data_Entry!Q446/Data_Entry!$H446&lt;0,0,Data_Entry!Q446/Data_Entry!$H446),0)</f>
        <v>1.1146461053126884</v>
      </c>
      <c r="M457" s="49">
        <f>IFERROR(IF(Data_Entry!R446/Data_Entry!$H446&lt;0,0,Data_Entry!R446/Data_Entry!$H446),0)</f>
        <v>1.1146461053126884</v>
      </c>
      <c r="N457" s="49">
        <f>IFERROR(IF(Data_Entry!S446/Data_Entry!$H446&lt;0,0,Data_Entry!S446/Data_Entry!$H446),0)</f>
        <v>1.0701649227063135</v>
      </c>
      <c r="O457" s="49">
        <f>IFERROR(IF(Data_Entry!T446/Data_Entry!$H446&lt;0,0,Data_Entry!T446/Data_Entry!$H446),0)</f>
        <v>1.0099844991800415</v>
      </c>
      <c r="P457" s="49">
        <f>IFERROR(IF(Data_Entry!U446/Data_Entry!$H446&lt;0,0,Data_Entry!U446/Data_Entry!$H446),0)</f>
        <v>1.1748265288389603</v>
      </c>
      <c r="Q457" s="49">
        <f>IFERROR(IF(Data_Entry!V446/Data_Entry!$H446&lt;0,0,Data_Entry!V446/Data_Entry!$H446),0)</f>
        <v>1.1146461053126884</v>
      </c>
      <c r="R457" s="49">
        <f>IFERROR(IF(Data_Entry!W446/Data_Entry!$H446&lt;0,0,Data_Entry!W446/Data_Entry!$H446),0)</f>
        <v>0.92625521427392421</v>
      </c>
      <c r="S457" s="49">
        <f>IFERROR(IF(Data_Entry!X446/Data_Entry!$H446&lt;0,0,Data_Entry!X446/Data_Entry!$H446),0)</f>
        <v>1.156510747765747</v>
      </c>
      <c r="T457" s="49">
        <f>IFERROR(IF(Data_Entry!Y446/Data_Entry!$H446&lt;0,0,Data_Entry!Y446/Data_Entry!$H446),0)</f>
        <v>0.38463140253747696</v>
      </c>
      <c r="U457" s="49">
        <f>IFERROR(IF(Data_Entry!Z446/Data_Entry!$H446&lt;0,0,Data_Entry!Z446/Data_Entry!$H446),0)</f>
        <v>1.0413829810198356</v>
      </c>
      <c r="V457" s="49">
        <f>IFERROR(IF(Data_Entry!AA446/Data_Entry!$H446&lt;0,0,Data_Entry!AA446/Data_Entry!$H446),0)</f>
        <v>1.0126010393333578</v>
      </c>
      <c r="W457" s="49">
        <f>IFERROR(IF(Data_Entry!AB446/Data_Entry!$H446&lt;0,0,Data_Entry!AB446/Data_Entry!$H446),0)</f>
        <v>1.0361499007132033</v>
      </c>
      <c r="X457" s="49">
        <f>IFERROR(IF(Data_Entry!AC446/Data_Entry!$I446&lt;0,0,Data_Entry!AC446/Data_Entry!$I446),0)</f>
        <v>0.25112244121451943</v>
      </c>
      <c r="Y457" s="49">
        <f>IFERROR(IF(Data_Entry!AD446/Data_Entry!$I446&lt;0,0,Data_Entry!AD446/Data_Entry!$I446),0)</f>
        <v>0.21916140324176242</v>
      </c>
      <c r="Z457" s="49">
        <f>IFERROR(IF(Data_Entry!AE446/Data_Entry!$I446&lt;0,0,Data_Entry!AE446/Data_Entry!$I446),0)</f>
        <v>0.15523932729624837</v>
      </c>
      <c r="AA457" s="49">
        <f>IFERROR(IF(Data_Entry!AF446/Data_Entry!$I446&lt;0,0,Data_Entry!AF446/Data_Entry!$I446),0)</f>
        <v>0.13697587702610151</v>
      </c>
      <c r="AB457" s="49">
        <f>IFERROR(IF(Data_Entry!AG446/Data_Entry!$I446&lt;0,0,Data_Entry!AG446/Data_Entry!$I446),0)</f>
        <v>0.11871242675595464</v>
      </c>
      <c r="AC457" s="49">
        <f>IFERROR(IF(Data_Entry!AI446/Data_Entry!$I446&lt;0,0,Data_Entry!AI446/Data_Entry!$I446),0)</f>
        <v>0.1330948938436953</v>
      </c>
      <c r="AD457" s="49">
        <f>IFERROR(IF(Data_Entry!AM446/Data_Entry!$H446&lt;0,0,Data_Entry!AM446/Data_Entry!$H446),0)</f>
        <v>1.0413829810198356</v>
      </c>
      <c r="AE457" s="50">
        <f>Data_Entry!AK446</f>
        <v>0</v>
      </c>
      <c r="AF457" s="50">
        <f>Data_Entry!AL446</f>
        <v>0</v>
      </c>
      <c r="AG457" s="153">
        <f>(Data_Entry!O446-Data_Entry!Q446)/Data_Entry!O446</f>
        <v>2.2935779816513763E-2</v>
      </c>
      <c r="AH457" s="79" t="str">
        <f t="shared" si="12"/>
        <v>CAT1</v>
      </c>
      <c r="AI457" s="51">
        <f>SUBTOTAL(3,Tableau1[[#This Row],[ZS]])</f>
        <v>0</v>
      </c>
      <c r="AJ457" s="51" t="e">
        <f t="shared" ca="1" si="13"/>
        <v>#NAME?</v>
      </c>
      <c r="AK457" s="50" t="str">
        <f>IFERROR(IF((Data_Entry!O446-Data_Entry!Q446)/Data_Entry!O446&lt;=10%,"&lt;=10%","&gt;10%"),"&lt;=10%")</f>
        <v>&lt;=10%</v>
      </c>
    </row>
    <row r="458" spans="1:37" s="48" customFormat="1" ht="13" hidden="1" x14ac:dyDescent="0.3">
      <c r="A458" s="31" t="s">
        <v>16</v>
      </c>
      <c r="B458" s="48" t="str">
        <f>Data_Entry!B447</f>
        <v>Butembo</v>
      </c>
      <c r="C458" s="48" t="str">
        <f>Data_Entry!C447</f>
        <v xml:space="preserve"> Masereka</v>
      </c>
      <c r="D458" s="48" t="str">
        <f>Data_Entry!D447</f>
        <v xml:space="preserve"> Rwese</v>
      </c>
      <c r="E458" s="49">
        <f>IFERROR(IF(Data_Entry!J447/Data_Entry!$I447&lt;0,0,Data_Entry!J447/Data_Entry!$I447),0)</f>
        <v>0.53586037632942451</v>
      </c>
      <c r="F458" s="49">
        <f>IFERROR(IF(Data_Entry!K447/Data_Entry!$H447&lt;0,0,Data_Entry!K447/Data_Entry!$H447),0)</f>
        <v>0.17346690806175735</v>
      </c>
      <c r="G458" s="49">
        <f>IFERROR(IF(Data_Entry!L447/Data_Entry!$H447&lt;0,0,Data_Entry!L447/Data_Entry!$H447),0)</f>
        <v>0.87671112993374656</v>
      </c>
      <c r="H458" s="49">
        <f>IFERROR(IF(Data_Entry!M447/Data_Entry!$H447&lt;0,0,Data_Entry!M447/Data_Entry!$H447),0)</f>
        <v>0.73137399074686882</v>
      </c>
      <c r="I458" s="49">
        <f>IFERROR(IF(Data_Entry!N447/Data_Entry!$H447&lt;0,0,Data_Entry!N447/Data_Entry!$H447),0)</f>
        <v>0.78294523368414803</v>
      </c>
      <c r="J458" s="49">
        <f>IFERROR(IF(Data_Entry!O447/Data_Entry!$H447&lt;0,0,Data_Entry!O447/Data_Entry!$H447),0)</f>
        <v>0.93297066768350567</v>
      </c>
      <c r="K458" s="49">
        <f>IFERROR(IF(Data_Entry!P447/Data_Entry!$H447&lt;0,0,Data_Entry!P447/Data_Entry!$H447),0)</f>
        <v>0.78763352849662793</v>
      </c>
      <c r="L458" s="49">
        <f>IFERROR(IF(Data_Entry!Q447/Data_Entry!$H447&lt;0,0,Data_Entry!Q447/Data_Entry!$H447),0)</f>
        <v>0.94703555212094548</v>
      </c>
      <c r="M458" s="49">
        <f>IFERROR(IF(Data_Entry!R447/Data_Entry!$H447&lt;0,0,Data_Entry!R447/Data_Entry!$H447),0)</f>
        <v>0.92828237287102577</v>
      </c>
      <c r="N458" s="49">
        <f>IFERROR(IF(Data_Entry!S447/Data_Entry!$H447&lt;0,0,Data_Entry!S447/Data_Entry!$H447),0)</f>
        <v>0.75481546480926842</v>
      </c>
      <c r="O458" s="49">
        <f>IFERROR(IF(Data_Entry!T447/Data_Entry!$H447&lt;0,0,Data_Entry!T447/Data_Entry!$H447),0)</f>
        <v>0.82982818180894724</v>
      </c>
      <c r="P458" s="49">
        <f>IFERROR(IF(Data_Entry!U447/Data_Entry!$H447&lt;0,0,Data_Entry!U447/Data_Entry!$H447),0)</f>
        <v>0.92828237287102577</v>
      </c>
      <c r="Q458" s="49">
        <f>IFERROR(IF(Data_Entry!V447/Data_Entry!$H447&lt;0,0,Data_Entry!V447/Data_Entry!$H447),0)</f>
        <v>0.95172384693342538</v>
      </c>
      <c r="R458" s="49">
        <f>IFERROR(IF(Data_Entry!W447/Data_Entry!$H447&lt;0,0,Data_Entry!W447/Data_Entry!$H447),0)</f>
        <v>1.0079833846831845</v>
      </c>
      <c r="S458" s="49">
        <f>IFERROR(IF(Data_Entry!X447/Data_Entry!$H447&lt;0,0,Data_Entry!X447/Data_Entry!$H447),0)</f>
        <v>1.0173599743081445</v>
      </c>
      <c r="T458" s="49">
        <f>IFERROR(IF(Data_Entry!Y447/Data_Entry!$H447&lt;0,0,Data_Entry!Y447/Data_Entry!$H447),0)</f>
        <v>7.0324422187198921E-2</v>
      </c>
      <c r="U458" s="49">
        <f>IFERROR(IF(Data_Entry!Z447/Data_Entry!$H447&lt;0,0,Data_Entry!Z447/Data_Entry!$H447),0)</f>
        <v>0.99860679505822469</v>
      </c>
      <c r="V458" s="49">
        <f>IFERROR(IF(Data_Entry!AA447/Data_Entry!$H447&lt;0,0,Data_Entry!AA447/Data_Entry!$H447),0)</f>
        <v>0.84389306624638705</v>
      </c>
      <c r="W458" s="49">
        <f>IFERROR(IF(Data_Entry!AB447/Data_Entry!$H447&lt;0,0,Data_Entry!AB447/Data_Entry!$H447),0)</f>
        <v>1.0032950898707047</v>
      </c>
      <c r="X458" s="49">
        <f>IFERROR(IF(Data_Entry!AC447/Data_Entry!$I447&lt;0,0,Data_Entry!AC447/Data_Entry!$I447),0)</f>
        <v>0.40496318516498497</v>
      </c>
      <c r="Y458" s="49">
        <f>IFERROR(IF(Data_Entry!AD447/Data_Entry!$I447&lt;0,0,Data_Entry!AD447/Data_Entry!$I447),0)</f>
        <v>0.2986092173438778</v>
      </c>
      <c r="Z458" s="49">
        <f>IFERROR(IF(Data_Entry!AE447/Data_Entry!$I447&lt;0,0,Data_Entry!AE447/Data_Entry!$I447),0)</f>
        <v>0.33133351513498771</v>
      </c>
      <c r="AA458" s="49">
        <f>IFERROR(IF(Data_Entry!AF447/Data_Entry!$I447&lt;0,0,Data_Entry!AF447/Data_Entry!$I447),0)</f>
        <v>0.28633760567221156</v>
      </c>
      <c r="AB458" s="49">
        <f>IFERROR(IF(Data_Entry!AG447/Data_Entry!$I447&lt;0,0,Data_Entry!AG447/Data_Entry!$I447),0)</f>
        <v>7.7720207253885995E-2</v>
      </c>
      <c r="AC458" s="49">
        <f>IFERROR(IF(Data_Entry!AI447/Data_Entry!$I447&lt;0,0,Data_Entry!AI447/Data_Entry!$I447),0)</f>
        <v>0.23847832015271334</v>
      </c>
      <c r="AD458" s="49">
        <f>IFERROR(IF(Data_Entry!AM447/Data_Entry!$H447&lt;0,0,Data_Entry!AM447/Data_Entry!$H447),0)</f>
        <v>0.99860679505822469</v>
      </c>
      <c r="AE458" s="50">
        <f>Data_Entry!AK447</f>
        <v>14.297166666666669</v>
      </c>
      <c r="AF458" s="50">
        <f>Data_Entry!AL447</f>
        <v>0</v>
      </c>
      <c r="AG458" s="153">
        <f>(Data_Entry!O447-Data_Entry!Q447)/Data_Entry!O447</f>
        <v>-1.507537688442211E-2</v>
      </c>
      <c r="AH458" s="79" t="str">
        <f t="shared" si="12"/>
        <v>CAT1</v>
      </c>
      <c r="AI458" s="51">
        <f>SUBTOTAL(3,Tableau1[[#This Row],[ZS]])</f>
        <v>0</v>
      </c>
      <c r="AJ458" s="51" t="e">
        <f t="shared" ca="1" si="13"/>
        <v>#NAME?</v>
      </c>
      <c r="AK458" s="50" t="str">
        <f>IFERROR(IF((Data_Entry!O447-Data_Entry!Q447)/Data_Entry!O447&lt;=10%,"&lt;=10%","&gt;10%"),"&lt;=10%")</f>
        <v>&lt;=10%</v>
      </c>
    </row>
    <row r="459" spans="1:37" s="48" customFormat="1" ht="13" hidden="1" x14ac:dyDescent="0.3">
      <c r="A459" s="31" t="s">
        <v>16</v>
      </c>
      <c r="B459" s="48" t="str">
        <f>Data_Entry!B448</f>
        <v>Butembo</v>
      </c>
      <c r="C459" s="48" t="str">
        <f>Data_Entry!C448</f>
        <v xml:space="preserve"> Masereka</v>
      </c>
      <c r="D459" s="48" t="str">
        <f>Data_Entry!D448</f>
        <v xml:space="preserve"> Vusitoro</v>
      </c>
      <c r="E459" s="49">
        <f>IFERROR(IF(Data_Entry!J448/Data_Entry!$I448&lt;0,0,Data_Entry!J448/Data_Entry!$I448),0)</f>
        <v>1.1244377811094453</v>
      </c>
      <c r="F459" s="49">
        <f>IFERROR(IF(Data_Entry!K448/Data_Entry!$H448&lt;0,0,Data_Entry!K448/Data_Entry!$H448),0)</f>
        <v>0.39257426609595797</v>
      </c>
      <c r="G459" s="49">
        <f>IFERROR(IF(Data_Entry!L448/Data_Entry!$H448&lt;0,0,Data_Entry!L448/Data_Entry!$H448),0)</f>
        <v>1.3085808869865265</v>
      </c>
      <c r="H459" s="49">
        <f>IFERROR(IF(Data_Entry!M448/Data_Entry!$H448&lt;0,0,Data_Entry!M448/Data_Entry!$H448),0)</f>
        <v>1.2609961274597437</v>
      </c>
      <c r="I459" s="49">
        <f>IFERROR(IF(Data_Entry!N448/Data_Entry!$H448&lt;0,0,Data_Entry!N448/Data_Entry!$H448),0)</f>
        <v>1.1896189881695696</v>
      </c>
      <c r="J459" s="49">
        <f>IFERROR(IF(Data_Entry!O448/Data_Entry!$H448&lt;0,0,Data_Entry!O448/Data_Entry!$H448),0)</f>
        <v>1.1578958151517142</v>
      </c>
      <c r="K459" s="49">
        <f>IFERROR(IF(Data_Entry!P448/Data_Entry!$H448&lt;0,0,Data_Entry!P448/Data_Entry!$H448),0)</f>
        <v>1.0547955028436851</v>
      </c>
      <c r="L459" s="49">
        <f>IFERROR(IF(Data_Entry!Q448/Data_Entry!$H448&lt;0,0,Data_Entry!Q448/Data_Entry!$H448),0)</f>
        <v>1.0468647095892212</v>
      </c>
      <c r="M459" s="49">
        <f>IFERROR(IF(Data_Entry!R448/Data_Entry!$H448&lt;0,0,Data_Entry!R448/Data_Entry!$H448),0)</f>
        <v>1.1261726421338591</v>
      </c>
      <c r="N459" s="49">
        <f>IFERROR(IF(Data_Entry!S448/Data_Entry!$H448&lt;0,0,Data_Entry!S448/Data_Entry!$H448),0)</f>
        <v>1.0111761399441341</v>
      </c>
      <c r="O459" s="49">
        <f>IFERROR(IF(Data_Entry!T448/Data_Entry!$H448&lt;0,0,Data_Entry!T448/Data_Entry!$H448),0)</f>
        <v>0.99927995006243842</v>
      </c>
      <c r="P459" s="49">
        <f>IFERROR(IF(Data_Entry!U448/Data_Entry!$H448&lt;0,0,Data_Entry!U448/Data_Entry!$H448),0)</f>
        <v>1.2609961274597437</v>
      </c>
      <c r="Q459" s="49">
        <f>IFERROR(IF(Data_Entry!V448/Data_Entry!$H448&lt;0,0,Data_Entry!V448/Data_Entry!$H448),0)</f>
        <v>1.0746224859798446</v>
      </c>
      <c r="R459" s="49">
        <f>IFERROR(IF(Data_Entry!W448/Data_Entry!$H448&lt;0,0,Data_Entry!W448/Data_Entry!$H448),0)</f>
        <v>0.92393741414503239</v>
      </c>
      <c r="S459" s="49">
        <f>IFERROR(IF(Data_Entry!X448/Data_Entry!$H448&lt;0,0,Data_Entry!X448/Data_Entry!$H448),0)</f>
        <v>1.0706570893526126</v>
      </c>
      <c r="T459" s="49">
        <f>IFERROR(IF(Data_Entry!Y448/Data_Entry!$H448&lt;0,0,Data_Entry!Y448/Data_Entry!$H448),0)</f>
        <v>0.36481648970533465</v>
      </c>
      <c r="U459" s="49">
        <f>IFERROR(IF(Data_Entry!Z448/Data_Entry!$H448&lt;0,0,Data_Entry!Z448/Data_Entry!$H448),0)</f>
        <v>0.97945296692627892</v>
      </c>
      <c r="V459" s="49">
        <f>IFERROR(IF(Data_Entry!AA448/Data_Entry!$H448&lt;0,0,Data_Entry!AA448/Data_Entry!$H448),0)</f>
        <v>1.1499650218972506</v>
      </c>
      <c r="W459" s="49">
        <f>IFERROR(IF(Data_Entry!AB448/Data_Entry!$H448&lt;0,0,Data_Entry!AB448/Data_Entry!$H448),0)</f>
        <v>0.97548757029904698</v>
      </c>
      <c r="X459" s="49">
        <f>IFERROR(IF(Data_Entry!AC448/Data_Entry!$I448&lt;0,0,Data_Entry!AC448/Data_Entry!$I448),0)</f>
        <v>0.14877176796217276</v>
      </c>
      <c r="Y459" s="49">
        <f>IFERROR(IF(Data_Entry!AD448/Data_Entry!$I448&lt;0,0,Data_Entry!AD448/Data_Entry!$I448),0)</f>
        <v>0.20412870487833004</v>
      </c>
      <c r="Z459" s="49">
        <f>IFERROR(IF(Data_Entry!AE448/Data_Entry!$I448&lt;0,0,Data_Entry!AE448/Data_Entry!$I448),0)</f>
        <v>0.14531195940491293</v>
      </c>
      <c r="AA459" s="49">
        <f>IFERROR(IF(Data_Entry!AF448/Data_Entry!$I448&lt;0,0,Data_Entry!AF448/Data_Entry!$I448),0)</f>
        <v>0.12455310806135393</v>
      </c>
      <c r="AB459" s="49">
        <f>IFERROR(IF(Data_Entry!AG448/Data_Entry!$I448&lt;0,0,Data_Entry!AG448/Data_Entry!$I448),0)</f>
        <v>0.10379425671779494</v>
      </c>
      <c r="AC459" s="49">
        <f>IFERROR(IF(Data_Entry!AI448/Data_Entry!$I448&lt;0,0,Data_Entry!AI448/Data_Entry!$I448),0)</f>
        <v>0.20170683888824817</v>
      </c>
      <c r="AD459" s="49">
        <f>IFERROR(IF(Data_Entry!AM448/Data_Entry!$H448&lt;0,0,Data_Entry!AM448/Data_Entry!$H448),0)</f>
        <v>0.97945296692627892</v>
      </c>
      <c r="AE459" s="50">
        <f>Data_Entry!AK448</f>
        <v>0</v>
      </c>
      <c r="AF459" s="50">
        <f>Data_Entry!AL448</f>
        <v>22</v>
      </c>
      <c r="AG459" s="153">
        <f>(Data_Entry!O448-Data_Entry!Q448)/Data_Entry!O448</f>
        <v>9.5890410958904104E-2</v>
      </c>
      <c r="AH459" s="79" t="str">
        <f t="shared" si="12"/>
        <v>CAT1</v>
      </c>
      <c r="AI459" s="51">
        <f>SUBTOTAL(3,Tableau1[[#This Row],[ZS]])</f>
        <v>0</v>
      </c>
      <c r="AJ459" s="51" t="e">
        <f t="shared" ca="1" si="13"/>
        <v>#NAME?</v>
      </c>
      <c r="AK459" s="50" t="str">
        <f>IFERROR(IF((Data_Entry!O448-Data_Entry!Q448)/Data_Entry!O448&lt;=10%,"&lt;=10%","&gt;10%"),"&lt;=10%")</f>
        <v>&lt;=10%</v>
      </c>
    </row>
    <row r="460" spans="1:37" s="48" customFormat="1" ht="13" hidden="1" x14ac:dyDescent="0.3">
      <c r="A460" s="31" t="s">
        <v>16</v>
      </c>
      <c r="B460" s="48" t="str">
        <f>Data_Entry!B449</f>
        <v>Butembo</v>
      </c>
      <c r="C460" s="48" t="str">
        <f>Data_Entry!C449</f>
        <v xml:space="preserve"> Masereka</v>
      </c>
      <c r="D460" s="48" t="str">
        <f>Data_Entry!D449</f>
        <v xml:space="preserve"> Vusumba</v>
      </c>
      <c r="E460" s="49">
        <f>IFERROR(IF(Data_Entry!J449/Data_Entry!$I449&lt;0,0,Data_Entry!J449/Data_Entry!$I449),0)</f>
        <v>0.83383685800604235</v>
      </c>
      <c r="F460" s="49">
        <f>IFERROR(IF(Data_Entry!K449/Data_Entry!$H449&lt;0,0,Data_Entry!K449/Data_Entry!$H449),0)</f>
        <v>0.29086124360494814</v>
      </c>
      <c r="G460" s="49">
        <f>IFERROR(IF(Data_Entry!L449/Data_Entry!$H449&lt;0,0,Data_Entry!L449/Data_Entry!$H449),0)</f>
        <v>0.88089405206070004</v>
      </c>
      <c r="H460" s="49">
        <f>IFERROR(IF(Data_Entry!M449/Data_Entry!$H449&lt;0,0,Data_Entry!M449/Data_Entry!$H449),0)</f>
        <v>0.78117019711043212</v>
      </c>
      <c r="I460" s="49">
        <f>IFERROR(IF(Data_Entry!N449/Data_Entry!$H449&lt;0,0,Data_Entry!N449/Data_Entry!$H449),0)</f>
        <v>0.85180792770020519</v>
      </c>
      <c r="J460" s="49">
        <f>IFERROR(IF(Data_Entry!O449/Data_Entry!$H449&lt;0,0,Data_Entry!O449/Data_Entry!$H449),0)</f>
        <v>0.8850492126836278</v>
      </c>
      <c r="K460" s="49">
        <f>IFERROR(IF(Data_Entry!P449/Data_Entry!$H449&lt;0,0,Data_Entry!P449/Data_Entry!$H449),0)</f>
        <v>0.78532535773335987</v>
      </c>
      <c r="L460" s="49">
        <f>IFERROR(IF(Data_Entry!Q449/Data_Entry!$H449&lt;0,0,Data_Entry!Q449/Data_Entry!$H449),0)</f>
        <v>0.76454955461872076</v>
      </c>
      <c r="M460" s="49">
        <f>IFERROR(IF(Data_Entry!R449/Data_Entry!$H449&lt;0,0,Data_Entry!R449/Data_Entry!$H449),0)</f>
        <v>0.88089405206070004</v>
      </c>
      <c r="N460" s="49">
        <f>IFERROR(IF(Data_Entry!S449/Data_Entry!$H449&lt;0,0,Data_Entry!S449/Data_Entry!$H449),0)</f>
        <v>0.78532535773335987</v>
      </c>
      <c r="O460" s="49">
        <f>IFERROR(IF(Data_Entry!T449/Data_Entry!$H449&lt;0,0,Data_Entry!T449/Data_Entry!$H449),0)</f>
        <v>0.76870471524164863</v>
      </c>
      <c r="P460" s="49">
        <f>IFERROR(IF(Data_Entry!U449/Data_Entry!$H449&lt;0,0,Data_Entry!U449/Data_Entry!$H449),0)</f>
        <v>0.89335953392948353</v>
      </c>
      <c r="Q460" s="49">
        <f>IFERROR(IF(Data_Entry!V449/Data_Entry!$H449&lt;0,0,Data_Entry!V449/Data_Entry!$H449),0)</f>
        <v>0.82687696396263821</v>
      </c>
      <c r="R460" s="49">
        <f>IFERROR(IF(Data_Entry!W449/Data_Entry!$H449&lt;0,0,Data_Entry!W449/Data_Entry!$H449),0)</f>
        <v>0.8393424458314217</v>
      </c>
      <c r="S460" s="49">
        <f>IFERROR(IF(Data_Entry!X449/Data_Entry!$H449&lt;0,0,Data_Entry!X449/Data_Entry!$H449),0)</f>
        <v>0.94737662202754525</v>
      </c>
      <c r="T460" s="49">
        <f>IFERROR(IF(Data_Entry!Y449/Data_Entry!$H449&lt;0,0,Data_Entry!Y449/Data_Entry!$H449),0)</f>
        <v>0.43213670478449434</v>
      </c>
      <c r="U460" s="49">
        <f>IFERROR(IF(Data_Entry!Z449/Data_Entry!$H449&lt;0,0,Data_Entry!Z449/Data_Entry!$H449),0)</f>
        <v>0.86427340956898868</v>
      </c>
      <c r="V460" s="49">
        <f>IFERROR(IF(Data_Entry!AA449/Data_Entry!$H449&lt;0,0,Data_Entry!AA449/Data_Entry!$H449),0)</f>
        <v>0.85180792770020519</v>
      </c>
      <c r="W460" s="49">
        <f>IFERROR(IF(Data_Entry!AB449/Data_Entry!$H449&lt;0,0,Data_Entry!AB449/Data_Entry!$H449),0)</f>
        <v>0.97230758576511223</v>
      </c>
      <c r="X460" s="49">
        <f>IFERROR(IF(Data_Entry!AC449/Data_Entry!$I449&lt;0,0,Data_Entry!AC449/Data_Entry!$I449),0)</f>
        <v>0.1812688821752266</v>
      </c>
      <c r="Y460" s="49">
        <f>IFERROR(IF(Data_Entry!AD449/Data_Entry!$I449&lt;0,0,Data_Entry!AD449/Data_Entry!$I449),0)</f>
        <v>0.13051359516616315</v>
      </c>
      <c r="Z460" s="49">
        <f>IFERROR(IF(Data_Entry!AE449/Data_Entry!$I449&lt;0,0,Data_Entry!AE449/Data_Entry!$I449),0)</f>
        <v>0.22839879154078552</v>
      </c>
      <c r="AA460" s="49">
        <f>IFERROR(IF(Data_Entry!AF449/Data_Entry!$I449&lt;0,0,Data_Entry!AF449/Data_Entry!$I449),0)</f>
        <v>0.14138972809667674</v>
      </c>
      <c r="AB460" s="49">
        <f>IFERROR(IF(Data_Entry!AG449/Data_Entry!$I449&lt;0,0,Data_Entry!AG449/Data_Entry!$I449),0)</f>
        <v>0.12326283987915408</v>
      </c>
      <c r="AC460" s="49">
        <f>IFERROR(IF(Data_Entry!AI449/Data_Entry!$I449&lt;0,0,Data_Entry!AI449/Data_Entry!$I449),0)</f>
        <v>0.21135951661631419</v>
      </c>
      <c r="AD460" s="49">
        <f>IFERROR(IF(Data_Entry!AM449/Data_Entry!$H449&lt;0,0,Data_Entry!AM449/Data_Entry!$H449),0)</f>
        <v>0.86427340956898868</v>
      </c>
      <c r="AE460" s="50">
        <f>Data_Entry!AK449</f>
        <v>27.664583333333326</v>
      </c>
      <c r="AF460" s="50">
        <f>Data_Entry!AL449</f>
        <v>0</v>
      </c>
      <c r="AG460" s="153">
        <f>(Data_Entry!O449-Data_Entry!Q449)/Data_Entry!O449</f>
        <v>0.13615023474178403</v>
      </c>
      <c r="AH460" s="79" t="str">
        <f t="shared" si="12"/>
        <v>CAT4</v>
      </c>
      <c r="AI460" s="51">
        <f>SUBTOTAL(3,Tableau1[[#This Row],[ZS]])</f>
        <v>0</v>
      </c>
      <c r="AJ460" s="51" t="e">
        <f t="shared" ca="1" si="13"/>
        <v>#NAME?</v>
      </c>
      <c r="AK460" s="50" t="str">
        <f>IFERROR(IF((Data_Entry!O449-Data_Entry!Q449)/Data_Entry!O449&lt;=10%,"&lt;=10%","&gt;10%"),"&lt;=10%")</f>
        <v>&gt;10%</v>
      </c>
    </row>
    <row r="461" spans="1:37" s="48" customFormat="1" ht="13" hidden="1" x14ac:dyDescent="0.3">
      <c r="A461" s="31" t="s">
        <v>16</v>
      </c>
      <c r="B461" s="48" t="str">
        <f>Data_Entry!B450</f>
        <v>Goma</v>
      </c>
      <c r="C461" s="48" t="str">
        <f>Data_Entry!C450</f>
        <v xml:space="preserve"> Masisi</v>
      </c>
      <c r="D461" s="48" t="str">
        <f>Data_Entry!D450</f>
        <v xml:space="preserve"> Buabo</v>
      </c>
      <c r="E461" s="49">
        <f>IFERROR(IF(Data_Entry!J450/Data_Entry!$I450&lt;0,0,Data_Entry!J450/Data_Entry!$I450),0)</f>
        <v>0.76436754290060371</v>
      </c>
      <c r="F461" s="49">
        <f>IFERROR(IF(Data_Entry!K450/Data_Entry!$H450&lt;0,0,Data_Entry!K450/Data_Entry!$H450),0)</f>
        <v>0.23209209915726325</v>
      </c>
      <c r="G461" s="49">
        <f>IFERROR(IF(Data_Entry!L450/Data_Entry!$H450&lt;0,0,Data_Entry!L450/Data_Entry!$H450),0)</f>
        <v>0.99374645272969064</v>
      </c>
      <c r="H461" s="49">
        <f>IFERROR(IF(Data_Entry!M450/Data_Entry!$H450&lt;0,0,Data_Entry!M450/Data_Entry!$H450),0)</f>
        <v>1.1114269537108381</v>
      </c>
      <c r="I461" s="49">
        <f>IFERROR(IF(Data_Entry!N450/Data_Entry!$H450&lt;0,0,Data_Entry!N450/Data_Entry!$H450),0)</f>
        <v>1.0787379256605194</v>
      </c>
      <c r="J461" s="49">
        <f>IFERROR(IF(Data_Entry!O450/Data_Entry!$H450&lt;0,0,Data_Entry!O450/Data_Entry!$H450),0)</f>
        <v>1.1931495238366352</v>
      </c>
      <c r="K461" s="49">
        <f>IFERROR(IF(Data_Entry!P450/Data_Entry!$H450&lt;0,0,Data_Entry!P450/Data_Entry!$H450),0)</f>
        <v>1.059124508830328</v>
      </c>
      <c r="L461" s="49">
        <f>IFERROR(IF(Data_Entry!Q450/Data_Entry!$H450&lt;0,0,Data_Entry!Q450/Data_Entry!$H450),0)</f>
        <v>1.0264354807800093</v>
      </c>
      <c r="M461" s="49">
        <f>IFERROR(IF(Data_Entry!R450/Data_Entry!$H450&lt;0,0,Data_Entry!R450/Data_Entry!$H450),0)</f>
        <v>1.0689312172454237</v>
      </c>
      <c r="N461" s="49">
        <f>IFERROR(IF(Data_Entry!S450/Data_Entry!$H450&lt;0,0,Data_Entry!S450/Data_Entry!$H450),0)</f>
        <v>1.059124508830328</v>
      </c>
      <c r="O461" s="49">
        <f>IFERROR(IF(Data_Entry!T450/Data_Entry!$H450&lt;0,0,Data_Entry!T450/Data_Entry!$H450),0)</f>
        <v>1.0084565153523339</v>
      </c>
      <c r="P461" s="49">
        <f>IFERROR(IF(Data_Entry!U450/Data_Entry!$H450&lt;0,0,Data_Entry!U450/Data_Entry!$H450),0)</f>
        <v>0.86625924333344739</v>
      </c>
      <c r="Q461" s="49">
        <f>IFERROR(IF(Data_Entry!V450/Data_Entry!$H450&lt;0,0,Data_Entry!V450/Data_Entry!$H450),0)</f>
        <v>0.85972143772338361</v>
      </c>
      <c r="R461" s="49">
        <f>IFERROR(IF(Data_Entry!W450/Data_Entry!$H450&lt;0,0,Data_Entry!W450/Data_Entry!$H450),0)</f>
        <v>0.84010802089319236</v>
      </c>
      <c r="S461" s="49">
        <f>IFERROR(IF(Data_Entry!X450/Data_Entry!$H450&lt;0,0,Data_Entry!X450/Data_Entry!$H450),0)</f>
        <v>1.0803723770630353</v>
      </c>
      <c r="T461" s="49">
        <f>IFERROR(IF(Data_Entry!Y450/Data_Entry!$H450&lt;0,0,Data_Entry!Y450/Data_Entry!$H450),0)</f>
        <v>9.4798181345924437E-2</v>
      </c>
      <c r="U461" s="49">
        <f>IFERROR(IF(Data_Entry!Z450/Data_Entry!$H450&lt;0,0,Data_Entry!Z450/Data_Entry!$H450),0)</f>
        <v>0.89404491717621837</v>
      </c>
      <c r="V461" s="49">
        <f>IFERROR(IF(Data_Entry!AA450/Data_Entry!$H450&lt;0,0,Data_Entry!AA450/Data_Entry!$H450),0)</f>
        <v>1.0967168910881948</v>
      </c>
      <c r="W461" s="49">
        <f>IFERROR(IF(Data_Entry!AB450/Data_Entry!$H450&lt;0,0,Data_Entry!AB450/Data_Entry!$H450),0)</f>
        <v>0.10460488976102006</v>
      </c>
      <c r="X461" s="49">
        <f>IFERROR(IF(Data_Entry!AC450/Data_Entry!$I450&lt;0,0,Data_Entry!AC450/Data_Entry!$I450),0)</f>
        <v>0.32086324095641011</v>
      </c>
      <c r="Y461" s="49">
        <f>IFERROR(IF(Data_Entry!AD450/Data_Entry!$I450&lt;0,0,Data_Entry!AD450/Data_Entry!$I450),0)</f>
        <v>0.28378571089033605</v>
      </c>
      <c r="Z461" s="49">
        <f>IFERROR(IF(Data_Entry!AE450/Data_Entry!$I450&lt;0,0,Data_Entry!AE450/Data_Entry!$I450),0)</f>
        <v>0.25383847506773777</v>
      </c>
      <c r="AA461" s="49">
        <f>IFERROR(IF(Data_Entry!AF450/Data_Entry!$I450&lt;0,0,Data_Entry!AF450/Data_Entry!$I450),0)</f>
        <v>0.14688406141560109</v>
      </c>
      <c r="AB461" s="49">
        <f>IFERROR(IF(Data_Entry!AG450/Data_Entry!$I450&lt;0,0,Data_Entry!AG450/Data_Entry!$I450),0)</f>
        <v>0.17825735608689453</v>
      </c>
      <c r="AC461" s="49">
        <f>IFERROR(IF(Data_Entry!AI450/Data_Entry!$I450&lt;0,0,Data_Entry!AI450/Data_Entry!$I450),0)</f>
        <v>7.7292389599277464E-2</v>
      </c>
      <c r="AD461" s="49">
        <f>IFERROR(IF(Data_Entry!AM450/Data_Entry!$H450&lt;0,0,Data_Entry!AM450/Data_Entry!$H450),0)</f>
        <v>0.89404491717621837</v>
      </c>
      <c r="AE461" s="50">
        <f>Data_Entry!AK450</f>
        <v>0</v>
      </c>
      <c r="AF461" s="50">
        <f>Data_Entry!AL450</f>
        <v>69</v>
      </c>
      <c r="AG461" s="153">
        <f>(Data_Entry!O450-Data_Entry!Q450)/Data_Entry!O450</f>
        <v>0.13972602739726028</v>
      </c>
      <c r="AH461" s="79" t="str">
        <f t="shared" si="12"/>
        <v>CAT2</v>
      </c>
      <c r="AI461" s="51">
        <f>SUBTOTAL(3,Tableau1[[#This Row],[ZS]])</f>
        <v>0</v>
      </c>
      <c r="AJ461" s="51" t="e">
        <f t="shared" ca="1" si="13"/>
        <v>#NAME?</v>
      </c>
      <c r="AK461" s="50" t="str">
        <f>IFERROR(IF((Data_Entry!O450-Data_Entry!Q450)/Data_Entry!O450&lt;=10%,"&lt;=10%","&gt;10%"),"&lt;=10%")</f>
        <v>&gt;10%</v>
      </c>
    </row>
    <row r="462" spans="1:37" s="48" customFormat="1" ht="13" hidden="1" x14ac:dyDescent="0.3">
      <c r="A462" s="31" t="s">
        <v>16</v>
      </c>
      <c r="B462" s="48" t="str">
        <f>Data_Entry!B451</f>
        <v>Goma</v>
      </c>
      <c r="C462" s="48" t="str">
        <f>Data_Entry!C451</f>
        <v xml:space="preserve"> Masisi</v>
      </c>
      <c r="D462" s="48" t="str">
        <f>Data_Entry!D451</f>
        <v xml:space="preserve"> Buguri</v>
      </c>
      <c r="E462" s="49">
        <f>IFERROR(IF(Data_Entry!J451/Data_Entry!$I451&lt;0,0,Data_Entry!J451/Data_Entry!$I451),0)</f>
        <v>1.8642117376294594</v>
      </c>
      <c r="F462" s="49">
        <f>IFERROR(IF(Data_Entry!K451/Data_Entry!$H451&lt;0,0,Data_Entry!K451/Data_Entry!$H451),0)</f>
        <v>1.6255551782010742</v>
      </c>
      <c r="G462" s="49">
        <f>IFERROR(IF(Data_Entry!L451/Data_Entry!$H451&lt;0,0,Data_Entry!L451/Data_Entry!$H451),0)</f>
        <v>2.1564159970456442</v>
      </c>
      <c r="H462" s="49">
        <f>IFERROR(IF(Data_Entry!M451/Data_Entry!$H451&lt;0,0,Data_Entry!M451/Data_Entry!$H451),0)</f>
        <v>2.1234432753782797</v>
      </c>
      <c r="I462" s="49">
        <f>IFERROR(IF(Data_Entry!N451/Data_Entry!$H451&lt;0,0,Data_Entry!N451/Data_Entry!$H451),0)</f>
        <v>2.0607951042102868</v>
      </c>
      <c r="J462" s="49">
        <f>IFERROR(IF(Data_Entry!O451/Data_Entry!$H451&lt;0,0,Data_Entry!O451/Data_Entry!$H451),0)</f>
        <v>2.1959832630464815</v>
      </c>
      <c r="K462" s="49">
        <f>IFERROR(IF(Data_Entry!P451/Data_Entry!$H451&lt;0,0,Data_Entry!P451/Data_Entry!$H451),0)</f>
        <v>1.876147862873045</v>
      </c>
      <c r="L462" s="49">
        <f>IFERROR(IF(Data_Entry!Q451/Data_Entry!$H451&lt;0,0,Data_Entry!Q451/Data_Entry!$H451),0)</f>
        <v>1.7772296978709514</v>
      </c>
      <c r="M462" s="49">
        <f>IFERROR(IF(Data_Entry!R451/Data_Entry!$H451&lt;0,0,Data_Entry!R451/Data_Entry!$H451),0)</f>
        <v>1.6684197163686483</v>
      </c>
      <c r="N462" s="49">
        <f>IFERROR(IF(Data_Entry!S451/Data_Entry!$H451&lt;0,0,Data_Entry!S451/Data_Entry!$H451),0)</f>
        <v>1.4409079368638325</v>
      </c>
      <c r="O462" s="49">
        <f>IFERROR(IF(Data_Entry!T451/Data_Entry!$H451&lt;0,0,Data_Entry!T451/Data_Entry!$H451),0)</f>
        <v>1.3683679491956304</v>
      </c>
      <c r="P462" s="49">
        <f>IFERROR(IF(Data_Entry!U451/Data_Entry!$H451&lt;0,0,Data_Entry!U451/Data_Entry!$H451),0)</f>
        <v>1.0617216376891399</v>
      </c>
      <c r="Q462" s="49">
        <f>IFERROR(IF(Data_Entry!V451/Data_Entry!$H451&lt;0,0,Data_Entry!V451/Data_Entry!$H451),0)</f>
        <v>1.3452870440284752</v>
      </c>
      <c r="R462" s="49">
        <f>IFERROR(IF(Data_Entry!W451/Data_Entry!$H451&lt;0,0,Data_Entry!W451/Data_Entry!$H451),0)</f>
        <v>1.4540970255307784</v>
      </c>
      <c r="S462" s="49">
        <f>IFERROR(IF(Data_Entry!X451/Data_Entry!$H451&lt;0,0,Data_Entry!X451/Data_Entry!$H451),0)</f>
        <v>1.3551788605286845</v>
      </c>
      <c r="T462" s="49">
        <f>IFERROR(IF(Data_Entry!Y451/Data_Entry!$H451&lt;0,0,Data_Entry!Y451/Data_Entry!$H451),0)</f>
        <v>0.59680626217929911</v>
      </c>
      <c r="U462" s="49">
        <f>IFERROR(IF(Data_Entry!Z451/Data_Entry!$H451&lt;0,0,Data_Entry!Z451/Data_Entry!$H451),0)</f>
        <v>1.5101506523652981</v>
      </c>
      <c r="V462" s="49">
        <f>IFERROR(IF(Data_Entry!AA451/Data_Entry!$H451&lt;0,0,Data_Entry!AA451/Data_Entry!$H451),0)</f>
        <v>2.4630623085521348</v>
      </c>
      <c r="W462" s="49">
        <f>IFERROR(IF(Data_Entry!AB451/Data_Entry!$H451&lt;0,0,Data_Entry!AB451/Data_Entry!$H451),0)</f>
        <v>0.55723899617846151</v>
      </c>
      <c r="X462" s="49">
        <f>IFERROR(IF(Data_Entry!AC451/Data_Entry!$I451&lt;0,0,Data_Entry!AC451/Data_Entry!$I451),0)</f>
        <v>0.45166858457997705</v>
      </c>
      <c r="Y462" s="49">
        <f>IFERROR(IF(Data_Entry!AD451/Data_Entry!$I451&lt;0,0,Data_Entry!AD451/Data_Entry!$I451),0)</f>
        <v>0.79689298043728429</v>
      </c>
      <c r="Z462" s="49">
        <f>IFERROR(IF(Data_Entry!AE451/Data_Entry!$I451&lt;0,0,Data_Entry!AE451/Data_Entry!$I451),0)</f>
        <v>0.66168009205983891</v>
      </c>
      <c r="AA462" s="49">
        <f>IFERROR(IF(Data_Entry!AF451/Data_Entry!$I451&lt;0,0,Data_Entry!AF451/Data_Entry!$I451),0)</f>
        <v>0.42865362485615655</v>
      </c>
      <c r="AB462" s="49">
        <f>IFERROR(IF(Data_Entry!AG451/Data_Entry!$I451&lt;0,0,Data_Entry!AG451/Data_Entry!$I451),0)</f>
        <v>0.2186421173762946</v>
      </c>
      <c r="AC462" s="49">
        <f>IFERROR(IF(Data_Entry!AI451/Data_Entry!$I451&lt;0,0,Data_Entry!AI451/Data_Entry!$I451),0)</f>
        <v>0.16772151898734178</v>
      </c>
      <c r="AD462" s="49">
        <f>IFERROR(IF(Data_Entry!AM451/Data_Entry!$H451&lt;0,0,Data_Entry!AM451/Data_Entry!$H451),0)</f>
        <v>1.3551788605286845</v>
      </c>
      <c r="AE462" s="50">
        <f>Data_Entry!AK451</f>
        <v>0</v>
      </c>
      <c r="AF462" s="50">
        <f>Data_Entry!AL451</f>
        <v>255</v>
      </c>
      <c r="AG462" s="153">
        <f>(Data_Entry!O451-Data_Entry!Q451)/Data_Entry!O451</f>
        <v>0.1906906906906907</v>
      </c>
      <c r="AH462" s="79" t="str">
        <f t="shared" si="12"/>
        <v>CAT2</v>
      </c>
      <c r="AI462" s="51">
        <f>SUBTOTAL(3,Tableau1[[#This Row],[ZS]])</f>
        <v>0</v>
      </c>
      <c r="AJ462" s="51" t="e">
        <f t="shared" ca="1" si="13"/>
        <v>#NAME?</v>
      </c>
      <c r="AK462" s="50" t="str">
        <f>IFERROR(IF((Data_Entry!O451-Data_Entry!Q451)/Data_Entry!O451&lt;=10%,"&lt;=10%","&gt;10%"),"&lt;=10%")</f>
        <v>&gt;10%</v>
      </c>
    </row>
    <row r="463" spans="1:37" s="48" customFormat="1" ht="13" hidden="1" x14ac:dyDescent="0.3">
      <c r="A463" s="31" t="s">
        <v>16</v>
      </c>
      <c r="B463" s="48" t="str">
        <f>Data_Entry!B452</f>
        <v>Goma</v>
      </c>
      <c r="C463" s="48" t="str">
        <f>Data_Entry!C452</f>
        <v xml:space="preserve"> Masisi</v>
      </c>
      <c r="D463" s="48" t="str">
        <f>Data_Entry!D452</f>
        <v xml:space="preserve"> Bukombo</v>
      </c>
      <c r="E463" s="49">
        <f>IFERROR(IF(Data_Entry!J452/Data_Entry!$I452&lt;0,0,Data_Entry!J452/Data_Entry!$I452),0)</f>
        <v>0.7113175262771938</v>
      </c>
      <c r="F463" s="49">
        <f>IFERROR(IF(Data_Entry!K452/Data_Entry!$H452&lt;0,0,Data_Entry!K452/Data_Entry!$H452),0)</f>
        <v>1.5380747030836437</v>
      </c>
      <c r="G463" s="49">
        <f>IFERROR(IF(Data_Entry!L452/Data_Entry!$H452&lt;0,0,Data_Entry!L452/Data_Entry!$H452),0)</f>
        <v>1.9246945738041223</v>
      </c>
      <c r="H463" s="49">
        <f>IFERROR(IF(Data_Entry!M452/Data_Entry!$H452&lt;0,0,Data_Entry!M452/Data_Entry!$H452),0)</f>
        <v>1.844008687740718</v>
      </c>
      <c r="I463" s="49">
        <f>IFERROR(IF(Data_Entry!N452/Data_Entry!$H452&lt;0,0,Data_Entry!N452/Data_Entry!$H452),0)</f>
        <v>1.8473705996600267</v>
      </c>
      <c r="J463" s="49">
        <f>IFERROR(IF(Data_Entry!O452/Data_Entry!$H452&lt;0,0,Data_Entry!O452/Data_Entry!$H452),0)</f>
        <v>1.9246945738041223</v>
      </c>
      <c r="K463" s="49">
        <f>IFERROR(IF(Data_Entry!P452/Data_Entry!$H452&lt;0,0,Data_Entry!P452/Data_Entry!$H452),0)</f>
        <v>1.8524134675389894</v>
      </c>
      <c r="L463" s="49">
        <f>IFERROR(IF(Data_Entry!Q452/Data_Entry!$H452&lt;0,0,Data_Entry!Q452/Data_Entry!$H452),0)</f>
        <v>1.8608182473372608</v>
      </c>
      <c r="M463" s="49">
        <f>IFERROR(IF(Data_Entry!R452/Data_Entry!$H452&lt;0,0,Data_Entry!R452/Data_Entry!$H452),0)</f>
        <v>1.8574563354179521</v>
      </c>
      <c r="N463" s="49">
        <f>IFERROR(IF(Data_Entry!S452/Data_Entry!$H452&lt;0,0,Data_Entry!S452/Data_Entry!$H452),0)</f>
        <v>1.776770449354548</v>
      </c>
      <c r="O463" s="49">
        <f>IFERROR(IF(Data_Entry!T452/Data_Entry!$H452&lt;0,0,Data_Entry!T452/Data_Entry!$H452),0)</f>
        <v>1.810389568547633</v>
      </c>
      <c r="P463" s="49">
        <f>IFERROR(IF(Data_Entry!U452/Data_Entry!$H452&lt;0,0,Data_Entry!U452/Data_Entry!$H452),0)</f>
        <v>1.6859988275332181</v>
      </c>
      <c r="Q463" s="49">
        <f>IFERROR(IF(Data_Entry!V452/Data_Entry!$H452&lt;0,0,Data_Entry!V452/Data_Entry!$H452),0)</f>
        <v>1.6506987523804788</v>
      </c>
      <c r="R463" s="49">
        <f>IFERROR(IF(Data_Entry!W452/Data_Entry!$H452&lt;0,0,Data_Entry!W452/Data_Entry!$H452),0)</f>
        <v>1.6322082368242818</v>
      </c>
      <c r="S463" s="49">
        <f>IFERROR(IF(Data_Entry!X452/Data_Entry!$H452&lt;0,0,Data_Entry!X452/Data_Entry!$H452),0)</f>
        <v>1.4876460242940159</v>
      </c>
      <c r="T463" s="49">
        <f>IFERROR(IF(Data_Entry!Y452/Data_Entry!$H452&lt;0,0,Data_Entry!Y452/Data_Entry!$H452),0)</f>
        <v>0.31770067637465427</v>
      </c>
      <c r="U463" s="49">
        <f>IFERROR(IF(Data_Entry!Z452/Data_Entry!$H452&lt;0,0,Data_Entry!Z452/Data_Entry!$H452),0)</f>
        <v>1.4019172703516489</v>
      </c>
      <c r="V463" s="49">
        <f>IFERROR(IF(Data_Entry!AA452/Data_Entry!$H452&lt;0,0,Data_Entry!AA452/Data_Entry!$H452),0)</f>
        <v>1.3464457236830585</v>
      </c>
      <c r="W463" s="49">
        <f>IFERROR(IF(Data_Entry!AB452/Data_Entry!$H452&lt;0,0,Data_Entry!AB452/Data_Entry!$H452),0)</f>
        <v>0.53118208325074467</v>
      </c>
      <c r="X463" s="49">
        <f>IFERROR(IF(Data_Entry!AC452/Data_Entry!$I452&lt;0,0,Data_Entry!AC452/Data_Entry!$I452),0)</f>
        <v>0.5177218284038132</v>
      </c>
      <c r="Y463" s="49">
        <f>IFERROR(IF(Data_Entry!AD452/Data_Entry!$I452&lt;0,0,Data_Entry!AD452/Data_Entry!$I452),0)</f>
        <v>0.7406502077731606</v>
      </c>
      <c r="Z463" s="49">
        <f>IFERROR(IF(Data_Entry!AE452/Data_Entry!$I452&lt;0,0,Data_Entry!AE452/Data_Entry!$I452),0)</f>
        <v>0.42385724761671961</v>
      </c>
      <c r="AA463" s="49">
        <f>IFERROR(IF(Data_Entry!AF452/Data_Entry!$I452&lt;0,0,Data_Entry!AF452/Data_Entry!$I452),0)</f>
        <v>0.41652407724272794</v>
      </c>
      <c r="AB463" s="49">
        <f>IFERROR(IF(Data_Entry!AG452/Data_Entry!$I452&lt;0,0,Data_Entry!AG452/Data_Entry!$I452),0)</f>
        <v>0.39599120019555117</v>
      </c>
      <c r="AC463" s="49">
        <f>IFERROR(IF(Data_Entry!AI452/Data_Entry!$I452&lt;0,0,Data_Entry!AI452/Data_Entry!$I452),0)</f>
        <v>8.5504766560743087E-2</v>
      </c>
      <c r="AD463" s="49">
        <f>IFERROR(IF(Data_Entry!AM452/Data_Entry!$H452&lt;0,0,Data_Entry!AM452/Data_Entry!$H452),0)</f>
        <v>1.4019172703516489</v>
      </c>
      <c r="AE463" s="50">
        <f>Data_Entry!AK452</f>
        <v>0</v>
      </c>
      <c r="AF463" s="50">
        <f>Data_Entry!AL452</f>
        <v>260</v>
      </c>
      <c r="AG463" s="153">
        <f>(Data_Entry!O452-Data_Entry!Q452)/Data_Entry!O452</f>
        <v>3.3187772925764192E-2</v>
      </c>
      <c r="AH463" s="79" t="str">
        <f t="shared" si="12"/>
        <v>CAT1</v>
      </c>
      <c r="AI463" s="51">
        <f>SUBTOTAL(3,Tableau1[[#This Row],[ZS]])</f>
        <v>0</v>
      </c>
      <c r="AJ463" s="51" t="e">
        <f t="shared" ca="1" si="13"/>
        <v>#NAME?</v>
      </c>
      <c r="AK463" s="50" t="str">
        <f>IFERROR(IF((Data_Entry!O452-Data_Entry!Q452)/Data_Entry!O452&lt;=10%,"&lt;=10%","&gt;10%"),"&lt;=10%")</f>
        <v>&lt;=10%</v>
      </c>
    </row>
    <row r="464" spans="1:37" s="48" customFormat="1" ht="13" hidden="1" x14ac:dyDescent="0.3">
      <c r="A464" s="31" t="s">
        <v>16</v>
      </c>
      <c r="B464" s="48" t="str">
        <f>Data_Entry!B453</f>
        <v>Goma</v>
      </c>
      <c r="C464" s="48" t="str">
        <f>Data_Entry!C453</f>
        <v xml:space="preserve"> Masisi</v>
      </c>
      <c r="D464" s="48" t="str">
        <f>Data_Entry!D453</f>
        <v xml:space="preserve"> Kaandja</v>
      </c>
      <c r="E464" s="49">
        <f>IFERROR(IF(Data_Entry!J453/Data_Entry!$I453&lt;0,0,Data_Entry!J453/Data_Entry!$I453),0)</f>
        <v>0</v>
      </c>
      <c r="F464" s="49">
        <f>IFERROR(IF(Data_Entry!K453/Data_Entry!$H453&lt;0,0,Data_Entry!K453/Data_Entry!$H453),0)</f>
        <v>0</v>
      </c>
      <c r="G464" s="49">
        <f>IFERROR(IF(Data_Entry!L453/Data_Entry!$H453&lt;0,0,Data_Entry!L453/Data_Entry!$H453),0)</f>
        <v>0</v>
      </c>
      <c r="H464" s="49">
        <f>IFERROR(IF(Data_Entry!M453/Data_Entry!$H453&lt;0,0,Data_Entry!M453/Data_Entry!$H453),0)</f>
        <v>0</v>
      </c>
      <c r="I464" s="49">
        <f>IFERROR(IF(Data_Entry!N453/Data_Entry!$H453&lt;0,0,Data_Entry!N453/Data_Entry!$H453),0)</f>
        <v>0</v>
      </c>
      <c r="J464" s="49">
        <f>IFERROR(IF(Data_Entry!O453/Data_Entry!$H453&lt;0,0,Data_Entry!O453/Data_Entry!$H453),0)</f>
        <v>0</v>
      </c>
      <c r="K464" s="49">
        <f>IFERROR(IF(Data_Entry!P453/Data_Entry!$H453&lt;0,0,Data_Entry!P453/Data_Entry!$H453),0)</f>
        <v>0</v>
      </c>
      <c r="L464" s="49">
        <f>IFERROR(IF(Data_Entry!Q453/Data_Entry!$H453&lt;0,0,Data_Entry!Q453/Data_Entry!$H453),0)</f>
        <v>0</v>
      </c>
      <c r="M464" s="49">
        <f>IFERROR(IF(Data_Entry!R453/Data_Entry!$H453&lt;0,0,Data_Entry!R453/Data_Entry!$H453),0)</f>
        <v>0</v>
      </c>
      <c r="N464" s="49">
        <f>IFERROR(IF(Data_Entry!S453/Data_Entry!$H453&lt;0,0,Data_Entry!S453/Data_Entry!$H453),0)</f>
        <v>0</v>
      </c>
      <c r="O464" s="49">
        <f>IFERROR(IF(Data_Entry!T453/Data_Entry!$H453&lt;0,0,Data_Entry!T453/Data_Entry!$H453),0)</f>
        <v>0</v>
      </c>
      <c r="P464" s="49">
        <f>IFERROR(IF(Data_Entry!U453/Data_Entry!$H453&lt;0,0,Data_Entry!U453/Data_Entry!$H453),0)</f>
        <v>0</v>
      </c>
      <c r="Q464" s="49">
        <f>IFERROR(IF(Data_Entry!V453/Data_Entry!$H453&lt;0,0,Data_Entry!V453/Data_Entry!$H453),0)</f>
        <v>0</v>
      </c>
      <c r="R464" s="49">
        <f>IFERROR(IF(Data_Entry!W453/Data_Entry!$H453&lt;0,0,Data_Entry!W453/Data_Entry!$H453),0)</f>
        <v>0</v>
      </c>
      <c r="S464" s="49">
        <f>IFERROR(IF(Data_Entry!X453/Data_Entry!$H453&lt;0,0,Data_Entry!X453/Data_Entry!$H453),0)</f>
        <v>0</v>
      </c>
      <c r="T464" s="49">
        <f>IFERROR(IF(Data_Entry!Y453/Data_Entry!$H453&lt;0,0,Data_Entry!Y453/Data_Entry!$H453),0)</f>
        <v>0</v>
      </c>
      <c r="U464" s="49">
        <f>IFERROR(IF(Data_Entry!Z453/Data_Entry!$H453&lt;0,0,Data_Entry!Z453/Data_Entry!$H453),0)</f>
        <v>0</v>
      </c>
      <c r="V464" s="49">
        <f>IFERROR(IF(Data_Entry!AA453/Data_Entry!$H453&lt;0,0,Data_Entry!AA453/Data_Entry!$H453),0)</f>
        <v>0</v>
      </c>
      <c r="W464" s="49">
        <f>IFERROR(IF(Data_Entry!AB453/Data_Entry!$H453&lt;0,0,Data_Entry!AB453/Data_Entry!$H453),0)</f>
        <v>0</v>
      </c>
      <c r="X464" s="49">
        <f>IFERROR(IF(Data_Entry!AC453/Data_Entry!$I453&lt;0,0,Data_Entry!AC453/Data_Entry!$I453),0)</f>
        <v>0</v>
      </c>
      <c r="Y464" s="49">
        <f>IFERROR(IF(Data_Entry!AD453/Data_Entry!$I453&lt;0,0,Data_Entry!AD453/Data_Entry!$I453),0)</f>
        <v>0</v>
      </c>
      <c r="Z464" s="49">
        <f>IFERROR(IF(Data_Entry!AE453/Data_Entry!$I453&lt;0,0,Data_Entry!AE453/Data_Entry!$I453),0)</f>
        <v>0</v>
      </c>
      <c r="AA464" s="49">
        <f>IFERROR(IF(Data_Entry!AF453/Data_Entry!$I453&lt;0,0,Data_Entry!AF453/Data_Entry!$I453),0)</f>
        <v>0</v>
      </c>
      <c r="AB464" s="49">
        <f>IFERROR(IF(Data_Entry!AG453/Data_Entry!$I453&lt;0,0,Data_Entry!AG453/Data_Entry!$I453),0)</f>
        <v>0</v>
      </c>
      <c r="AC464" s="49">
        <f>IFERROR(IF(Data_Entry!AI453/Data_Entry!$I453&lt;0,0,Data_Entry!AI453/Data_Entry!$I453),0)</f>
        <v>0</v>
      </c>
      <c r="AD464" s="49">
        <f>IFERROR(IF(Data_Entry!AM453/Data_Entry!$H453&lt;0,0,Data_Entry!AM453/Data_Entry!$H453),0)</f>
        <v>0</v>
      </c>
      <c r="AE464" s="50">
        <f>Data_Entry!AK453</f>
        <v>0</v>
      </c>
      <c r="AF464" s="50">
        <f>Data_Entry!AL453</f>
        <v>26</v>
      </c>
      <c r="AG464" s="153">
        <f>(Data_Entry!O453-Data_Entry!Q453)/Data_Entry!O453</f>
        <v>0</v>
      </c>
      <c r="AH464" s="79" t="str">
        <f t="shared" ref="AH464:AH527" si="14">IFERROR(IF(AND(AG464&lt;=10%,J464&gt;=90%),"CAT1",IF(AND(AG464&lt;=10%,J464&lt;90%),"CAT3",IF(AND(AG464&gt;10%,J464&gt;=90%),"CAT2",IF(AND(AG464&gt;10%,J464&lt;90%),"CAT4",)))),"ND")</f>
        <v>CAT3</v>
      </c>
      <c r="AI464" s="51">
        <f>SUBTOTAL(3,Tableau1[[#This Row],[ZS]])</f>
        <v>0</v>
      </c>
      <c r="AJ464" s="51" t="e">
        <f t="shared" ref="AJ464:AJ527" ca="1" si="15">_xlfn.IFS(L464&lt;50%,"&lt;50%",(AND(L464&lt;80%,L464&gt;50%)),"&gt;50%&lt;80%",(AND(L464&gt;=80%,L464&lt;95%)),"&gt;=80%&lt;95%",(AND(L464&gt;=95%,L464&lt;100%)),"95-100%",L464&gt;100%,"&gt;100%")</f>
        <v>#NAME?</v>
      </c>
      <c r="AK464" s="50" t="str">
        <f>IFERROR(IF((Data_Entry!O453-Data_Entry!Q453)/Data_Entry!O453&lt;=10%,"&lt;=10%","&gt;10%"),"&lt;=10%")</f>
        <v>&lt;=10%</v>
      </c>
    </row>
    <row r="465" spans="1:37" s="48" customFormat="1" ht="13" hidden="1" x14ac:dyDescent="0.3">
      <c r="A465" s="31" t="s">
        <v>16</v>
      </c>
      <c r="B465" s="48" t="str">
        <f>Data_Entry!B454</f>
        <v>Goma</v>
      </c>
      <c r="C465" s="48" t="str">
        <f>Data_Entry!C454</f>
        <v xml:space="preserve"> Masisi</v>
      </c>
      <c r="D465" s="48" t="str">
        <f>Data_Entry!D454</f>
        <v xml:space="preserve"> Kahanga</v>
      </c>
      <c r="E465" s="49">
        <f>IFERROR(IF(Data_Entry!J454/Data_Entry!$I454&lt;0,0,Data_Entry!J454/Data_Entry!$I454),0)</f>
        <v>0.51609691337537333</v>
      </c>
      <c r="F465" s="49">
        <f>IFERROR(IF(Data_Entry!K454/Data_Entry!$H454&lt;0,0,Data_Entry!K454/Data_Entry!$H454),0)</f>
        <v>0.88061570824421775</v>
      </c>
      <c r="G465" s="49">
        <f>IFERROR(IF(Data_Entry!L454/Data_Entry!$H454&lt;0,0,Data_Entry!L454/Data_Entry!$H454),0)</f>
        <v>0.95669481910764909</v>
      </c>
      <c r="H465" s="49">
        <f>IFERROR(IF(Data_Entry!M454/Data_Entry!$H454&lt;0,0,Data_Entry!M454/Data_Entry!$H454),0)</f>
        <v>0.8787137304726319</v>
      </c>
      <c r="I465" s="49">
        <f>IFERROR(IF(Data_Entry!N454/Data_Entry!$H454&lt;0,0,Data_Entry!N454/Data_Entry!$H454),0)</f>
        <v>0.84828208612725942</v>
      </c>
      <c r="J465" s="49">
        <f>IFERROR(IF(Data_Entry!O454/Data_Entry!$H454&lt;0,0,Data_Entry!O454/Data_Entry!$H454),0)</f>
        <v>0.73606539760369816</v>
      </c>
      <c r="K465" s="49">
        <f>IFERROR(IF(Data_Entry!P454/Data_Entry!$H454&lt;0,0,Data_Entry!P454/Data_Entry!$H454),0)</f>
        <v>0.711339686573083</v>
      </c>
      <c r="L465" s="49">
        <f>IFERROR(IF(Data_Entry!Q454/Data_Entry!$H454&lt;0,0,Data_Entry!Q454/Data_Entry!$H454),0)</f>
        <v>0.66569222005502415</v>
      </c>
      <c r="M465" s="49">
        <f>IFERROR(IF(Data_Entry!R454/Data_Entry!$H454&lt;0,0,Data_Entry!R454/Data_Entry!$H454),0)</f>
        <v>0.64857442011075217</v>
      </c>
      <c r="N465" s="49">
        <f>IFERROR(IF(Data_Entry!S454/Data_Entry!$H454&lt;0,0,Data_Entry!S454/Data_Entry!$H454),0)</f>
        <v>0.78932077520810007</v>
      </c>
      <c r="O465" s="49">
        <f>IFERROR(IF(Data_Entry!T454/Data_Entry!$H454&lt;0,0,Data_Entry!T454/Data_Entry!$H454),0)</f>
        <v>0.75888913086272758</v>
      </c>
      <c r="P465" s="49">
        <f>IFERROR(IF(Data_Entry!U454/Data_Entry!$H454&lt;0,0,Data_Entry!U454/Data_Entry!$H454),0)</f>
        <v>0.69612386440039675</v>
      </c>
      <c r="Q465" s="49">
        <f>IFERROR(IF(Data_Entry!V454/Data_Entry!$H454&lt;0,0,Data_Entry!V454/Data_Entry!$H454),0)</f>
        <v>0.63145662016648008</v>
      </c>
      <c r="R465" s="49">
        <f>IFERROR(IF(Data_Entry!W454/Data_Entry!$H454&lt;0,0,Data_Entry!W454/Data_Entry!$H454),0)</f>
        <v>0.61433882022220809</v>
      </c>
      <c r="S465" s="49">
        <f>IFERROR(IF(Data_Entry!X454/Data_Entry!$H454&lt;0,0,Data_Entry!X454/Data_Entry!$H454),0)</f>
        <v>0.85018406389884515</v>
      </c>
      <c r="T465" s="49">
        <f>IFERROR(IF(Data_Entry!Y454/Data_Entry!$H454&lt;0,0,Data_Entry!Y454/Data_Entry!$H454),0)</f>
        <v>7.6079110863431332E-2</v>
      </c>
      <c r="U465" s="49">
        <f>IFERROR(IF(Data_Entry!Z454/Data_Entry!$H454&lt;0,0,Data_Entry!Z454/Data_Entry!$H454),0)</f>
        <v>0.75698715309114184</v>
      </c>
      <c r="V465" s="49">
        <f>IFERROR(IF(Data_Entry!AA454/Data_Entry!$H454&lt;0,0,Data_Entry!AA454/Data_Entry!$H454),0)</f>
        <v>0.68851595331405357</v>
      </c>
      <c r="W465" s="49">
        <f>IFERROR(IF(Data_Entry!AB454/Data_Entry!$H454&lt;0,0,Data_Entry!AB454/Data_Entry!$H454),0)</f>
        <v>0.60863288690745065</v>
      </c>
      <c r="X465" s="49">
        <f>IFERROR(IF(Data_Entry!AC454/Data_Entry!$I454&lt;0,0,Data_Entry!AC454/Data_Entry!$I454),0)</f>
        <v>0.23398606040491204</v>
      </c>
      <c r="Y465" s="49">
        <f>IFERROR(IF(Data_Entry!AD454/Data_Entry!$I454&lt;0,0,Data_Entry!AD454/Data_Entry!$I454),0)</f>
        <v>0.27713242615333555</v>
      </c>
      <c r="Z465" s="49">
        <f>IFERROR(IF(Data_Entry!AE454/Data_Entry!$I454&lt;0,0,Data_Entry!AE454/Data_Entry!$I454),0)</f>
        <v>0.18088284102223698</v>
      </c>
      <c r="AA465" s="49">
        <f>IFERROR(IF(Data_Entry!AF454/Data_Entry!$I454&lt;0,0,Data_Entry!AF454/Data_Entry!$I454),0)</f>
        <v>0.17756388981081977</v>
      </c>
      <c r="AB465" s="49">
        <f>IFERROR(IF(Data_Entry!AG454/Data_Entry!$I454&lt;0,0,Data_Entry!AG454/Data_Entry!$I454),0)</f>
        <v>0.20245602389644871</v>
      </c>
      <c r="AC465" s="49">
        <f>IFERROR(IF(Data_Entry!AI454/Data_Entry!$I454&lt;0,0,Data_Entry!AI454/Data_Entry!$I454),0)</f>
        <v>9.6747427812811149E-2</v>
      </c>
      <c r="AD465" s="49">
        <f>IFERROR(IF(Data_Entry!AM454/Data_Entry!$H454&lt;0,0,Data_Entry!AM454/Data_Entry!$H454),0)</f>
        <v>0.75698715309114184</v>
      </c>
      <c r="AE465" s="50">
        <f>Data_Entry!AK454</f>
        <v>138.76850000000002</v>
      </c>
      <c r="AF465" s="50">
        <f>Data_Entry!AL454</f>
        <v>0</v>
      </c>
      <c r="AG465" s="153">
        <f>(Data_Entry!O454-Data_Entry!Q454)/Data_Entry!O454</f>
        <v>9.5607235142118857E-2</v>
      </c>
      <c r="AH465" s="79" t="str">
        <f t="shared" si="14"/>
        <v>CAT3</v>
      </c>
      <c r="AI465" s="51">
        <f>SUBTOTAL(3,Tableau1[[#This Row],[ZS]])</f>
        <v>0</v>
      </c>
      <c r="AJ465" s="51" t="e">
        <f t="shared" ca="1" si="15"/>
        <v>#NAME?</v>
      </c>
      <c r="AK465" s="50" t="str">
        <f>IFERROR(IF((Data_Entry!O454-Data_Entry!Q454)/Data_Entry!O454&lt;=10%,"&lt;=10%","&gt;10%"),"&lt;=10%")</f>
        <v>&lt;=10%</v>
      </c>
    </row>
    <row r="466" spans="1:37" s="48" customFormat="1" ht="13" hidden="1" x14ac:dyDescent="0.3">
      <c r="A466" s="31" t="s">
        <v>16</v>
      </c>
      <c r="B466" s="48" t="str">
        <f>Data_Entry!B455</f>
        <v>Goma</v>
      </c>
      <c r="C466" s="48" t="str">
        <f>Data_Entry!C455</f>
        <v xml:space="preserve"> Masisi</v>
      </c>
      <c r="D466" s="48" t="str">
        <f>Data_Entry!D455</f>
        <v xml:space="preserve"> Kalonge</v>
      </c>
      <c r="E466" s="49">
        <f>IFERROR(IF(Data_Entry!J455/Data_Entry!$I455&lt;0,0,Data_Entry!J455/Data_Entry!$I455),0)</f>
        <v>0.52729199788023318</v>
      </c>
      <c r="F466" s="49">
        <f>IFERROR(IF(Data_Entry!K455/Data_Entry!$H455&lt;0,0,Data_Entry!K455/Data_Entry!$H455),0)</f>
        <v>0.27939620051536446</v>
      </c>
      <c r="G466" s="49">
        <f>IFERROR(IF(Data_Entry!L455/Data_Entry!$H455&lt;0,0,Data_Entry!L455/Data_Entry!$H455),0)</f>
        <v>0.89588999078296216</v>
      </c>
      <c r="H466" s="49">
        <f>IFERROR(IF(Data_Entry!M455/Data_Entry!$H455&lt;0,0,Data_Entry!M455/Data_Entry!$H455),0)</f>
        <v>0.79263487320119708</v>
      </c>
      <c r="I466" s="49">
        <f>IFERROR(IF(Data_Entry!N455/Data_Entry!$H455&lt;0,0,Data_Entry!N455/Data_Entry!$H455),0)</f>
        <v>0.68026900995045259</v>
      </c>
      <c r="J466" s="49">
        <f>IFERROR(IF(Data_Entry!O455/Data_Entry!$H455&lt;0,0,Data_Entry!O455/Data_Entry!$H455),0)</f>
        <v>0.87159466899901739</v>
      </c>
      <c r="K466" s="49">
        <f>IFERROR(IF(Data_Entry!P455/Data_Entry!$H455&lt;0,0,Data_Entry!P455/Data_Entry!$H455),0)</f>
        <v>0.82604094065412104</v>
      </c>
      <c r="L466" s="49">
        <f>IFERROR(IF(Data_Entry!Q455/Data_Entry!$H455&lt;0,0,Data_Entry!Q455/Data_Entry!$H455),0)</f>
        <v>0.70152741651140427</v>
      </c>
      <c r="M466" s="49">
        <f>IFERROR(IF(Data_Entry!R455/Data_Entry!$H455&lt;0,0,Data_Entry!R455/Data_Entry!$H455),0)</f>
        <v>0.89588999078296216</v>
      </c>
      <c r="N466" s="49">
        <f>IFERROR(IF(Data_Entry!S455/Data_Entry!$H455&lt;0,0,Data_Entry!S455/Data_Entry!$H455),0)</f>
        <v>0.79263487320119708</v>
      </c>
      <c r="O466" s="49">
        <f>IFERROR(IF(Data_Entry!T455/Data_Entry!$H455&lt;0,0,Data_Entry!T455/Data_Entry!$H455),0)</f>
        <v>0.68634284039643878</v>
      </c>
      <c r="P466" s="49">
        <f>IFERROR(IF(Data_Entry!U455/Data_Entry!$H455&lt;0,0,Data_Entry!U455/Data_Entry!$H455),0)</f>
        <v>0.83211477110010723</v>
      </c>
      <c r="Q466" s="49">
        <f>IFERROR(IF(Data_Entry!V455/Data_Entry!$H455&lt;0,0,Data_Entry!V455/Data_Entry!$H455),0)</f>
        <v>0.64686294249752863</v>
      </c>
      <c r="R466" s="49">
        <f>IFERROR(IF(Data_Entry!W455/Data_Entry!$H455&lt;0,0,Data_Entry!W455/Data_Entry!$H455),0)</f>
        <v>0.54664474013875652</v>
      </c>
      <c r="S466" s="49">
        <f>IFERROR(IF(Data_Entry!X455/Data_Entry!$H455&lt;0,0,Data_Entry!X455/Data_Entry!$H455),0)</f>
        <v>0.68330592517344568</v>
      </c>
      <c r="T466" s="49">
        <f>IFERROR(IF(Data_Entry!Y455/Data_Entry!$H455&lt;0,0,Data_Entry!Y455/Data_Entry!$H455),0)</f>
        <v>0.34317142019821939</v>
      </c>
      <c r="U466" s="49">
        <f>IFERROR(IF(Data_Entry!Z455/Data_Entry!$H455&lt;0,0,Data_Entry!Z455/Data_Entry!$H455),0)</f>
        <v>0.66812134905848031</v>
      </c>
      <c r="V466" s="49">
        <f>IFERROR(IF(Data_Entry!AA455/Data_Entry!$H455&lt;0,0,Data_Entry!AA455/Data_Entry!$H455),0)</f>
        <v>0.53146016402379115</v>
      </c>
      <c r="W466" s="49">
        <f>IFERROR(IF(Data_Entry!AB455/Data_Entry!$H455&lt;0,0,Data_Entry!AB455/Data_Entry!$H455),0)</f>
        <v>0.47679569000991545</v>
      </c>
      <c r="X466" s="49">
        <f>IFERROR(IF(Data_Entry!AC455/Data_Entry!$I455&lt;0,0,Data_Entry!AC455/Data_Entry!$I455),0)</f>
        <v>0.17223105458399574</v>
      </c>
      <c r="Y466" s="49">
        <f>IFERROR(IF(Data_Entry!AD455/Data_Entry!$I455&lt;0,0,Data_Entry!AD455/Data_Entry!$I455),0)</f>
        <v>0.15103338632750396</v>
      </c>
      <c r="Z466" s="49">
        <f>IFERROR(IF(Data_Entry!AE455/Data_Entry!$I455&lt;0,0,Data_Entry!AE455/Data_Entry!$I455),0)</f>
        <v>0.13248542660307364</v>
      </c>
      <c r="AA466" s="49">
        <f>IFERROR(IF(Data_Entry!AF455/Data_Entry!$I455&lt;0,0,Data_Entry!AF455/Data_Entry!$I455),0)</f>
        <v>0.12718600953895071</v>
      </c>
      <c r="AB466" s="49">
        <f>IFERROR(IF(Data_Entry!AG455/Data_Entry!$I455&lt;0,0,Data_Entry!AG455/Data_Entry!$I455),0)</f>
        <v>3.9745627980922092E-2</v>
      </c>
      <c r="AC466" s="49">
        <f>IFERROR(IF(Data_Entry!AI455/Data_Entry!$I455&lt;0,0,Data_Entry!AI455/Data_Entry!$I455),0)</f>
        <v>0.13248542660307364</v>
      </c>
      <c r="AD466" s="49">
        <f>IFERROR(IF(Data_Entry!AM455/Data_Entry!$H455&lt;0,0,Data_Entry!AM455/Data_Entry!$H455),0)</f>
        <v>0.66812134905848031</v>
      </c>
      <c r="AE466" s="50">
        <f>Data_Entry!AK455</f>
        <v>42.281500000000051</v>
      </c>
      <c r="AF466" s="50">
        <f>Data_Entry!AL455</f>
        <v>62</v>
      </c>
      <c r="AG466" s="153">
        <f>(Data_Entry!O455-Data_Entry!Q455)/Data_Entry!O455</f>
        <v>0.1951219512195122</v>
      </c>
      <c r="AH466" s="79" t="str">
        <f t="shared" si="14"/>
        <v>CAT4</v>
      </c>
      <c r="AI466" s="51">
        <f>SUBTOTAL(3,Tableau1[[#This Row],[ZS]])</f>
        <v>0</v>
      </c>
      <c r="AJ466" s="51" t="e">
        <f t="shared" ca="1" si="15"/>
        <v>#NAME?</v>
      </c>
      <c r="AK466" s="50" t="str">
        <f>IFERROR(IF((Data_Entry!O455-Data_Entry!Q455)/Data_Entry!O455&lt;=10%,"&lt;=10%","&gt;10%"),"&lt;=10%")</f>
        <v>&gt;10%</v>
      </c>
    </row>
    <row r="467" spans="1:37" s="48" customFormat="1" ht="13" hidden="1" x14ac:dyDescent="0.3">
      <c r="A467" s="31" t="s">
        <v>16</v>
      </c>
      <c r="B467" s="48" t="str">
        <f>Data_Entry!B456</f>
        <v>Goma</v>
      </c>
      <c r="C467" s="48" t="str">
        <f>Data_Entry!C456</f>
        <v xml:space="preserve"> Masisi</v>
      </c>
      <c r="D467" s="48" t="str">
        <f>Data_Entry!D456</f>
        <v xml:space="preserve"> Kaniro</v>
      </c>
      <c r="E467" s="49">
        <f>IFERROR(IF(Data_Entry!J456/Data_Entry!$I456&lt;0,0,Data_Entry!J456/Data_Entry!$I456),0)</f>
        <v>1.0489998449371996</v>
      </c>
      <c r="F467" s="49">
        <f>IFERROR(IF(Data_Entry!K456/Data_Entry!$H456&lt;0,0,Data_Entry!K456/Data_Entry!$H456),0)</f>
        <v>0.87306132622680666</v>
      </c>
      <c r="G467" s="49">
        <f>IFERROR(IF(Data_Entry!L456/Data_Entry!$H456&lt;0,0,Data_Entry!L456/Data_Entry!$H456),0)</f>
        <v>1.1489753636755837</v>
      </c>
      <c r="H467" s="49">
        <f>IFERROR(IF(Data_Entry!M456/Data_Entry!$H456&lt;0,0,Data_Entry!M456/Data_Entry!$H456),0)</f>
        <v>1.0396760831403193</v>
      </c>
      <c r="I467" s="49">
        <f>IFERROR(IF(Data_Entry!N456/Data_Entry!$H456&lt;0,0,Data_Entry!N456/Data_Entry!$H456),0)</f>
        <v>1.0143506400894655</v>
      </c>
      <c r="J467" s="49">
        <f>IFERROR(IF(Data_Entry!O456/Data_Entry!$H456&lt;0,0,Data_Entry!O456/Data_Entry!$H456),0)</f>
        <v>1.1116536581269569</v>
      </c>
      <c r="K467" s="49">
        <f>IFERROR(IF(Data_Entry!P456/Data_Entry!$H456&lt;0,0,Data_Entry!P456/Data_Entry!$H456),0)</f>
        <v>1.0889940511867191</v>
      </c>
      <c r="L467" s="49">
        <f>IFERROR(IF(Data_Entry!Q456/Data_Entry!$H456&lt;0,0,Data_Entry!Q456/Data_Entry!$H456),0)</f>
        <v>1.0436748373062437</v>
      </c>
      <c r="M467" s="49">
        <f>IFERROR(IF(Data_Entry!R456/Data_Entry!$H456&lt;0,0,Data_Entry!R456/Data_Entry!$H456),0)</f>
        <v>1.0796636247995626</v>
      </c>
      <c r="N467" s="49">
        <f>IFERROR(IF(Data_Entry!S456/Data_Entry!$H456&lt;0,0,Data_Entry!S456/Data_Entry!$H456),0)</f>
        <v>1.0556710998040166</v>
      </c>
      <c r="O467" s="49">
        <f>IFERROR(IF(Data_Entry!T456/Data_Entry!$H456&lt;0,0,Data_Entry!T456/Data_Entry!$H456),0)</f>
        <v>0.99835562342576822</v>
      </c>
      <c r="P467" s="49">
        <f>IFERROR(IF(Data_Entry!U456/Data_Entry!$H456&lt;0,0,Data_Entry!U456/Data_Entry!$H456),0)</f>
        <v>0.94370598315813614</v>
      </c>
      <c r="Q467" s="49">
        <f>IFERROR(IF(Data_Entry!V456/Data_Entry!$H456&lt;0,0,Data_Entry!V456/Data_Entry!$H456),0)</f>
        <v>0.90638427760950924</v>
      </c>
      <c r="R467" s="49">
        <f>IFERROR(IF(Data_Entry!W456/Data_Entry!$H456&lt;0,0,Data_Entry!W456/Data_Entry!$H456),0)</f>
        <v>0.89172217900112016</v>
      </c>
      <c r="S467" s="49">
        <f>IFERROR(IF(Data_Entry!X456/Data_Entry!$H456&lt;0,0,Data_Entry!X456/Data_Entry!$H456),0)</f>
        <v>1.2556088081002319</v>
      </c>
      <c r="T467" s="49">
        <f>IFERROR(IF(Data_Entry!Y456/Data_Entry!$H456&lt;0,0,Data_Entry!Y456/Data_Entry!$H456),0)</f>
        <v>0.14795390413919932</v>
      </c>
      <c r="U467" s="49">
        <f>IFERROR(IF(Data_Entry!Z456/Data_Entry!$H456&lt;0,0,Data_Entry!Z456/Data_Entry!$H456),0)</f>
        <v>0.9370413928815956</v>
      </c>
      <c r="V467" s="49">
        <f>IFERROR(IF(Data_Entry!AA456/Data_Entry!$H456&lt;0,0,Data_Entry!AA456/Data_Entry!$H456),0)</f>
        <v>1.0703331984124058</v>
      </c>
      <c r="W467" s="49">
        <f>IFERROR(IF(Data_Entry!AB456/Data_Entry!$H456&lt;0,0,Data_Entry!AB456/Data_Entry!$H456),0)</f>
        <v>6.5312984710096986E-2</v>
      </c>
      <c r="X467" s="49">
        <f>IFERROR(IF(Data_Entry!AC456/Data_Entry!$I456&lt;0,0,Data_Entry!AC456/Data_Entry!$I456),0)</f>
        <v>0.56869282059233994</v>
      </c>
      <c r="Y467" s="49">
        <f>IFERROR(IF(Data_Entry!AD456/Data_Entry!$I456&lt;0,0,Data_Entry!AD456/Data_Entry!$I456),0)</f>
        <v>0.3384245619475888</v>
      </c>
      <c r="Z467" s="49">
        <f>IFERROR(IF(Data_Entry!AE456/Data_Entry!$I456&lt;0,0,Data_Entry!AE456/Data_Entry!$I456),0)</f>
        <v>0.21049775158939371</v>
      </c>
      <c r="AA467" s="49">
        <f>IFERROR(IF(Data_Entry!AF456/Data_Entry!$I456&lt;0,0,Data_Entry!AF456/Data_Entry!$I456),0)</f>
        <v>0.13723057838424563</v>
      </c>
      <c r="AB467" s="49">
        <f>IFERROR(IF(Data_Entry!AG456/Data_Entry!$I456&lt;0,0,Data_Entry!AG456/Data_Entry!$I456),0)</f>
        <v>9.0711738253992868E-2</v>
      </c>
      <c r="AC467" s="49">
        <f>IFERROR(IF(Data_Entry!AI456/Data_Entry!$I456&lt;0,0,Data_Entry!AI456/Data_Entry!$I456),0)</f>
        <v>5.8148550162815942E-2</v>
      </c>
      <c r="AD467" s="49">
        <f>IFERROR(IF(Data_Entry!AM456/Data_Entry!$H456&lt;0,0,Data_Entry!AM456/Data_Entry!$H456),0)</f>
        <v>0.9370413928815956</v>
      </c>
      <c r="AE467" s="50">
        <f>Data_Entry!AK456</f>
        <v>0</v>
      </c>
      <c r="AF467" s="50">
        <f>Data_Entry!AL456</f>
        <v>0</v>
      </c>
      <c r="AG467" s="153">
        <f>(Data_Entry!O456-Data_Entry!Q456)/Data_Entry!O456</f>
        <v>6.1151079136690649E-2</v>
      </c>
      <c r="AH467" s="79" t="str">
        <f t="shared" si="14"/>
        <v>CAT1</v>
      </c>
      <c r="AI467" s="51">
        <f>SUBTOTAL(3,Tableau1[[#This Row],[ZS]])</f>
        <v>0</v>
      </c>
      <c r="AJ467" s="51" t="e">
        <f t="shared" ca="1" si="15"/>
        <v>#NAME?</v>
      </c>
      <c r="AK467" s="50" t="str">
        <f>IFERROR(IF((Data_Entry!O456-Data_Entry!Q456)/Data_Entry!O456&lt;=10%,"&lt;=10%","&gt;10%"),"&lt;=10%")</f>
        <v>&lt;=10%</v>
      </c>
    </row>
    <row r="468" spans="1:37" s="48" customFormat="1" ht="13" hidden="1" x14ac:dyDescent="0.3">
      <c r="A468" s="31" t="s">
        <v>16</v>
      </c>
      <c r="B468" s="48" t="str">
        <f>Data_Entry!B457</f>
        <v>Goma</v>
      </c>
      <c r="C468" s="48" t="str">
        <f>Data_Entry!C457</f>
        <v xml:space="preserve"> Masisi</v>
      </c>
      <c r="D468" s="48" t="str">
        <f>Data_Entry!D457</f>
        <v xml:space="preserve"> Kanyatsi</v>
      </c>
      <c r="E468" s="49">
        <f>IFERROR(IF(Data_Entry!J457/Data_Entry!$I457&lt;0,0,Data_Entry!J457/Data_Entry!$I457),0)</f>
        <v>2.5510204081632654E-2</v>
      </c>
      <c r="F468" s="49">
        <f>IFERROR(IF(Data_Entry!K457/Data_Entry!$H457&lt;0,0,Data_Entry!K457/Data_Entry!$H457),0)</f>
        <v>6.4973458342267188E-3</v>
      </c>
      <c r="G468" s="49">
        <f>IFERROR(IF(Data_Entry!L457/Data_Entry!$H457&lt;0,0,Data_Entry!L457/Data_Entry!$H457),0)</f>
        <v>2.5989383336906875E-2</v>
      </c>
      <c r="H468" s="49">
        <f>IFERROR(IF(Data_Entry!M457/Data_Entry!$H457&lt;0,0,Data_Entry!M457/Data_Entry!$H457),0)</f>
        <v>1.9492037502680155E-2</v>
      </c>
      <c r="I468" s="49">
        <f>IFERROR(IF(Data_Entry!N457/Data_Entry!$H457&lt;0,0,Data_Entry!N457/Data_Entry!$H457),0)</f>
        <v>1.2994691668453438E-2</v>
      </c>
      <c r="J468" s="49">
        <f>IFERROR(IF(Data_Entry!O457/Data_Entry!$H457&lt;0,0,Data_Entry!O457/Data_Entry!$H457),0)</f>
        <v>2.5989383336906875E-2</v>
      </c>
      <c r="K468" s="49">
        <f>IFERROR(IF(Data_Entry!P457/Data_Entry!$H457&lt;0,0,Data_Entry!P457/Data_Entry!$H457),0)</f>
        <v>1.9492037502680155E-2</v>
      </c>
      <c r="L468" s="49">
        <f>IFERROR(IF(Data_Entry!Q457/Data_Entry!$H457&lt;0,0,Data_Entry!Q457/Data_Entry!$H457),0)</f>
        <v>1.2994691668453438E-2</v>
      </c>
      <c r="M468" s="49">
        <f>IFERROR(IF(Data_Entry!R457/Data_Entry!$H457&lt;0,0,Data_Entry!R457/Data_Entry!$H457),0)</f>
        <v>2.5989383336906875E-2</v>
      </c>
      <c r="N468" s="49">
        <f>IFERROR(IF(Data_Entry!S457/Data_Entry!$H457&lt;0,0,Data_Entry!S457/Data_Entry!$H457),0)</f>
        <v>1.9492037502680155E-2</v>
      </c>
      <c r="O468" s="49">
        <f>IFERROR(IF(Data_Entry!T457/Data_Entry!$H457&lt;0,0,Data_Entry!T457/Data_Entry!$H457),0)</f>
        <v>1.2994691668453438E-2</v>
      </c>
      <c r="P468" s="49">
        <f>IFERROR(IF(Data_Entry!U457/Data_Entry!$H457&lt;0,0,Data_Entry!U457/Data_Entry!$H457),0)</f>
        <v>2.5989383336906875E-2</v>
      </c>
      <c r="Q468" s="49">
        <f>IFERROR(IF(Data_Entry!V457/Data_Entry!$H457&lt;0,0,Data_Entry!V457/Data_Entry!$H457),0)</f>
        <v>1.9492037502680155E-2</v>
      </c>
      <c r="R468" s="49">
        <f>IFERROR(IF(Data_Entry!W457/Data_Entry!$H457&lt;0,0,Data_Entry!W457/Data_Entry!$H457),0)</f>
        <v>1.2994691668453438E-2</v>
      </c>
      <c r="S468" s="49">
        <f>IFERROR(IF(Data_Entry!X457/Data_Entry!$H457&lt;0,0,Data_Entry!X457/Data_Entry!$H457),0)</f>
        <v>2.2740710419793517E-2</v>
      </c>
      <c r="T468" s="49">
        <f>IFERROR(IF(Data_Entry!Y457/Data_Entry!$H457&lt;0,0,Data_Entry!Y457/Data_Entry!$H457),0)</f>
        <v>0</v>
      </c>
      <c r="U468" s="49">
        <f>IFERROR(IF(Data_Entry!Z457/Data_Entry!$H457&lt;0,0,Data_Entry!Z457/Data_Entry!$H457),0)</f>
        <v>2.2740710419793517E-2</v>
      </c>
      <c r="V468" s="49">
        <f>IFERROR(IF(Data_Entry!AA457/Data_Entry!$H457&lt;0,0,Data_Entry!AA457/Data_Entry!$H457),0)</f>
        <v>1.2994691668453438E-2</v>
      </c>
      <c r="W468" s="49">
        <f>IFERROR(IF(Data_Entry!AB457/Data_Entry!$H457&lt;0,0,Data_Entry!AB457/Data_Entry!$H457),0)</f>
        <v>0</v>
      </c>
      <c r="X468" s="49">
        <f>IFERROR(IF(Data_Entry!AC457/Data_Entry!$I457&lt;0,0,Data_Entry!AC457/Data_Entry!$I457),0)</f>
        <v>0</v>
      </c>
      <c r="Y468" s="49">
        <f>IFERROR(IF(Data_Entry!AD457/Data_Entry!$I457&lt;0,0,Data_Entry!AD457/Data_Entry!$I457),0)</f>
        <v>5.6689342403628117E-3</v>
      </c>
      <c r="Z468" s="49">
        <f>IFERROR(IF(Data_Entry!AE457/Data_Entry!$I457&lt;0,0,Data_Entry!AE457/Data_Entry!$I457),0)</f>
        <v>0</v>
      </c>
      <c r="AA468" s="49">
        <f>IFERROR(IF(Data_Entry!AF457/Data_Entry!$I457&lt;0,0,Data_Entry!AF457/Data_Entry!$I457),0)</f>
        <v>0</v>
      </c>
      <c r="AB468" s="49">
        <f>IFERROR(IF(Data_Entry!AG457/Data_Entry!$I457&lt;0,0,Data_Entry!AG457/Data_Entry!$I457),0)</f>
        <v>2.8344671201814059E-3</v>
      </c>
      <c r="AC468" s="49">
        <f>IFERROR(IF(Data_Entry!AI457/Data_Entry!$I457&lt;0,0,Data_Entry!AI457/Data_Entry!$I457),0)</f>
        <v>0.12981859410430838</v>
      </c>
      <c r="AD468" s="49">
        <f>IFERROR(IF(Data_Entry!AM457/Data_Entry!$H457&lt;0,0,Data_Entry!AM457/Data_Entry!$H457),0)</f>
        <v>2.2740710419793517E-2</v>
      </c>
      <c r="AE468" s="50">
        <f>Data_Entry!AK457</f>
        <v>299.81799999999998</v>
      </c>
      <c r="AF468" s="50">
        <f>Data_Entry!AL457</f>
        <v>1</v>
      </c>
      <c r="AG468" s="153">
        <f>(Data_Entry!O457-Data_Entry!Q457)/Data_Entry!O457</f>
        <v>0.5</v>
      </c>
      <c r="AH468" s="79" t="str">
        <f t="shared" si="14"/>
        <v>CAT4</v>
      </c>
      <c r="AI468" s="51">
        <f>SUBTOTAL(3,Tableau1[[#This Row],[ZS]])</f>
        <v>0</v>
      </c>
      <c r="AJ468" s="51" t="e">
        <f t="shared" ca="1" si="15"/>
        <v>#NAME?</v>
      </c>
      <c r="AK468" s="50" t="str">
        <f>IFERROR(IF((Data_Entry!O457-Data_Entry!Q457)/Data_Entry!O457&lt;=10%,"&lt;=10%","&gt;10%"),"&lt;=10%")</f>
        <v>&gt;10%</v>
      </c>
    </row>
    <row r="469" spans="1:37" s="48" customFormat="1" ht="13" hidden="1" x14ac:dyDescent="0.3">
      <c r="A469" s="31" t="s">
        <v>16</v>
      </c>
      <c r="B469" s="48" t="str">
        <f>Data_Entry!B458</f>
        <v>Goma</v>
      </c>
      <c r="C469" s="48" t="str">
        <f>Data_Entry!C458</f>
        <v xml:space="preserve"> Masisi</v>
      </c>
      <c r="D469" s="48" t="str">
        <f>Data_Entry!D458</f>
        <v xml:space="preserve"> Kazinga</v>
      </c>
      <c r="E469" s="49">
        <f>IFERROR(IF(Data_Entry!J458/Data_Entry!$I458&lt;0,0,Data_Entry!J458/Data_Entry!$I458),0)</f>
        <v>0.8516072536213376</v>
      </c>
      <c r="F469" s="49">
        <f>IFERROR(IF(Data_Entry!K458/Data_Entry!$H458&lt;0,0,Data_Entry!K458/Data_Entry!$H458),0)</f>
        <v>0.8719249876869346</v>
      </c>
      <c r="G469" s="49">
        <f>IFERROR(IF(Data_Entry!L458/Data_Entry!$H458&lt;0,0,Data_Entry!L458/Data_Entry!$H458),0)</f>
        <v>2.3435336359700631</v>
      </c>
      <c r="H469" s="49">
        <f>IFERROR(IF(Data_Entry!M458/Data_Entry!$H458&lt;0,0,Data_Entry!M458/Data_Entry!$H458),0)</f>
        <v>1.201876457847602</v>
      </c>
      <c r="I469" s="49">
        <f>IFERROR(IF(Data_Entry!N458/Data_Entry!$H458&lt;0,0,Data_Entry!N458/Data_Entry!$H458),0)</f>
        <v>1.165493976346996</v>
      </c>
      <c r="J469" s="49">
        <f>IFERROR(IF(Data_Entry!O458/Data_Entry!$H458&lt;0,0,Data_Entry!O458/Data_Entry!$H458),0)</f>
        <v>0.98609070549918076</v>
      </c>
      <c r="K469" s="49">
        <f>IFERROR(IF(Data_Entry!P458/Data_Entry!$H458&lt;0,0,Data_Entry!P458/Data_Entry!$H458),0)</f>
        <v>0.94845365567096773</v>
      </c>
      <c r="L469" s="49">
        <f>IFERROR(IF(Data_Entry!Q458/Data_Entry!$H458&lt;0,0,Data_Entry!Q458/Data_Entry!$H458),0)</f>
        <v>0.86188844106607787</v>
      </c>
      <c r="M469" s="49">
        <f>IFERROR(IF(Data_Entry!R458/Data_Entry!$H458&lt;0,0,Data_Entry!R458/Data_Entry!$H458),0)</f>
        <v>0.83805164284154288</v>
      </c>
      <c r="N469" s="49">
        <f>IFERROR(IF(Data_Entry!S458/Data_Entry!$H458&lt;0,0,Data_Entry!S458/Data_Entry!$H458),0)</f>
        <v>0.83428793785872157</v>
      </c>
      <c r="O469" s="49">
        <f>IFERROR(IF(Data_Entry!T458/Data_Entry!$H458&lt;0,0,Data_Entry!T458/Data_Entry!$H458),0)</f>
        <v>0.71510394673604716</v>
      </c>
      <c r="P469" s="49">
        <f>IFERROR(IF(Data_Entry!U458/Data_Entry!$H458&lt;0,0,Data_Entry!U458/Data_Entry!$H458),0)</f>
        <v>0.75775926987468856</v>
      </c>
      <c r="Q469" s="49">
        <f>IFERROR(IF(Data_Entry!V458/Data_Entry!$H458&lt;0,0,Data_Entry!V458/Data_Entry!$H458),0)</f>
        <v>0.68499430687347673</v>
      </c>
      <c r="R469" s="49">
        <f>IFERROR(IF(Data_Entry!W458/Data_Entry!$H458&lt;0,0,Data_Entry!W458/Data_Entry!$H458),0)</f>
        <v>0.56330117909558797</v>
      </c>
      <c r="S469" s="49">
        <f>IFERROR(IF(Data_Entry!X458/Data_Entry!$H458&lt;0,0,Data_Entry!X458/Data_Entry!$H458),0)</f>
        <v>1.1529482930709252</v>
      </c>
      <c r="T469" s="49">
        <f>IFERROR(IF(Data_Entry!Y458/Data_Entry!$H458&lt;0,0,Data_Entry!Y458/Data_Entry!$H458),0)</f>
        <v>0.24589539221099163</v>
      </c>
      <c r="U469" s="49">
        <f>IFERROR(IF(Data_Entry!Z458/Data_Entry!$H458&lt;0,0,Data_Entry!Z458/Data_Entry!$H458),0)</f>
        <v>1.0187094820169653</v>
      </c>
      <c r="V469" s="49">
        <f>IFERROR(IF(Data_Entry!AA458/Data_Entry!$H458&lt;0,0,Data_Entry!AA458/Data_Entry!$H458),0)</f>
        <v>0.86690671437650624</v>
      </c>
      <c r="W469" s="49">
        <f>IFERROR(IF(Data_Entry!AB458/Data_Entry!$H458&lt;0,0,Data_Entry!AB458/Data_Entry!$H458),0)</f>
        <v>0.24338625555577745</v>
      </c>
      <c r="X469" s="49">
        <f>IFERROR(IF(Data_Entry!AC458/Data_Entry!$I458&lt;0,0,Data_Entry!AC458/Data_Entry!$I458),0)</f>
        <v>0.6567665195023169</v>
      </c>
      <c r="Y469" s="49">
        <f>IFERROR(IF(Data_Entry!AD458/Data_Entry!$I458&lt;0,0,Data_Entry!AD458/Data_Entry!$I458),0)</f>
        <v>0.46411500711497061</v>
      </c>
      <c r="Z469" s="49">
        <f>IFERROR(IF(Data_Entry!AE458/Data_Entry!$I458&lt;0,0,Data_Entry!AE458/Data_Entry!$I458),0)</f>
        <v>0.41047907468894806</v>
      </c>
      <c r="AA469" s="49">
        <f>IFERROR(IF(Data_Entry!AF458/Data_Entry!$I458&lt;0,0,Data_Entry!AF458/Data_Entry!$I458),0)</f>
        <v>0.26270660780092675</v>
      </c>
      <c r="AB469" s="49">
        <f>IFERROR(IF(Data_Entry!AG458/Data_Entry!$I458&lt;0,0,Data_Entry!AG458/Data_Entry!$I458),0)</f>
        <v>0.21344911883825299</v>
      </c>
      <c r="AC469" s="49">
        <f>IFERROR(IF(Data_Entry!AI458/Data_Entry!$I458&lt;0,0,Data_Entry!AI458/Data_Entry!$I458),0)</f>
        <v>5.7795453716203884E-2</v>
      </c>
      <c r="AD469" s="49">
        <f>IFERROR(IF(Data_Entry!AM458/Data_Entry!$H458&lt;0,0,Data_Entry!AM458/Data_Entry!$H458),0)</f>
        <v>1.0187094820169653</v>
      </c>
      <c r="AE469" s="50">
        <f>Data_Entry!AK458</f>
        <v>11.086916666666639</v>
      </c>
      <c r="AF469" s="50">
        <f>Data_Entry!AL458</f>
        <v>0</v>
      </c>
      <c r="AG469" s="153">
        <f>(Data_Entry!O458-Data_Entry!Q458)/Data_Entry!O458</f>
        <v>0.12595419847328243</v>
      </c>
      <c r="AH469" s="79" t="str">
        <f t="shared" si="14"/>
        <v>CAT2</v>
      </c>
      <c r="AI469" s="51">
        <f>SUBTOTAL(3,Tableau1[[#This Row],[ZS]])</f>
        <v>0</v>
      </c>
      <c r="AJ469" s="51" t="e">
        <f t="shared" ca="1" si="15"/>
        <v>#NAME?</v>
      </c>
      <c r="AK469" s="50" t="str">
        <f>IFERROR(IF((Data_Entry!O458-Data_Entry!Q458)/Data_Entry!O458&lt;=10%,"&lt;=10%","&gt;10%"),"&lt;=10%")</f>
        <v>&gt;10%</v>
      </c>
    </row>
    <row r="470" spans="1:37" s="48" customFormat="1" ht="13" hidden="1" x14ac:dyDescent="0.3">
      <c r="A470" s="31" t="s">
        <v>16</v>
      </c>
      <c r="B470" s="48" t="str">
        <f>Data_Entry!B459</f>
        <v>Goma</v>
      </c>
      <c r="C470" s="48" t="str">
        <f>Data_Entry!C459</f>
        <v xml:space="preserve"> Masisi</v>
      </c>
      <c r="D470" s="48" t="str">
        <f>Data_Entry!D459</f>
        <v xml:space="preserve"> Kilolirwe</v>
      </c>
      <c r="E470" s="49">
        <f>IFERROR(IF(Data_Entry!J459/Data_Entry!$I459&lt;0,0,Data_Entry!J459/Data_Entry!$I459),0)</f>
        <v>8.8853786158554646E-2</v>
      </c>
      <c r="F470" s="49">
        <f>IFERROR(IF(Data_Entry!K459/Data_Entry!$H459&lt;0,0,Data_Entry!K459/Data_Entry!$H459),0)</f>
        <v>5.0919075162495497E-2</v>
      </c>
      <c r="G470" s="49">
        <f>IFERROR(IF(Data_Entry!L459/Data_Entry!$H459&lt;0,0,Data_Entry!L459/Data_Entry!$H459),0)</f>
        <v>8.1470520259992796E-2</v>
      </c>
      <c r="H470" s="49">
        <f>IFERROR(IF(Data_Entry!M459/Data_Entry!$H459&lt;0,0,Data_Entry!M459/Data_Entry!$H459),0)</f>
        <v>0.10183815032499099</v>
      </c>
      <c r="I470" s="49">
        <f>IFERROR(IF(Data_Entry!N459/Data_Entry!$H459&lt;0,0,Data_Entry!N459/Data_Entry!$H459),0)</f>
        <v>9.5048940303324933E-2</v>
      </c>
      <c r="J470" s="49">
        <f>IFERROR(IF(Data_Entry!O459/Data_Entry!$H459&lt;0,0,Data_Entry!O459/Data_Entry!$H459),0)</f>
        <v>0.10183815032499099</v>
      </c>
      <c r="K470" s="49">
        <f>IFERROR(IF(Data_Entry!P459/Data_Entry!$H459&lt;0,0,Data_Entry!P459/Data_Entry!$H459),0)</f>
        <v>8.1470520259992796E-2</v>
      </c>
      <c r="L470" s="49">
        <f>IFERROR(IF(Data_Entry!Q459/Data_Entry!$H459&lt;0,0,Data_Entry!Q459/Data_Entry!$H459),0)</f>
        <v>9.5048940303324933E-2</v>
      </c>
      <c r="M470" s="49">
        <f>IFERROR(IF(Data_Entry!R459/Data_Entry!$H459&lt;0,0,Data_Entry!R459/Data_Entry!$H459),0)</f>
        <v>0.10183815032499099</v>
      </c>
      <c r="N470" s="49">
        <f>IFERROR(IF(Data_Entry!S459/Data_Entry!$H459&lt;0,0,Data_Entry!S459/Data_Entry!$H459),0)</f>
        <v>8.1470520259992796E-2</v>
      </c>
      <c r="O470" s="49">
        <f>IFERROR(IF(Data_Entry!T459/Data_Entry!$H459&lt;0,0,Data_Entry!T459/Data_Entry!$H459),0)</f>
        <v>9.5048940303324933E-2</v>
      </c>
      <c r="P470" s="49">
        <f>IFERROR(IF(Data_Entry!U459/Data_Entry!$H459&lt;0,0,Data_Entry!U459/Data_Entry!$H459),0)</f>
        <v>0.10183815032499099</v>
      </c>
      <c r="Q470" s="49">
        <f>IFERROR(IF(Data_Entry!V459/Data_Entry!$H459&lt;0,0,Data_Entry!V459/Data_Entry!$H459),0)</f>
        <v>8.1470520259992796E-2</v>
      </c>
      <c r="R470" s="49">
        <f>IFERROR(IF(Data_Entry!W459/Data_Entry!$H459&lt;0,0,Data_Entry!W459/Data_Entry!$H459),0)</f>
        <v>9.5048940303324933E-2</v>
      </c>
      <c r="S470" s="49">
        <f>IFERROR(IF(Data_Entry!X459/Data_Entry!$H459&lt;0,0,Data_Entry!X459/Data_Entry!$H459),0)</f>
        <v>6.4497495205827635E-2</v>
      </c>
      <c r="T470" s="49">
        <f>IFERROR(IF(Data_Entry!Y459/Data_Entry!$H459&lt;0,0,Data_Entry!Y459/Data_Entry!$H459),0)</f>
        <v>0</v>
      </c>
      <c r="U470" s="49">
        <f>IFERROR(IF(Data_Entry!Z459/Data_Entry!$H459&lt;0,0,Data_Entry!Z459/Data_Entry!$H459),0)</f>
        <v>6.4497495205827635E-2</v>
      </c>
      <c r="V470" s="49">
        <f>IFERROR(IF(Data_Entry!AA459/Data_Entry!$H459&lt;0,0,Data_Entry!AA459/Data_Entry!$H459),0)</f>
        <v>6.1102890194994597E-2</v>
      </c>
      <c r="W470" s="49">
        <f>IFERROR(IF(Data_Entry!AB459/Data_Entry!$H459&lt;0,0,Data_Entry!AB459/Data_Entry!$H459),0)</f>
        <v>2.7156840086664268E-2</v>
      </c>
      <c r="X470" s="49">
        <f>IFERROR(IF(Data_Entry!AC459/Data_Entry!$I459&lt;0,0,Data_Entry!AC459/Data_Entry!$I459),0)</f>
        <v>0.11847171487807286</v>
      </c>
      <c r="Y470" s="49">
        <f>IFERROR(IF(Data_Entry!AD459/Data_Entry!$I459&lt;0,0,Data_Entry!AD459/Data_Entry!$I459),0)</f>
        <v>4.7388685951229144E-2</v>
      </c>
      <c r="Z470" s="49">
        <f>IFERROR(IF(Data_Entry!AE459/Data_Entry!$I459&lt;0,0,Data_Entry!AE459/Data_Entry!$I459),0)</f>
        <v>2.0732550103662751E-2</v>
      </c>
      <c r="AA470" s="49">
        <f>IFERROR(IF(Data_Entry!AF459/Data_Entry!$I459&lt;0,0,Data_Entry!AF459/Data_Entry!$I459),0)</f>
        <v>2.9617928719518214E-2</v>
      </c>
      <c r="AB470" s="49">
        <f>IFERROR(IF(Data_Entry!AG459/Data_Entry!$I459&lt;0,0,Data_Entry!AG459/Data_Entry!$I459),0)</f>
        <v>3.2579721591470039E-2</v>
      </c>
      <c r="AC470" s="49">
        <f>IFERROR(IF(Data_Entry!AI459/Data_Entry!$I459&lt;0,0,Data_Entry!AI459/Data_Entry!$I459),0)</f>
        <v>0.14808964359759108</v>
      </c>
      <c r="AD470" s="49">
        <f>IFERROR(IF(Data_Entry!AM459/Data_Entry!$H459&lt;0,0,Data_Entry!AM459/Data_Entry!$H459),0)</f>
        <v>6.4497495205827635E-2</v>
      </c>
      <c r="AE470" s="50">
        <f>Data_Entry!AK459</f>
        <v>264.58508333333333</v>
      </c>
      <c r="AF470" s="50">
        <f>Data_Entry!AL459</f>
        <v>11</v>
      </c>
      <c r="AG470" s="153">
        <f>(Data_Entry!O459-Data_Entry!Q459)/Data_Entry!O459</f>
        <v>6.6666666666666666E-2</v>
      </c>
      <c r="AH470" s="79" t="str">
        <f t="shared" si="14"/>
        <v>CAT3</v>
      </c>
      <c r="AI470" s="51">
        <f>SUBTOTAL(3,Tableau1[[#This Row],[ZS]])</f>
        <v>0</v>
      </c>
      <c r="AJ470" s="51" t="e">
        <f t="shared" ca="1" si="15"/>
        <v>#NAME?</v>
      </c>
      <c r="AK470" s="50" t="str">
        <f>IFERROR(IF((Data_Entry!O459-Data_Entry!Q459)/Data_Entry!O459&lt;=10%,"&lt;=10%","&gt;10%"),"&lt;=10%")</f>
        <v>&lt;=10%</v>
      </c>
    </row>
    <row r="471" spans="1:37" s="48" customFormat="1" ht="13" hidden="1" x14ac:dyDescent="0.3">
      <c r="A471" s="31" t="s">
        <v>16</v>
      </c>
      <c r="B471" s="48" t="str">
        <f>Data_Entry!B460</f>
        <v>Goma</v>
      </c>
      <c r="C471" s="48" t="str">
        <f>Data_Entry!C460</f>
        <v xml:space="preserve"> Masisi</v>
      </c>
      <c r="D471" s="48" t="str">
        <f>Data_Entry!D460</f>
        <v xml:space="preserve"> Kitsule</v>
      </c>
      <c r="E471" s="49">
        <f>IFERROR(IF(Data_Entry!J460/Data_Entry!$I460&lt;0,0,Data_Entry!J460/Data_Entry!$I460),0)</f>
        <v>0.82520060724354793</v>
      </c>
      <c r="F471" s="49">
        <f>IFERROR(IF(Data_Entry!K460/Data_Entry!$H460&lt;0,0,Data_Entry!K460/Data_Entry!$H460),0)</f>
        <v>1.2055387670818318</v>
      </c>
      <c r="G471" s="49">
        <f>IFERROR(IF(Data_Entry!L460/Data_Entry!$H460&lt;0,0,Data_Entry!L460/Data_Entry!$H460),0)</f>
        <v>1.1272408883950737</v>
      </c>
      <c r="H471" s="49">
        <f>IFERROR(IF(Data_Entry!M460/Data_Entry!$H460&lt;0,0,Data_Entry!M460/Data_Entry!$H460),0)</f>
        <v>1.1085985363267978</v>
      </c>
      <c r="I471" s="49">
        <f>IFERROR(IF(Data_Entry!N460/Data_Entry!$H460&lt;0,0,Data_Entry!N460/Data_Entry!$H460),0)</f>
        <v>1.0713138321902465</v>
      </c>
      <c r="J471" s="49">
        <f>IFERROR(IF(Data_Entry!O460/Data_Entry!$H460&lt;0,0,Data_Entry!O460/Data_Entry!$H460),0)</f>
        <v>1.0775279495463383</v>
      </c>
      <c r="K471" s="49">
        <f>IFERROR(IF(Data_Entry!P460/Data_Entry!$H460&lt;0,0,Data_Entry!P460/Data_Entry!$H460),0)</f>
        <v>1.0477001862370972</v>
      </c>
      <c r="L471" s="49">
        <f>IFERROR(IF(Data_Entry!Q460/Data_Entry!$H460&lt;0,0,Data_Entry!Q460/Data_Entry!$H460),0)</f>
        <v>1.0141439525142009</v>
      </c>
      <c r="M471" s="49">
        <f>IFERROR(IF(Data_Entry!R460/Data_Entry!$H460&lt;0,0,Data_Entry!R460/Data_Entry!$H460),0)</f>
        <v>1.0812564199599934</v>
      </c>
      <c r="N471" s="49">
        <f>IFERROR(IF(Data_Entry!S460/Data_Entry!$H460&lt;0,0,Data_Entry!S460/Data_Entry!$H460),0)</f>
        <v>1.0539143035931891</v>
      </c>
      <c r="O471" s="49">
        <f>IFERROR(IF(Data_Entry!T460/Data_Entry!$H460&lt;0,0,Data_Entry!T460/Data_Entry!$H460),0)</f>
        <v>1.0191152463990742</v>
      </c>
      <c r="P471" s="49">
        <f>IFERROR(IF(Data_Entry!U460/Data_Entry!$H460&lt;0,0,Data_Entry!U460/Data_Entry!$H460),0)</f>
        <v>0.93460325035622427</v>
      </c>
      <c r="Q471" s="49">
        <f>IFERROR(IF(Data_Entry!V460/Data_Entry!$H460&lt;0,0,Data_Entry!V460/Data_Entry!$H460),0)</f>
        <v>0.91471807481673018</v>
      </c>
      <c r="R471" s="49">
        <f>IFERROR(IF(Data_Entry!W460/Data_Entry!$H460&lt;0,0,Data_Entry!W460/Data_Entry!$H460),0)</f>
        <v>0.85506254819824767</v>
      </c>
      <c r="S471" s="49">
        <f>IFERROR(IF(Data_Entry!X460/Data_Entry!$H460&lt;0,0,Data_Entry!X460/Data_Entry!$H460),0)</f>
        <v>1.1583114751755332</v>
      </c>
      <c r="T471" s="49">
        <f>IFERROR(IF(Data_Entry!Y460/Data_Entry!$H460&lt;0,0,Data_Entry!Y460/Data_Entry!$H460),0)</f>
        <v>0.55802773857705412</v>
      </c>
      <c r="U471" s="49">
        <f>IFERROR(IF(Data_Entry!Z460/Data_Entry!$H460&lt;0,0,Data_Entry!Z460/Data_Entry!$H460),0)</f>
        <v>1.0675853617765914</v>
      </c>
      <c r="V471" s="49">
        <f>IFERROR(IF(Data_Entry!AA460/Data_Entry!$H460&lt;0,0,Data_Entry!AA460/Data_Entry!$H460),0)</f>
        <v>0.92714630952891397</v>
      </c>
      <c r="W471" s="49">
        <f>IFERROR(IF(Data_Entry!AB460/Data_Entry!$H460&lt;0,0,Data_Entry!AB460/Data_Entry!$H460),0)</f>
        <v>0.7021952612383866</v>
      </c>
      <c r="X471" s="49">
        <f>IFERROR(IF(Data_Entry!AC460/Data_Entry!$I460&lt;0,0,Data_Entry!AC460/Data_Entry!$I460),0)</f>
        <v>0.35241813055736276</v>
      </c>
      <c r="Y471" s="49">
        <f>IFERROR(IF(Data_Entry!AD460/Data_Entry!$I460&lt;0,0,Data_Entry!AD460/Data_Entry!$I460),0)</f>
        <v>0.31663413576230748</v>
      </c>
      <c r="Z471" s="49">
        <f>IFERROR(IF(Data_Entry!AE460/Data_Entry!$I460&lt;0,0,Data_Entry!AE460/Data_Entry!$I460),0)</f>
        <v>0.28735632183908039</v>
      </c>
      <c r="AA471" s="49">
        <f>IFERROR(IF(Data_Entry!AF460/Data_Entry!$I460&lt;0,0,Data_Entry!AF460/Data_Entry!$I460),0)</f>
        <v>0.23096942094990236</v>
      </c>
      <c r="AB471" s="49">
        <f>IFERROR(IF(Data_Entry!AG460/Data_Entry!$I460&lt;0,0,Data_Entry!AG460/Data_Entry!$I460),0)</f>
        <v>0.21578833224896982</v>
      </c>
      <c r="AC471" s="49">
        <f>IFERROR(IF(Data_Entry!AI460/Data_Entry!$I460&lt;0,0,Data_Entry!AI460/Data_Entry!$I460),0)</f>
        <v>5.4218173931901967E-2</v>
      </c>
      <c r="AD471" s="49">
        <f>IFERROR(IF(Data_Entry!AM460/Data_Entry!$H460&lt;0,0,Data_Entry!AM460/Data_Entry!$H460),0)</f>
        <v>1.0675853617765914</v>
      </c>
      <c r="AE471" s="50">
        <f>Data_Entry!AK460</f>
        <v>0</v>
      </c>
      <c r="AF471" s="50">
        <f>Data_Entry!AL460</f>
        <v>0</v>
      </c>
      <c r="AG471" s="153">
        <f>(Data_Entry!O460-Data_Entry!Q460)/Data_Entry!O460</f>
        <v>5.8823529411764705E-2</v>
      </c>
      <c r="AH471" s="79" t="str">
        <f t="shared" si="14"/>
        <v>CAT1</v>
      </c>
      <c r="AI471" s="51">
        <f>SUBTOTAL(3,Tableau1[[#This Row],[ZS]])</f>
        <v>0</v>
      </c>
      <c r="AJ471" s="51" t="e">
        <f t="shared" ca="1" si="15"/>
        <v>#NAME?</v>
      </c>
      <c r="AK471" s="50" t="str">
        <f>IFERROR(IF((Data_Entry!O460-Data_Entry!Q460)/Data_Entry!O460&lt;=10%,"&lt;=10%","&gt;10%"),"&lt;=10%")</f>
        <v>&lt;=10%</v>
      </c>
    </row>
    <row r="472" spans="1:37" s="48" customFormat="1" ht="13" hidden="1" x14ac:dyDescent="0.3">
      <c r="A472" s="31" t="s">
        <v>16</v>
      </c>
      <c r="B472" s="48" t="str">
        <f>Data_Entry!B461</f>
        <v>Goma</v>
      </c>
      <c r="C472" s="48" t="str">
        <f>Data_Entry!C461</f>
        <v xml:space="preserve"> Masisi</v>
      </c>
      <c r="D472" s="48" t="str">
        <f>Data_Entry!D461</f>
        <v xml:space="preserve"> Loashi</v>
      </c>
      <c r="E472" s="49">
        <f>IFERROR(IF(Data_Entry!J461/Data_Entry!$I461&lt;0,0,Data_Entry!J461/Data_Entry!$I461),0)</f>
        <v>1.2619429304264187</v>
      </c>
      <c r="F472" s="49">
        <f>IFERROR(IF(Data_Entry!K461/Data_Entry!$H461&lt;0,0,Data_Entry!K461/Data_Entry!$H461),0)</f>
        <v>0.59970731196447324</v>
      </c>
      <c r="G472" s="49">
        <f>IFERROR(IF(Data_Entry!L461/Data_Entry!$H461&lt;0,0,Data_Entry!L461/Data_Entry!$H461),0)</f>
        <v>1.7219537156038736</v>
      </c>
      <c r="H472" s="49">
        <f>IFERROR(IF(Data_Entry!M461/Data_Entry!$H461&lt;0,0,Data_Entry!M461/Data_Entry!$H461),0)</f>
        <v>1.5742316939067422</v>
      </c>
      <c r="I472" s="49">
        <f>IFERROR(IF(Data_Entry!N461/Data_Entry!$H461&lt;0,0,Data_Entry!N461/Data_Entry!$H461),0)</f>
        <v>1.6447854953143273</v>
      </c>
      <c r="J472" s="49">
        <f>IFERROR(IF(Data_Entry!O461/Data_Entry!$H461&lt;0,0,Data_Entry!O461/Data_Entry!$H461),0)</f>
        <v>1.5036778924991572</v>
      </c>
      <c r="K472" s="49">
        <f>IFERROR(IF(Data_Entry!P461/Data_Entry!$H461&lt;0,0,Data_Entry!P461/Data_Entry!$H461),0)</f>
        <v>1.3559558708020258</v>
      </c>
      <c r="L472" s="49">
        <f>IFERROR(IF(Data_Entry!Q461/Data_Entry!$H461&lt;0,0,Data_Entry!Q461/Data_Entry!$H461),0)</f>
        <v>1.5191115365570664</v>
      </c>
      <c r="M472" s="49">
        <f>IFERROR(IF(Data_Entry!R461/Data_Entry!$H461&lt;0,0,Data_Entry!R461/Data_Entry!$H461),0)</f>
        <v>1.7329777470738088</v>
      </c>
      <c r="N472" s="49">
        <f>IFERROR(IF(Data_Entry!S461/Data_Entry!$H461&lt;0,0,Data_Entry!S461/Data_Entry!$H461),0)</f>
        <v>1.6073037883165477</v>
      </c>
      <c r="O472" s="49">
        <f>IFERROR(IF(Data_Entry!T461/Data_Entry!$H461&lt;0,0,Data_Entry!T461/Data_Entry!$H461),0)</f>
        <v>1.6315566575504052</v>
      </c>
      <c r="P472" s="49">
        <f>IFERROR(IF(Data_Entry!U461/Data_Entry!$H461&lt;0,0,Data_Entry!U461/Data_Entry!$H461),0)</f>
        <v>1.3625702896839871</v>
      </c>
      <c r="Q472" s="49">
        <f>IFERROR(IF(Data_Entry!V461/Data_Entry!$H461&lt;0,0,Data_Entry!V461/Data_Entry!$H461),0)</f>
        <v>1.2501251686906483</v>
      </c>
      <c r="R472" s="49">
        <f>IFERROR(IF(Data_Entry!W461/Data_Entry!$H461&lt;0,0,Data_Entry!W461/Data_Entry!$H461),0)</f>
        <v>1.2567395875726093</v>
      </c>
      <c r="S472" s="49">
        <f>IFERROR(IF(Data_Entry!X461/Data_Entry!$H461&lt;0,0,Data_Entry!X461/Data_Entry!$H461),0)</f>
        <v>1.4309192847975851</v>
      </c>
      <c r="T472" s="49">
        <f>IFERROR(IF(Data_Entry!Y461/Data_Entry!$H461&lt;0,0,Data_Entry!Y461/Data_Entry!$H461),0)</f>
        <v>0.16536047204902754</v>
      </c>
      <c r="U472" s="49">
        <f>IFERROR(IF(Data_Entry!Z461/Data_Entry!$H461&lt;0,0,Data_Entry!Z461/Data_Entry!$H461),0)</f>
        <v>1.56100285614282</v>
      </c>
      <c r="V472" s="49">
        <f>IFERROR(IF(Data_Entry!AA461/Data_Entry!$H461&lt;0,0,Data_Entry!AA461/Data_Entry!$H461),0)</f>
        <v>1.2611492001605835</v>
      </c>
      <c r="W472" s="49">
        <f>IFERROR(IF(Data_Entry!AB461/Data_Entry!$H461&lt;0,0,Data_Entry!AB461/Data_Entry!$H461),0)</f>
        <v>0.2645767552784441</v>
      </c>
      <c r="X472" s="49">
        <f>IFERROR(IF(Data_Entry!AC461/Data_Entry!$I461&lt;0,0,Data_Entry!AC461/Data_Entry!$I461),0)</f>
        <v>0.46938121192689963</v>
      </c>
      <c r="Y472" s="49">
        <f>IFERROR(IF(Data_Entry!AD461/Data_Entry!$I461&lt;0,0,Data_Entry!AD461/Data_Entry!$I461),0)</f>
        <v>0.26354600833600511</v>
      </c>
      <c r="Z472" s="49">
        <f>IFERROR(IF(Data_Entry!AE461/Data_Entry!$I461&lt;0,0,Data_Entry!AE461/Data_Entry!$I461),0)</f>
        <v>0.26354600833600511</v>
      </c>
      <c r="AA472" s="49">
        <f>IFERROR(IF(Data_Entry!AF461/Data_Entry!$I461&lt;0,0,Data_Entry!AF461/Data_Entry!$I461),0)</f>
        <v>0.2193010580314203</v>
      </c>
      <c r="AB472" s="49">
        <f>IFERROR(IF(Data_Entry!AG461/Data_Entry!$I461&lt;0,0,Data_Entry!AG461/Data_Entry!$I461),0)</f>
        <v>0.35588329592818208</v>
      </c>
      <c r="AC472" s="49">
        <f>IFERROR(IF(Data_Entry!AI461/Data_Entry!$I461&lt;0,0,Data_Entry!AI461/Data_Entry!$I461),0)</f>
        <v>0.11215133055466495</v>
      </c>
      <c r="AD472" s="49">
        <f>IFERROR(IF(Data_Entry!AM461/Data_Entry!$H461&lt;0,0,Data_Entry!AM461/Data_Entry!$H461),0)</f>
        <v>1.4309192847975851</v>
      </c>
      <c r="AE472" s="50">
        <f>Data_Entry!AK461</f>
        <v>0</v>
      </c>
      <c r="AF472" s="50">
        <f>Data_Entry!AL461</f>
        <v>33</v>
      </c>
      <c r="AG472" s="153">
        <f>(Data_Entry!O461-Data_Entry!Q461)/Data_Entry!O461</f>
        <v>-1.0263929618768328E-2</v>
      </c>
      <c r="AH472" s="79" t="str">
        <f t="shared" si="14"/>
        <v>CAT1</v>
      </c>
      <c r="AI472" s="51">
        <f>SUBTOTAL(3,Tableau1[[#This Row],[ZS]])</f>
        <v>0</v>
      </c>
      <c r="AJ472" s="51" t="e">
        <f t="shared" ca="1" si="15"/>
        <v>#NAME?</v>
      </c>
      <c r="AK472" s="50" t="str">
        <f>IFERROR(IF((Data_Entry!O461-Data_Entry!Q461)/Data_Entry!O461&lt;=10%,"&lt;=10%","&gt;10%"),"&lt;=10%")</f>
        <v>&lt;=10%</v>
      </c>
    </row>
    <row r="473" spans="1:37" s="48" customFormat="1" ht="13" hidden="1" x14ac:dyDescent="0.3">
      <c r="A473" s="31" t="s">
        <v>16</v>
      </c>
      <c r="B473" s="48" t="str">
        <f>Data_Entry!B462</f>
        <v>Goma</v>
      </c>
      <c r="C473" s="48" t="str">
        <f>Data_Entry!C462</f>
        <v xml:space="preserve"> Masisi</v>
      </c>
      <c r="D473" s="48" t="str">
        <f>Data_Entry!D462</f>
        <v xml:space="preserve"> Luke</v>
      </c>
      <c r="E473" s="49">
        <f>IFERROR(IF(Data_Entry!J462/Data_Entry!$I462&lt;0,0,Data_Entry!J462/Data_Entry!$I462),0)</f>
        <v>1.5512084436346134</v>
      </c>
      <c r="F473" s="49">
        <f>IFERROR(IF(Data_Entry!K462/Data_Entry!$H462&lt;0,0,Data_Entry!K462/Data_Entry!$H462),0)</f>
        <v>1.3877939346667043</v>
      </c>
      <c r="G473" s="49">
        <f>IFERROR(IF(Data_Entry!L462/Data_Entry!$H462&lt;0,0,Data_Entry!L462/Data_Entry!$H462),0)</f>
        <v>2.0095823585463353</v>
      </c>
      <c r="H473" s="49">
        <f>IFERROR(IF(Data_Entry!M462/Data_Entry!$H462&lt;0,0,Data_Entry!M462/Data_Entry!$H462),0)</f>
        <v>1.9386559223623467</v>
      </c>
      <c r="I473" s="49">
        <f>IFERROR(IF(Data_Entry!N462/Data_Entry!$H462&lt;0,0,Data_Entry!N462/Data_Entry!$H462),0)</f>
        <v>1.9232885278558161</v>
      </c>
      <c r="J473" s="49">
        <f>IFERROR(IF(Data_Entry!O462/Data_Entry!$H462&lt;0,0,Data_Entry!O462/Data_Entry!$H462),0)</f>
        <v>2.0095823585463353</v>
      </c>
      <c r="K473" s="49">
        <f>IFERROR(IF(Data_Entry!P462/Data_Entry!$H462&lt;0,0,Data_Entry!P462/Data_Entry!$H462),0)</f>
        <v>1.9386559223623467</v>
      </c>
      <c r="L473" s="49">
        <f>IFERROR(IF(Data_Entry!Q462/Data_Entry!$H462&lt;0,0,Data_Entry!Q462/Data_Entry!$H462),0)</f>
        <v>1.9232885278558161</v>
      </c>
      <c r="M473" s="49">
        <f>IFERROR(IF(Data_Entry!R462/Data_Entry!$H462&lt;0,0,Data_Entry!R462/Data_Entry!$H462),0)</f>
        <v>2.0095823585463353</v>
      </c>
      <c r="N473" s="49">
        <f>IFERROR(IF(Data_Entry!S462/Data_Entry!$H462&lt;0,0,Data_Entry!S462/Data_Entry!$H462),0)</f>
        <v>1.9386559223623467</v>
      </c>
      <c r="O473" s="49">
        <f>IFERROR(IF(Data_Entry!T462/Data_Entry!$H462&lt;0,0,Data_Entry!T462/Data_Entry!$H462),0)</f>
        <v>1.9232885278558161</v>
      </c>
      <c r="P473" s="49">
        <f>IFERROR(IF(Data_Entry!U462/Data_Entry!$H462&lt;0,0,Data_Entry!U462/Data_Entry!$H462),0)</f>
        <v>1.9918507495003381</v>
      </c>
      <c r="Q473" s="49">
        <f>IFERROR(IF(Data_Entry!V462/Data_Entry!$H462&lt;0,0,Data_Entry!V462/Data_Entry!$H462),0)</f>
        <v>1.9197422060466167</v>
      </c>
      <c r="R473" s="49">
        <f>IFERROR(IF(Data_Entry!W462/Data_Entry!$H462&lt;0,0,Data_Entry!W462/Data_Entry!$H462),0)</f>
        <v>1.9043748115400858</v>
      </c>
      <c r="S473" s="49">
        <f>IFERROR(IF(Data_Entry!X462/Data_Entry!$H462&lt;0,0,Data_Entry!X462/Data_Entry!$H462),0)</f>
        <v>2.4410515119989307</v>
      </c>
      <c r="T473" s="49">
        <f>IFERROR(IF(Data_Entry!Y462/Data_Entry!$H462&lt;0,0,Data_Entry!Y462/Data_Entry!$H462),0)</f>
        <v>0.21632563036116431</v>
      </c>
      <c r="U473" s="49">
        <f>IFERROR(IF(Data_Entry!Z462/Data_Entry!$H462&lt;0,0,Data_Entry!Z462/Data_Entry!$H462),0)</f>
        <v>2.4055882939069364</v>
      </c>
      <c r="V473" s="49">
        <f>IFERROR(IF(Data_Entry!AA462/Data_Entry!$H462&lt;0,0,Data_Entry!AA462/Data_Entry!$H462),0)</f>
        <v>1.692777610257854</v>
      </c>
      <c r="W473" s="49">
        <f>IFERROR(IF(Data_Entry!AB462/Data_Entry!$H462&lt;0,0,Data_Entry!AB462/Data_Entry!$H462),0)</f>
        <v>0</v>
      </c>
      <c r="X473" s="49">
        <f>IFERROR(IF(Data_Entry!AC462/Data_Entry!$I462&lt;0,0,Data_Entry!AC462/Data_Entry!$I462),0)</f>
        <v>0.57138928043455839</v>
      </c>
      <c r="Y473" s="49">
        <f>IFERROR(IF(Data_Entry!AD462/Data_Entry!$I462&lt;0,0,Data_Entry!AD462/Data_Entry!$I462),0)</f>
        <v>0.49816069034276483</v>
      </c>
      <c r="Z473" s="49">
        <f>IFERROR(IF(Data_Entry!AE462/Data_Entry!$I462&lt;0,0,Data_Entry!AE462/Data_Entry!$I462),0)</f>
        <v>0.46206208959328915</v>
      </c>
      <c r="AA473" s="49">
        <f>IFERROR(IF(Data_Entry!AF462/Data_Entry!$I462&lt;0,0,Data_Entry!AF462/Data_Entry!$I462),0)</f>
        <v>0.40946127135833882</v>
      </c>
      <c r="AB473" s="49">
        <f>IFERROR(IF(Data_Entry!AG462/Data_Entry!$I462&lt;0,0,Data_Entry!AG462/Data_Entry!$I462),0)</f>
        <v>0.3589232303090728</v>
      </c>
      <c r="AC473" s="49">
        <f>IFERROR(IF(Data_Entry!AI462/Data_Entry!$I462&lt;0,0,Data_Entry!AI462/Data_Entry!$I462),0)</f>
        <v>4.8681541582150108E-2</v>
      </c>
      <c r="AD473" s="49">
        <f>IFERROR(IF(Data_Entry!AM462/Data_Entry!$H462&lt;0,0,Data_Entry!AM462/Data_Entry!$H462),0)</f>
        <v>2.4055882939069364</v>
      </c>
      <c r="AE473" s="50">
        <f>Data_Entry!AK462</f>
        <v>0</v>
      </c>
      <c r="AF473" s="50">
        <f>Data_Entry!AL462</f>
        <v>0</v>
      </c>
      <c r="AG473" s="153">
        <f>(Data_Entry!O462-Data_Entry!Q462)/Data_Entry!O462</f>
        <v>4.2941176470588233E-2</v>
      </c>
      <c r="AH473" s="79" t="str">
        <f t="shared" si="14"/>
        <v>CAT1</v>
      </c>
      <c r="AI473" s="51">
        <f>SUBTOTAL(3,Tableau1[[#This Row],[ZS]])</f>
        <v>0</v>
      </c>
      <c r="AJ473" s="51" t="e">
        <f t="shared" ca="1" si="15"/>
        <v>#NAME?</v>
      </c>
      <c r="AK473" s="50" t="str">
        <f>IFERROR(IF((Data_Entry!O462-Data_Entry!Q462)/Data_Entry!O462&lt;=10%,"&lt;=10%","&gt;10%"),"&lt;=10%")</f>
        <v>&lt;=10%</v>
      </c>
    </row>
    <row r="474" spans="1:37" s="48" customFormat="1" ht="13" hidden="1" x14ac:dyDescent="0.3">
      <c r="A474" s="31" t="s">
        <v>16</v>
      </c>
      <c r="B474" s="48" t="str">
        <f>Data_Entry!B463</f>
        <v>Goma</v>
      </c>
      <c r="C474" s="48" t="str">
        <f>Data_Entry!C463</f>
        <v xml:space="preserve"> Masisi</v>
      </c>
      <c r="D474" s="48" t="str">
        <f>Data_Entry!D463</f>
        <v xml:space="preserve"> Lukweti</v>
      </c>
      <c r="E474" s="49">
        <f>IFERROR(IF(Data_Entry!J463/Data_Entry!$I463&lt;0,0,Data_Entry!J463/Data_Entry!$I463),0)</f>
        <v>0.68982982171799023</v>
      </c>
      <c r="F474" s="49">
        <f>IFERROR(IF(Data_Entry!K463/Data_Entry!$H463&lt;0,0,Data_Entry!K463/Data_Entry!$H463),0)</f>
        <v>1.2364570223792914</v>
      </c>
      <c r="G474" s="49">
        <f>IFERROR(IF(Data_Entry!L463/Data_Entry!$H463&lt;0,0,Data_Entry!L463/Data_Entry!$H463),0)</f>
        <v>0.90557415723553736</v>
      </c>
      <c r="H474" s="49">
        <f>IFERROR(IF(Data_Entry!M463/Data_Entry!$H463&lt;0,0,Data_Entry!M463/Data_Entry!$H463),0)</f>
        <v>0.77322101117803577</v>
      </c>
      <c r="I474" s="49">
        <f>IFERROR(IF(Data_Entry!N463/Data_Entry!$H463&lt;0,0,Data_Entry!N463/Data_Entry!$H463),0)</f>
        <v>0.70356146062145597</v>
      </c>
      <c r="J474" s="49">
        <f>IFERROR(IF(Data_Entry!O463/Data_Entry!$H463&lt;0,0,Data_Entry!O463/Data_Entry!$H463),0)</f>
        <v>1.1458996066557376</v>
      </c>
      <c r="K474" s="49">
        <f>IFERROR(IF(Data_Entry!P463/Data_Entry!$H463&lt;0,0,Data_Entry!P463/Data_Entry!$H463),0)</f>
        <v>1.0170294381260652</v>
      </c>
      <c r="L474" s="49">
        <f>IFERROR(IF(Data_Entry!Q463/Data_Entry!$H463&lt;0,0,Data_Entry!Q463/Data_Entry!$H463),0)</f>
        <v>0.93692095498599837</v>
      </c>
      <c r="M474" s="49">
        <f>IFERROR(IF(Data_Entry!R463/Data_Entry!$H463&lt;0,0,Data_Entry!R463/Data_Entry!$H463),0)</f>
        <v>1.079723033626987</v>
      </c>
      <c r="N474" s="49">
        <f>IFERROR(IF(Data_Entry!S463/Data_Entry!$H463&lt;0,0,Data_Entry!S463/Data_Entry!$H463),0)</f>
        <v>0.96130179768080126</v>
      </c>
      <c r="O474" s="49">
        <f>IFERROR(IF(Data_Entry!T463/Data_Entry!$H463&lt;0,0,Data_Entry!T463/Data_Entry!$H463),0)</f>
        <v>0.89164224712422147</v>
      </c>
      <c r="P474" s="49">
        <f>IFERROR(IF(Data_Entry!U463/Data_Entry!$H463&lt;0,0,Data_Entry!U463/Data_Entry!$H463),0)</f>
        <v>0.94736988756948526</v>
      </c>
      <c r="Q474" s="49">
        <f>IFERROR(IF(Data_Entry!V463/Data_Entry!$H463&lt;0,0,Data_Entry!V463/Data_Entry!$H463),0)</f>
        <v>0.84984651679027357</v>
      </c>
      <c r="R474" s="49">
        <f>IFERROR(IF(Data_Entry!W463/Data_Entry!$H463&lt;0,0,Data_Entry!W463/Data_Entry!$H463),0)</f>
        <v>0.79760185387283866</v>
      </c>
      <c r="S474" s="49">
        <f>IFERROR(IF(Data_Entry!X463/Data_Entry!$H463&lt;0,0,Data_Entry!X463/Data_Entry!$H463),0)</f>
        <v>0.68614657298231108</v>
      </c>
      <c r="T474" s="49">
        <f>IFERROR(IF(Data_Entry!Y463/Data_Entry!$H463&lt;0,0,Data_Entry!Y463/Data_Entry!$H463),0)</f>
        <v>0.58862320220309927</v>
      </c>
      <c r="U474" s="49">
        <f>IFERROR(IF(Data_Entry!Z463/Data_Entry!$H463&lt;0,0,Data_Entry!Z463/Data_Entry!$H463),0)</f>
        <v>1.0832060111548159</v>
      </c>
      <c r="V474" s="49">
        <f>IFERROR(IF(Data_Entry!AA463/Data_Entry!$H463&lt;0,0,Data_Entry!AA463/Data_Entry!$H463),0)</f>
        <v>0.94040393251382726</v>
      </c>
      <c r="W474" s="49">
        <f>IFERROR(IF(Data_Entry!AB463/Data_Entry!$H463&lt;0,0,Data_Entry!AB463/Data_Entry!$H463),0)</f>
        <v>0.62345297748138917</v>
      </c>
      <c r="X474" s="49">
        <f>IFERROR(IF(Data_Entry!AC463/Data_Entry!$I463&lt;0,0,Data_Entry!AC463/Data_Entry!$I463),0)</f>
        <v>0.54396272285251213</v>
      </c>
      <c r="Y474" s="49">
        <f>IFERROR(IF(Data_Entry!AD463/Data_Entry!$I463&lt;0,0,Data_Entry!AD463/Data_Entry!$I463),0)</f>
        <v>0.38594003241491087</v>
      </c>
      <c r="Z474" s="49">
        <f>IFERROR(IF(Data_Entry!AE463/Data_Entry!$I463&lt;0,0,Data_Entry!AE463/Data_Entry!$I463),0)</f>
        <v>0.46495137763371153</v>
      </c>
      <c r="AA474" s="49">
        <f>IFERROR(IF(Data_Entry!AF463/Data_Entry!$I463&lt;0,0,Data_Entry!AF463/Data_Entry!$I463),0)</f>
        <v>0.38594003241491087</v>
      </c>
      <c r="AB474" s="49">
        <f>IFERROR(IF(Data_Entry!AG463/Data_Entry!$I463&lt;0,0,Data_Entry!AG463/Data_Entry!$I463),0)</f>
        <v>0.30692868719611022</v>
      </c>
      <c r="AC474" s="49">
        <f>IFERROR(IF(Data_Entry!AI463/Data_Entry!$I463&lt;0,0,Data_Entry!AI463/Data_Entry!$I463),0)</f>
        <v>0.15194489465153971</v>
      </c>
      <c r="AD474" s="49">
        <f>IFERROR(IF(Data_Entry!AM463/Data_Entry!$H463&lt;0,0,Data_Entry!AM463/Data_Entry!$H463),0)</f>
        <v>0.68614657298231108</v>
      </c>
      <c r="AE474" s="50">
        <f>Data_Entry!AK463</f>
        <v>0</v>
      </c>
      <c r="AF474" s="50">
        <f>Data_Entry!AL463</f>
        <v>132</v>
      </c>
      <c r="AG474" s="153">
        <f>(Data_Entry!O463-Data_Entry!Q463)/Data_Entry!O463</f>
        <v>0.18237082066869301</v>
      </c>
      <c r="AH474" s="79" t="str">
        <f t="shared" si="14"/>
        <v>CAT2</v>
      </c>
      <c r="AI474" s="51">
        <f>SUBTOTAL(3,Tableau1[[#This Row],[ZS]])</f>
        <v>0</v>
      </c>
      <c r="AJ474" s="51" t="e">
        <f t="shared" ca="1" si="15"/>
        <v>#NAME?</v>
      </c>
      <c r="AK474" s="50" t="str">
        <f>IFERROR(IF((Data_Entry!O463-Data_Entry!Q463)/Data_Entry!O463&lt;=10%,"&lt;=10%","&gt;10%"),"&lt;=10%")</f>
        <v>&gt;10%</v>
      </c>
    </row>
    <row r="475" spans="1:37" s="48" customFormat="1" ht="13" hidden="1" x14ac:dyDescent="0.3">
      <c r="A475" s="31" t="s">
        <v>16</v>
      </c>
      <c r="B475" s="48" t="str">
        <f>Data_Entry!B464</f>
        <v>Goma</v>
      </c>
      <c r="C475" s="48" t="str">
        <f>Data_Entry!C464</f>
        <v xml:space="preserve"> Masisi</v>
      </c>
      <c r="D475" s="48" t="str">
        <f>Data_Entry!D464</f>
        <v xml:space="preserve"> Lwibo</v>
      </c>
      <c r="E475" s="49">
        <f>IFERROR(IF(Data_Entry!J464/Data_Entry!$I464&lt;0,0,Data_Entry!J464/Data_Entry!$I464),0)</f>
        <v>0.67596566523605151</v>
      </c>
      <c r="F475" s="49">
        <f>IFERROR(IF(Data_Entry!K464/Data_Entry!$H464&lt;0,0,Data_Entry!K464/Data_Entry!$H464),0)</f>
        <v>0.52387569634885689</v>
      </c>
      <c r="G475" s="49">
        <f>IFERROR(IF(Data_Entry!L464/Data_Entry!$H464&lt;0,0,Data_Entry!L464/Data_Entry!$H464),0)</f>
        <v>1.1326044984443597</v>
      </c>
      <c r="H475" s="49">
        <f>IFERROR(IF(Data_Entry!M464/Data_Entry!$H464&lt;0,0,Data_Entry!M464/Data_Entry!$H464),0)</f>
        <v>0.99241241068903174</v>
      </c>
      <c r="I475" s="49">
        <f>IFERROR(IF(Data_Entry!N464/Data_Entry!$H464&lt;0,0,Data_Entry!N464/Data_Entry!$H464),0)</f>
        <v>1.0219265344269957</v>
      </c>
      <c r="J475" s="49">
        <f>IFERROR(IF(Data_Entry!O464/Data_Entry!$H464&lt;0,0,Data_Entry!O464/Data_Entry!$H464),0)</f>
        <v>1.1326044984443597</v>
      </c>
      <c r="K475" s="49">
        <f>IFERROR(IF(Data_Entry!P464/Data_Entry!$H464&lt;0,0,Data_Entry!P464/Data_Entry!$H464),0)</f>
        <v>0.99241241068903174</v>
      </c>
      <c r="L475" s="49">
        <f>IFERROR(IF(Data_Entry!Q464/Data_Entry!$H464&lt;0,0,Data_Entry!Q464/Data_Entry!$H464),0)</f>
        <v>1.0219265344269957</v>
      </c>
      <c r="M475" s="49">
        <f>IFERROR(IF(Data_Entry!R464/Data_Entry!$H464&lt;0,0,Data_Entry!R464/Data_Entry!$H464),0)</f>
        <v>1.1326044984443597</v>
      </c>
      <c r="N475" s="49">
        <f>IFERROR(IF(Data_Entry!S464/Data_Entry!$H464&lt;0,0,Data_Entry!S464/Data_Entry!$H464),0)</f>
        <v>0.99241241068903174</v>
      </c>
      <c r="O475" s="49">
        <f>IFERROR(IF(Data_Entry!T464/Data_Entry!$H464&lt;0,0,Data_Entry!T464/Data_Entry!$H464),0)</f>
        <v>1.0219265344269957</v>
      </c>
      <c r="P475" s="49">
        <f>IFERROR(IF(Data_Entry!U464/Data_Entry!$H464&lt;0,0,Data_Entry!U464/Data_Entry!$H464),0)</f>
        <v>0.99610167615627732</v>
      </c>
      <c r="Q475" s="49">
        <f>IFERROR(IF(Data_Entry!V464/Data_Entry!$H464&lt;0,0,Data_Entry!V464/Data_Entry!$H464),0)</f>
        <v>0.87804518120442221</v>
      </c>
      <c r="R475" s="49">
        <f>IFERROR(IF(Data_Entry!W464/Data_Entry!$H464&lt;0,0,Data_Entry!W464/Data_Entry!$H464),0)</f>
        <v>0.87435591573717675</v>
      </c>
      <c r="S475" s="49">
        <f>IFERROR(IF(Data_Entry!X464/Data_Entry!$H464&lt;0,0,Data_Entry!X464/Data_Entry!$H464),0)</f>
        <v>0.88911297760615859</v>
      </c>
      <c r="T475" s="49">
        <f>IFERROR(IF(Data_Entry!Y464/Data_Entry!$H464&lt;0,0,Data_Entry!Y464/Data_Entry!$H464),0)</f>
        <v>0.14388135322257339</v>
      </c>
      <c r="U475" s="49">
        <f>IFERROR(IF(Data_Entry!Z464/Data_Entry!$H464&lt;0,0,Data_Entry!Z464/Data_Entry!$H464),0)</f>
        <v>0.45746891793843847</v>
      </c>
      <c r="V475" s="49">
        <f>IFERROR(IF(Data_Entry!AA464/Data_Entry!$H464&lt;0,0,Data_Entry!AA464/Data_Entry!$H464),0)</f>
        <v>0.80794913732675822</v>
      </c>
      <c r="W475" s="49">
        <f>IFERROR(IF(Data_Entry!AB464/Data_Entry!$H464&lt;0,0,Data_Entry!AB464/Data_Entry!$H464),0)</f>
        <v>4.7960451074191127E-2</v>
      </c>
      <c r="X475" s="49">
        <f>IFERROR(IF(Data_Entry!AC464/Data_Entry!$I464&lt;0,0,Data_Entry!AC464/Data_Entry!$I464),0)</f>
        <v>0.30257510729613735</v>
      </c>
      <c r="Y475" s="49">
        <f>IFERROR(IF(Data_Entry!AD464/Data_Entry!$I464&lt;0,0,Data_Entry!AD464/Data_Entry!$I464),0)</f>
        <v>0.31545064377682402</v>
      </c>
      <c r="Z475" s="49">
        <f>IFERROR(IF(Data_Entry!AE464/Data_Entry!$I464&lt;0,0,Data_Entry!AE464/Data_Entry!$I464),0)</f>
        <v>0.14806866952789699</v>
      </c>
      <c r="AA475" s="49">
        <f>IFERROR(IF(Data_Entry!AF464/Data_Entry!$I464&lt;0,0,Data_Entry!AF464/Data_Entry!$I464),0)</f>
        <v>0.12553648068669526</v>
      </c>
      <c r="AB475" s="49">
        <f>IFERROR(IF(Data_Entry!AG464/Data_Entry!$I464&lt;0,0,Data_Entry!AG464/Data_Entry!$I464),0)</f>
        <v>0.14806866952789699</v>
      </c>
      <c r="AC475" s="49">
        <f>IFERROR(IF(Data_Entry!AI464/Data_Entry!$I464&lt;0,0,Data_Entry!AI464/Data_Entry!$I464),0)</f>
        <v>0.16094420600858367</v>
      </c>
      <c r="AD475" s="49">
        <f>IFERROR(IF(Data_Entry!AM464/Data_Entry!$H464&lt;0,0,Data_Entry!AM464/Data_Entry!$H464),0)</f>
        <v>0.45746891793843847</v>
      </c>
      <c r="AE475" s="50">
        <f>Data_Entry!AK464</f>
        <v>0</v>
      </c>
      <c r="AF475" s="50">
        <f>Data_Entry!AL464</f>
        <v>66</v>
      </c>
      <c r="AG475" s="153">
        <f>(Data_Entry!O464-Data_Entry!Q464)/Data_Entry!O464</f>
        <v>9.7719869706840393E-2</v>
      </c>
      <c r="AH475" s="79" t="str">
        <f t="shared" si="14"/>
        <v>CAT1</v>
      </c>
      <c r="AI475" s="51">
        <f>SUBTOTAL(3,Tableau1[[#This Row],[ZS]])</f>
        <v>0</v>
      </c>
      <c r="AJ475" s="51" t="e">
        <f t="shared" ca="1" si="15"/>
        <v>#NAME?</v>
      </c>
      <c r="AK475" s="50" t="str">
        <f>IFERROR(IF((Data_Entry!O464-Data_Entry!Q464)/Data_Entry!O464&lt;=10%,"&lt;=10%","&gt;10%"),"&lt;=10%")</f>
        <v>&lt;=10%</v>
      </c>
    </row>
    <row r="476" spans="1:37" s="48" customFormat="1" ht="13" hidden="1" x14ac:dyDescent="0.3">
      <c r="A476" s="31" t="s">
        <v>16</v>
      </c>
      <c r="B476" s="48" t="str">
        <f>Data_Entry!B465</f>
        <v>Goma</v>
      </c>
      <c r="C476" s="48" t="str">
        <f>Data_Entry!C465</f>
        <v xml:space="preserve"> Masisi</v>
      </c>
      <c r="D476" s="48" t="str">
        <f>Data_Entry!D465</f>
        <v xml:space="preserve"> Mahanga</v>
      </c>
      <c r="E476" s="49">
        <f>IFERROR(IF(Data_Entry!J465/Data_Entry!$I465&lt;0,0,Data_Entry!J465/Data_Entry!$I465),0)</f>
        <v>1.2274719922065269</v>
      </c>
      <c r="F476" s="49">
        <f>IFERROR(IF(Data_Entry!K465/Data_Entry!$H465&lt;0,0,Data_Entry!K465/Data_Entry!$H465),0)</f>
        <v>0.68667419403012153</v>
      </c>
      <c r="G476" s="49">
        <f>IFERROR(IF(Data_Entry!L465/Data_Entry!$H465&lt;0,0,Data_Entry!L465/Data_Entry!$H465),0)</f>
        <v>1.497284706007143</v>
      </c>
      <c r="H476" s="49">
        <f>IFERROR(IF(Data_Entry!M465/Data_Entry!$H465&lt;0,0,Data_Entry!M465/Data_Entry!$H465),0)</f>
        <v>1.1556224240994728</v>
      </c>
      <c r="I476" s="49">
        <f>IFERROR(IF(Data_Entry!N465/Data_Entry!$H465&lt;0,0,Data_Entry!N465/Data_Entry!$H465),0)</f>
        <v>1.3365024556976512</v>
      </c>
      <c r="J476" s="49">
        <f>IFERROR(IF(Data_Entry!O465/Data_Entry!$H465&lt;0,0,Data_Entry!O465/Data_Entry!$H465),0)</f>
        <v>1.5944239822357944</v>
      </c>
      <c r="K476" s="49">
        <f>IFERROR(IF(Data_Entry!P465/Data_Entry!$H465&lt;0,0,Data_Entry!P465/Data_Entry!$H465),0)</f>
        <v>1.2326639190394377</v>
      </c>
      <c r="L476" s="49">
        <f>IFERROR(IF(Data_Entry!Q465/Data_Entry!$H465&lt;0,0,Data_Entry!Q465/Data_Entry!$H465),0)</f>
        <v>1.4235928412819594</v>
      </c>
      <c r="M476" s="49">
        <f>IFERROR(IF(Data_Entry!R465/Data_Entry!$H465&lt;0,0,Data_Entry!R465/Data_Entry!$H465),0)</f>
        <v>1.5944239822357944</v>
      </c>
      <c r="N476" s="49">
        <f>IFERROR(IF(Data_Entry!S465/Data_Entry!$H465&lt;0,0,Data_Entry!S465/Data_Entry!$H465),0)</f>
        <v>1.2326639190394377</v>
      </c>
      <c r="O476" s="49">
        <f>IFERROR(IF(Data_Entry!T465/Data_Entry!$H465&lt;0,0,Data_Entry!T465/Data_Entry!$H465),0)</f>
        <v>1.3934461693489297</v>
      </c>
      <c r="P476" s="49">
        <f>IFERROR(IF(Data_Entry!U465/Data_Entry!$H465&lt;0,0,Data_Entry!U465/Data_Entry!$H465),0)</f>
        <v>1.4235928412819594</v>
      </c>
      <c r="Q476" s="49">
        <f>IFERROR(IF(Data_Entry!V465/Data_Entry!$H465&lt;0,0,Data_Entry!V465/Data_Entry!$H465),0)</f>
        <v>1.0819305593742892</v>
      </c>
      <c r="R476" s="49">
        <f>IFERROR(IF(Data_Entry!W465/Data_Entry!$H465&lt;0,0,Data_Entry!W465/Data_Entry!$H465),0)</f>
        <v>1.2360135492542188</v>
      </c>
      <c r="S476" s="49">
        <f>IFERROR(IF(Data_Entry!X465/Data_Entry!$H465&lt;0,0,Data_Entry!X465/Data_Entry!$H465),0)</f>
        <v>0.77376457961442968</v>
      </c>
      <c r="T476" s="49">
        <f>IFERROR(IF(Data_Entry!Y465/Data_Entry!$H465&lt;0,0,Data_Entry!Y465/Data_Entry!$H465),0)</f>
        <v>0.58953491780147027</v>
      </c>
      <c r="U476" s="49">
        <f>IFERROR(IF(Data_Entry!Z465/Data_Entry!$H465&lt;0,0,Data_Entry!Z465/Data_Entry!$H465),0)</f>
        <v>1.1489231636699107</v>
      </c>
      <c r="V476" s="49">
        <f>IFERROR(IF(Data_Entry!AA465/Data_Entry!$H465&lt;0,0,Data_Entry!AA465/Data_Entry!$H465),0)</f>
        <v>0.90774978820567287</v>
      </c>
      <c r="W476" s="49">
        <f>IFERROR(IF(Data_Entry!AB465/Data_Entry!$H465&lt;0,0,Data_Entry!AB465/Data_Entry!$H465),0)</f>
        <v>0.66322678252665401</v>
      </c>
      <c r="X476" s="49">
        <f>IFERROR(IF(Data_Entry!AC465/Data_Entry!$I465&lt;0,0,Data_Entry!AC465/Data_Entry!$I465),0)</f>
        <v>0.4062347783731125</v>
      </c>
      <c r="Y476" s="49">
        <f>IFERROR(IF(Data_Entry!AD465/Data_Entry!$I465&lt;0,0,Data_Entry!AD465/Data_Entry!$I465),0)</f>
        <v>0.40915733073550897</v>
      </c>
      <c r="Z476" s="49">
        <f>IFERROR(IF(Data_Entry!AE465/Data_Entry!$I465&lt;0,0,Data_Entry!AE465/Data_Entry!$I465),0)</f>
        <v>0.21626887481734047</v>
      </c>
      <c r="AA476" s="49">
        <f>IFERROR(IF(Data_Entry!AF465/Data_Entry!$I465&lt;0,0,Data_Entry!AF465/Data_Entry!$I465),0)</f>
        <v>0.21626887481734047</v>
      </c>
      <c r="AB476" s="49">
        <f>IFERROR(IF(Data_Entry!AG465/Data_Entry!$I465&lt;0,0,Data_Entry!AG465/Data_Entry!$I465),0)</f>
        <v>0.23380418899171942</v>
      </c>
      <c r="AC476" s="49">
        <f>IFERROR(IF(Data_Entry!AI465/Data_Entry!$I465&lt;0,0,Data_Entry!AI465/Data_Entry!$I465),0)</f>
        <v>0.14612761811982464</v>
      </c>
      <c r="AD476" s="49">
        <f>IFERROR(IF(Data_Entry!AM465/Data_Entry!$H465&lt;0,0,Data_Entry!AM465/Data_Entry!$H465),0)</f>
        <v>0.77376457961442968</v>
      </c>
      <c r="AE476" s="50">
        <f>Data_Entry!AK465</f>
        <v>0</v>
      </c>
      <c r="AF476" s="50">
        <f>Data_Entry!AL465</f>
        <v>245</v>
      </c>
      <c r="AG476" s="153">
        <f>(Data_Entry!O465-Data_Entry!Q465)/Data_Entry!O465</f>
        <v>0.10714285714285714</v>
      </c>
      <c r="AH476" s="79" t="str">
        <f t="shared" si="14"/>
        <v>CAT2</v>
      </c>
      <c r="AI476" s="51">
        <f>SUBTOTAL(3,Tableau1[[#This Row],[ZS]])</f>
        <v>0</v>
      </c>
      <c r="AJ476" s="51" t="e">
        <f t="shared" ca="1" si="15"/>
        <v>#NAME?</v>
      </c>
      <c r="AK476" s="50" t="str">
        <f>IFERROR(IF((Data_Entry!O465-Data_Entry!Q465)/Data_Entry!O465&lt;=10%,"&lt;=10%","&gt;10%"),"&lt;=10%")</f>
        <v>&gt;10%</v>
      </c>
    </row>
    <row r="477" spans="1:37" s="48" customFormat="1" ht="13" hidden="1" x14ac:dyDescent="0.3">
      <c r="A477" s="31" t="s">
        <v>16</v>
      </c>
      <c r="B477" s="48" t="str">
        <f>Data_Entry!B466</f>
        <v>Goma</v>
      </c>
      <c r="C477" s="48" t="str">
        <f>Data_Entry!C466</f>
        <v xml:space="preserve"> Masisi</v>
      </c>
      <c r="D477" s="48" t="str">
        <f>Data_Entry!D466</f>
        <v xml:space="preserve"> Mahya</v>
      </c>
      <c r="E477" s="49">
        <f>IFERROR(IF(Data_Entry!J466/Data_Entry!$I466&lt;0,0,Data_Entry!J466/Data_Entry!$I466),0)</f>
        <v>0.35084946661398658</v>
      </c>
      <c r="F477" s="49">
        <f>IFERROR(IF(Data_Entry!K466/Data_Entry!$H466&lt;0,0,Data_Entry!K466/Data_Entry!$H466),0)</f>
        <v>1.3014550802145093</v>
      </c>
      <c r="G477" s="49">
        <f>IFERROR(IF(Data_Entry!L466/Data_Entry!$H466&lt;0,0,Data_Entry!L466/Data_Entry!$H466),0)</f>
        <v>1.3367764080700177</v>
      </c>
      <c r="H477" s="49">
        <f>IFERROR(IF(Data_Entry!M466/Data_Entry!$H466&lt;0,0,Data_Entry!M466/Data_Entry!$H466),0)</f>
        <v>1.1465846426942023</v>
      </c>
      <c r="I477" s="49">
        <f>IFERROR(IF(Data_Entry!N466/Data_Entry!$H466&lt;0,0,Data_Entry!N466/Data_Entry!$H466),0)</f>
        <v>1.0161674321507859</v>
      </c>
      <c r="J477" s="49">
        <f>IFERROR(IF(Data_Entry!O466/Data_Entry!$H466&lt;0,0,Data_Entry!O466/Data_Entry!$H466),0)</f>
        <v>1.2688507775786551</v>
      </c>
      <c r="K477" s="49">
        <f>IFERROR(IF(Data_Entry!P466/Data_Entry!$H466&lt;0,0,Data_Entry!P466/Data_Entry!$H466),0)</f>
        <v>1.214510273185565</v>
      </c>
      <c r="L477" s="49">
        <f>IFERROR(IF(Data_Entry!Q466/Data_Entry!$H466&lt;0,0,Data_Entry!Q466/Data_Entry!$H466),0)</f>
        <v>1.0161674321507859</v>
      </c>
      <c r="M477" s="49">
        <f>IFERROR(IF(Data_Entry!R466/Data_Entry!$H466&lt;0,0,Data_Entry!R466/Data_Entry!$H466),0)</f>
        <v>1.3367764080700177</v>
      </c>
      <c r="N477" s="49">
        <f>IFERROR(IF(Data_Entry!S466/Data_Entry!$H466&lt;0,0,Data_Entry!S466/Data_Entry!$H466),0)</f>
        <v>1.214510273185565</v>
      </c>
      <c r="O477" s="49">
        <f>IFERROR(IF(Data_Entry!T466/Data_Entry!$H466&lt;0,0,Data_Entry!T466/Data_Entry!$H466),0)</f>
        <v>1.0161674321507859</v>
      </c>
      <c r="P477" s="49">
        <f>IFERROR(IF(Data_Entry!U466/Data_Entry!$H466&lt;0,0,Data_Entry!U466/Data_Entry!$H466),0)</f>
        <v>1.3367764080700177</v>
      </c>
      <c r="Q477" s="49">
        <f>IFERROR(IF(Data_Entry!V466/Data_Entry!$H466&lt;0,0,Data_Entry!V466/Data_Entry!$H466),0)</f>
        <v>1.214510273185565</v>
      </c>
      <c r="R477" s="49">
        <f>IFERROR(IF(Data_Entry!W466/Data_Entry!$H466&lt;0,0,Data_Entry!W466/Data_Entry!$H466),0)</f>
        <v>1.0161674321507859</v>
      </c>
      <c r="S477" s="49">
        <f>IFERROR(IF(Data_Entry!X466/Data_Entry!$H466&lt;0,0,Data_Entry!X466/Data_Entry!$H466),0)</f>
        <v>1.38024881158449</v>
      </c>
      <c r="T477" s="49">
        <f>IFERROR(IF(Data_Entry!Y466/Data_Entry!$H466&lt;0,0,Data_Entry!Y466/Data_Entry!$H466),0)</f>
        <v>0.32876005157819543</v>
      </c>
      <c r="U477" s="49">
        <f>IFERROR(IF(Data_Entry!Z466/Data_Entry!$H466&lt;0,0,Data_Entry!Z466/Data_Entry!$H466),0)</f>
        <v>1.3259083071913997</v>
      </c>
      <c r="V477" s="49">
        <f>IFERROR(IF(Data_Entry!AA466/Data_Entry!$H466&lt;0,0,Data_Entry!AA466/Data_Entry!$H466),0)</f>
        <v>1.1438676174745477</v>
      </c>
      <c r="W477" s="49">
        <f>IFERROR(IF(Data_Entry!AB466/Data_Entry!$H466&lt;0,0,Data_Entry!AB466/Data_Entry!$H466),0)</f>
        <v>0.39396865684990362</v>
      </c>
      <c r="X477" s="49">
        <f>IFERROR(IF(Data_Entry!AC466/Data_Entry!$I466&lt;0,0,Data_Entry!AC466/Data_Entry!$I466),0)</f>
        <v>0.25365468194389573</v>
      </c>
      <c r="Y477" s="49">
        <f>IFERROR(IF(Data_Entry!AD466/Data_Entry!$I466&lt;0,0,Data_Entry!AD466/Data_Entry!$I466),0)</f>
        <v>0.24654286843145004</v>
      </c>
      <c r="Z477" s="49">
        <f>IFERROR(IF(Data_Entry!AE466/Data_Entry!$I466&lt;0,0,Data_Entry!AE466/Data_Entry!$I466),0)</f>
        <v>0.14934808376135916</v>
      </c>
      <c r="AA477" s="49">
        <f>IFERROR(IF(Data_Entry!AF466/Data_Entry!$I466&lt;0,0,Data_Entry!AF466/Data_Entry!$I466),0)</f>
        <v>0.13275385223231925</v>
      </c>
      <c r="AB477" s="49">
        <f>IFERROR(IF(Data_Entry!AG466/Data_Entry!$I466&lt;0,0,Data_Entry!AG466/Data_Entry!$I466),0)</f>
        <v>0.12564203871987356</v>
      </c>
      <c r="AC477" s="49">
        <f>IFERROR(IF(Data_Entry!AI466/Data_Entry!$I466&lt;0,0,Data_Entry!AI466/Data_Entry!$I466),0)</f>
        <v>0.1185302252074279</v>
      </c>
      <c r="AD477" s="49">
        <f>IFERROR(IF(Data_Entry!AM466/Data_Entry!$H466&lt;0,0,Data_Entry!AM466/Data_Entry!$H466),0)</f>
        <v>1.3259083071913997</v>
      </c>
      <c r="AE477" s="50">
        <f>Data_Entry!AK466</f>
        <v>0</v>
      </c>
      <c r="AF477" s="50">
        <f>Data_Entry!AL466</f>
        <v>0</v>
      </c>
      <c r="AG477" s="153">
        <f>(Data_Entry!O466-Data_Entry!Q466)/Data_Entry!O466</f>
        <v>0.19914346895074947</v>
      </c>
      <c r="AH477" s="79" t="str">
        <f t="shared" si="14"/>
        <v>CAT2</v>
      </c>
      <c r="AI477" s="51">
        <f>SUBTOTAL(3,Tableau1[[#This Row],[ZS]])</f>
        <v>0</v>
      </c>
      <c r="AJ477" s="51" t="e">
        <f t="shared" ca="1" si="15"/>
        <v>#NAME?</v>
      </c>
      <c r="AK477" s="50" t="str">
        <f>IFERROR(IF((Data_Entry!O466-Data_Entry!Q466)/Data_Entry!O466&lt;=10%,"&lt;=10%","&gt;10%"),"&lt;=10%")</f>
        <v>&gt;10%</v>
      </c>
    </row>
    <row r="478" spans="1:37" s="48" customFormat="1" ht="13" hidden="1" x14ac:dyDescent="0.3">
      <c r="A478" s="31" t="s">
        <v>16</v>
      </c>
      <c r="B478" s="48" t="str">
        <f>Data_Entry!B467</f>
        <v>Goma</v>
      </c>
      <c r="C478" s="48" t="str">
        <f>Data_Entry!C467</f>
        <v xml:space="preserve"> Masisi</v>
      </c>
      <c r="D478" s="48" t="str">
        <f>Data_Entry!D467</f>
        <v xml:space="preserve"> Masisi</v>
      </c>
      <c r="E478" s="49">
        <f>IFERROR(IF(Data_Entry!J467/Data_Entry!$I467&lt;0,0,Data_Entry!J467/Data_Entry!$I467),0)</f>
        <v>3.1790245836637592</v>
      </c>
      <c r="F478" s="49">
        <f>IFERROR(IF(Data_Entry!K467/Data_Entry!$H467&lt;0,0,Data_Entry!K467/Data_Entry!$H467),0)</f>
        <v>6.2487360511169321</v>
      </c>
      <c r="G478" s="49">
        <f>IFERROR(IF(Data_Entry!L467/Data_Entry!$H467&lt;0,0,Data_Entry!L467/Data_Entry!$H467),0)</f>
        <v>1.9246107037440152</v>
      </c>
      <c r="H478" s="49">
        <f>IFERROR(IF(Data_Entry!M467/Data_Entry!$H467&lt;0,0,Data_Entry!M467/Data_Entry!$H467),0)</f>
        <v>1.925746837571491</v>
      </c>
      <c r="I478" s="49">
        <f>IFERROR(IF(Data_Entry!N467/Data_Entry!$H467&lt;0,0,Data_Entry!N467/Data_Entry!$H467),0)</f>
        <v>2.0314072835267409</v>
      </c>
      <c r="J478" s="49">
        <f>IFERROR(IF(Data_Entry!O467/Data_Entry!$H467&lt;0,0,Data_Entry!O467/Data_Entry!$H467),0)</f>
        <v>2.0893501087280071</v>
      </c>
      <c r="K478" s="49">
        <f>IFERROR(IF(Data_Entry!P467/Data_Entry!$H467&lt;0,0,Data_Entry!P467/Data_Entry!$H467),0)</f>
        <v>1.925746837571491</v>
      </c>
      <c r="L478" s="49">
        <f>IFERROR(IF(Data_Entry!Q467/Data_Entry!$H467&lt;0,0,Data_Entry!Q467/Data_Entry!$H467),0)</f>
        <v>2.0314072835267409</v>
      </c>
      <c r="M478" s="49">
        <f>IFERROR(IF(Data_Entry!R467/Data_Entry!$H467&lt;0,0,Data_Entry!R467/Data_Entry!$H467),0)</f>
        <v>2.0893501087280071</v>
      </c>
      <c r="N478" s="49">
        <f>IFERROR(IF(Data_Entry!S467/Data_Entry!$H467&lt;0,0,Data_Entry!S467/Data_Entry!$H467),0)</f>
        <v>1.925746837571491</v>
      </c>
      <c r="O478" s="49">
        <f>IFERROR(IF(Data_Entry!T467/Data_Entry!$H467&lt;0,0,Data_Entry!T467/Data_Entry!$H467),0)</f>
        <v>2.0314072835267409</v>
      </c>
      <c r="P478" s="49">
        <f>IFERROR(IF(Data_Entry!U467/Data_Entry!$H467&lt;0,0,Data_Entry!U467/Data_Entry!$H467),0)</f>
        <v>2.0802610381082007</v>
      </c>
      <c r="Q478" s="49">
        <f>IFERROR(IF(Data_Entry!V467/Data_Entry!$H467&lt;0,0,Data_Entry!V467/Data_Entry!$H467),0)</f>
        <v>1.7223788824533217</v>
      </c>
      <c r="R478" s="49">
        <f>IFERROR(IF(Data_Entry!W467/Data_Entry!$H467&lt;0,0,Data_Entry!W467/Data_Entry!$H467),0)</f>
        <v>1.8280393284085716</v>
      </c>
      <c r="S478" s="49">
        <f>IFERROR(IF(Data_Entry!X467/Data_Entry!$H467&lt;0,0,Data_Entry!X467/Data_Entry!$H467),0)</f>
        <v>3.7958231175966675</v>
      </c>
      <c r="T478" s="49">
        <f>IFERROR(IF(Data_Entry!Y467/Data_Entry!$H467&lt;0,0,Data_Entry!Y467/Data_Entry!$H467),0)</f>
        <v>0.95435241507967694</v>
      </c>
      <c r="U478" s="49">
        <f>IFERROR(IF(Data_Entry!Z467/Data_Entry!$H467&lt;0,0,Data_Entry!Z467/Data_Entry!$H467),0)</f>
        <v>3.6935710731238451</v>
      </c>
      <c r="V478" s="49">
        <f>IFERROR(IF(Data_Entry!AA467/Data_Entry!$H467&lt;0,0,Data_Entry!AA467/Data_Entry!$H467),0)</f>
        <v>1.8553065402679909</v>
      </c>
      <c r="W478" s="49">
        <f>IFERROR(IF(Data_Entry!AB467/Data_Entry!$H467&lt;0,0,Data_Entry!AB467/Data_Entry!$H467),0)</f>
        <v>1.4622042359613623</v>
      </c>
      <c r="X478" s="49">
        <f>IFERROR(IF(Data_Entry!AC467/Data_Entry!$I467&lt;0,0,Data_Entry!AC467/Data_Entry!$I467),0)</f>
        <v>0.39254559873116573</v>
      </c>
      <c r="Y478" s="49">
        <f>IFERROR(IF(Data_Entry!AD467/Data_Entry!$I467&lt;0,0,Data_Entry!AD467/Data_Entry!$I467),0)</f>
        <v>0.27260111022997624</v>
      </c>
      <c r="Z478" s="49">
        <f>IFERROR(IF(Data_Entry!AE467/Data_Entry!$I467&lt;0,0,Data_Entry!AE467/Data_Entry!$I467),0)</f>
        <v>0.41732751784298178</v>
      </c>
      <c r="AA478" s="49">
        <f>IFERROR(IF(Data_Entry!AF467/Data_Entry!$I467&lt;0,0,Data_Entry!AF467/Data_Entry!$I467),0)</f>
        <v>0.31720856463124508</v>
      </c>
      <c r="AB478" s="49">
        <f>IFERROR(IF(Data_Entry!AG467/Data_Entry!$I467&lt;0,0,Data_Entry!AG467/Data_Entry!$I467),0)</f>
        <v>0.48869944488501194</v>
      </c>
      <c r="AC478" s="49">
        <f>IFERROR(IF(Data_Entry!AI467/Data_Entry!$I467&lt;0,0,Data_Entry!AI467/Data_Entry!$I467),0)</f>
        <v>5.7791435368754959E-2</v>
      </c>
      <c r="AD478" s="49">
        <f>IFERROR(IF(Data_Entry!AM467/Data_Entry!$H467&lt;0,0,Data_Entry!AM467/Data_Entry!$H467),0)</f>
        <v>3.6935710731238451</v>
      </c>
      <c r="AE478" s="50">
        <f>Data_Entry!AK467</f>
        <v>0</v>
      </c>
      <c r="AF478" s="50">
        <f>Data_Entry!AL467</f>
        <v>0</v>
      </c>
      <c r="AG478" s="153">
        <f>(Data_Entry!O467-Data_Entry!Q467)/Data_Entry!O467</f>
        <v>2.7732463295269169E-2</v>
      </c>
      <c r="AH478" s="79" t="str">
        <f t="shared" si="14"/>
        <v>CAT1</v>
      </c>
      <c r="AI478" s="51">
        <f>SUBTOTAL(3,Tableau1[[#This Row],[ZS]])</f>
        <v>0</v>
      </c>
      <c r="AJ478" s="51" t="e">
        <f t="shared" ca="1" si="15"/>
        <v>#NAME?</v>
      </c>
      <c r="AK478" s="50" t="str">
        <f>IFERROR(IF((Data_Entry!O467-Data_Entry!Q467)/Data_Entry!O467&lt;=10%,"&lt;=10%","&gt;10%"),"&lt;=10%")</f>
        <v>&lt;=10%</v>
      </c>
    </row>
    <row r="479" spans="1:37" s="48" customFormat="1" ht="13" hidden="1" x14ac:dyDescent="0.3">
      <c r="A479" s="31" t="s">
        <v>16</v>
      </c>
      <c r="B479" s="48" t="str">
        <f>Data_Entry!B468</f>
        <v>Goma</v>
      </c>
      <c r="C479" s="48" t="str">
        <f>Data_Entry!C468</f>
        <v xml:space="preserve"> Masisi</v>
      </c>
      <c r="D479" s="48" t="str">
        <f>Data_Entry!D468</f>
        <v xml:space="preserve"> Mbitsi</v>
      </c>
      <c r="E479" s="49">
        <f>IFERROR(IF(Data_Entry!J468/Data_Entry!$I468&lt;0,0,Data_Entry!J468/Data_Entry!$I468),0)</f>
        <v>1.2655382174028036</v>
      </c>
      <c r="F479" s="49">
        <f>IFERROR(IF(Data_Entry!K468/Data_Entry!$H468&lt;0,0,Data_Entry!K468/Data_Entry!$H468),0)</f>
        <v>1.0889919360033464</v>
      </c>
      <c r="G479" s="49">
        <f>IFERROR(IF(Data_Entry!L468/Data_Entry!$H468&lt;0,0,Data_Entry!L468/Data_Entry!$H468),0)</f>
        <v>1.5686940205476181</v>
      </c>
      <c r="H479" s="49">
        <f>IFERROR(IF(Data_Entry!M468/Data_Entry!$H468&lt;0,0,Data_Entry!M468/Data_Entry!$H468),0)</f>
        <v>1.5550532029776389</v>
      </c>
      <c r="I479" s="49">
        <f>IFERROR(IF(Data_Entry!N468/Data_Entry!$H468&lt;0,0,Data_Entry!N468/Data_Entry!$H468),0)</f>
        <v>1.4913960543177356</v>
      </c>
      <c r="J479" s="49">
        <f>IFERROR(IF(Data_Entry!O468/Data_Entry!$H468&lt;0,0,Data_Entry!O468/Data_Entry!$H468),0)</f>
        <v>1.2504082772481016</v>
      </c>
      <c r="K479" s="49">
        <f>IFERROR(IF(Data_Entry!P468/Data_Entry!$H468&lt;0,0,Data_Entry!P468/Data_Entry!$H468),0)</f>
        <v>1.2640490948180807</v>
      </c>
      <c r="L479" s="49">
        <f>IFERROR(IF(Data_Entry!Q468/Data_Entry!$H468&lt;0,0,Data_Entry!Q468/Data_Entry!$H468),0)</f>
        <v>1.3959103313278804</v>
      </c>
      <c r="M479" s="49">
        <f>IFERROR(IF(Data_Entry!R468/Data_Entry!$H468&lt;0,0,Data_Entry!R468/Data_Entry!$H468),0)</f>
        <v>1.4663878887727735</v>
      </c>
      <c r="N479" s="49">
        <f>IFERROR(IF(Data_Entry!S468/Data_Entry!$H468&lt;0,0,Data_Entry!S468/Data_Entry!$H468),0)</f>
        <v>1.439106253632815</v>
      </c>
      <c r="O479" s="49">
        <f>IFERROR(IF(Data_Entry!T468/Data_Entry!$H468&lt;0,0,Data_Entry!T468/Data_Entry!$H468),0)</f>
        <v>1.3686286961879219</v>
      </c>
      <c r="P479" s="49">
        <f>IFERROR(IF(Data_Entry!U468/Data_Entry!$H468&lt;0,0,Data_Entry!U468/Data_Entry!$H468),0)</f>
        <v>1.1776572502082119</v>
      </c>
      <c r="Q479" s="49">
        <f>IFERROR(IF(Data_Entry!V468/Data_Entry!$H468&lt;0,0,Data_Entry!V468/Data_Entry!$H468),0)</f>
        <v>1.3163388955030013</v>
      </c>
      <c r="R479" s="49">
        <f>IFERROR(IF(Data_Entry!W468/Data_Entry!$H468&lt;0,0,Data_Entry!W468/Data_Entry!$H468),0)</f>
        <v>1.2867837907680462</v>
      </c>
      <c r="S479" s="49">
        <f>IFERROR(IF(Data_Entry!X468/Data_Entry!$H468&lt;0,0,Data_Entry!X468/Data_Entry!$H468),0)</f>
        <v>1.8324164935672178</v>
      </c>
      <c r="T479" s="49">
        <f>IFERROR(IF(Data_Entry!Y468/Data_Entry!$H468&lt;0,0,Data_Entry!Y468/Data_Entry!$H468),0)</f>
        <v>0.6024694426740852</v>
      </c>
      <c r="U479" s="49">
        <f>IFERROR(IF(Data_Entry!Z468/Data_Entry!$H468&lt;0,0,Data_Entry!Z468/Data_Entry!$H468),0)</f>
        <v>1.1890245981831946</v>
      </c>
      <c r="V479" s="49">
        <f>IFERROR(IF(Data_Entry!AA468/Data_Entry!$H468&lt;0,0,Data_Entry!AA468/Data_Entry!$H468),0)</f>
        <v>1.987012426026983</v>
      </c>
      <c r="W479" s="49">
        <f>IFERROR(IF(Data_Entry!AB468/Data_Entry!$H468&lt;0,0,Data_Entry!AB468/Data_Entry!$H468),0)</f>
        <v>0.74797149675386432</v>
      </c>
      <c r="X479" s="49">
        <f>IFERROR(IF(Data_Entry!AC468/Data_Entry!$I468&lt;0,0,Data_Entry!AC468/Data_Entry!$I468),0)</f>
        <v>0.4006876487701666</v>
      </c>
      <c r="Y479" s="49">
        <f>IFERROR(IF(Data_Entry!AD468/Data_Entry!$I468&lt;0,0,Data_Entry!AD468/Data_Entry!$I468),0)</f>
        <v>0.38878603544035972</v>
      </c>
      <c r="Z479" s="49">
        <f>IFERROR(IF(Data_Entry!AE468/Data_Entry!$I468&lt;0,0,Data_Entry!AE468/Data_Entry!$I468),0)</f>
        <v>0.50185136207352554</v>
      </c>
      <c r="AA479" s="49">
        <f>IFERROR(IF(Data_Entry!AF468/Data_Entry!$I468&lt;0,0,Data_Entry!AF468/Data_Entry!$I468),0)</f>
        <v>0.45821211319756677</v>
      </c>
      <c r="AB479" s="49">
        <f>IFERROR(IF(Data_Entry!AG468/Data_Entry!$I468&lt;0,0,Data_Entry!AG468/Data_Entry!$I468),0)</f>
        <v>0.21819624437979371</v>
      </c>
      <c r="AC479" s="49">
        <f>IFERROR(IF(Data_Entry!AI468/Data_Entry!$I468&lt;0,0,Data_Entry!AI468/Data_Entry!$I468),0)</f>
        <v>0.10751124041258928</v>
      </c>
      <c r="AD479" s="49">
        <f>IFERROR(IF(Data_Entry!AM468/Data_Entry!$H468&lt;0,0,Data_Entry!AM468/Data_Entry!$H468),0)</f>
        <v>1.1890245981831946</v>
      </c>
      <c r="AE479" s="50">
        <f>Data_Entry!AK468</f>
        <v>0</v>
      </c>
      <c r="AF479" s="50">
        <f>Data_Entry!AL468</f>
        <v>0</v>
      </c>
      <c r="AG479" s="153">
        <f>(Data_Entry!O468-Data_Entry!Q468)/Data_Entry!O468</f>
        <v>-0.11636363636363636</v>
      </c>
      <c r="AH479" s="79" t="str">
        <f t="shared" si="14"/>
        <v>CAT1</v>
      </c>
      <c r="AI479" s="51">
        <f>SUBTOTAL(3,Tableau1[[#This Row],[ZS]])</f>
        <v>0</v>
      </c>
      <c r="AJ479" s="51" t="e">
        <f t="shared" ca="1" si="15"/>
        <v>#NAME?</v>
      </c>
      <c r="AK479" s="50" t="str">
        <f>IFERROR(IF((Data_Entry!O468-Data_Entry!Q468)/Data_Entry!O468&lt;=10%,"&lt;=10%","&gt;10%"),"&lt;=10%")</f>
        <v>&lt;=10%</v>
      </c>
    </row>
    <row r="480" spans="1:37" s="48" customFormat="1" ht="13" hidden="1" x14ac:dyDescent="0.3">
      <c r="A480" s="31" t="s">
        <v>16</v>
      </c>
      <c r="B480" s="48" t="str">
        <f>Data_Entry!B469</f>
        <v>Goma</v>
      </c>
      <c r="C480" s="48" t="str">
        <f>Data_Entry!C469</f>
        <v xml:space="preserve"> Masisi</v>
      </c>
      <c r="D480" s="48" t="str">
        <f>Data_Entry!D469</f>
        <v xml:space="preserve"> Miandja</v>
      </c>
      <c r="E480" s="49">
        <f>IFERROR(IF(Data_Entry!J469/Data_Entry!$I469&lt;0,0,Data_Entry!J469/Data_Entry!$I469),0)</f>
        <v>0.62468393967337954</v>
      </c>
      <c r="F480" s="49">
        <f>IFERROR(IF(Data_Entry!K469/Data_Entry!$H469&lt;0,0,Data_Entry!K469/Data_Entry!$H469),0)</f>
        <v>0.53595478409963293</v>
      </c>
      <c r="G480" s="49">
        <f>IFERROR(IF(Data_Entry!L469/Data_Entry!$H469&lt;0,0,Data_Entry!L469/Data_Entry!$H469),0)</f>
        <v>1.3552291773511711</v>
      </c>
      <c r="H480" s="49">
        <f>IFERROR(IF(Data_Entry!M469/Data_Entry!$H469&lt;0,0,Data_Entry!M469/Data_Entry!$H469),0)</f>
        <v>1.2682899471060016</v>
      </c>
      <c r="I480" s="49">
        <f>IFERROR(IF(Data_Entry!N469/Data_Entry!$H469&lt;0,0,Data_Entry!N469/Data_Entry!$H469),0)</f>
        <v>1.2130579655384821</v>
      </c>
      <c r="J480" s="49">
        <f>IFERROR(IF(Data_Entry!O469/Data_Entry!$H469&lt;0,0,Data_Entry!O469/Data_Entry!$H469),0)</f>
        <v>1.3889820549757663</v>
      </c>
      <c r="K480" s="49">
        <f>IFERROR(IF(Data_Entry!P469/Data_Entry!$H469&lt;0,0,Data_Entry!P469/Data_Entry!$H469),0)</f>
        <v>1.2488564721100226</v>
      </c>
      <c r="L480" s="49">
        <f>IFERROR(IF(Data_Entry!Q469/Data_Entry!$H469&lt;0,0,Data_Entry!Q469/Data_Entry!$H469),0)</f>
        <v>1.228400182640571</v>
      </c>
      <c r="M480" s="49">
        <f>IFERROR(IF(Data_Entry!R469/Data_Entry!$H469&lt;0,0,Data_Entry!R469/Data_Entry!$H469),0)</f>
        <v>1.2897690510489259</v>
      </c>
      <c r="N480" s="49">
        <f>IFERROR(IF(Data_Entry!S469/Data_Entry!$H469&lt;0,0,Data_Entry!S469/Data_Entry!$H469),0)</f>
        <v>1.1588487984444353</v>
      </c>
      <c r="O480" s="49">
        <f>IFERROR(IF(Data_Entry!T469/Data_Entry!$H469&lt;0,0,Data_Entry!T469/Data_Entry!$H469),0)</f>
        <v>1.1291871787137304</v>
      </c>
      <c r="P480" s="49">
        <f>IFERROR(IF(Data_Entry!U469/Data_Entry!$H469&lt;0,0,Data_Entry!U469/Data_Entry!$H469),0)</f>
        <v>1.2058982642241742</v>
      </c>
      <c r="Q480" s="49">
        <f>IFERROR(IF(Data_Entry!V469/Data_Entry!$H469&lt;0,0,Data_Entry!V469/Data_Entry!$H469),0)</f>
        <v>1.0309969892603625</v>
      </c>
      <c r="R480" s="49">
        <f>IFERROR(IF(Data_Entry!W469/Data_Entry!$H469&lt;0,0,Data_Entry!W469/Data_Entry!$H469),0)</f>
        <v>1.0054266274235482</v>
      </c>
      <c r="S480" s="49">
        <f>IFERROR(IF(Data_Entry!X469/Data_Entry!$H469&lt;0,0,Data_Entry!X469/Data_Entry!$H469),0)</f>
        <v>1.0739551971462111</v>
      </c>
      <c r="T480" s="49">
        <f>IFERROR(IF(Data_Entry!Y469/Data_Entry!$H469&lt;0,0,Data_Entry!Y469/Data_Entry!$H469),0)</f>
        <v>0.3477569209806779</v>
      </c>
      <c r="U480" s="49">
        <f>IFERROR(IF(Data_Entry!Z469/Data_Entry!$H469&lt;0,0,Data_Entry!Z469/Data_Entry!$H469),0)</f>
        <v>1.0545217221502321</v>
      </c>
      <c r="V480" s="49">
        <f>IFERROR(IF(Data_Entry!AA469/Data_Entry!$H469&lt;0,0,Data_Entry!AA469/Data_Entry!$H469),0)</f>
        <v>1.047362020835924</v>
      </c>
      <c r="W480" s="49">
        <f>IFERROR(IF(Data_Entry!AB469/Data_Entry!$H469&lt;0,0,Data_Entry!AB469/Data_Entry!$H469),0)</f>
        <v>0.88473451955378335</v>
      </c>
      <c r="X480" s="49">
        <f>IFERROR(IF(Data_Entry!AC469/Data_Entry!$I469&lt;0,0,Data_Entry!AC469/Data_Entry!$I469),0)</f>
        <v>0.27753815034060147</v>
      </c>
      <c r="Y480" s="49">
        <f>IFERROR(IF(Data_Entry!AD469/Data_Entry!$I469&lt;0,0,Data_Entry!AD469/Data_Entry!$I469),0)</f>
        <v>0.26415206591902907</v>
      </c>
      <c r="Z480" s="49">
        <f>IFERROR(IF(Data_Entry!AE469/Data_Entry!$I469&lt;0,0,Data_Entry!AE469/Data_Entry!$I469),0)</f>
        <v>0.19722164381116697</v>
      </c>
      <c r="AA480" s="49">
        <f>IFERROR(IF(Data_Entry!AF469/Data_Entry!$I469&lt;0,0,Data_Entry!AF469/Data_Entry!$I469),0)</f>
        <v>0.13832287235624832</v>
      </c>
      <c r="AB480" s="49">
        <f>IFERROR(IF(Data_Entry!AG469/Data_Entry!$I469&lt;0,0,Data_Entry!AG469/Data_Entry!$I469),0)</f>
        <v>0.13475324984382903</v>
      </c>
      <c r="AC480" s="49">
        <f>IFERROR(IF(Data_Entry!AI469/Data_Entry!$I469&lt;0,0,Data_Entry!AI469/Data_Entry!$I469),0)</f>
        <v>4.7119017163934913E-2</v>
      </c>
      <c r="AD480" s="49">
        <f>IFERROR(IF(Data_Entry!AM469/Data_Entry!$H469&lt;0,0,Data_Entry!AM469/Data_Entry!$H469),0)</f>
        <v>1.0545217221502321</v>
      </c>
      <c r="AE480" s="50">
        <f>Data_Entry!AK469</f>
        <v>0</v>
      </c>
      <c r="AF480" s="50">
        <f>Data_Entry!AL469</f>
        <v>308</v>
      </c>
      <c r="AG480" s="153">
        <f>(Data_Entry!O469-Data_Entry!Q469)/Data_Entry!O469</f>
        <v>0.11561119293078057</v>
      </c>
      <c r="AH480" s="79" t="str">
        <f t="shared" si="14"/>
        <v>CAT2</v>
      </c>
      <c r="AI480" s="51">
        <f>SUBTOTAL(3,Tableau1[[#This Row],[ZS]])</f>
        <v>0</v>
      </c>
      <c r="AJ480" s="51" t="e">
        <f t="shared" ca="1" si="15"/>
        <v>#NAME?</v>
      </c>
      <c r="AK480" s="50" t="str">
        <f>IFERROR(IF((Data_Entry!O469-Data_Entry!Q469)/Data_Entry!O469&lt;=10%,"&lt;=10%","&gt;10%"),"&lt;=10%")</f>
        <v>&gt;10%</v>
      </c>
    </row>
    <row r="481" spans="1:37" s="48" customFormat="1" ht="13" hidden="1" x14ac:dyDescent="0.3">
      <c r="A481" s="31" t="s">
        <v>16</v>
      </c>
      <c r="B481" s="48" t="str">
        <f>Data_Entry!B470</f>
        <v>Goma</v>
      </c>
      <c r="C481" s="48" t="str">
        <f>Data_Entry!C470</f>
        <v xml:space="preserve"> Masisi</v>
      </c>
      <c r="D481" s="48" t="str">
        <f>Data_Entry!D470</f>
        <v xml:space="preserve"> Mpanamo</v>
      </c>
      <c r="E481" s="49">
        <f>IFERROR(IF(Data_Entry!J470/Data_Entry!$I470&lt;0,0,Data_Entry!J470/Data_Entry!$I470),0)</f>
        <v>1.3044875227589161</v>
      </c>
      <c r="F481" s="49">
        <f>IFERROR(IF(Data_Entry!K470/Data_Entry!$H470&lt;0,0,Data_Entry!K470/Data_Entry!$H470),0)</f>
        <v>1.6055910904424673</v>
      </c>
      <c r="G481" s="49">
        <f>IFERROR(IF(Data_Entry!L470/Data_Entry!$H470&lt;0,0,Data_Entry!L470/Data_Entry!$H470),0)</f>
        <v>1.6792420578939566</v>
      </c>
      <c r="H481" s="49">
        <f>IFERROR(IF(Data_Entry!M470/Data_Entry!$H470&lt;0,0,Data_Entry!M470/Data_Entry!$H470),0)</f>
        <v>1.4177811234411695</v>
      </c>
      <c r="I481" s="49">
        <f>IFERROR(IF(Data_Entry!N470/Data_Entry!$H470&lt;0,0,Data_Entry!N470/Data_Entry!$H470),0)</f>
        <v>1.5024797360103823</v>
      </c>
      <c r="J481" s="49">
        <f>IFERROR(IF(Data_Entry!O470/Data_Entry!$H470&lt;0,0,Data_Entry!O470/Data_Entry!$H470),0)</f>
        <v>1.6055910904424673</v>
      </c>
      <c r="K481" s="49">
        <f>IFERROR(IF(Data_Entry!P470/Data_Entry!$H470&lt;0,0,Data_Entry!P470/Data_Entry!$H470),0)</f>
        <v>1.4767018974023611</v>
      </c>
      <c r="L481" s="49">
        <f>IFERROR(IF(Data_Entry!Q470/Data_Entry!$H470&lt;0,0,Data_Entry!Q470/Data_Entry!$H470),0)</f>
        <v>1.3883207364605739</v>
      </c>
      <c r="M481" s="49">
        <f>IFERROR(IF(Data_Entry!R470/Data_Entry!$H470&lt;0,0,Data_Entry!R470/Data_Entry!$H470),0)</f>
        <v>1.4177811234411695</v>
      </c>
      <c r="N481" s="49">
        <f>IFERROR(IF(Data_Entry!S470/Data_Entry!$H470&lt;0,0,Data_Entry!S470/Data_Entry!$H470),0)</f>
        <v>1.2041933178318505</v>
      </c>
      <c r="O481" s="49">
        <f>IFERROR(IF(Data_Entry!T470/Data_Entry!$H470&lt;0,0,Data_Entry!T470/Data_Entry!$H470),0)</f>
        <v>1.5724481550892973</v>
      </c>
      <c r="P481" s="49">
        <f>IFERROR(IF(Data_Entry!U470/Data_Entry!$H470&lt;0,0,Data_Entry!U470/Data_Entry!$H470),0)</f>
        <v>1.4656542522846376</v>
      </c>
      <c r="Q481" s="49">
        <f>IFERROR(IF(Data_Entry!V470/Data_Entry!$H470&lt;0,0,Data_Entry!V470/Data_Entry!$H470),0)</f>
        <v>1.358860349479978</v>
      </c>
      <c r="R481" s="49">
        <f>IFERROR(IF(Data_Entry!W470/Data_Entry!$H470&lt;0,0,Data_Entry!W470/Data_Entry!$H470),0)</f>
        <v>1.4104160266960206</v>
      </c>
      <c r="S481" s="49">
        <f>IFERROR(IF(Data_Entry!X470/Data_Entry!$H470&lt;0,0,Data_Entry!X470/Data_Entry!$H470),0)</f>
        <v>1.3109872206365101</v>
      </c>
      <c r="T481" s="49">
        <f>IFERROR(IF(Data_Entry!Y470/Data_Entry!$H470&lt;0,0,Data_Entry!Y470/Data_Entry!$H470),0)</f>
        <v>0.49346148192497852</v>
      </c>
      <c r="U481" s="49">
        <f>IFERROR(IF(Data_Entry!Z470/Data_Entry!$H470&lt;0,0,Data_Entry!Z470/Data_Entry!$H470),0)</f>
        <v>1.3956858332057227</v>
      </c>
      <c r="V481" s="49">
        <f>IFERROR(IF(Data_Entry!AA470/Data_Entry!$H470&lt;0,0,Data_Entry!AA470/Data_Entry!$H470),0)</f>
        <v>1.3478127043622548</v>
      </c>
      <c r="W481" s="49">
        <f>IFERROR(IF(Data_Entry!AB470/Data_Entry!$H470&lt;0,0,Data_Entry!AB470/Data_Entry!$H470),0)</f>
        <v>0.67022380380855284</v>
      </c>
      <c r="X481" s="49">
        <f>IFERROR(IF(Data_Entry!AC470/Data_Entry!$I470&lt;0,0,Data_Entry!AC470/Data_Entry!$I470),0)</f>
        <v>0.52693584663168036</v>
      </c>
      <c r="Y481" s="49">
        <f>IFERROR(IF(Data_Entry!AD470/Data_Entry!$I470&lt;0,0,Data_Entry!AD470/Data_Entry!$I470),0)</f>
        <v>0.53978794045196532</v>
      </c>
      <c r="Z481" s="49">
        <f>IFERROR(IF(Data_Entry!AE470/Data_Entry!$I470&lt;0,0,Data_Entry!AE470/Data_Entry!$I470),0)</f>
        <v>0.37271072078826173</v>
      </c>
      <c r="AA481" s="49">
        <f>IFERROR(IF(Data_Entry!AF470/Data_Entry!$I470&lt;0,0,Data_Entry!AF470/Data_Entry!$I470),0)</f>
        <v>0.36307165042304806</v>
      </c>
      <c r="AB481" s="49">
        <f>IFERROR(IF(Data_Entry!AG470/Data_Entry!$I470&lt;0,0,Data_Entry!AG470/Data_Entry!$I470),0)</f>
        <v>0.28595908750133875</v>
      </c>
      <c r="AC481" s="49">
        <f>IFERROR(IF(Data_Entry!AI470/Data_Entry!$I470&lt;0,0,Data_Entry!AI470/Data_Entry!$I470),0)</f>
        <v>0.18731926743065222</v>
      </c>
      <c r="AD481" s="49">
        <f>IFERROR(IF(Data_Entry!AM470/Data_Entry!$H470&lt;0,0,Data_Entry!AM470/Data_Entry!$H470),0)</f>
        <v>1.3109872206365101</v>
      </c>
      <c r="AE481" s="50">
        <f>Data_Entry!AK470</f>
        <v>0</v>
      </c>
      <c r="AF481" s="50">
        <f>Data_Entry!AL470</f>
        <v>80</v>
      </c>
      <c r="AG481" s="153">
        <f>(Data_Entry!O470-Data_Entry!Q470)/Data_Entry!O470</f>
        <v>0.13532110091743119</v>
      </c>
      <c r="AH481" s="79" t="str">
        <f t="shared" si="14"/>
        <v>CAT2</v>
      </c>
      <c r="AI481" s="51">
        <f>SUBTOTAL(3,Tableau1[[#This Row],[ZS]])</f>
        <v>0</v>
      </c>
      <c r="AJ481" s="51" t="e">
        <f t="shared" ca="1" si="15"/>
        <v>#NAME?</v>
      </c>
      <c r="AK481" s="50" t="str">
        <f>IFERROR(IF((Data_Entry!O470-Data_Entry!Q470)/Data_Entry!O470&lt;=10%,"&lt;=10%","&gt;10%"),"&lt;=10%")</f>
        <v>&gt;10%</v>
      </c>
    </row>
    <row r="482" spans="1:37" s="48" customFormat="1" ht="13" hidden="1" x14ac:dyDescent="0.3">
      <c r="A482" s="31" t="s">
        <v>16</v>
      </c>
      <c r="B482" s="48" t="str">
        <f>Data_Entry!B471</f>
        <v>Goma</v>
      </c>
      <c r="C482" s="48" t="str">
        <f>Data_Entry!C471</f>
        <v xml:space="preserve"> Masisi</v>
      </c>
      <c r="D482" s="48" t="str">
        <f>Data_Entry!D471</f>
        <v xml:space="preserve"> Muheto</v>
      </c>
      <c r="E482" s="49">
        <f>IFERROR(IF(Data_Entry!J471/Data_Entry!$I471&lt;0,0,Data_Entry!J471/Data_Entry!$I471),0)</f>
        <v>0.5979005020538567</v>
      </c>
      <c r="F482" s="49">
        <f>IFERROR(IF(Data_Entry!K471/Data_Entry!$H471&lt;0,0,Data_Entry!K471/Data_Entry!$H471),0)</f>
        <v>0.62773079241858132</v>
      </c>
      <c r="G482" s="49">
        <f>IFERROR(IF(Data_Entry!L471/Data_Entry!$H471&lt;0,0,Data_Entry!L471/Data_Entry!$H471),0)</f>
        <v>1.0658345746273827</v>
      </c>
      <c r="H482" s="49">
        <f>IFERROR(IF(Data_Entry!M471/Data_Entry!$H471&lt;0,0,Data_Entry!M471/Data_Entry!$H471),0)</f>
        <v>0.97690604570141715</v>
      </c>
      <c r="I482" s="49">
        <f>IFERROR(IF(Data_Entry!N471/Data_Entry!$H471&lt;0,0,Data_Entry!N471/Data_Entry!$H471),0)</f>
        <v>0.9952148604802924</v>
      </c>
      <c r="J482" s="49">
        <f>IFERROR(IF(Data_Entry!O471/Data_Entry!$H471&lt;0,0,Data_Entry!O471/Data_Entry!$H471),0)</f>
        <v>1.0658345746273827</v>
      </c>
      <c r="K482" s="49">
        <f>IFERROR(IF(Data_Entry!P471/Data_Entry!$H471&lt;0,0,Data_Entry!P471/Data_Entry!$H471),0)</f>
        <v>0.97690604570141715</v>
      </c>
      <c r="L482" s="49">
        <f>IFERROR(IF(Data_Entry!Q471/Data_Entry!$H471&lt;0,0,Data_Entry!Q471/Data_Entry!$H471),0)</f>
        <v>0.9952148604802924</v>
      </c>
      <c r="M482" s="49">
        <f>IFERROR(IF(Data_Entry!R471/Data_Entry!$H471&lt;0,0,Data_Entry!R471/Data_Entry!$H471),0)</f>
        <v>1.0279091725854268</v>
      </c>
      <c r="N482" s="49">
        <f>IFERROR(IF(Data_Entry!S471/Data_Entry!$H471&lt;0,0,Data_Entry!S471/Data_Entry!$H471),0)</f>
        <v>0.84743656976508475</v>
      </c>
      <c r="O482" s="49">
        <f>IFERROR(IF(Data_Entry!T471/Data_Entry!$H471&lt;0,0,Data_Entry!T471/Data_Entry!$H471),0)</f>
        <v>0.86443761205975467</v>
      </c>
      <c r="P482" s="49">
        <f>IFERROR(IF(Data_Entry!U471/Data_Entry!$H471&lt;0,0,Data_Entry!U471/Data_Entry!$H471),0)</f>
        <v>0.73627590860762759</v>
      </c>
      <c r="Q482" s="49">
        <f>IFERROR(IF(Data_Entry!V471/Data_Entry!$H471&lt;0,0,Data_Entry!V471/Data_Entry!$H471),0)</f>
        <v>0.68134946427100174</v>
      </c>
      <c r="R482" s="49">
        <f>IFERROR(IF(Data_Entry!W471/Data_Entry!$H471&lt;0,0,Data_Entry!W471/Data_Entry!$H471),0)</f>
        <v>0.80166453281789651</v>
      </c>
      <c r="S482" s="49">
        <f>IFERROR(IF(Data_Entry!X471/Data_Entry!$H471&lt;0,0,Data_Entry!X471/Data_Entry!$H471),0)</f>
        <v>0.90497855907012137</v>
      </c>
      <c r="T482" s="49">
        <f>IFERROR(IF(Data_Entry!Y471/Data_Entry!$H471&lt;0,0,Data_Entry!Y471/Data_Entry!$H471),0)</f>
        <v>3.4002084589339822E-2</v>
      </c>
      <c r="U482" s="49">
        <f>IFERROR(IF(Data_Entry!Z471/Data_Entry!$H471&lt;0,0,Data_Entry!Z471/Data_Entry!$H471),0)</f>
        <v>0.69835050656567166</v>
      </c>
      <c r="V482" s="49">
        <f>IFERROR(IF(Data_Entry!AA471/Data_Entry!$H471&lt;0,0,Data_Entry!AA471/Data_Entry!$H471),0)</f>
        <v>0.86574538454395999</v>
      </c>
      <c r="W482" s="49">
        <f>IFERROR(IF(Data_Entry!AB471/Data_Entry!$H471&lt;0,0,Data_Entry!AB471/Data_Entry!$H471),0)</f>
        <v>0.31517316869349599</v>
      </c>
      <c r="X482" s="49">
        <f>IFERROR(IF(Data_Entry!AC471/Data_Entry!$I471&lt;0,0,Data_Entry!AC471/Data_Entry!$I471),0)</f>
        <v>0.2590141487905066</v>
      </c>
      <c r="Y482" s="49">
        <f>IFERROR(IF(Data_Entry!AD471/Data_Entry!$I471&lt;0,0,Data_Entry!AD471/Data_Entry!$I471),0)</f>
        <v>0.25559105431309903</v>
      </c>
      <c r="Z482" s="49">
        <f>IFERROR(IF(Data_Entry!AE471/Data_Entry!$I471&lt;0,0,Data_Entry!AE471/Data_Entry!$I471),0)</f>
        <v>0.19625741670470107</v>
      </c>
      <c r="AA482" s="49">
        <f>IFERROR(IF(Data_Entry!AF471/Data_Entry!$I471&lt;0,0,Data_Entry!AF471/Data_Entry!$I471),0)</f>
        <v>0.1335006846188955</v>
      </c>
      <c r="AB482" s="49">
        <f>IFERROR(IF(Data_Entry!AG471/Data_Entry!$I471&lt;0,0,Data_Entry!AG471/Data_Entry!$I471),0)</f>
        <v>9.6987676859881342E-2</v>
      </c>
      <c r="AC482" s="49">
        <f>IFERROR(IF(Data_Entry!AI471/Data_Entry!$I471&lt;0,0,Data_Entry!AI471/Data_Entry!$I471),0)</f>
        <v>6.1843906891830218E-2</v>
      </c>
      <c r="AD482" s="49">
        <f>IFERROR(IF(Data_Entry!AM471/Data_Entry!$H471&lt;0,0,Data_Entry!AM471/Data_Entry!$H471),0)</f>
        <v>0.69835050656567166</v>
      </c>
      <c r="AE482" s="50">
        <f>Data_Entry!AK471</f>
        <v>0</v>
      </c>
      <c r="AF482" s="50">
        <f>Data_Entry!AL471</f>
        <v>123</v>
      </c>
      <c r="AG482" s="153">
        <f>(Data_Entry!O471-Data_Entry!Q471)/Data_Entry!O471</f>
        <v>6.6257668711656448E-2</v>
      </c>
      <c r="AH482" s="79" t="str">
        <f t="shared" si="14"/>
        <v>CAT1</v>
      </c>
      <c r="AI482" s="51">
        <f>SUBTOTAL(3,Tableau1[[#This Row],[ZS]])</f>
        <v>0</v>
      </c>
      <c r="AJ482" s="51" t="e">
        <f t="shared" ca="1" si="15"/>
        <v>#NAME?</v>
      </c>
      <c r="AK482" s="50" t="str">
        <f>IFERROR(IF((Data_Entry!O471-Data_Entry!Q471)/Data_Entry!O471&lt;=10%,"&lt;=10%","&gt;10%"),"&lt;=10%")</f>
        <v>&lt;=10%</v>
      </c>
    </row>
    <row r="483" spans="1:37" s="48" customFormat="1" ht="13" hidden="1" x14ac:dyDescent="0.3">
      <c r="A483" s="31" t="s">
        <v>16</v>
      </c>
      <c r="B483" s="48" t="str">
        <f>Data_Entry!B472</f>
        <v>Goma</v>
      </c>
      <c r="C483" s="48" t="str">
        <f>Data_Entry!C472</f>
        <v xml:space="preserve"> Masisi</v>
      </c>
      <c r="D483" s="48" t="str">
        <f>Data_Entry!D472</f>
        <v xml:space="preserve"> Mutiri</v>
      </c>
      <c r="E483" s="49">
        <f>IFERROR(IF(Data_Entry!J472/Data_Entry!$I472&lt;0,0,Data_Entry!J472/Data_Entry!$I472),0)</f>
        <v>0</v>
      </c>
      <c r="F483" s="49">
        <f>IFERROR(IF(Data_Entry!K472/Data_Entry!$H472&lt;0,0,Data_Entry!K472/Data_Entry!$H472),0)</f>
        <v>0</v>
      </c>
      <c r="G483" s="49">
        <f>IFERROR(IF(Data_Entry!L472/Data_Entry!$H472&lt;0,0,Data_Entry!L472/Data_Entry!$H472),0)</f>
        <v>0</v>
      </c>
      <c r="H483" s="49">
        <f>IFERROR(IF(Data_Entry!M472/Data_Entry!$H472&lt;0,0,Data_Entry!M472/Data_Entry!$H472),0)</f>
        <v>0</v>
      </c>
      <c r="I483" s="49">
        <f>IFERROR(IF(Data_Entry!N472/Data_Entry!$H472&lt;0,0,Data_Entry!N472/Data_Entry!$H472),0)</f>
        <v>0</v>
      </c>
      <c r="J483" s="49">
        <f>IFERROR(IF(Data_Entry!O472/Data_Entry!$H472&lt;0,0,Data_Entry!O472/Data_Entry!$H472),0)</f>
        <v>0</v>
      </c>
      <c r="K483" s="49">
        <f>IFERROR(IF(Data_Entry!P472/Data_Entry!$H472&lt;0,0,Data_Entry!P472/Data_Entry!$H472),0)</f>
        <v>0</v>
      </c>
      <c r="L483" s="49">
        <f>IFERROR(IF(Data_Entry!Q472/Data_Entry!$H472&lt;0,0,Data_Entry!Q472/Data_Entry!$H472),0)</f>
        <v>0</v>
      </c>
      <c r="M483" s="49">
        <f>IFERROR(IF(Data_Entry!R472/Data_Entry!$H472&lt;0,0,Data_Entry!R472/Data_Entry!$H472),0)</f>
        <v>0</v>
      </c>
      <c r="N483" s="49">
        <f>IFERROR(IF(Data_Entry!S472/Data_Entry!$H472&lt;0,0,Data_Entry!S472/Data_Entry!$H472),0)</f>
        <v>0</v>
      </c>
      <c r="O483" s="49">
        <f>IFERROR(IF(Data_Entry!T472/Data_Entry!$H472&lt;0,0,Data_Entry!T472/Data_Entry!$H472),0)</f>
        <v>0</v>
      </c>
      <c r="P483" s="49">
        <f>IFERROR(IF(Data_Entry!U472/Data_Entry!$H472&lt;0,0,Data_Entry!U472/Data_Entry!$H472),0)</f>
        <v>0</v>
      </c>
      <c r="Q483" s="49">
        <f>IFERROR(IF(Data_Entry!V472/Data_Entry!$H472&lt;0,0,Data_Entry!V472/Data_Entry!$H472),0)</f>
        <v>0</v>
      </c>
      <c r="R483" s="49">
        <f>IFERROR(IF(Data_Entry!W472/Data_Entry!$H472&lt;0,0,Data_Entry!W472/Data_Entry!$H472),0)</f>
        <v>0</v>
      </c>
      <c r="S483" s="49">
        <f>IFERROR(IF(Data_Entry!X472/Data_Entry!$H472&lt;0,0,Data_Entry!X472/Data_Entry!$H472),0)</f>
        <v>0</v>
      </c>
      <c r="T483" s="49">
        <f>IFERROR(IF(Data_Entry!Y472/Data_Entry!$H472&lt;0,0,Data_Entry!Y472/Data_Entry!$H472),0)</f>
        <v>0</v>
      </c>
      <c r="U483" s="49">
        <f>IFERROR(IF(Data_Entry!Z472/Data_Entry!$H472&lt;0,0,Data_Entry!Z472/Data_Entry!$H472),0)</f>
        <v>0</v>
      </c>
      <c r="V483" s="49">
        <f>IFERROR(IF(Data_Entry!AA472/Data_Entry!$H472&lt;0,0,Data_Entry!AA472/Data_Entry!$H472),0)</f>
        <v>0</v>
      </c>
      <c r="W483" s="49">
        <f>IFERROR(IF(Data_Entry!AB472/Data_Entry!$H472&lt;0,0,Data_Entry!AB472/Data_Entry!$H472),0)</f>
        <v>0</v>
      </c>
      <c r="X483" s="49">
        <f>IFERROR(IF(Data_Entry!AC472/Data_Entry!$I472&lt;0,0,Data_Entry!AC472/Data_Entry!$I472),0)</f>
        <v>0</v>
      </c>
      <c r="Y483" s="49">
        <f>IFERROR(IF(Data_Entry!AD472/Data_Entry!$I472&lt;0,0,Data_Entry!AD472/Data_Entry!$I472),0)</f>
        <v>0</v>
      </c>
      <c r="Z483" s="49">
        <f>IFERROR(IF(Data_Entry!AE472/Data_Entry!$I472&lt;0,0,Data_Entry!AE472/Data_Entry!$I472),0)</f>
        <v>0</v>
      </c>
      <c r="AA483" s="49">
        <f>IFERROR(IF(Data_Entry!AF472/Data_Entry!$I472&lt;0,0,Data_Entry!AF472/Data_Entry!$I472),0)</f>
        <v>0</v>
      </c>
      <c r="AB483" s="49">
        <f>IFERROR(IF(Data_Entry!AG472/Data_Entry!$I472&lt;0,0,Data_Entry!AG472/Data_Entry!$I472),0)</f>
        <v>0</v>
      </c>
      <c r="AC483" s="49">
        <f>IFERROR(IF(Data_Entry!AI472/Data_Entry!$I472&lt;0,0,Data_Entry!AI472/Data_Entry!$I472),0)</f>
        <v>0</v>
      </c>
      <c r="AD483" s="49">
        <f>IFERROR(IF(Data_Entry!AM472/Data_Entry!$H472&lt;0,0,Data_Entry!AM472/Data_Entry!$H472),0)</f>
        <v>0</v>
      </c>
      <c r="AE483" s="50">
        <f>Data_Entry!AK472</f>
        <v>0</v>
      </c>
      <c r="AF483" s="50">
        <f>Data_Entry!AL472</f>
        <v>0</v>
      </c>
      <c r="AG483" s="153">
        <f>(Data_Entry!O472-Data_Entry!Q472)/Data_Entry!O472</f>
        <v>-0.23054755043227665</v>
      </c>
      <c r="AH483" s="79" t="str">
        <f t="shared" si="14"/>
        <v>CAT3</v>
      </c>
      <c r="AI483" s="51">
        <f>SUBTOTAL(3,Tableau1[[#This Row],[ZS]])</f>
        <v>0</v>
      </c>
      <c r="AJ483" s="51" t="e">
        <f t="shared" ca="1" si="15"/>
        <v>#NAME?</v>
      </c>
      <c r="AK483" s="50" t="str">
        <f>IFERROR(IF((Data_Entry!O472-Data_Entry!Q472)/Data_Entry!O472&lt;=10%,"&lt;=10%","&gt;10%"),"&lt;=10%")</f>
        <v>&lt;=10%</v>
      </c>
    </row>
    <row r="484" spans="1:37" s="48" customFormat="1" ht="13" hidden="1" x14ac:dyDescent="0.3">
      <c r="A484" s="31" t="s">
        <v>16</v>
      </c>
      <c r="B484" s="48" t="str">
        <f>Data_Entry!B473</f>
        <v>Goma</v>
      </c>
      <c r="C484" s="48" t="str">
        <f>Data_Entry!C473</f>
        <v xml:space="preserve"> Masisi</v>
      </c>
      <c r="D484" s="48" t="str">
        <f>Data_Entry!D473</f>
        <v xml:space="preserve"> Ngomashi</v>
      </c>
      <c r="E484" s="49">
        <f>IFERROR(IF(Data_Entry!J473/Data_Entry!$I473&lt;0,0,Data_Entry!J473/Data_Entry!$I473),0)</f>
        <v>1.0817539351108256</v>
      </c>
      <c r="F484" s="49">
        <f>IFERROR(IF(Data_Entry!K473/Data_Entry!$H473&lt;0,0,Data_Entry!K473/Data_Entry!$H473),0)</f>
        <v>1.1735609151750173</v>
      </c>
      <c r="G484" s="49">
        <f>IFERROR(IF(Data_Entry!L473/Data_Entry!$H473&lt;0,0,Data_Entry!L473/Data_Entry!$H473),0)</f>
        <v>2.1814426423253259</v>
      </c>
      <c r="H484" s="49">
        <f>IFERROR(IF(Data_Entry!M473/Data_Entry!$H473&lt;0,0,Data_Entry!M473/Data_Entry!$H473),0)</f>
        <v>2.1621134037224436</v>
      </c>
      <c r="I484" s="49">
        <f>IFERROR(IF(Data_Entry!N473/Data_Entry!$H473&lt;0,0,Data_Entry!N473/Data_Entry!$H473),0)</f>
        <v>2.0986030483129721</v>
      </c>
      <c r="J484" s="49">
        <f>IFERROR(IF(Data_Entry!O473/Data_Entry!$H473&lt;0,0,Data_Entry!O473/Data_Entry!$H473),0)</f>
        <v>2.1814426423253259</v>
      </c>
      <c r="K484" s="49">
        <f>IFERROR(IF(Data_Entry!P473/Data_Entry!$H473&lt;0,0,Data_Entry!P473/Data_Entry!$H473),0)</f>
        <v>2.1621134037224436</v>
      </c>
      <c r="L484" s="49">
        <f>IFERROR(IF(Data_Entry!Q473/Data_Entry!$H473&lt;0,0,Data_Entry!Q473/Data_Entry!$H473),0)</f>
        <v>2.0986030483129721</v>
      </c>
      <c r="M484" s="49">
        <f>IFERROR(IF(Data_Entry!R473/Data_Entry!$H473&lt;0,0,Data_Entry!R473/Data_Entry!$H473),0)</f>
        <v>2.0019568552985589</v>
      </c>
      <c r="N484" s="49">
        <f>IFERROR(IF(Data_Entry!S473/Data_Entry!$H473&lt;0,0,Data_Entry!S473/Data_Entry!$H473),0)</f>
        <v>1.9881502562964997</v>
      </c>
      <c r="O484" s="49">
        <f>IFERROR(IF(Data_Entry!T473/Data_Entry!$H473&lt;0,0,Data_Entry!T473/Data_Entry!$H473),0)</f>
        <v>1.9356851800886754</v>
      </c>
      <c r="P484" s="49">
        <f>IFERROR(IF(Data_Entry!U473/Data_Entry!$H473&lt;0,0,Data_Entry!U473/Data_Entry!$H473),0)</f>
        <v>1.786573910866438</v>
      </c>
      <c r="Q484" s="49">
        <f>IFERROR(IF(Data_Entry!V473/Data_Entry!$H473&lt;0,0,Data_Entry!V473/Data_Entry!$H473),0)</f>
        <v>1.772767311864379</v>
      </c>
      <c r="R484" s="49">
        <f>IFERROR(IF(Data_Entry!W473/Data_Entry!$H473&lt;0,0,Data_Entry!W473/Data_Entry!$H473),0)</f>
        <v>1.7258248752573784</v>
      </c>
      <c r="S484" s="49">
        <f>IFERROR(IF(Data_Entry!X473/Data_Entry!$H473&lt;0,0,Data_Entry!X473/Data_Entry!$H473),0)</f>
        <v>1.8197097484713796</v>
      </c>
      <c r="T484" s="49">
        <f>IFERROR(IF(Data_Entry!Y473/Data_Entry!$H473&lt;0,0,Data_Entry!Y473/Data_Entry!$H473),0)</f>
        <v>0.74279502631077565</v>
      </c>
      <c r="U484" s="49">
        <f>IFERROR(IF(Data_Entry!Z473/Data_Entry!$H473&lt;0,0,Data_Entry!Z473/Data_Entry!$H473),0)</f>
        <v>1.3778985804054908</v>
      </c>
      <c r="V484" s="49">
        <f>IFERROR(IF(Data_Entry!AA473/Data_Entry!$H473&lt;0,0,Data_Entry!AA473/Data_Entry!$H473),0)</f>
        <v>2.7585584806113936</v>
      </c>
      <c r="W484" s="49">
        <f>IFERROR(IF(Data_Entry!AB473/Data_Entry!$H473&lt;0,0,Data_Entry!AB473/Data_Entry!$H473),0)</f>
        <v>0.18776974642800276</v>
      </c>
      <c r="X484" s="49">
        <f>IFERROR(IF(Data_Entry!AC473/Data_Entry!$I473&lt;0,0,Data_Entry!AC473/Data_Entry!$I473),0)</f>
        <v>0.63845165435271445</v>
      </c>
      <c r="Y484" s="49">
        <f>IFERROR(IF(Data_Entry!AD473/Data_Entry!$I473&lt;0,0,Data_Entry!AD473/Data_Entry!$I473),0)</f>
        <v>0.45775778991326693</v>
      </c>
      <c r="Z484" s="49">
        <f>IFERROR(IF(Data_Entry!AE473/Data_Entry!$I473&lt;0,0,Data_Entry!AE473/Data_Entry!$I473),0)</f>
        <v>0.46498554449084484</v>
      </c>
      <c r="AA484" s="49">
        <f>IFERROR(IF(Data_Entry!AF473/Data_Entry!$I473&lt;0,0,Data_Entry!AF473/Data_Entry!$I473),0)</f>
        <v>0.37825248955991003</v>
      </c>
      <c r="AB484" s="49">
        <f>IFERROR(IF(Data_Entry!AG473/Data_Entry!$I473&lt;0,0,Data_Entry!AG473/Data_Entry!$I473),0)</f>
        <v>0.32524895599100545</v>
      </c>
      <c r="AC484" s="49">
        <f>IFERROR(IF(Data_Entry!AI473/Data_Entry!$I473&lt;0,0,Data_Entry!AI473/Data_Entry!$I473),0)</f>
        <v>0.14045936395759717</v>
      </c>
      <c r="AD484" s="49">
        <f>IFERROR(IF(Data_Entry!AM473/Data_Entry!$H473&lt;0,0,Data_Entry!AM473/Data_Entry!$H473),0)</f>
        <v>1.3778985804054908</v>
      </c>
      <c r="AE484" s="50">
        <f>Data_Entry!AK473</f>
        <v>0</v>
      </c>
      <c r="AF484" s="50">
        <f>Data_Entry!AL473</f>
        <v>131</v>
      </c>
      <c r="AG484" s="153">
        <f>(Data_Entry!O473-Data_Entry!Q473)/Data_Entry!O473</f>
        <v>3.7974683544303799E-2</v>
      </c>
      <c r="AH484" s="79" t="str">
        <f t="shared" si="14"/>
        <v>CAT1</v>
      </c>
      <c r="AI484" s="51">
        <f>SUBTOTAL(3,Tableau1[[#This Row],[ZS]])</f>
        <v>0</v>
      </c>
      <c r="AJ484" s="51" t="e">
        <f t="shared" ca="1" si="15"/>
        <v>#NAME?</v>
      </c>
      <c r="AK484" s="50" t="str">
        <f>IFERROR(IF((Data_Entry!O473-Data_Entry!Q473)/Data_Entry!O473&lt;=10%,"&lt;=10%","&gt;10%"),"&lt;=10%")</f>
        <v>&lt;=10%</v>
      </c>
    </row>
    <row r="485" spans="1:37" s="48" customFormat="1" ht="13" hidden="1" x14ac:dyDescent="0.3">
      <c r="A485" s="31" t="s">
        <v>16</v>
      </c>
      <c r="B485" s="48" t="str">
        <f>Data_Entry!B474</f>
        <v>Goma</v>
      </c>
      <c r="C485" s="48" t="str">
        <f>Data_Entry!C474</f>
        <v xml:space="preserve"> Masisi</v>
      </c>
      <c r="D485" s="48" t="str">
        <f>Data_Entry!D474</f>
        <v xml:space="preserve"> Nyabiondo</v>
      </c>
      <c r="E485" s="49">
        <f>IFERROR(IF(Data_Entry!J474/Data_Entry!$I474&lt;0,0,Data_Entry!J474/Data_Entry!$I474),0)</f>
        <v>1.0042531898924194</v>
      </c>
      <c r="F485" s="49">
        <f>IFERROR(IF(Data_Entry!K474/Data_Entry!$H474&lt;0,0,Data_Entry!K474/Data_Entry!$H474),0)</f>
        <v>2.6151418721634347</v>
      </c>
      <c r="G485" s="49">
        <f>IFERROR(IF(Data_Entry!L474/Data_Entry!$H474&lt;0,0,Data_Entry!L474/Data_Entry!$H474),0)</f>
        <v>1.3729494828858033</v>
      </c>
      <c r="H485" s="49">
        <f>IFERROR(IF(Data_Entry!M474/Data_Entry!$H474&lt;0,0,Data_Entry!M474/Data_Entry!$H474),0)</f>
        <v>1.3437011856313439</v>
      </c>
      <c r="I485" s="49">
        <f>IFERROR(IF(Data_Entry!N474/Data_Entry!$H474&lt;0,0,Data_Entry!N474/Data_Entry!$H474),0)</f>
        <v>1.3333782571885935</v>
      </c>
      <c r="J485" s="49">
        <f>IFERROR(IF(Data_Entry!O474/Data_Entry!$H474&lt;0,0,Data_Entry!O474/Data_Entry!$H474),0)</f>
        <v>1.2439128773514234</v>
      </c>
      <c r="K485" s="49">
        <f>IFERROR(IF(Data_Entry!P474/Data_Entry!$H474&lt;0,0,Data_Entry!P474/Data_Entry!$H474),0)</f>
        <v>1.2163850681707555</v>
      </c>
      <c r="L485" s="49">
        <f>IFERROR(IF(Data_Entry!Q474/Data_Entry!$H474&lt;0,0,Data_Entry!Q474/Data_Entry!$H474),0)</f>
        <v>1.2060621397280051</v>
      </c>
      <c r="M485" s="49">
        <f>IFERROR(IF(Data_Entry!R474/Data_Entry!$H474&lt;0,0,Data_Entry!R474/Data_Entry!$H474),0)</f>
        <v>1.2267079966135059</v>
      </c>
      <c r="N485" s="49">
        <f>IFERROR(IF(Data_Entry!S474/Data_Entry!$H474&lt;0,0,Data_Entry!S474/Data_Entry!$H474),0)</f>
        <v>1.1372426167763359</v>
      </c>
      <c r="O485" s="49">
        <f>IFERROR(IF(Data_Entry!T474/Data_Entry!$H474&lt;0,0,Data_Entry!T474/Data_Entry!$H474),0)</f>
        <v>1.1338016406287523</v>
      </c>
      <c r="P485" s="49">
        <f>IFERROR(IF(Data_Entry!U474/Data_Entry!$H474&lt;0,0,Data_Entry!U474/Data_Entry!$H474),0)</f>
        <v>1.0925099268577507</v>
      </c>
      <c r="Q485" s="49">
        <f>IFERROR(IF(Data_Entry!V474/Data_Entry!$H474&lt;0,0,Data_Entry!V474/Data_Entry!$H474),0)</f>
        <v>1.0288518681274565</v>
      </c>
      <c r="R485" s="49">
        <f>IFERROR(IF(Data_Entry!W474/Data_Entry!$H474&lt;0,0,Data_Entry!W474/Data_Entry!$H474),0)</f>
        <v>1.0529387011605409</v>
      </c>
      <c r="S485" s="49">
        <f>IFERROR(IF(Data_Entry!X474/Data_Entry!$H474&lt;0,0,Data_Entry!X474/Data_Entry!$H474),0)</f>
        <v>1.9699588444915348</v>
      </c>
      <c r="T485" s="49">
        <f>IFERROR(IF(Data_Entry!Y474/Data_Entry!$H474&lt;0,0,Data_Entry!Y474/Data_Entry!$H474),0)</f>
        <v>0.62969863500777445</v>
      </c>
      <c r="U485" s="49">
        <f>IFERROR(IF(Data_Entry!Z474/Data_Entry!$H474&lt;0,0,Data_Entry!Z474/Data_Entry!$H474),0)</f>
        <v>1.388433875549929</v>
      </c>
      <c r="V485" s="49">
        <f>IFERROR(IF(Data_Entry!AA474/Data_Entry!$H474&lt;0,0,Data_Entry!AA474/Data_Entry!$H474),0)</f>
        <v>0.95142990480682865</v>
      </c>
      <c r="W485" s="49">
        <f>IFERROR(IF(Data_Entry!AB474/Data_Entry!$H474&lt;0,0,Data_Entry!AB474/Data_Entry!$H474),0)</f>
        <v>0.72432547906631983</v>
      </c>
      <c r="X485" s="49">
        <f>IFERROR(IF(Data_Entry!AC474/Data_Entry!$I474&lt;0,0,Data_Entry!AC474/Data_Entry!$I474),0)</f>
        <v>0.42031523642732049</v>
      </c>
      <c r="Y485" s="49">
        <f>IFERROR(IF(Data_Entry!AD474/Data_Entry!$I474&lt;0,0,Data_Entry!AD474/Data_Entry!$I474),0)</f>
        <v>0.25519139354515891</v>
      </c>
      <c r="Z485" s="49">
        <f>IFERROR(IF(Data_Entry!AE474/Data_Entry!$I474&lt;0,0,Data_Entry!AE474/Data_Entry!$I474),0)</f>
        <v>0.29722291718789096</v>
      </c>
      <c r="AA485" s="49">
        <f>IFERROR(IF(Data_Entry!AF474/Data_Entry!$I474&lt;0,0,Data_Entry!AF474/Data_Entry!$I474),0)</f>
        <v>0.25819364523392546</v>
      </c>
      <c r="AB485" s="49">
        <f>IFERROR(IF(Data_Entry!AG474/Data_Entry!$I474&lt;0,0,Data_Entry!AG474/Data_Entry!$I474),0)</f>
        <v>0.3887915936952715</v>
      </c>
      <c r="AC485" s="49">
        <f>IFERROR(IF(Data_Entry!AI474/Data_Entry!$I474&lt;0,0,Data_Entry!AI474/Data_Entry!$I474),0)</f>
        <v>6.2596947710783099E-2</v>
      </c>
      <c r="AD485" s="49">
        <f>IFERROR(IF(Data_Entry!AM474/Data_Entry!$H474&lt;0,0,Data_Entry!AM474/Data_Entry!$H474),0)</f>
        <v>1.388433875549929</v>
      </c>
      <c r="AE485" s="50">
        <f>Data_Entry!AK474</f>
        <v>0</v>
      </c>
      <c r="AF485" s="50">
        <f>Data_Entry!AL474</f>
        <v>0</v>
      </c>
      <c r="AG485" s="153">
        <f>(Data_Entry!O474-Data_Entry!Q474)/Data_Entry!O474</f>
        <v>3.0428769017980636E-2</v>
      </c>
      <c r="AH485" s="79" t="str">
        <f t="shared" si="14"/>
        <v>CAT1</v>
      </c>
      <c r="AI485" s="51">
        <f>SUBTOTAL(3,Tableau1[[#This Row],[ZS]])</f>
        <v>0</v>
      </c>
      <c r="AJ485" s="51" t="e">
        <f t="shared" ca="1" si="15"/>
        <v>#NAME?</v>
      </c>
      <c r="AK485" s="50" t="str">
        <f>IFERROR(IF((Data_Entry!O474-Data_Entry!Q474)/Data_Entry!O474&lt;=10%,"&lt;=10%","&gt;10%"),"&lt;=10%")</f>
        <v>&lt;=10%</v>
      </c>
    </row>
    <row r="486" spans="1:37" s="48" customFormat="1" ht="13" hidden="1" x14ac:dyDescent="0.3">
      <c r="A486" s="31" t="s">
        <v>16</v>
      </c>
      <c r="B486" s="48" t="str">
        <f>Data_Entry!B475</f>
        <v>Goma</v>
      </c>
      <c r="C486" s="48" t="str">
        <f>Data_Entry!C475</f>
        <v xml:space="preserve"> Masisi</v>
      </c>
      <c r="D486" s="48" t="str">
        <f>Data_Entry!D475</f>
        <v xml:space="preserve"> Nyakariba</v>
      </c>
      <c r="E486" s="49">
        <f>IFERROR(IF(Data_Entry!J475/Data_Entry!$I475&lt;0,0,Data_Entry!J475/Data_Entry!$I475),0)</f>
        <v>0.55494071146245061</v>
      </c>
      <c r="F486" s="49">
        <f>IFERROR(IF(Data_Entry!K475/Data_Entry!$H475&lt;0,0,Data_Entry!K475/Data_Entry!$H475),0)</f>
        <v>0.14677735370397638</v>
      </c>
      <c r="G486" s="49">
        <f>IFERROR(IF(Data_Entry!L475/Data_Entry!$H475&lt;0,0,Data_Entry!L475/Data_Entry!$H475),0)</f>
        <v>0.30442710397861766</v>
      </c>
      <c r="H486" s="49">
        <f>IFERROR(IF(Data_Entry!M475/Data_Entry!$H475&lt;0,0,Data_Entry!M475/Data_Entry!$H475),0)</f>
        <v>0.27724611255195536</v>
      </c>
      <c r="I486" s="49">
        <f>IFERROR(IF(Data_Entry!N475/Data_Entry!$H475&lt;0,0,Data_Entry!N475/Data_Entry!$H475),0)</f>
        <v>0.26093751769595797</v>
      </c>
      <c r="J486" s="49">
        <f>IFERROR(IF(Data_Entry!O475/Data_Entry!$H475&lt;0,0,Data_Entry!O475/Data_Entry!$H475),0)</f>
        <v>0.53546553110524708</v>
      </c>
      <c r="K486" s="49">
        <f>IFERROR(IF(Data_Entry!P475/Data_Entry!$H475&lt;0,0,Data_Entry!P475/Data_Entry!$H475),0)</f>
        <v>0.5300293328199146</v>
      </c>
      <c r="L486" s="49">
        <f>IFERROR(IF(Data_Entry!Q475/Data_Entry!$H475&lt;0,0,Data_Entry!Q475/Data_Entry!$H475),0)</f>
        <v>0.41043297054260058</v>
      </c>
      <c r="M486" s="49">
        <f>IFERROR(IF(Data_Entry!R475/Data_Entry!$H475&lt;0,0,Data_Entry!R475/Data_Entry!$H475),0)</f>
        <v>0.5572103242465769</v>
      </c>
      <c r="N486" s="49">
        <f>IFERROR(IF(Data_Entry!S475/Data_Entry!$H475&lt;0,0,Data_Entry!S475/Data_Entry!$H475),0)</f>
        <v>0.52459313453458223</v>
      </c>
      <c r="O486" s="49">
        <f>IFERROR(IF(Data_Entry!T475/Data_Entry!$H475&lt;0,0,Data_Entry!T475/Data_Entry!$H475),0)</f>
        <v>0.42674156539859792</v>
      </c>
      <c r="P486" s="49">
        <f>IFERROR(IF(Data_Entry!U475/Data_Entry!$H475&lt;0,0,Data_Entry!U475/Data_Entry!$H475),0)</f>
        <v>0.53818363024791338</v>
      </c>
      <c r="Q486" s="49">
        <f>IFERROR(IF(Data_Entry!V475/Data_Entry!$H475&lt;0,0,Data_Entry!V475/Data_Entry!$H475),0)</f>
        <v>0.50556644053591859</v>
      </c>
      <c r="R486" s="49">
        <f>IFERROR(IF(Data_Entry!W475/Data_Entry!$H475&lt;0,0,Data_Entry!W475/Data_Entry!$H475),0)</f>
        <v>0.4321777636839304</v>
      </c>
      <c r="S486" s="49">
        <f>IFERROR(IF(Data_Entry!X475/Data_Entry!$H475&lt;0,0,Data_Entry!X475/Data_Entry!$H475),0)</f>
        <v>0.43761396196926289</v>
      </c>
      <c r="T486" s="49">
        <f>IFERROR(IF(Data_Entry!Y475/Data_Entry!$H475&lt;0,0,Data_Entry!Y475/Data_Entry!$H475),0)</f>
        <v>1.3590495713331145E-2</v>
      </c>
      <c r="U486" s="49">
        <f>IFERROR(IF(Data_Entry!Z475/Data_Entry!$H475&lt;0,0,Data_Entry!Z475/Data_Entry!$H475),0)</f>
        <v>0.49197594482258744</v>
      </c>
      <c r="V486" s="49">
        <f>IFERROR(IF(Data_Entry!AA475/Data_Entry!$H475&lt;0,0,Data_Entry!AA475/Data_Entry!$H475),0)</f>
        <v>0.62788090195589885</v>
      </c>
      <c r="W486" s="49">
        <f>IFERROR(IF(Data_Entry!AB475/Data_Entry!$H475&lt;0,0,Data_Entry!AB475/Data_Entry!$H475),0)</f>
        <v>0.10872396570664916</v>
      </c>
      <c r="X486" s="49">
        <f>IFERROR(IF(Data_Entry!AC475/Data_Entry!$I475&lt;0,0,Data_Entry!AC475/Data_Entry!$I475),0)</f>
        <v>0.18023715415019764</v>
      </c>
      <c r="Y486" s="49">
        <f>IFERROR(IF(Data_Entry!AD475/Data_Entry!$I475&lt;0,0,Data_Entry!AD475/Data_Entry!$I475),0)</f>
        <v>0.11146245059288538</v>
      </c>
      <c r="Z486" s="49">
        <f>IFERROR(IF(Data_Entry!AE475/Data_Entry!$I475&lt;0,0,Data_Entry!AE475/Data_Entry!$I475),0)</f>
        <v>7.8260869565217397E-2</v>
      </c>
      <c r="AA486" s="49">
        <f>IFERROR(IF(Data_Entry!AF475/Data_Entry!$I475&lt;0,0,Data_Entry!AF475/Data_Entry!$I475),0)</f>
        <v>5.2173913043478265E-2</v>
      </c>
      <c r="AB486" s="49">
        <f>IFERROR(IF(Data_Entry!AG475/Data_Entry!$I475&lt;0,0,Data_Entry!AG475/Data_Entry!$I475),0)</f>
        <v>3.5573122529644272E-2</v>
      </c>
      <c r="AC486" s="49">
        <f>IFERROR(IF(Data_Entry!AI475/Data_Entry!$I475&lt;0,0,Data_Entry!AI475/Data_Entry!$I475),0)</f>
        <v>9.8893280632411082E-2</v>
      </c>
      <c r="AD486" s="49">
        <f>IFERROR(IF(Data_Entry!AM475/Data_Entry!$H475&lt;0,0,Data_Entry!AM475/Data_Entry!$H475),0)</f>
        <v>0.43761396196926289</v>
      </c>
      <c r="AE486" s="50">
        <f>Data_Entry!AK475</f>
        <v>170.90416666666664</v>
      </c>
      <c r="AF486" s="50">
        <f>Data_Entry!AL475</f>
        <v>36</v>
      </c>
      <c r="AG486" s="153">
        <f>(Data_Entry!O475-Data_Entry!Q475)/Data_Entry!O475</f>
        <v>0.233502538071066</v>
      </c>
      <c r="AH486" s="79" t="str">
        <f t="shared" si="14"/>
        <v>CAT4</v>
      </c>
      <c r="AI486" s="51">
        <f>SUBTOTAL(3,Tableau1[[#This Row],[ZS]])</f>
        <v>0</v>
      </c>
      <c r="AJ486" s="51" t="e">
        <f t="shared" ca="1" si="15"/>
        <v>#NAME?</v>
      </c>
      <c r="AK486" s="50" t="str">
        <f>IFERROR(IF((Data_Entry!O475-Data_Entry!Q475)/Data_Entry!O475&lt;=10%,"&lt;=10%","&gt;10%"),"&lt;=10%")</f>
        <v>&gt;10%</v>
      </c>
    </row>
    <row r="487" spans="1:37" s="48" customFormat="1" ht="13" hidden="1" x14ac:dyDescent="0.3">
      <c r="A487" s="31" t="s">
        <v>16</v>
      </c>
      <c r="B487" s="48" t="str">
        <f>Data_Entry!B476</f>
        <v>Goma</v>
      </c>
      <c r="C487" s="48" t="str">
        <f>Data_Entry!C476</f>
        <v xml:space="preserve"> Masisi</v>
      </c>
      <c r="D487" s="48" t="str">
        <f>Data_Entry!D476</f>
        <v xml:space="preserve"> Nyamitaba</v>
      </c>
      <c r="E487" s="49">
        <f>IFERROR(IF(Data_Entry!J476/Data_Entry!$I476&lt;0,0,Data_Entry!J476/Data_Entry!$I476),0)</f>
        <v>0.62976130015236154</v>
      </c>
      <c r="F487" s="49">
        <f>IFERROR(IF(Data_Entry!K476/Data_Entry!$H476&lt;0,0,Data_Entry!K476/Data_Entry!$H476),0)</f>
        <v>0.44238708578962455</v>
      </c>
      <c r="G487" s="49">
        <f>IFERROR(IF(Data_Entry!L476/Data_Entry!$H476&lt;0,0,Data_Entry!L476/Data_Entry!$H476),0)</f>
        <v>0.75089386930081004</v>
      </c>
      <c r="H487" s="49">
        <f>IFERROR(IF(Data_Entry!M476/Data_Entry!$H476&lt;0,0,Data_Entry!M476/Data_Entry!$H476),0)</f>
        <v>0.70723724899262341</v>
      </c>
      <c r="I487" s="49">
        <f>IFERROR(IF(Data_Entry!N476/Data_Entry!$H476&lt;0,0,Data_Entry!N476/Data_Entry!$H476),0)</f>
        <v>0.70141636628486526</v>
      </c>
      <c r="J487" s="49">
        <f>IFERROR(IF(Data_Entry!O476/Data_Entry!$H476&lt;0,0,Data_Entry!O476/Data_Entry!$H476),0)</f>
        <v>0.803281813670634</v>
      </c>
      <c r="K487" s="49">
        <f>IFERROR(IF(Data_Entry!P476/Data_Entry!$H476&lt;0,0,Data_Entry!P476/Data_Entry!$H476),0)</f>
        <v>0.70723724899262341</v>
      </c>
      <c r="L487" s="49">
        <f>IFERROR(IF(Data_Entry!Q476/Data_Entry!$H476&lt;0,0,Data_Entry!Q476/Data_Entry!$H476),0)</f>
        <v>0.70141636628486526</v>
      </c>
      <c r="M487" s="49">
        <f>IFERROR(IF(Data_Entry!R476/Data_Entry!$H476&lt;0,0,Data_Entry!R476/Data_Entry!$H476),0)</f>
        <v>0.81783402044002962</v>
      </c>
      <c r="N487" s="49">
        <f>IFERROR(IF(Data_Entry!S476/Data_Entry!$H476&lt;0,0,Data_Entry!S476/Data_Entry!$H476),0)</f>
        <v>0.67813283545383241</v>
      </c>
      <c r="O487" s="49">
        <f>IFERROR(IF(Data_Entry!T476/Data_Entry!$H476&lt;0,0,Data_Entry!T476/Data_Entry!$H476),0)</f>
        <v>0.70141636628486526</v>
      </c>
      <c r="P487" s="49">
        <f>IFERROR(IF(Data_Entry!U476/Data_Entry!$H476&lt;0,0,Data_Entry!U476/Data_Entry!$H476),0)</f>
        <v>4.3278262932182345</v>
      </c>
      <c r="Q487" s="49">
        <f>IFERROR(IF(Data_Entry!V476/Data_Entry!$H476&lt;0,0,Data_Entry!V476/Data_Entry!$H476),0)</f>
        <v>0.67813283545383241</v>
      </c>
      <c r="R487" s="49">
        <f>IFERROR(IF(Data_Entry!W476/Data_Entry!$H476&lt;0,0,Data_Entry!W476/Data_Entry!$H476),0)</f>
        <v>0.70141636628486526</v>
      </c>
      <c r="S487" s="49">
        <f>IFERROR(IF(Data_Entry!X476/Data_Entry!$H476&lt;0,0,Data_Entry!X476/Data_Entry!$H476),0)</f>
        <v>0.88186373022537001</v>
      </c>
      <c r="T487" s="49">
        <f>IFERROR(IF(Data_Entry!Y476/Data_Entry!$H476&lt;0,0,Data_Entry!Y476/Data_Entry!$H476),0)</f>
        <v>0.33761119704997661</v>
      </c>
      <c r="U487" s="49">
        <f>IFERROR(IF(Data_Entry!Z476/Data_Entry!$H476&lt;0,0,Data_Entry!Z476/Data_Entry!$H476),0)</f>
        <v>0.73925210388529361</v>
      </c>
      <c r="V487" s="49">
        <f>IFERROR(IF(Data_Entry!AA476/Data_Entry!$H476&lt;0,0,Data_Entry!AA476/Data_Entry!$H476),0)</f>
        <v>0.78581916554735942</v>
      </c>
      <c r="W487" s="49">
        <f>IFERROR(IF(Data_Entry!AB476/Data_Entry!$H476&lt;0,0,Data_Entry!AB476/Data_Entry!$H476),0)</f>
        <v>0.47149149932841561</v>
      </c>
      <c r="X487" s="49">
        <f>IFERROR(IF(Data_Entry!AC476/Data_Entry!$I476&lt;0,0,Data_Entry!AC476/Data_Entry!$I476),0)</f>
        <v>0.2844083291010665</v>
      </c>
      <c r="Y487" s="49">
        <f>IFERROR(IF(Data_Entry!AD476/Data_Entry!$I476&lt;0,0,Data_Entry!AD476/Data_Entry!$I476),0)</f>
        <v>0.19299136617572371</v>
      </c>
      <c r="Z487" s="49">
        <f>IFERROR(IF(Data_Entry!AE476/Data_Entry!$I476&lt;0,0,Data_Entry!AE476/Data_Entry!$I476),0)</f>
        <v>0.11934992381919755</v>
      </c>
      <c r="AA487" s="49">
        <f>IFERROR(IF(Data_Entry!AF476/Data_Entry!$I476&lt;0,0,Data_Entry!AF476/Data_Entry!$I476),0)</f>
        <v>0.1015744032503809</v>
      </c>
      <c r="AB487" s="49">
        <f>IFERROR(IF(Data_Entry!AG476/Data_Entry!$I476&lt;0,0,Data_Entry!AG476/Data_Entry!$I476),0)</f>
        <v>8.1259522600304723E-2</v>
      </c>
      <c r="AC487" s="49">
        <f>IFERROR(IF(Data_Entry!AI476/Data_Entry!$I476&lt;0,0,Data_Entry!AI476/Data_Entry!$I476),0)</f>
        <v>0.12696800406297612</v>
      </c>
      <c r="AD487" s="49">
        <f>IFERROR(IF(Data_Entry!AM476/Data_Entry!$H476&lt;0,0,Data_Entry!AM476/Data_Entry!$H476),0)</f>
        <v>0.73925210388529361</v>
      </c>
      <c r="AE487" s="50">
        <f>Data_Entry!AK476</f>
        <v>67.59050000000002</v>
      </c>
      <c r="AF487" s="50">
        <f>Data_Entry!AL476</f>
        <v>0</v>
      </c>
      <c r="AG487" s="153">
        <f>(Data_Entry!O476-Data_Entry!Q476)/Data_Entry!O476</f>
        <v>0.12681159420289856</v>
      </c>
      <c r="AH487" s="79" t="str">
        <f t="shared" si="14"/>
        <v>CAT4</v>
      </c>
      <c r="AI487" s="51">
        <f>SUBTOTAL(3,Tableau1[[#This Row],[ZS]])</f>
        <v>0</v>
      </c>
      <c r="AJ487" s="51" t="e">
        <f t="shared" ca="1" si="15"/>
        <v>#NAME?</v>
      </c>
      <c r="AK487" s="50" t="str">
        <f>IFERROR(IF((Data_Entry!O476-Data_Entry!Q476)/Data_Entry!O476&lt;=10%,"&lt;=10%","&gt;10%"),"&lt;=10%")</f>
        <v>&gt;10%</v>
      </c>
    </row>
    <row r="488" spans="1:37" s="48" customFormat="1" ht="13" hidden="1" x14ac:dyDescent="0.3">
      <c r="A488" s="31" t="s">
        <v>16</v>
      </c>
      <c r="B488" s="48" t="str">
        <f>Data_Entry!B477</f>
        <v>Goma</v>
      </c>
      <c r="C488" s="48" t="str">
        <f>Data_Entry!C477</f>
        <v xml:space="preserve"> Masisi</v>
      </c>
      <c r="D488" s="48" t="str">
        <f>Data_Entry!D477</f>
        <v xml:space="preserve"> Sati</v>
      </c>
      <c r="E488" s="49">
        <f>IFERROR(IF(Data_Entry!J477/Data_Entry!$I477&lt;0,0,Data_Entry!J477/Data_Entry!$I477),0)</f>
        <v>0.74637312293204372</v>
      </c>
      <c r="F488" s="49">
        <f>IFERROR(IF(Data_Entry!K477/Data_Entry!$H477&lt;0,0,Data_Entry!K477/Data_Entry!$H477),0)</f>
        <v>0.42443924064756883</v>
      </c>
      <c r="G488" s="49">
        <f>IFERROR(IF(Data_Entry!L477/Data_Entry!$H477&lt;0,0,Data_Entry!L477/Data_Entry!$H477),0)</f>
        <v>1.2514394105691204</v>
      </c>
      <c r="H488" s="49">
        <f>IFERROR(IF(Data_Entry!M477/Data_Entry!$H477&lt;0,0,Data_Entry!M477/Data_Entry!$H477),0)</f>
        <v>1.0654737638936393</v>
      </c>
      <c r="I488" s="49">
        <f>IFERROR(IF(Data_Entry!N477/Data_Entry!$H477&lt;0,0,Data_Entry!N477/Data_Entry!$H477),0)</f>
        <v>0.93639172678948179</v>
      </c>
      <c r="J488" s="49">
        <f>IFERROR(IF(Data_Entry!O477/Data_Entry!$H477&lt;0,0,Data_Entry!O477/Data_Entry!$H477),0)</f>
        <v>1.9931141661336866</v>
      </c>
      <c r="K488" s="49">
        <f>IFERROR(IF(Data_Entry!P477/Data_Entry!$H477&lt;0,0,Data_Entry!P477/Data_Entry!$H477),0)</f>
        <v>0.96045786930042643</v>
      </c>
      <c r="L488" s="49">
        <f>IFERROR(IF(Data_Entry!Q477/Data_Entry!$H477&lt;0,0,Data_Entry!Q477/Data_Entry!$H477),0)</f>
        <v>0.81824884537211728</v>
      </c>
      <c r="M488" s="49">
        <f>IFERROR(IF(Data_Entry!R477/Data_Entry!$H477&lt;0,0,Data_Entry!R477/Data_Entry!$H477),0)</f>
        <v>1.1267330357396801</v>
      </c>
      <c r="N488" s="49">
        <f>IFERROR(IF(Data_Entry!S477/Data_Entry!$H477&lt;0,0,Data_Entry!S477/Data_Entry!$H477),0)</f>
        <v>0.94076738906419899</v>
      </c>
      <c r="O488" s="49">
        <f>IFERROR(IF(Data_Entry!T477/Data_Entry!$H477&lt;0,0,Data_Entry!T477/Data_Entry!$H477),0)</f>
        <v>0.81168535196004143</v>
      </c>
      <c r="P488" s="49">
        <f>IFERROR(IF(Data_Entry!U477/Data_Entry!$H477&lt;0,0,Data_Entry!U477/Data_Entry!$H477),0)</f>
        <v>0.93639172678948179</v>
      </c>
      <c r="Q488" s="49">
        <f>IFERROR(IF(Data_Entry!V477/Data_Entry!$H477&lt;0,0,Data_Entry!V477/Data_Entry!$H477),0)</f>
        <v>0.74167475556456619</v>
      </c>
      <c r="R488" s="49">
        <f>IFERROR(IF(Data_Entry!W477/Data_Entry!$H477&lt;0,0,Data_Entry!W477/Data_Entry!$H477),0)</f>
        <v>0.6607250034822979</v>
      </c>
      <c r="S488" s="49">
        <f>IFERROR(IF(Data_Entry!X477/Data_Entry!$H477&lt;0,0,Data_Entry!X477/Data_Entry!$H477),0)</f>
        <v>0.49226200590568553</v>
      </c>
      <c r="T488" s="49">
        <f>IFERROR(IF(Data_Entry!Y477/Data_Entry!$H477&lt;0,0,Data_Entry!Y477/Data_Entry!$H477),0)</f>
        <v>0.22753443828529463</v>
      </c>
      <c r="U488" s="49">
        <f>IFERROR(IF(Data_Entry!Z477/Data_Entry!$H477&lt;0,0,Data_Entry!Z477/Data_Entry!$H477),0)</f>
        <v>0.56664826457587802</v>
      </c>
      <c r="V488" s="49">
        <f>IFERROR(IF(Data_Entry!AA477/Data_Entry!$H477&lt;0,0,Data_Entry!AA477/Data_Entry!$H477),0)</f>
        <v>0.91888907769061301</v>
      </c>
      <c r="W488" s="49">
        <f>IFERROR(IF(Data_Entry!AB477/Data_Entry!$H477&lt;0,0,Data_Entry!AB477/Data_Entry!$H477),0)</f>
        <v>0.44194188974643767</v>
      </c>
      <c r="X488" s="49">
        <f>IFERROR(IF(Data_Entry!AC477/Data_Entry!$I477&lt;0,0,Data_Entry!AC477/Data_Entry!$I477),0)</f>
        <v>0.25960804275897176</v>
      </c>
      <c r="Y488" s="49">
        <f>IFERROR(IF(Data_Entry!AD477/Data_Entry!$I477&lt;0,0,Data_Entry!AD477/Data_Entry!$I477),0)</f>
        <v>0.25197251208959021</v>
      </c>
      <c r="Z488" s="49">
        <f>IFERROR(IF(Data_Entry!AE477/Data_Entry!$I477&lt;0,0,Data_Entry!AE477/Data_Entry!$I477),0)</f>
        <v>0.20043268007126494</v>
      </c>
      <c r="AA488" s="49">
        <f>IFERROR(IF(Data_Entry!AF477/Data_Entry!$I477&lt;0,0,Data_Entry!AF477/Data_Entry!$I477),0)</f>
        <v>0.14889284805293967</v>
      </c>
      <c r="AB488" s="49">
        <f>IFERROR(IF(Data_Entry!AG477/Data_Entry!$I477&lt;0,0,Data_Entry!AG477/Data_Entry!$I477),0)</f>
        <v>0.13171290404683125</v>
      </c>
      <c r="AC488" s="49">
        <f>IFERROR(IF(Data_Entry!AI477/Data_Entry!$I477&lt;0,0,Data_Entry!AI477/Data_Entry!$I477),0)</f>
        <v>0.10346144057011963</v>
      </c>
      <c r="AD488" s="49">
        <f>IFERROR(IF(Data_Entry!AM477/Data_Entry!$H477&lt;0,0,Data_Entry!AM477/Data_Entry!$H477),0)</f>
        <v>0.49226200590568553</v>
      </c>
      <c r="AE488" s="50">
        <f>Data_Entry!AK477</f>
        <v>0</v>
      </c>
      <c r="AF488" s="50">
        <f>Data_Entry!AL477</f>
        <v>686</v>
      </c>
      <c r="AG488" s="153">
        <f>(Data_Entry!O477-Data_Entry!Q477)/Data_Entry!O477</f>
        <v>0.58946212952799126</v>
      </c>
      <c r="AH488" s="79" t="str">
        <f t="shared" si="14"/>
        <v>CAT2</v>
      </c>
      <c r="AI488" s="51">
        <f>SUBTOTAL(3,Tableau1[[#This Row],[ZS]])</f>
        <v>0</v>
      </c>
      <c r="AJ488" s="51" t="e">
        <f t="shared" ca="1" si="15"/>
        <v>#NAME?</v>
      </c>
      <c r="AK488" s="50" t="str">
        <f>IFERROR(IF((Data_Entry!O477-Data_Entry!Q477)/Data_Entry!O477&lt;=10%,"&lt;=10%","&gt;10%"),"&lt;=10%")</f>
        <v>&gt;10%</v>
      </c>
    </row>
    <row r="489" spans="1:37" s="48" customFormat="1" ht="13" hidden="1" x14ac:dyDescent="0.3">
      <c r="A489" s="31" t="s">
        <v>16</v>
      </c>
      <c r="B489" s="48" t="str">
        <f>Data_Entry!B478</f>
        <v>Butembo</v>
      </c>
      <c r="C489" s="48" t="str">
        <f>Data_Entry!C478</f>
        <v xml:space="preserve"> Musienene</v>
      </c>
      <c r="D489" s="48" t="str">
        <f>Data_Entry!D478</f>
        <v xml:space="preserve"> Bikindwe</v>
      </c>
      <c r="E489" s="49">
        <f>IFERROR(IF(Data_Entry!J478/Data_Entry!$I478&lt;0,0,Data_Entry!J478/Data_Entry!$I478),0)</f>
        <v>0.7901517320354996</v>
      </c>
      <c r="F489" s="49">
        <f>IFERROR(IF(Data_Entry!K478/Data_Entry!$H478&lt;0,0,Data_Entry!K478/Data_Entry!$H478),0)</f>
        <v>0.25265430574616282</v>
      </c>
      <c r="G489" s="49">
        <f>IFERROR(IF(Data_Entry!L478/Data_Entry!$H478&lt;0,0,Data_Entry!L478/Data_Entry!$H478),0)</f>
        <v>1.2140531574815616</v>
      </c>
      <c r="H489" s="49">
        <f>IFERROR(IF(Data_Entry!M478/Data_Entry!$H478&lt;0,0,Data_Entry!M478/Data_Entry!$H478),0)</f>
        <v>1.2370217307312128</v>
      </c>
      <c r="I489" s="49">
        <f>IFERROR(IF(Data_Entry!N478/Data_Entry!$H478&lt;0,0,Data_Entry!N478/Data_Entry!$H478),0)</f>
        <v>1.141866212982658</v>
      </c>
      <c r="J489" s="49">
        <f>IFERROR(IF(Data_Entry!O478/Data_Entry!$H478&lt;0,0,Data_Entry!O478/Data_Entry!$H478),0)</f>
        <v>0.97452375073519937</v>
      </c>
      <c r="K489" s="49">
        <f>IFERROR(IF(Data_Entry!P478/Data_Entry!$H478&lt;0,0,Data_Entry!P478/Data_Entry!$H478),0)</f>
        <v>0.96796130123529911</v>
      </c>
      <c r="L489" s="49">
        <f>IFERROR(IF(Data_Entry!Q478/Data_Entry!$H478&lt;0,0,Data_Entry!Q478/Data_Entry!$H478),0)</f>
        <v>0.94171150323569774</v>
      </c>
      <c r="M489" s="49">
        <f>IFERROR(IF(Data_Entry!R478/Data_Entry!$H478&lt;0,0,Data_Entry!R478/Data_Entry!$H478),0)</f>
        <v>1.007335998234701</v>
      </c>
      <c r="N489" s="49">
        <f>IFERROR(IF(Data_Entry!S478/Data_Entry!$H478&lt;0,0,Data_Entry!S478/Data_Entry!$H478),0)</f>
        <v>1.0040547734847509</v>
      </c>
      <c r="O489" s="49">
        <f>IFERROR(IF(Data_Entry!T478/Data_Entry!$H478&lt;0,0,Data_Entry!T478/Data_Entry!$H478),0)</f>
        <v>0.92858660423589712</v>
      </c>
      <c r="P489" s="49">
        <f>IFERROR(IF(Data_Entry!U478/Data_Entry!$H478&lt;0,0,Data_Entry!U478/Data_Entry!$H478),0)</f>
        <v>0.84327476073719276</v>
      </c>
      <c r="Q489" s="49">
        <f>IFERROR(IF(Data_Entry!V478/Data_Entry!$H478&lt;0,0,Data_Entry!V478/Data_Entry!$H478),0)</f>
        <v>0.77436904098823922</v>
      </c>
      <c r="R489" s="49">
        <f>IFERROR(IF(Data_Entry!W478/Data_Entry!$H478&lt;0,0,Data_Entry!W478/Data_Entry!$H478),0)</f>
        <v>0.70218209648933561</v>
      </c>
      <c r="S489" s="49">
        <f>IFERROR(IF(Data_Entry!X478/Data_Entry!$H478&lt;0,0,Data_Entry!X478/Data_Entry!$H478),0)</f>
        <v>1.0401482457342028</v>
      </c>
      <c r="T489" s="49">
        <f>IFERROR(IF(Data_Entry!Y478/Data_Entry!$H478&lt;0,0,Data_Entry!Y478/Data_Entry!$H478),0)</f>
        <v>1.0696792684837542</v>
      </c>
      <c r="U489" s="49">
        <f>IFERROR(IF(Data_Entry!Z478/Data_Entry!$H478&lt;0,0,Data_Entry!Z478/Data_Entry!$H478),0)</f>
        <v>1.0401482457342028</v>
      </c>
      <c r="V489" s="49">
        <f>IFERROR(IF(Data_Entry!AA478/Data_Entry!$H478&lt;0,0,Data_Entry!AA478/Data_Entry!$H478),0)</f>
        <v>1.1779596852321097</v>
      </c>
      <c r="W489" s="49">
        <f>IFERROR(IF(Data_Entry!AB478/Data_Entry!$H478&lt;0,0,Data_Entry!AB478/Data_Entry!$H478),0)</f>
        <v>1.0401482457342028</v>
      </c>
      <c r="X489" s="49">
        <f>IFERROR(IF(Data_Entry!AC478/Data_Entry!$I478&lt;0,0,Data_Entry!AC478/Data_Entry!$I478),0)</f>
        <v>0.25193243630117379</v>
      </c>
      <c r="Y489" s="49">
        <f>IFERROR(IF(Data_Entry!AD478/Data_Entry!$I478&lt;0,0,Data_Entry!AD478/Data_Entry!$I478),0)</f>
        <v>0.23475522473518465</v>
      </c>
      <c r="Z489" s="49">
        <f>IFERROR(IF(Data_Entry!AE478/Data_Entry!$I478&lt;0,0,Data_Entry!AE478/Data_Entry!$I478),0)</f>
        <v>0.18036072144288576</v>
      </c>
      <c r="AA489" s="49">
        <f>IFERROR(IF(Data_Entry!AF478/Data_Entry!$I478&lt;0,0,Data_Entry!AF478/Data_Entry!$I478),0)</f>
        <v>0.22616661895219009</v>
      </c>
      <c r="AB489" s="49">
        <f>IFERROR(IF(Data_Entry!AG478/Data_Entry!$I478&lt;0,0,Data_Entry!AG478/Data_Entry!$I478),0)</f>
        <v>0.26338391067849987</v>
      </c>
      <c r="AC489" s="49">
        <f>IFERROR(IF(Data_Entry!AI478/Data_Entry!$I478&lt;0,0,Data_Entry!AI478/Data_Entry!$I478),0)</f>
        <v>0.16690523904952762</v>
      </c>
      <c r="AD489" s="49">
        <f>IFERROR(IF(Data_Entry!AM478/Data_Entry!$H478&lt;0,0,Data_Entry!AM478/Data_Entry!$H478),0)</f>
        <v>1.0401482457342028</v>
      </c>
      <c r="AE489" s="50">
        <f>Data_Entry!AK478</f>
        <v>7.7642500000000041</v>
      </c>
      <c r="AF489" s="50">
        <f>Data_Entry!AL478</f>
        <v>0</v>
      </c>
      <c r="AG489" s="153">
        <f>(Data_Entry!O478-Data_Entry!Q478)/Data_Entry!O478</f>
        <v>3.3670033670033669E-2</v>
      </c>
      <c r="AH489" s="79" t="str">
        <f t="shared" si="14"/>
        <v>CAT1</v>
      </c>
      <c r="AI489" s="51">
        <f>SUBTOTAL(3,Tableau1[[#This Row],[ZS]])</f>
        <v>0</v>
      </c>
      <c r="AJ489" s="51" t="e">
        <f t="shared" ca="1" si="15"/>
        <v>#NAME?</v>
      </c>
      <c r="AK489" s="50" t="str">
        <f>IFERROR(IF((Data_Entry!O478-Data_Entry!Q478)/Data_Entry!O478&lt;=10%,"&lt;=10%","&gt;10%"),"&lt;=10%")</f>
        <v>&lt;=10%</v>
      </c>
    </row>
    <row r="490" spans="1:37" s="48" customFormat="1" ht="13" hidden="1" x14ac:dyDescent="0.3">
      <c r="A490" s="31" t="s">
        <v>16</v>
      </c>
      <c r="B490" s="48" t="str">
        <f>Data_Entry!B479</f>
        <v>Butembo</v>
      </c>
      <c r="C490" s="48" t="str">
        <f>Data_Entry!C479</f>
        <v xml:space="preserve"> Musienene</v>
      </c>
      <c r="D490" s="48" t="str">
        <f>Data_Entry!D479</f>
        <v xml:space="preserve"> Bughumirya</v>
      </c>
      <c r="E490" s="49">
        <f>IFERROR(IF(Data_Entry!J479/Data_Entry!$I479&lt;0,0,Data_Entry!J479/Data_Entry!$I479),0)</f>
        <v>0.77571978727306079</v>
      </c>
      <c r="F490" s="49">
        <f>IFERROR(IF(Data_Entry!K479/Data_Entry!$H479&lt;0,0,Data_Entry!K479/Data_Entry!$H479),0)</f>
        <v>0.35310864343751269</v>
      </c>
      <c r="G490" s="49">
        <f>IFERROR(IF(Data_Entry!L479/Data_Entry!$H479&lt;0,0,Data_Entry!L479/Data_Entry!$H479),0)</f>
        <v>0.99627081541298224</v>
      </c>
      <c r="H490" s="49">
        <f>IFERROR(IF(Data_Entry!M479/Data_Entry!$H479&lt;0,0,Data_Entry!M479/Data_Entry!$H479),0)</f>
        <v>0.83863302816409269</v>
      </c>
      <c r="I490" s="49">
        <f>IFERROR(IF(Data_Entry!N479/Data_Entry!$H479&lt;0,0,Data_Entry!N479/Data_Entry!$H479),0)</f>
        <v>0.93321570051342639</v>
      </c>
      <c r="J490" s="49">
        <f>IFERROR(IF(Data_Entry!O479/Data_Entry!$H479&lt;0,0,Data_Entry!O479/Data_Entry!$H479),0)</f>
        <v>1.0719369532924492</v>
      </c>
      <c r="K490" s="49">
        <f>IFERROR(IF(Data_Entry!P479/Data_Entry!$H479&lt;0,0,Data_Entry!P479/Data_Entry!$H479),0)</f>
        <v>0.72513382134489213</v>
      </c>
      <c r="L490" s="49">
        <f>IFERROR(IF(Data_Entry!Q479/Data_Entry!$H479&lt;0,0,Data_Entry!Q479/Data_Entry!$H479),0)</f>
        <v>1.0404093958426712</v>
      </c>
      <c r="M490" s="49">
        <f>IFERROR(IF(Data_Entry!R479/Data_Entry!$H479&lt;0,0,Data_Entry!R479/Data_Entry!$H479),0)</f>
        <v>1.0214928613728045</v>
      </c>
      <c r="N490" s="49">
        <f>IFERROR(IF(Data_Entry!S479/Data_Entry!$H479&lt;0,0,Data_Entry!S479/Data_Entry!$H479),0)</f>
        <v>0.72513382134489213</v>
      </c>
      <c r="O490" s="49">
        <f>IFERROR(IF(Data_Entry!T479/Data_Entry!$H479&lt;0,0,Data_Entry!T479/Data_Entry!$H479),0)</f>
        <v>0.85754956263395943</v>
      </c>
      <c r="P490" s="49">
        <f>IFERROR(IF(Data_Entry!U479/Data_Entry!$H479&lt;0,0,Data_Entry!U479/Data_Entry!$H479),0)</f>
        <v>1.059325930312538</v>
      </c>
      <c r="Q490" s="49">
        <f>IFERROR(IF(Data_Entry!V479/Data_Entry!$H479&lt;0,0,Data_Entry!V479/Data_Entry!$H479),0)</f>
        <v>0.99627081541298224</v>
      </c>
      <c r="R490" s="49">
        <f>IFERROR(IF(Data_Entry!W479/Data_Entry!$H479&lt;0,0,Data_Entry!W479/Data_Entry!$H479),0)</f>
        <v>1.425045596729962</v>
      </c>
      <c r="S490" s="49">
        <f>IFERROR(IF(Data_Entry!X479/Data_Entry!$H479&lt;0,0,Data_Entry!X479/Data_Entry!$H479),0)</f>
        <v>1.0719369532924492</v>
      </c>
      <c r="T490" s="49">
        <f>IFERROR(IF(Data_Entry!Y479/Data_Entry!$H479&lt;0,0,Data_Entry!Y479/Data_Entry!$H479),0)</f>
        <v>0.96474325796320426</v>
      </c>
      <c r="U490" s="49">
        <f>IFERROR(IF(Data_Entry!Z479/Data_Entry!$H479&lt;0,0,Data_Entry!Z479/Data_Entry!$H479),0)</f>
        <v>1.0341038843527157</v>
      </c>
      <c r="V490" s="49">
        <f>IFERROR(IF(Data_Entry!AA479/Data_Entry!$H479&lt;0,0,Data_Entry!AA479/Data_Entry!$H479),0)</f>
        <v>0.93321570051342639</v>
      </c>
      <c r="W490" s="49">
        <f>IFERROR(IF(Data_Entry!AB479/Data_Entry!$H479&lt;0,0,Data_Entry!AB479/Data_Entry!$H479),0)</f>
        <v>1.059325930312538</v>
      </c>
      <c r="X490" s="49">
        <f>IFERROR(IF(Data_Entry!AC479/Data_Entry!$I479&lt;0,0,Data_Entry!AC479/Data_Entry!$I479),0)</f>
        <v>0.1540436456996149</v>
      </c>
      <c r="Y490" s="49">
        <f>IFERROR(IF(Data_Entry!AD479/Data_Entry!$I479&lt;0,0,Data_Entry!AD479/Data_Entry!$I479),0)</f>
        <v>0.22006235099944987</v>
      </c>
      <c r="Z490" s="49">
        <f>IFERROR(IF(Data_Entry!AE479/Data_Entry!$I479&lt;0,0,Data_Entry!AE479/Data_Entry!$I479),0)</f>
        <v>0.25307170364936732</v>
      </c>
      <c r="AA490" s="49">
        <f>IFERROR(IF(Data_Entry!AF479/Data_Entry!$I479&lt;0,0,Data_Entry!AF479/Data_Entry!$I479),0)</f>
        <v>0.2750779387493123</v>
      </c>
      <c r="AB490" s="49">
        <f>IFERROR(IF(Data_Entry!AG479/Data_Entry!$I479&lt;0,0,Data_Entry!AG479/Data_Entry!$I479),0)</f>
        <v>0.25857326242435358</v>
      </c>
      <c r="AC490" s="49">
        <f>IFERROR(IF(Data_Entry!AI479/Data_Entry!$I479&lt;0,0,Data_Entry!AI479/Data_Entry!$I479),0)</f>
        <v>0.32074087658169814</v>
      </c>
      <c r="AD490" s="49">
        <f>IFERROR(IF(Data_Entry!AM479/Data_Entry!$H479&lt;0,0,Data_Entry!AM479/Data_Entry!$H479),0)</f>
        <v>1.0341038843527157</v>
      </c>
      <c r="AE490" s="50">
        <f>Data_Entry!AK479</f>
        <v>0</v>
      </c>
      <c r="AF490" s="50">
        <f>Data_Entry!AL479</f>
        <v>0</v>
      </c>
      <c r="AG490" s="153">
        <f>(Data_Entry!O479-Data_Entry!Q479)/Data_Entry!O479</f>
        <v>2.9411764705882353E-2</v>
      </c>
      <c r="AH490" s="79" t="str">
        <f t="shared" si="14"/>
        <v>CAT1</v>
      </c>
      <c r="AI490" s="51">
        <f>SUBTOTAL(3,Tableau1[[#This Row],[ZS]])</f>
        <v>0</v>
      </c>
      <c r="AJ490" s="51" t="e">
        <f t="shared" ca="1" si="15"/>
        <v>#NAME?</v>
      </c>
      <c r="AK490" s="50" t="str">
        <f>IFERROR(IF((Data_Entry!O479-Data_Entry!Q479)/Data_Entry!O479&lt;=10%,"&lt;=10%","&gt;10%"),"&lt;=10%")</f>
        <v>&lt;=10%</v>
      </c>
    </row>
    <row r="491" spans="1:37" s="48" customFormat="1" ht="13" hidden="1" x14ac:dyDescent="0.3">
      <c r="A491" s="31" t="s">
        <v>16</v>
      </c>
      <c r="B491" s="48" t="str">
        <f>Data_Entry!B480</f>
        <v>Butembo</v>
      </c>
      <c r="C491" s="48" t="str">
        <f>Data_Entry!C480</f>
        <v xml:space="preserve"> Musienene</v>
      </c>
      <c r="D491" s="48" t="str">
        <f>Data_Entry!D480</f>
        <v xml:space="preserve"> Butumbe</v>
      </c>
      <c r="E491" s="49">
        <f>IFERROR(IF(Data_Entry!J480/Data_Entry!$I480&lt;0,0,Data_Entry!J480/Data_Entry!$I480),0)</f>
        <v>0.69439669989687181</v>
      </c>
      <c r="F491" s="49">
        <f>IFERROR(IF(Data_Entry!K480/Data_Entry!$H480&lt;0,0,Data_Entry!K480/Data_Entry!$H480),0)</f>
        <v>0.28761643787041702</v>
      </c>
      <c r="G491" s="49">
        <f>IFERROR(IF(Data_Entry!L480/Data_Entry!$H480&lt;0,0,Data_Entry!L480/Data_Entry!$H480),0)</f>
        <v>0.87860911842606837</v>
      </c>
      <c r="H491" s="49">
        <f>IFERROR(IF(Data_Entry!M480/Data_Entry!$H480&lt;0,0,Data_Entry!M480/Data_Entry!$H480),0)</f>
        <v>0.8549694112038424</v>
      </c>
      <c r="I491" s="49">
        <f>IFERROR(IF(Data_Entry!N480/Data_Entry!$H480&lt;0,0,Data_Entry!N480/Data_Entry!$H480),0)</f>
        <v>0.78011033833345989</v>
      </c>
      <c r="J491" s="49">
        <f>IFERROR(IF(Data_Entry!O480/Data_Entry!$H480&lt;0,0,Data_Entry!O480/Data_Entry!$H480),0)</f>
        <v>0.85102946000013802</v>
      </c>
      <c r="K491" s="49">
        <f>IFERROR(IF(Data_Entry!P480/Data_Entry!$H480&lt;0,0,Data_Entry!P480/Data_Entry!$H480),0)</f>
        <v>0.86678926481495533</v>
      </c>
      <c r="L491" s="49">
        <f>IFERROR(IF(Data_Entry!Q480/Data_Entry!$H480&lt;0,0,Data_Entry!Q480/Data_Entry!$H480),0)</f>
        <v>0.81950985037050328</v>
      </c>
      <c r="M491" s="49">
        <f>IFERROR(IF(Data_Entry!R480/Data_Entry!$H480&lt;0,0,Data_Entry!R480/Data_Entry!$H480),0)</f>
        <v>0.7958701431482772</v>
      </c>
      <c r="N491" s="49">
        <f>IFERROR(IF(Data_Entry!S480/Data_Entry!$H480&lt;0,0,Data_Entry!S480/Data_Entry!$H480),0)</f>
        <v>0.82344980157420766</v>
      </c>
      <c r="O491" s="49">
        <f>IFERROR(IF(Data_Entry!T480/Data_Entry!$H480&lt;0,0,Data_Entry!T480/Data_Entry!$H480),0)</f>
        <v>0.78011033833345989</v>
      </c>
      <c r="P491" s="49">
        <f>IFERROR(IF(Data_Entry!U480/Data_Entry!$H480&lt;0,0,Data_Entry!U480/Data_Entry!$H480),0)</f>
        <v>0.51613360768526884</v>
      </c>
      <c r="Q491" s="49">
        <f>IFERROR(IF(Data_Entry!V480/Data_Entry!$H480&lt;0,0,Data_Entry!V480/Data_Entry!$H480),0)</f>
        <v>0.39005516916672994</v>
      </c>
      <c r="R491" s="49">
        <f>IFERROR(IF(Data_Entry!W480/Data_Entry!$H480&lt;0,0,Data_Entry!W480/Data_Entry!$H480),0)</f>
        <v>0.29943629148153006</v>
      </c>
      <c r="S491" s="49">
        <f>IFERROR(IF(Data_Entry!X480/Data_Entry!$H480&lt;0,0,Data_Entry!X480/Data_Entry!$H480),0)</f>
        <v>0.85890936240754667</v>
      </c>
      <c r="T491" s="49">
        <f>IFERROR(IF(Data_Entry!Y480/Data_Entry!$H480&lt;0,0,Data_Entry!Y480/Data_Entry!$H480),0)</f>
        <v>0.34671570592598216</v>
      </c>
      <c r="U491" s="49">
        <f>IFERROR(IF(Data_Entry!Z480/Data_Entry!$H480&lt;0,0,Data_Entry!Z480/Data_Entry!$H480),0)</f>
        <v>0.73677087509271211</v>
      </c>
      <c r="V491" s="49">
        <f>IFERROR(IF(Data_Entry!AA480/Data_Entry!$H480&lt;0,0,Data_Entry!AA480/Data_Entry!$H480),0)</f>
        <v>0.76435053351864246</v>
      </c>
      <c r="W491" s="49">
        <f>IFERROR(IF(Data_Entry!AB480/Data_Entry!$H480&lt;0,0,Data_Entry!AB480/Data_Entry!$H480),0)</f>
        <v>0.73283092388900772</v>
      </c>
      <c r="X491" s="49">
        <f>IFERROR(IF(Data_Entry!AC480/Data_Entry!$I480&lt;0,0,Data_Entry!AC480/Data_Entry!$I480),0)</f>
        <v>0.10312822275696117</v>
      </c>
      <c r="Y491" s="49">
        <f>IFERROR(IF(Data_Entry!AD480/Data_Entry!$I480&lt;0,0,Data_Entry!AD480/Data_Entry!$I480),0)</f>
        <v>0.17531797868683396</v>
      </c>
      <c r="Z491" s="49">
        <f>IFERROR(IF(Data_Entry!AE480/Data_Entry!$I480&lt;0,0,Data_Entry!AE480/Data_Entry!$I480),0)</f>
        <v>0.16156754898590583</v>
      </c>
      <c r="AA491" s="49">
        <f>IFERROR(IF(Data_Entry!AF480/Data_Entry!$I480&lt;0,0,Data_Entry!AF480/Data_Entry!$I480),0)</f>
        <v>6.8752148504640773E-2</v>
      </c>
      <c r="AB491" s="49">
        <f>IFERROR(IF(Data_Entry!AG480/Data_Entry!$I480&lt;0,0,Data_Entry!AG480/Data_Entry!$I480),0)</f>
        <v>6.5314541079408733E-2</v>
      </c>
      <c r="AC491" s="49">
        <f>IFERROR(IF(Data_Entry!AI480/Data_Entry!$I480&lt;0,0,Data_Entry!AI480/Data_Entry!$I480),0)</f>
        <v>0.20041251289102785</v>
      </c>
      <c r="AD491" s="49">
        <f>IFERROR(IF(Data_Entry!AM480/Data_Entry!$H480&lt;0,0,Data_Entry!AM480/Data_Entry!$H480),0)</f>
        <v>0.73677087509271211</v>
      </c>
      <c r="AE491" s="50">
        <f>Data_Entry!AK480</f>
        <v>37.810249999999968</v>
      </c>
      <c r="AF491" s="50">
        <f>Data_Entry!AL480</f>
        <v>0</v>
      </c>
      <c r="AG491" s="153">
        <f>(Data_Entry!O480-Data_Entry!Q480)/Data_Entry!O480</f>
        <v>3.7037037037037035E-2</v>
      </c>
      <c r="AH491" s="79" t="str">
        <f t="shared" si="14"/>
        <v>CAT3</v>
      </c>
      <c r="AI491" s="51">
        <f>SUBTOTAL(3,Tableau1[[#This Row],[ZS]])</f>
        <v>0</v>
      </c>
      <c r="AJ491" s="51" t="e">
        <f t="shared" ca="1" si="15"/>
        <v>#NAME?</v>
      </c>
      <c r="AK491" s="50" t="str">
        <f>IFERROR(IF((Data_Entry!O480-Data_Entry!Q480)/Data_Entry!O480&lt;=10%,"&lt;=10%","&gt;10%"),"&lt;=10%")</f>
        <v>&lt;=10%</v>
      </c>
    </row>
    <row r="492" spans="1:37" s="48" customFormat="1" ht="13" hidden="1" x14ac:dyDescent="0.3">
      <c r="A492" s="31" t="s">
        <v>16</v>
      </c>
      <c r="B492" s="48" t="str">
        <f>Data_Entry!B481</f>
        <v>Butembo</v>
      </c>
      <c r="C492" s="48" t="str">
        <f>Data_Entry!C481</f>
        <v xml:space="preserve"> Musienene</v>
      </c>
      <c r="D492" s="48" t="str">
        <f>Data_Entry!D481</f>
        <v xml:space="preserve"> Buyinga</v>
      </c>
      <c r="E492" s="49">
        <f>IFERROR(IF(Data_Entry!J481/Data_Entry!$I481&lt;0,0,Data_Entry!J481/Data_Entry!$I481),0)</f>
        <v>0.49718508092892327</v>
      </c>
      <c r="F492" s="49">
        <f>IFERROR(IF(Data_Entry!K481/Data_Entry!$H481&lt;0,0,Data_Entry!K481/Data_Entry!$H481),0)</f>
        <v>0.52023575955429102</v>
      </c>
      <c r="G492" s="49">
        <f>IFERROR(IF(Data_Entry!L481/Data_Entry!$H481&lt;0,0,Data_Entry!L481/Data_Entry!$H481),0)</f>
        <v>1.0235336106579771</v>
      </c>
      <c r="H492" s="49">
        <f>IFERROR(IF(Data_Entry!M481/Data_Entry!$H481&lt;0,0,Data_Entry!M481/Data_Entry!$H481),0)</f>
        <v>0.90012884908928492</v>
      </c>
      <c r="I492" s="49">
        <f>IFERROR(IF(Data_Entry!N481/Data_Entry!$H481&lt;0,0,Data_Entry!N481/Data_Entry!$H481),0)</f>
        <v>0.92795541297242135</v>
      </c>
      <c r="J492" s="49">
        <f>IFERROR(IF(Data_Entry!O481/Data_Entry!$H481&lt;0,0,Data_Entry!O481/Data_Entry!$H481),0)</f>
        <v>0.99691689737845535</v>
      </c>
      <c r="K492" s="49">
        <f>IFERROR(IF(Data_Entry!P481/Data_Entry!$H481&lt;0,0,Data_Entry!P481/Data_Entry!$H481),0)</f>
        <v>0.92311601055796288</v>
      </c>
      <c r="L492" s="49">
        <f>IFERROR(IF(Data_Entry!Q481/Data_Entry!$H481&lt;0,0,Data_Entry!Q481/Data_Entry!$H481),0)</f>
        <v>0.97030018409893348</v>
      </c>
      <c r="M492" s="49">
        <f>IFERROR(IF(Data_Entry!R481/Data_Entry!$H481&lt;0,0,Data_Entry!R481/Data_Entry!$H481),0)</f>
        <v>0.92311601055796288</v>
      </c>
      <c r="N492" s="49">
        <f>IFERROR(IF(Data_Entry!S481/Data_Entry!$H481&lt;0,0,Data_Entry!S481/Data_Entry!$H481),0)</f>
        <v>0.82027870925071933</v>
      </c>
      <c r="O492" s="49">
        <f>IFERROR(IF(Data_Entry!T481/Data_Entry!$H481&lt;0,0,Data_Entry!T481/Data_Entry!$H481),0)</f>
        <v>0.90617810210735805</v>
      </c>
      <c r="P492" s="49">
        <f>IFERROR(IF(Data_Entry!U481/Data_Entry!$H481&lt;0,0,Data_Entry!U481/Data_Entry!$H481),0)</f>
        <v>0.97997898892785051</v>
      </c>
      <c r="Q492" s="49">
        <f>IFERROR(IF(Data_Entry!V481/Data_Entry!$H481&lt;0,0,Data_Entry!V481/Data_Entry!$H481),0)</f>
        <v>0.6944542464747977</v>
      </c>
      <c r="R492" s="49">
        <f>IFERROR(IF(Data_Entry!W481/Data_Entry!$H481&lt;0,0,Data_Entry!W481/Data_Entry!$H481),0)</f>
        <v>0.62670261267237848</v>
      </c>
      <c r="S492" s="49">
        <f>IFERROR(IF(Data_Entry!X481/Data_Entry!$H481&lt;0,0,Data_Entry!X481/Data_Entry!$H481),0)</f>
        <v>1.0549897263519576</v>
      </c>
      <c r="T492" s="49">
        <f>IFERROR(IF(Data_Entry!Y481/Data_Entry!$H481&lt;0,0,Data_Entry!Y481/Data_Entry!$H481),0)</f>
        <v>0.67509663681696364</v>
      </c>
      <c r="U492" s="49">
        <f>IFERROR(IF(Data_Entry!Z481/Data_Entry!$H481&lt;0,0,Data_Entry!Z481/Data_Entry!$H481),0)</f>
        <v>1.1868634421459523</v>
      </c>
      <c r="V492" s="49">
        <f>IFERROR(IF(Data_Entry!AA481/Data_Entry!$H481&lt;0,0,Data_Entry!AA481/Data_Entry!$H481),0)</f>
        <v>0.86383333098084603</v>
      </c>
      <c r="W492" s="49">
        <f>IFERROR(IF(Data_Entry!AB481/Data_Entry!$H481&lt;0,0,Data_Entry!AB481/Data_Entry!$H481),0)</f>
        <v>0.74405812122299764</v>
      </c>
      <c r="X492" s="49">
        <f>IFERROR(IF(Data_Entry!AC481/Data_Entry!$I481&lt;0,0,Data_Entry!AC481/Data_Entry!$I481),0)</f>
        <v>0.2744546094299789</v>
      </c>
      <c r="Y492" s="49">
        <f>IFERROR(IF(Data_Entry!AD481/Data_Entry!$I481&lt;0,0,Data_Entry!AD481/Data_Entry!$I481),0)</f>
        <v>0.20584095707248415</v>
      </c>
      <c r="Z492" s="49">
        <f>IFERROR(IF(Data_Entry!AE481/Data_Entry!$I481&lt;0,0,Data_Entry!AE481/Data_Entry!$I481),0)</f>
        <v>0.16783954961294861</v>
      </c>
      <c r="AA492" s="49">
        <f>IFERROR(IF(Data_Entry!AF481/Data_Entry!$I481&lt;0,0,Data_Entry!AF481/Data_Entry!$I481),0)</f>
        <v>0.10767065446868403</v>
      </c>
      <c r="AB492" s="49">
        <f>IFERROR(IF(Data_Entry!AG481/Data_Entry!$I481&lt;0,0,Data_Entry!AG481/Data_Entry!$I481),0)</f>
        <v>7.389162561576354E-2</v>
      </c>
      <c r="AC492" s="49">
        <f>IFERROR(IF(Data_Entry!AI481/Data_Entry!$I481&lt;0,0,Data_Entry!AI481/Data_Entry!$I481),0)</f>
        <v>0.1055594651653765</v>
      </c>
      <c r="AD492" s="49">
        <f>IFERROR(IF(Data_Entry!AM481/Data_Entry!$H481&lt;0,0,Data_Entry!AM481/Data_Entry!$H481),0)</f>
        <v>1.0549897263519576</v>
      </c>
      <c r="AE492" s="50">
        <f>Data_Entry!AK481</f>
        <v>2.5483333333334031</v>
      </c>
      <c r="AF492" s="50">
        <f>Data_Entry!AL481</f>
        <v>0</v>
      </c>
      <c r="AG492" s="153">
        <f>(Data_Entry!O481-Data_Entry!Q481)/Data_Entry!O481</f>
        <v>2.6699029126213591E-2</v>
      </c>
      <c r="AH492" s="79" t="str">
        <f t="shared" si="14"/>
        <v>CAT1</v>
      </c>
      <c r="AI492" s="51">
        <f>SUBTOTAL(3,Tableau1[[#This Row],[ZS]])</f>
        <v>0</v>
      </c>
      <c r="AJ492" s="51" t="e">
        <f t="shared" ca="1" si="15"/>
        <v>#NAME?</v>
      </c>
      <c r="AK492" s="50" t="str">
        <f>IFERROR(IF((Data_Entry!O481-Data_Entry!Q481)/Data_Entry!O481&lt;=10%,"&lt;=10%","&gt;10%"),"&lt;=10%")</f>
        <v>&lt;=10%</v>
      </c>
    </row>
    <row r="493" spans="1:37" s="48" customFormat="1" ht="13" hidden="1" x14ac:dyDescent="0.3">
      <c r="A493" s="31" t="s">
        <v>16</v>
      </c>
      <c r="B493" s="48" t="str">
        <f>Data_Entry!B482</f>
        <v>Butembo</v>
      </c>
      <c r="C493" s="48" t="str">
        <f>Data_Entry!C482</f>
        <v xml:space="preserve"> Musienene</v>
      </c>
      <c r="D493" s="48" t="str">
        <f>Data_Entry!D482</f>
        <v xml:space="preserve"> Bweteta</v>
      </c>
      <c r="E493" s="49">
        <f>IFERROR(IF(Data_Entry!J482/Data_Entry!$I482&lt;0,0,Data_Entry!J482/Data_Entry!$I482),0)</f>
        <v>0.87583148558758295</v>
      </c>
      <c r="F493" s="49">
        <f>IFERROR(IF(Data_Entry!K482/Data_Entry!$H482&lt;0,0,Data_Entry!K482/Data_Entry!$H482),0)</f>
        <v>0.13341889084428746</v>
      </c>
      <c r="G493" s="49">
        <f>IFERROR(IF(Data_Entry!L482/Data_Entry!$H482&lt;0,0,Data_Entry!L482/Data_Entry!$H482),0)</f>
        <v>1.0737044072706943</v>
      </c>
      <c r="H493" s="49">
        <f>IFERROR(IF(Data_Entry!M482/Data_Entry!$H482&lt;0,0,Data_Entry!M482/Data_Entry!$H482),0)</f>
        <v>1.0864109683034835</v>
      </c>
      <c r="I493" s="49">
        <f>IFERROR(IF(Data_Entry!N482/Data_Entry!$H482&lt;0,0,Data_Entry!N482/Data_Entry!$H482),0)</f>
        <v>1.0355847241723264</v>
      </c>
      <c r="J493" s="49">
        <f>IFERROR(IF(Data_Entry!O482/Data_Entry!$H482&lt;0,0,Data_Entry!O482/Data_Entry!$H482),0)</f>
        <v>1.041938004688721</v>
      </c>
      <c r="K493" s="49">
        <f>IFERROR(IF(Data_Entry!P482/Data_Entry!$H482&lt;0,0,Data_Entry!P482/Data_Entry!$H482),0)</f>
        <v>1.0927642488198781</v>
      </c>
      <c r="L493" s="49">
        <f>IFERROR(IF(Data_Entry!Q482/Data_Entry!$H482&lt;0,0,Data_Entry!Q482/Data_Entry!$H482),0)</f>
        <v>1.130883931918246</v>
      </c>
      <c r="M493" s="49">
        <f>IFERROR(IF(Data_Entry!R482/Data_Entry!$H482&lt;0,0,Data_Entry!R482/Data_Entry!$H482),0)</f>
        <v>1.0038183215903531</v>
      </c>
      <c r="N493" s="49">
        <f>IFERROR(IF(Data_Entry!S482/Data_Entry!$H482&lt;0,0,Data_Entry!S482/Data_Entry!$H482),0)</f>
        <v>0.99111176055756389</v>
      </c>
      <c r="O493" s="49">
        <f>IFERROR(IF(Data_Entry!T482/Data_Entry!$H482&lt;0,0,Data_Entry!T482/Data_Entry!$H482),0)</f>
        <v>0.96569863849198534</v>
      </c>
      <c r="P493" s="49">
        <f>IFERROR(IF(Data_Entry!U482/Data_Entry!$H482&lt;0,0,Data_Entry!U482/Data_Entry!$H482),0)</f>
        <v>1.1181773708854568</v>
      </c>
      <c r="Q493" s="49">
        <f>IFERROR(IF(Data_Entry!V482/Data_Entry!$H482&lt;0,0,Data_Entry!V482/Data_Entry!$H482),0)</f>
        <v>1.3214823474100852</v>
      </c>
      <c r="R493" s="49">
        <f>IFERROR(IF(Data_Entry!W482/Data_Entry!$H482&lt;0,0,Data_Entry!W482/Data_Entry!$H482),0)</f>
        <v>1.2579495422461389</v>
      </c>
      <c r="S493" s="49">
        <f>IFERROR(IF(Data_Entry!X482/Data_Entry!$H482&lt;0,0,Data_Entry!X482/Data_Entry!$H482),0)</f>
        <v>1.0292314436559318</v>
      </c>
      <c r="T493" s="49">
        <f>IFERROR(IF(Data_Entry!Y482/Data_Entry!$H482&lt;0,0,Data_Entry!Y482/Data_Entry!$H482),0)</f>
        <v>0.87675271126246035</v>
      </c>
      <c r="U493" s="49">
        <f>IFERROR(IF(Data_Entry!Z482/Data_Entry!$H482&lt;0,0,Data_Entry!Z482/Data_Entry!$H482),0)</f>
        <v>0.98475848004116928</v>
      </c>
      <c r="V493" s="49">
        <f>IFERROR(IF(Data_Entry!AA482/Data_Entry!$H482&lt;0,0,Data_Entry!AA482/Data_Entry!$H482),0)</f>
        <v>1.0546445657215102</v>
      </c>
      <c r="W493" s="49">
        <f>IFERROR(IF(Data_Entry!AB482/Data_Entry!$H482&lt;0,0,Data_Entry!AB482/Data_Entry!$H482),0)</f>
        <v>1.0292314436559318</v>
      </c>
      <c r="X493" s="49">
        <f>IFERROR(IF(Data_Entry!AC482/Data_Entry!$I482&lt;0,0,Data_Entry!AC482/Data_Entry!$I482),0)</f>
        <v>0.12749445676274943</v>
      </c>
      <c r="Y493" s="49">
        <f>IFERROR(IF(Data_Entry!AD482/Data_Entry!$I482&lt;0,0,Data_Entry!AD482/Data_Entry!$I482),0)</f>
        <v>0.18292682926829265</v>
      </c>
      <c r="Z493" s="49">
        <f>IFERROR(IF(Data_Entry!AE482/Data_Entry!$I482&lt;0,0,Data_Entry!AE482/Data_Entry!$I482),0)</f>
        <v>0.22727272727272724</v>
      </c>
      <c r="AA493" s="49">
        <f>IFERROR(IF(Data_Entry!AF482/Data_Entry!$I482&lt;0,0,Data_Entry!AF482/Data_Entry!$I482),0)</f>
        <v>0.19401330376940129</v>
      </c>
      <c r="AB493" s="49">
        <f>IFERROR(IF(Data_Entry!AG482/Data_Entry!$I482&lt;0,0,Data_Entry!AG482/Data_Entry!$I482),0)</f>
        <v>0.18292682926829265</v>
      </c>
      <c r="AC493" s="49">
        <f>IFERROR(IF(Data_Entry!AI482/Data_Entry!$I482&lt;0,0,Data_Entry!AI482/Data_Entry!$I482),0)</f>
        <v>0.32317073170731697</v>
      </c>
      <c r="AD493" s="49">
        <f>IFERROR(IF(Data_Entry!AM482/Data_Entry!$H482&lt;0,0,Data_Entry!AM482/Data_Entry!$H482),0)</f>
        <v>0.98475848004116928</v>
      </c>
      <c r="AE493" s="50">
        <f>Data_Entry!AK482</f>
        <v>0</v>
      </c>
      <c r="AF493" s="50">
        <f>Data_Entry!AL482</f>
        <v>2</v>
      </c>
      <c r="AG493" s="153">
        <f>(Data_Entry!O482-Data_Entry!Q482)/Data_Entry!O482</f>
        <v>-8.5365853658536592E-2</v>
      </c>
      <c r="AH493" s="79" t="str">
        <f t="shared" si="14"/>
        <v>CAT1</v>
      </c>
      <c r="AI493" s="51">
        <f>SUBTOTAL(3,Tableau1[[#This Row],[ZS]])</f>
        <v>0</v>
      </c>
      <c r="AJ493" s="51" t="e">
        <f t="shared" ca="1" si="15"/>
        <v>#NAME?</v>
      </c>
      <c r="AK493" s="50" t="str">
        <f>IFERROR(IF((Data_Entry!O482-Data_Entry!Q482)/Data_Entry!O482&lt;=10%,"&lt;=10%","&gt;10%"),"&lt;=10%")</f>
        <v>&lt;=10%</v>
      </c>
    </row>
    <row r="494" spans="1:37" s="48" customFormat="1" ht="13" hidden="1" x14ac:dyDescent="0.3">
      <c r="A494" s="31" t="s">
        <v>16</v>
      </c>
      <c r="B494" s="48" t="str">
        <f>Data_Entry!B483</f>
        <v>Butembo</v>
      </c>
      <c r="C494" s="48" t="str">
        <f>Data_Entry!C483</f>
        <v xml:space="preserve"> Musienene</v>
      </c>
      <c r="D494" s="48" t="str">
        <f>Data_Entry!D483</f>
        <v xml:space="preserve"> Ivatama</v>
      </c>
      <c r="E494" s="49">
        <f>IFERROR(IF(Data_Entry!J483/Data_Entry!$I483&lt;0,0,Data_Entry!J483/Data_Entry!$I483),0)</f>
        <v>1.0814170292106897</v>
      </c>
      <c r="F494" s="49">
        <f>IFERROR(IF(Data_Entry!K483/Data_Entry!$H483&lt;0,0,Data_Entry!K483/Data_Entry!$H483),0)</f>
        <v>1.0553376950487758</v>
      </c>
      <c r="G494" s="49">
        <f>IFERROR(IF(Data_Entry!L483/Data_Entry!$H483&lt;0,0,Data_Entry!L483/Data_Entry!$H483),0)</f>
        <v>1.0980772278700657</v>
      </c>
      <c r="H494" s="49">
        <f>IFERROR(IF(Data_Entry!M483/Data_Entry!$H483&lt;0,0,Data_Entry!M483/Data_Entry!$H483),0)</f>
        <v>1.0339679286381307</v>
      </c>
      <c r="I494" s="49">
        <f>IFERROR(IF(Data_Entry!N483/Data_Entry!$H483&lt;0,0,Data_Entry!N483/Data_Entry!$H483),0)</f>
        <v>1.0438308977507362</v>
      </c>
      <c r="J494" s="49">
        <f>IFERROR(IF(Data_Entry!O483/Data_Entry!$H483&lt;0,0,Data_Entry!O483/Data_Entry!$H483),0)</f>
        <v>0.92547526839947158</v>
      </c>
      <c r="K494" s="49">
        <f>IFERROR(IF(Data_Entry!P483/Data_Entry!$H483&lt;0,0,Data_Entry!P483/Data_Entry!$H483),0)</f>
        <v>0.83835237457145739</v>
      </c>
      <c r="L494" s="49">
        <f>IFERROR(IF(Data_Entry!Q483/Data_Entry!$H483&lt;0,0,Data_Entry!Q483/Data_Entry!$H483),0)</f>
        <v>0.9106808147305635</v>
      </c>
      <c r="M494" s="49">
        <f>IFERROR(IF(Data_Entry!R483/Data_Entry!$H483&lt;0,0,Data_Entry!R483/Data_Entry!$H483),0)</f>
        <v>1.0306802722672623</v>
      </c>
      <c r="N494" s="49">
        <f>IFERROR(IF(Data_Entry!S483/Data_Entry!$H483&lt;0,0,Data_Entry!S483/Data_Entry!$H483),0)</f>
        <v>0.86794128190927355</v>
      </c>
      <c r="O494" s="49">
        <f>IFERROR(IF(Data_Entry!T483/Data_Entry!$H483&lt;0,0,Data_Entry!T483/Data_Entry!$H483),0)</f>
        <v>0.85314682824036547</v>
      </c>
      <c r="P494" s="49">
        <f>IFERROR(IF(Data_Entry!U483/Data_Entry!$H483&lt;0,0,Data_Entry!U483/Data_Entry!$H483),0)</f>
        <v>0.99451605218770922</v>
      </c>
      <c r="Q494" s="49">
        <f>IFERROR(IF(Data_Entry!V483/Data_Entry!$H483&lt;0,0,Data_Entry!V483/Data_Entry!$H483),0)</f>
        <v>0.77588690352495659</v>
      </c>
      <c r="R494" s="49">
        <f>IFERROR(IF(Data_Entry!W483/Data_Entry!$H483&lt;0,0,Data_Entry!W483/Data_Entry!$H483),0)</f>
        <v>0.74136651163083778</v>
      </c>
      <c r="S494" s="49">
        <f>IFERROR(IF(Data_Entry!X483/Data_Entry!$H483&lt;0,0,Data_Entry!X483/Data_Entry!$H483),0)</f>
        <v>0.94684503481011661</v>
      </c>
      <c r="T494" s="49">
        <f>IFERROR(IF(Data_Entry!Y483/Data_Entry!$H483&lt;0,0,Data_Entry!Y483/Data_Entry!$H483),0)</f>
        <v>0.81040729541907541</v>
      </c>
      <c r="U494" s="49">
        <f>IFERROR(IF(Data_Entry!Z483/Data_Entry!$H483&lt;0,0,Data_Entry!Z483/Data_Entry!$H483),0)</f>
        <v>0.95670800392272193</v>
      </c>
      <c r="V494" s="49">
        <f>IFERROR(IF(Data_Entry!AA483/Data_Entry!$H483&lt;0,0,Data_Entry!AA483/Data_Entry!$H483),0)</f>
        <v>1.0717759769031181</v>
      </c>
      <c r="W494" s="49">
        <f>IFERROR(IF(Data_Entry!AB483/Data_Entry!$H483&lt;0,0,Data_Entry!AB483/Data_Entry!$H483),0)</f>
        <v>0.86300979735297079</v>
      </c>
      <c r="X494" s="49">
        <f>IFERROR(IF(Data_Entry!AC483/Data_Entry!$I483&lt;0,0,Data_Entry!AC483/Data_Entry!$I483),0)</f>
        <v>0.2007936128507912</v>
      </c>
      <c r="Y494" s="49">
        <f>IFERROR(IF(Data_Entry!AD483/Data_Entry!$I483&lt;0,0,Data_Entry!AD483/Data_Entry!$I483),0)</f>
        <v>0.14772672945451065</v>
      </c>
      <c r="Z494" s="49">
        <f>IFERROR(IF(Data_Entry!AE483/Data_Entry!$I483&lt;0,0,Data_Entry!AE483/Data_Entry!$I483),0)</f>
        <v>0.23521537505378395</v>
      </c>
      <c r="AA494" s="49">
        <f>IFERROR(IF(Data_Entry!AF483/Data_Entry!$I483&lt;0,0,Data_Entry!AF483/Data_Entry!$I483),0)</f>
        <v>0.26103169670602855</v>
      </c>
      <c r="AB494" s="49">
        <f>IFERROR(IF(Data_Entry!AG483/Data_Entry!$I483&lt;0,0,Data_Entry!AG483/Data_Entry!$I483),0)</f>
        <v>0.24525505569632353</v>
      </c>
      <c r="AC494" s="49">
        <f>IFERROR(IF(Data_Entry!AI483/Data_Entry!$I483&lt;0,0,Data_Entry!AI483/Data_Entry!$I483),0)</f>
        <v>8.3616197351436605E-2</v>
      </c>
      <c r="AD494" s="49">
        <f>IFERROR(IF(Data_Entry!AM483/Data_Entry!$H483&lt;0,0,Data_Entry!AM483/Data_Entry!$H483),0)</f>
        <v>0.94684503481011661</v>
      </c>
      <c r="AE494" s="50">
        <f>Data_Entry!AK483</f>
        <v>45.336083333333363</v>
      </c>
      <c r="AF494" s="50">
        <f>Data_Entry!AL483</f>
        <v>0</v>
      </c>
      <c r="AG494" s="153">
        <f>(Data_Entry!O483-Data_Entry!Q483)/Data_Entry!O483</f>
        <v>1.5985790408525755E-2</v>
      </c>
      <c r="AH494" s="79" t="str">
        <f t="shared" si="14"/>
        <v>CAT1</v>
      </c>
      <c r="AI494" s="51">
        <f>SUBTOTAL(3,Tableau1[[#This Row],[ZS]])</f>
        <v>0</v>
      </c>
      <c r="AJ494" s="51" t="e">
        <f t="shared" ca="1" si="15"/>
        <v>#NAME?</v>
      </c>
      <c r="AK494" s="50" t="str">
        <f>IFERROR(IF((Data_Entry!O483-Data_Entry!Q483)/Data_Entry!O483&lt;=10%,"&lt;=10%","&gt;10%"),"&lt;=10%")</f>
        <v>&lt;=10%</v>
      </c>
    </row>
    <row r="495" spans="1:37" s="48" customFormat="1" ht="13" hidden="1" x14ac:dyDescent="0.3">
      <c r="A495" s="31" t="s">
        <v>16</v>
      </c>
      <c r="B495" s="48" t="str">
        <f>Data_Entry!B484</f>
        <v>Butembo</v>
      </c>
      <c r="C495" s="48" t="str">
        <f>Data_Entry!C484</f>
        <v xml:space="preserve"> Musienene</v>
      </c>
      <c r="D495" s="48" t="str">
        <f>Data_Entry!D484</f>
        <v xml:space="preserve"> Katolo</v>
      </c>
      <c r="E495" s="49">
        <f>IFERROR(IF(Data_Entry!J484/Data_Entry!$I484&lt;0,0,Data_Entry!J484/Data_Entry!$I484),0)</f>
        <v>0.84892584892584888</v>
      </c>
      <c r="F495" s="49">
        <f>IFERROR(IF(Data_Entry!K484/Data_Entry!$H484&lt;0,0,Data_Entry!K484/Data_Entry!$H484),0)</f>
        <v>0.23629536523519329</v>
      </c>
      <c r="G495" s="49">
        <f>IFERROR(IF(Data_Entry!L484/Data_Entry!$H484&lt;0,0,Data_Entry!L484/Data_Entry!$H484),0)</f>
        <v>0.88958255147366894</v>
      </c>
      <c r="H495" s="49">
        <f>IFERROR(IF(Data_Entry!M484/Data_Entry!$H484&lt;0,0,Data_Entry!M484/Data_Entry!$H484),0)</f>
        <v>0.90149660350233407</v>
      </c>
      <c r="I495" s="49">
        <f>IFERROR(IF(Data_Entry!N484/Data_Entry!$H484&lt;0,0,Data_Entry!N484/Data_Entry!$H484),0)</f>
        <v>0.83199796666845371</v>
      </c>
      <c r="J495" s="49">
        <f>IFERROR(IF(Data_Entry!O484/Data_Entry!$H484&lt;0,0,Data_Entry!O484/Data_Entry!$H484),0)</f>
        <v>1.024608474465208</v>
      </c>
      <c r="K495" s="49">
        <f>IFERROR(IF(Data_Entry!P484/Data_Entry!$H484&lt;0,0,Data_Entry!P484/Data_Entry!$H484),0)</f>
        <v>1.804978882342779</v>
      </c>
      <c r="L495" s="49">
        <f>IFERROR(IF(Data_Entry!Q484/Data_Entry!$H484&lt;0,0,Data_Entry!Q484/Data_Entry!$H484),0)</f>
        <v>1.0186514484508753</v>
      </c>
      <c r="M495" s="49">
        <f>IFERROR(IF(Data_Entry!R484/Data_Entry!$H484&lt;0,0,Data_Entry!R484/Data_Entry!$H484),0)</f>
        <v>0.98290929236487967</v>
      </c>
      <c r="N495" s="49">
        <f>IFERROR(IF(Data_Entry!S484/Data_Entry!$H484&lt;0,0,Data_Entry!S484/Data_Entry!$H484),0)</f>
        <v>0.90149660350233407</v>
      </c>
      <c r="O495" s="49">
        <f>IFERROR(IF(Data_Entry!T484/Data_Entry!$H484&lt;0,0,Data_Entry!T484/Data_Entry!$H484),0)</f>
        <v>0.82604094065412115</v>
      </c>
      <c r="P495" s="49">
        <f>IFERROR(IF(Data_Entry!U484/Data_Entry!$H484&lt;0,0,Data_Entry!U484/Data_Entry!$H484),0)</f>
        <v>0.9372387595883297</v>
      </c>
      <c r="Q495" s="49">
        <f>IFERROR(IF(Data_Entry!V484/Data_Entry!$H484&lt;0,0,Data_Entry!V484/Data_Entry!$H484),0)</f>
        <v>0.86178309674011677</v>
      </c>
      <c r="R495" s="49">
        <f>IFERROR(IF(Data_Entry!W484/Data_Entry!$H484&lt;0,0,Data_Entry!W484/Data_Entry!$H484),0)</f>
        <v>0.78831310923001463</v>
      </c>
      <c r="S495" s="49">
        <f>IFERROR(IF(Data_Entry!X484/Data_Entry!$H484&lt;0,0,Data_Entry!X484/Data_Entry!$H484),0)</f>
        <v>1.0047517210840993</v>
      </c>
      <c r="T495" s="49">
        <f>IFERROR(IF(Data_Entry!Y484/Data_Entry!$H484&lt;0,0,Data_Entry!Y484/Data_Entry!$H484),0)</f>
        <v>0.85384039538767331</v>
      </c>
      <c r="U495" s="49">
        <f>IFERROR(IF(Data_Entry!Z484/Data_Entry!$H484&lt;0,0,Data_Entry!Z484/Data_Entry!$H484),0)</f>
        <v>0.94915281161699494</v>
      </c>
      <c r="V495" s="49">
        <f>IFERROR(IF(Data_Entry!AA484/Data_Entry!$H484&lt;0,0,Data_Entry!AA484/Data_Entry!$H484),0)</f>
        <v>0.99085199371732313</v>
      </c>
      <c r="W495" s="49">
        <f>IFERROR(IF(Data_Entry!AB484/Data_Entry!$H484&lt;0,0,Data_Entry!AB484/Data_Entry!$H484),0)</f>
        <v>0.85582607072578409</v>
      </c>
      <c r="X495" s="49">
        <f>IFERROR(IF(Data_Entry!AC484/Data_Entry!$I484&lt;0,0,Data_Entry!AC484/Data_Entry!$I484),0)</f>
        <v>0.33957033957033955</v>
      </c>
      <c r="Y495" s="49">
        <f>IFERROR(IF(Data_Entry!AD484/Data_Entry!$I484&lt;0,0,Data_Entry!AD484/Data_Entry!$I484),0)</f>
        <v>0.24428274428274427</v>
      </c>
      <c r="Z495" s="49">
        <f>IFERROR(IF(Data_Entry!AE484/Data_Entry!$I484&lt;0,0,Data_Entry!AE484/Data_Entry!$I484),0)</f>
        <v>0.25814275814275811</v>
      </c>
      <c r="AA495" s="49">
        <f>IFERROR(IF(Data_Entry!AF484/Data_Entry!$I484&lt;0,0,Data_Entry!AF484/Data_Entry!$I484),0)</f>
        <v>0.21136521136521136</v>
      </c>
      <c r="AB495" s="49">
        <f>IFERROR(IF(Data_Entry!AG484/Data_Entry!$I484&lt;0,0,Data_Entry!AG484/Data_Entry!$I484),0)</f>
        <v>0.15939015939015938</v>
      </c>
      <c r="AC495" s="49">
        <f>IFERROR(IF(Data_Entry!AI484/Data_Entry!$I484&lt;0,0,Data_Entry!AI484/Data_Entry!$I484),0)</f>
        <v>0.10100485100485099</v>
      </c>
      <c r="AD495" s="49">
        <f>IFERROR(IF(Data_Entry!AM484/Data_Entry!$H484&lt;0,0,Data_Entry!AM484/Data_Entry!$H484),0)</f>
        <v>0.94915281161699494</v>
      </c>
      <c r="AE495" s="50">
        <f>Data_Entry!AK484</f>
        <v>0</v>
      </c>
      <c r="AF495" s="50">
        <f>Data_Entry!AL484</f>
        <v>10</v>
      </c>
      <c r="AG495" s="153">
        <f>(Data_Entry!O484-Data_Entry!Q484)/Data_Entry!O484</f>
        <v>5.8139534883720929E-3</v>
      </c>
      <c r="AH495" s="79" t="str">
        <f t="shared" si="14"/>
        <v>CAT1</v>
      </c>
      <c r="AI495" s="51">
        <f>SUBTOTAL(3,Tableau1[[#This Row],[ZS]])</f>
        <v>0</v>
      </c>
      <c r="AJ495" s="51" t="e">
        <f t="shared" ca="1" si="15"/>
        <v>#NAME?</v>
      </c>
      <c r="AK495" s="50" t="str">
        <f>IFERROR(IF((Data_Entry!O484-Data_Entry!Q484)/Data_Entry!O484&lt;=10%,"&lt;=10%","&gt;10%"),"&lt;=10%")</f>
        <v>&lt;=10%</v>
      </c>
    </row>
    <row r="496" spans="1:37" s="48" customFormat="1" ht="13" hidden="1" x14ac:dyDescent="0.3">
      <c r="A496" s="31" t="s">
        <v>16</v>
      </c>
      <c r="B496" s="48" t="str">
        <f>Data_Entry!B485</f>
        <v>Butembo</v>
      </c>
      <c r="C496" s="48" t="str">
        <f>Data_Entry!C485</f>
        <v xml:space="preserve"> Musienene</v>
      </c>
      <c r="D496" s="48" t="str">
        <f>Data_Entry!D485</f>
        <v xml:space="preserve"> Kimbulu</v>
      </c>
      <c r="E496" s="49">
        <f>IFERROR(IF(Data_Entry!J485/Data_Entry!$I485&lt;0,0,Data_Entry!J485/Data_Entry!$I485),0)</f>
        <v>0.58045098413911722</v>
      </c>
      <c r="F496" s="49">
        <f>IFERROR(IF(Data_Entry!K485/Data_Entry!$H485&lt;0,0,Data_Entry!K485/Data_Entry!$H485),0)</f>
        <v>0.95437977087219794</v>
      </c>
      <c r="G496" s="49">
        <f>IFERROR(IF(Data_Entry!L485/Data_Entry!$H485&lt;0,0,Data_Entry!L485/Data_Entry!$H485),0)</f>
        <v>0.96259302191240625</v>
      </c>
      <c r="H496" s="49">
        <f>IFERROR(IF(Data_Entry!M485/Data_Entry!$H485&lt;0,0,Data_Entry!M485/Data_Entry!$H485),0)</f>
        <v>0.96587832232848947</v>
      </c>
      <c r="I496" s="49">
        <f>IFERROR(IF(Data_Entry!N485/Data_Entry!$H485&lt;0,0,Data_Entry!N485/Data_Entry!$H485),0)</f>
        <v>0.92316941691940668</v>
      </c>
      <c r="J496" s="49">
        <f>IFERROR(IF(Data_Entry!O485/Data_Entry!$H485&lt;0,0,Data_Entry!O485/Data_Entry!$H485),0)</f>
        <v>0.98230482440890599</v>
      </c>
      <c r="K496" s="49">
        <f>IFERROR(IF(Data_Entry!P485/Data_Entry!$H485&lt;0,0,Data_Entry!P485/Data_Entry!$H485),0)</f>
        <v>0.81639715339669949</v>
      </c>
      <c r="L496" s="49">
        <f>IFERROR(IF(Data_Entry!Q485/Data_Entry!$H485&lt;0,0,Data_Entry!Q485/Data_Entry!$H485),0)</f>
        <v>0.8032559517323663</v>
      </c>
      <c r="M496" s="49">
        <f>IFERROR(IF(Data_Entry!R485/Data_Entry!$H485&lt;0,0,Data_Entry!R485/Data_Entry!$H485),0)</f>
        <v>0.90181496421486518</v>
      </c>
      <c r="N496" s="49">
        <f>IFERROR(IF(Data_Entry!S485/Data_Entry!$H485&lt;0,0,Data_Entry!S485/Data_Entry!$H485),0)</f>
        <v>0.77697354840369992</v>
      </c>
      <c r="O496" s="49">
        <f>IFERROR(IF(Data_Entry!T485/Data_Entry!$H485&lt;0,0,Data_Entry!T485/Data_Entry!$H485),0)</f>
        <v>0.73590729320265869</v>
      </c>
      <c r="P496" s="49">
        <f>IFERROR(IF(Data_Entry!U485/Data_Entry!$H485&lt;0,0,Data_Entry!U485/Data_Entry!$H485),0)</f>
        <v>0.93138266795961488</v>
      </c>
      <c r="Q496" s="49">
        <f>IFERROR(IF(Data_Entry!V485/Data_Entry!$H485&lt;0,0,Data_Entry!V485/Data_Entry!$H485),0)</f>
        <v>0.99544602607323918</v>
      </c>
      <c r="R496" s="49">
        <f>IFERROR(IF(Data_Entry!W485/Data_Entry!$H485&lt;0,0,Data_Entry!W485/Data_Entry!$H485),0)</f>
        <v>0.90838556504703183</v>
      </c>
      <c r="S496" s="49">
        <f>IFERROR(IF(Data_Entry!X485/Data_Entry!$H485&lt;0,0,Data_Entry!X485/Data_Entry!$H485),0)</f>
        <v>0.97573422357673945</v>
      </c>
      <c r="T496" s="49">
        <f>IFERROR(IF(Data_Entry!Y485/Data_Entry!$H485&lt;0,0,Data_Entry!Y485/Data_Entry!$H485),0)</f>
        <v>0.7309793425785337</v>
      </c>
      <c r="U496" s="49">
        <f>IFERROR(IF(Data_Entry!Z485/Data_Entry!$H485&lt;0,0,Data_Entry!Z485/Data_Entry!$H485),0)</f>
        <v>0.89360171317465698</v>
      </c>
      <c r="V496" s="49">
        <f>IFERROR(IF(Data_Entry!AA485/Data_Entry!$H485&lt;0,0,Data_Entry!AA485/Data_Entry!$H485),0)</f>
        <v>0.92481206712744835</v>
      </c>
      <c r="W496" s="49">
        <f>IFERROR(IF(Data_Entry!AB485/Data_Entry!$H485&lt;0,0,Data_Entry!AB485/Data_Entry!$H485),0)</f>
        <v>0.98394747461694765</v>
      </c>
      <c r="X496" s="49">
        <f>IFERROR(IF(Data_Entry!AC485/Data_Entry!$I485&lt;0,0,Data_Entry!AC485/Data_Entry!$I485),0)</f>
        <v>0.16338620294286263</v>
      </c>
      <c r="Y496" s="49">
        <f>IFERROR(IF(Data_Entry!AD485/Data_Entry!$I485&lt;0,0,Data_Entry!AD485/Data_Entry!$I485),0)</f>
        <v>0.18201796292757502</v>
      </c>
      <c r="Z496" s="49">
        <f>IFERROR(IF(Data_Entry!AE485/Data_Entry!$I485&lt;0,0,Data_Entry!AE485/Data_Entry!$I485),0)</f>
        <v>0.29237531052933313</v>
      </c>
      <c r="AA496" s="49">
        <f>IFERROR(IF(Data_Entry!AF485/Data_Entry!$I485&lt;0,0,Data_Entry!AF485/Data_Entry!$I485),0)</f>
        <v>0.11895662144085613</v>
      </c>
      <c r="AB496" s="49">
        <f>IFERROR(IF(Data_Entry!AG485/Data_Entry!$I485&lt;0,0,Data_Entry!AG485/Data_Entry!$I485),0)</f>
        <v>0.11322377221479077</v>
      </c>
      <c r="AC496" s="49">
        <f>IFERROR(IF(Data_Entry!AI485/Data_Entry!$I485&lt;0,0,Data_Entry!AI485/Data_Entry!$I485),0)</f>
        <v>0.14332123065163388</v>
      </c>
      <c r="AD496" s="49">
        <f>IFERROR(IF(Data_Entry!AM485/Data_Entry!$H485&lt;0,0,Data_Entry!AM485/Data_Entry!$H485),0)</f>
        <v>0.89360171317465698</v>
      </c>
      <c r="AE496" s="50">
        <f>Data_Entry!AK485</f>
        <v>10.772333333333336</v>
      </c>
      <c r="AF496" s="50">
        <f>Data_Entry!AL485</f>
        <v>4</v>
      </c>
      <c r="AG496" s="153">
        <f>(Data_Entry!O485-Data_Entry!Q485)/Data_Entry!O485</f>
        <v>0.18227424749163879</v>
      </c>
      <c r="AH496" s="79" t="str">
        <f t="shared" si="14"/>
        <v>CAT2</v>
      </c>
      <c r="AI496" s="51">
        <f>SUBTOTAL(3,Tableau1[[#This Row],[ZS]])</f>
        <v>0</v>
      </c>
      <c r="AJ496" s="51" t="e">
        <f t="shared" ca="1" si="15"/>
        <v>#NAME?</v>
      </c>
      <c r="AK496" s="50" t="str">
        <f>IFERROR(IF((Data_Entry!O485-Data_Entry!Q485)/Data_Entry!O485&lt;=10%,"&lt;=10%","&gt;10%"),"&lt;=10%")</f>
        <v>&gt;10%</v>
      </c>
    </row>
    <row r="497" spans="1:37" s="48" customFormat="1" ht="13" hidden="1" x14ac:dyDescent="0.3">
      <c r="A497" s="31" t="s">
        <v>16</v>
      </c>
      <c r="B497" s="48" t="str">
        <f>Data_Entry!B486</f>
        <v>Butembo</v>
      </c>
      <c r="C497" s="48" t="str">
        <f>Data_Entry!C486</f>
        <v xml:space="preserve"> Musienene</v>
      </c>
      <c r="D497" s="48" t="str">
        <f>Data_Entry!D486</f>
        <v xml:space="preserve"> Kyambogho</v>
      </c>
      <c r="E497" s="49">
        <f>IFERROR(IF(Data_Entry!J486/Data_Entry!$I486&lt;0,0,Data_Entry!J486/Data_Entry!$I486),0)</f>
        <v>0.75851329754538366</v>
      </c>
      <c r="F497" s="49">
        <f>IFERROR(IF(Data_Entry!K486/Data_Entry!$H486&lt;0,0,Data_Entry!K486/Data_Entry!$H486),0)</f>
        <v>0.10144837516454538</v>
      </c>
      <c r="G497" s="49">
        <f>IFERROR(IF(Data_Entry!L486/Data_Entry!$H486&lt;0,0,Data_Entry!L486/Data_Entry!$H486),0)</f>
        <v>1.2821947416630042</v>
      </c>
      <c r="H497" s="49">
        <f>IFERROR(IF(Data_Entry!M486/Data_Entry!$H486&lt;0,0,Data_Entry!M486/Data_Entry!$H486),0)</f>
        <v>1.2061084602895951</v>
      </c>
      <c r="I497" s="49">
        <f>IFERROR(IF(Data_Entry!N486/Data_Entry!$H486&lt;0,0,Data_Entry!N486/Data_Entry!$H486),0)</f>
        <v>1.1610202935497971</v>
      </c>
      <c r="J497" s="49">
        <f>IFERROR(IF(Data_Entry!O486/Data_Entry!$H486&lt;0,0,Data_Entry!O486/Data_Entry!$H486),0)</f>
        <v>1.246969611397537</v>
      </c>
      <c r="K497" s="49">
        <f>IFERROR(IF(Data_Entry!P486/Data_Entry!$H486&lt;0,0,Data_Entry!P486/Data_Entry!$H486),0)</f>
        <v>1.2159714967639259</v>
      </c>
      <c r="L497" s="49">
        <f>IFERROR(IF(Data_Entry!Q486/Data_Entry!$H486&lt;0,0,Data_Entry!Q486/Data_Entry!$H486),0)</f>
        <v>1.0384368402259716</v>
      </c>
      <c r="M497" s="49">
        <f>IFERROR(IF(Data_Entry!R486/Data_Entry!$H486&lt;0,0,Data_Entry!R486/Data_Entry!$H486),0)</f>
        <v>1.2356975697125876</v>
      </c>
      <c r="N497" s="49">
        <f>IFERROR(IF(Data_Entry!S486/Data_Entry!$H486&lt;0,0,Data_Entry!S486/Data_Entry!$H486),0)</f>
        <v>1.1920184081834082</v>
      </c>
      <c r="O497" s="49">
        <f>IFERROR(IF(Data_Entry!T486/Data_Entry!$H486&lt;0,0,Data_Entry!T486/Data_Entry!$H486),0)</f>
        <v>1.1356581997586608</v>
      </c>
      <c r="P497" s="49">
        <f>IFERROR(IF(Data_Entry!U486/Data_Entry!$H486&lt;0,0,Data_Entry!U486/Data_Entry!$H486),0)</f>
        <v>1.3582810230364133</v>
      </c>
      <c r="Q497" s="49">
        <f>IFERROR(IF(Data_Entry!V486/Data_Entry!$H486&lt;0,0,Data_Entry!V486/Data_Entry!$H486),0)</f>
        <v>1.2582416530824865</v>
      </c>
      <c r="R497" s="49">
        <f>IFERROR(IF(Data_Entry!W486/Data_Entry!$H486&lt;0,0,Data_Entry!W486/Data_Entry!$H486),0)</f>
        <v>0.80172396484203223</v>
      </c>
      <c r="S497" s="49">
        <f>IFERROR(IF(Data_Entry!X486/Data_Entry!$H486&lt;0,0,Data_Entry!X486/Data_Entry!$H486),0)</f>
        <v>0.83694909510749937</v>
      </c>
      <c r="T497" s="49">
        <f>IFERROR(IF(Data_Entry!Y486/Data_Entry!$H486&lt;0,0,Data_Entry!Y486/Data_Entry!$H486),0)</f>
        <v>0.92994343900833265</v>
      </c>
      <c r="U497" s="49">
        <f>IFERROR(IF(Data_Entry!Z486/Data_Entry!$H486&lt;0,0,Data_Entry!Z486/Data_Entry!$H486),0)</f>
        <v>0.91585338690214579</v>
      </c>
      <c r="V497" s="49">
        <f>IFERROR(IF(Data_Entry!AA486/Data_Entry!$H486&lt;0,0,Data_Entry!AA486/Data_Entry!$H486),0)</f>
        <v>1.1793373612878402</v>
      </c>
      <c r="W497" s="49">
        <f>IFERROR(IF(Data_Entry!AB486/Data_Entry!$H486&lt;0,0,Data_Entry!AB486/Data_Entry!$H486),0)</f>
        <v>0.9905306630649362</v>
      </c>
      <c r="X497" s="49">
        <f>IFERROR(IF(Data_Entry!AC486/Data_Entry!$I486&lt;0,0,Data_Entry!AC486/Data_Entry!$I486),0)</f>
        <v>0.19792648444863334</v>
      </c>
      <c r="Y497" s="49">
        <f>IFERROR(IF(Data_Entry!AD486/Data_Entry!$I486&lt;0,0,Data_Entry!AD486/Data_Entry!$I486),0)</f>
        <v>0.20284391263369256</v>
      </c>
      <c r="Z497" s="49">
        <f>IFERROR(IF(Data_Entry!AE486/Data_Entry!$I486&lt;0,0,Data_Entry!AE486/Data_Entry!$I486),0)</f>
        <v>0.25324755153054951</v>
      </c>
      <c r="AA497" s="49">
        <f>IFERROR(IF(Data_Entry!AF486/Data_Entry!$I486&lt;0,0,Data_Entry!AF486/Data_Entry!$I486),0)</f>
        <v>0.10695406302503789</v>
      </c>
      <c r="AB497" s="49">
        <f>IFERROR(IF(Data_Entry!AG486/Data_Entry!$I486&lt;0,0,Data_Entry!AG486/Data_Entry!$I486),0)</f>
        <v>9.220177846986026E-2</v>
      </c>
      <c r="AC497" s="49">
        <f>IFERROR(IF(Data_Entry!AI486/Data_Entry!$I486&lt;0,0,Data_Entry!AI486/Data_Entry!$I486),0)</f>
        <v>5.458345285415727E-2</v>
      </c>
      <c r="AD497" s="49">
        <f>IFERROR(IF(Data_Entry!AM486/Data_Entry!$H486&lt;0,0,Data_Entry!AM486/Data_Entry!$H486),0)</f>
        <v>0.83694909510749937</v>
      </c>
      <c r="AE497" s="50">
        <f>Data_Entry!AK486</f>
        <v>0</v>
      </c>
      <c r="AF497" s="50">
        <f>Data_Entry!AL486</f>
        <v>291</v>
      </c>
      <c r="AG497" s="153">
        <f>(Data_Entry!O486-Data_Entry!Q486)/Data_Entry!O486</f>
        <v>0.16723163841807909</v>
      </c>
      <c r="AH497" s="79" t="str">
        <f t="shared" si="14"/>
        <v>CAT2</v>
      </c>
      <c r="AI497" s="51">
        <f>SUBTOTAL(3,Tableau1[[#This Row],[ZS]])</f>
        <v>0</v>
      </c>
      <c r="AJ497" s="51" t="e">
        <f t="shared" ca="1" si="15"/>
        <v>#NAME?</v>
      </c>
      <c r="AK497" s="50" t="str">
        <f>IFERROR(IF((Data_Entry!O486-Data_Entry!Q486)/Data_Entry!O486&lt;=10%,"&lt;=10%","&gt;10%"),"&lt;=10%")</f>
        <v>&gt;10%</v>
      </c>
    </row>
    <row r="498" spans="1:37" s="48" customFormat="1" ht="13" hidden="1" x14ac:dyDescent="0.3">
      <c r="A498" s="31" t="s">
        <v>16</v>
      </c>
      <c r="B498" s="48" t="str">
        <f>Data_Entry!B487</f>
        <v>Butembo</v>
      </c>
      <c r="C498" s="48" t="str">
        <f>Data_Entry!C487</f>
        <v xml:space="preserve"> Musienene</v>
      </c>
      <c r="D498" s="48" t="str">
        <f>Data_Entry!D487</f>
        <v xml:space="preserve"> Mabambi</v>
      </c>
      <c r="E498" s="49">
        <f>IFERROR(IF(Data_Entry!J487/Data_Entry!$I487&lt;0,0,Data_Entry!J487/Data_Entry!$I487),0)</f>
        <v>0.56966781902900954</v>
      </c>
      <c r="F498" s="49">
        <f>IFERROR(IF(Data_Entry!K487/Data_Entry!$H487&lt;0,0,Data_Entry!K487/Data_Entry!$H487),0)</f>
        <v>0.31870492101932169</v>
      </c>
      <c r="G498" s="49">
        <f>IFERROR(IF(Data_Entry!L487/Data_Entry!$H487&lt;0,0,Data_Entry!L487/Data_Entry!$H487),0)</f>
        <v>1.038805769592708</v>
      </c>
      <c r="H498" s="49">
        <f>IFERROR(IF(Data_Entry!M487/Data_Entry!$H487&lt;0,0,Data_Entry!M487/Data_Entry!$H487),0)</f>
        <v>0.91132380118497935</v>
      </c>
      <c r="I498" s="49">
        <f>IFERROR(IF(Data_Entry!N487/Data_Entry!$H487&lt;0,0,Data_Entry!N487/Data_Entry!$H487),0)</f>
        <v>4.0019001704209964</v>
      </c>
      <c r="J498" s="49">
        <f>IFERROR(IF(Data_Entry!O487/Data_Entry!$H487&lt;0,0,Data_Entry!O487/Data_Entry!$H487),0)</f>
        <v>0.95094657514954373</v>
      </c>
      <c r="K498" s="49">
        <f>IFERROR(IF(Data_Entry!P487/Data_Entry!$H487&lt;0,0,Data_Entry!P487/Data_Entry!$H487),0)</f>
        <v>0.83035552395304357</v>
      </c>
      <c r="L498" s="49">
        <f>IFERROR(IF(Data_Entry!Q487/Data_Entry!$H487&lt;0,0,Data_Entry!Q487/Data_Entry!$H487),0)</f>
        <v>0.88892832024848645</v>
      </c>
      <c r="M498" s="49">
        <f>IFERROR(IF(Data_Entry!R487/Data_Entry!$H487&lt;0,0,Data_Entry!R487/Data_Entry!$H487),0)</f>
        <v>0.95094657514954373</v>
      </c>
      <c r="N498" s="49">
        <f>IFERROR(IF(Data_Entry!S487/Data_Entry!$H487&lt;0,0,Data_Entry!S487/Data_Entry!$H487),0)</f>
        <v>0.83035552395304357</v>
      </c>
      <c r="O498" s="49">
        <f>IFERROR(IF(Data_Entry!T487/Data_Entry!$H487&lt;0,0,Data_Entry!T487/Data_Entry!$H487),0)</f>
        <v>0.88892832024848645</v>
      </c>
      <c r="P498" s="49">
        <f>IFERROR(IF(Data_Entry!U487/Data_Entry!$H487&lt;0,0,Data_Entry!U487/Data_Entry!$H487),0)</f>
        <v>0.76489181044637211</v>
      </c>
      <c r="Q498" s="49">
        <f>IFERROR(IF(Data_Entry!V487/Data_Entry!$H487&lt;0,0,Data_Entry!V487/Data_Entry!$H487),0)</f>
        <v>0.56505521132074332</v>
      </c>
      <c r="R498" s="49">
        <f>IFERROR(IF(Data_Entry!W487/Data_Entry!$H487&lt;0,0,Data_Entry!W487/Data_Entry!$H487),0)</f>
        <v>0.56505521132074332</v>
      </c>
      <c r="S498" s="49">
        <f>IFERROR(IF(Data_Entry!X487/Data_Entry!$H487&lt;0,0,Data_Entry!X487/Data_Entry!$H487),0)</f>
        <v>1.0077966421421796</v>
      </c>
      <c r="T498" s="49">
        <f>IFERROR(IF(Data_Entry!Y487/Data_Entry!$H487&lt;0,0,Data_Entry!Y487/Data_Entry!$H487),0)</f>
        <v>0.86136465140357221</v>
      </c>
      <c r="U498" s="49">
        <f>IFERROR(IF(Data_Entry!Z487/Data_Entry!$H487&lt;0,0,Data_Entry!Z487/Data_Entry!$H487),0)</f>
        <v>0.94405565793831514</v>
      </c>
      <c r="V498" s="49">
        <f>IFERROR(IF(Data_Entry!AA487/Data_Entry!$H487&lt;0,0,Data_Entry!AA487/Data_Entry!$H487),0)</f>
        <v>0.97506478538884367</v>
      </c>
      <c r="W498" s="49">
        <f>IFERROR(IF(Data_Entry!AB487/Data_Entry!$H487&lt;0,0,Data_Entry!AB487/Data_Entry!$H487),0)</f>
        <v>1.0095193714449866</v>
      </c>
      <c r="X498" s="49">
        <f>IFERROR(IF(Data_Entry!AC487/Data_Entry!$I487&lt;0,0,Data_Entry!AC487/Data_Entry!$I487),0)</f>
        <v>0.21343754697129116</v>
      </c>
      <c r="Y498" s="49">
        <f>IFERROR(IF(Data_Entry!AD487/Data_Entry!$I487&lt;0,0,Data_Entry!AD487/Data_Entry!$I487),0)</f>
        <v>0.18487900195400572</v>
      </c>
      <c r="Z498" s="49">
        <f>IFERROR(IF(Data_Entry!AE487/Data_Entry!$I487&lt;0,0,Data_Entry!AE487/Data_Entry!$I487),0)</f>
        <v>0.15481737562002104</v>
      </c>
      <c r="AA498" s="49">
        <f>IFERROR(IF(Data_Entry!AF487/Data_Entry!$I487&lt;0,0,Data_Entry!AF487/Data_Entry!$I487),0)</f>
        <v>0.15932661957011876</v>
      </c>
      <c r="AB498" s="49">
        <f>IFERROR(IF(Data_Entry!AG487/Data_Entry!$I487&lt;0,0,Data_Entry!AG487/Data_Entry!$I487),0)</f>
        <v>0.10822185480234481</v>
      </c>
      <c r="AC498" s="49">
        <f>IFERROR(IF(Data_Entry!AI487/Data_Entry!$I487&lt;0,0,Data_Entry!AI487/Data_Entry!$I487),0)</f>
        <v>8.7629640763565317E-2</v>
      </c>
      <c r="AD498" s="49">
        <f>IFERROR(IF(Data_Entry!AM487/Data_Entry!$H487&lt;0,0,Data_Entry!AM487/Data_Entry!$H487),0)</f>
        <v>0.94405565793831514</v>
      </c>
      <c r="AE498" s="50">
        <f>Data_Entry!AK487</f>
        <v>28.474249999999984</v>
      </c>
      <c r="AF498" s="50">
        <f>Data_Entry!AL487</f>
        <v>0</v>
      </c>
      <c r="AG498" s="153">
        <f>(Data_Entry!O487-Data_Entry!Q487)/Data_Entry!O487</f>
        <v>6.5217391304347824E-2</v>
      </c>
      <c r="AH498" s="79" t="str">
        <f t="shared" si="14"/>
        <v>CAT1</v>
      </c>
      <c r="AI498" s="51">
        <f>SUBTOTAL(3,Tableau1[[#This Row],[ZS]])</f>
        <v>0</v>
      </c>
      <c r="AJ498" s="51" t="e">
        <f t="shared" ca="1" si="15"/>
        <v>#NAME?</v>
      </c>
      <c r="AK498" s="50" t="str">
        <f>IFERROR(IF((Data_Entry!O487-Data_Entry!Q487)/Data_Entry!O487&lt;=10%,"&lt;=10%","&gt;10%"),"&lt;=10%")</f>
        <v>&lt;=10%</v>
      </c>
    </row>
    <row r="499" spans="1:37" s="48" customFormat="1" ht="13" hidden="1" x14ac:dyDescent="0.3">
      <c r="A499" s="31" t="s">
        <v>16</v>
      </c>
      <c r="B499" s="48" t="str">
        <f>Data_Entry!B488</f>
        <v>Butembo</v>
      </c>
      <c r="C499" s="48" t="str">
        <f>Data_Entry!C488</f>
        <v xml:space="preserve"> Musienene</v>
      </c>
      <c r="D499" s="48" t="str">
        <f>Data_Entry!D488</f>
        <v xml:space="preserve"> Masumo</v>
      </c>
      <c r="E499" s="49">
        <f>IFERROR(IF(Data_Entry!J488/Data_Entry!$I488&lt;0,0,Data_Entry!J488/Data_Entry!$I488),0)</f>
        <v>0.81250653560598141</v>
      </c>
      <c r="F499" s="49">
        <f>IFERROR(IF(Data_Entry!K488/Data_Entry!$H488&lt;0,0,Data_Entry!K488/Data_Entry!$H488),0)</f>
        <v>0.60404729666362744</v>
      </c>
      <c r="G499" s="49">
        <f>IFERROR(IF(Data_Entry!L488/Data_Entry!$H488&lt;0,0,Data_Entry!L488/Data_Entry!$H488),0)</f>
        <v>1.0606782887843458</v>
      </c>
      <c r="H499" s="49">
        <f>IFERROR(IF(Data_Entry!M488/Data_Entry!$H488&lt;0,0,Data_Entry!M488/Data_Entry!$H488),0)</f>
        <v>1.0786558868993348</v>
      </c>
      <c r="I499" s="49">
        <f>IFERROR(IF(Data_Entry!N488/Data_Entry!$H488&lt;0,0,Data_Entry!N488/Data_Entry!$H488),0)</f>
        <v>1.1110155635063148</v>
      </c>
      <c r="J499" s="49">
        <f>IFERROR(IF(Data_Entry!O488/Data_Entry!$H488&lt;0,0,Data_Entry!O488/Data_Entry!$H488),0)</f>
        <v>1.0534872495383503</v>
      </c>
      <c r="K499" s="49">
        <f>IFERROR(IF(Data_Entry!P488/Data_Entry!$H488&lt;0,0,Data_Entry!P488/Data_Entry!$H488),0)</f>
        <v>1.0498917299153525</v>
      </c>
      <c r="L499" s="49">
        <f>IFERROR(IF(Data_Entry!Q488/Data_Entry!$H488&lt;0,0,Data_Entry!Q488/Data_Entry!$H488),0)</f>
        <v>1.1829259559662704</v>
      </c>
      <c r="M499" s="49">
        <f>IFERROR(IF(Data_Entry!R488/Data_Entry!$H488&lt;0,0,Data_Entry!R488/Data_Entry!$H488),0)</f>
        <v>1.0498917299153525</v>
      </c>
      <c r="N499" s="49">
        <f>IFERROR(IF(Data_Entry!S488/Data_Entry!$H488&lt;0,0,Data_Entry!S488/Data_Entry!$H488),0)</f>
        <v>0.99236341594738797</v>
      </c>
      <c r="O499" s="49">
        <f>IFERROR(IF(Data_Entry!T488/Data_Entry!$H488&lt;0,0,Data_Entry!T488/Data_Entry!$H488),0)</f>
        <v>1.0319141318003635</v>
      </c>
      <c r="P499" s="49">
        <f>IFERROR(IF(Data_Entry!U488/Data_Entry!$H488&lt;0,0,Data_Entry!U488/Data_Entry!$H488),0)</f>
        <v>1.0606782887843458</v>
      </c>
      <c r="Q499" s="49">
        <f>IFERROR(IF(Data_Entry!V488/Data_Entry!$H488&lt;0,0,Data_Entry!V488/Data_Entry!$H488),0)</f>
        <v>1.0858469261453303</v>
      </c>
      <c r="R499" s="49">
        <f>IFERROR(IF(Data_Entry!W488/Data_Entry!$H488&lt;0,0,Data_Entry!W488/Data_Entry!$H488),0)</f>
        <v>1.1002290046373213</v>
      </c>
      <c r="S499" s="49">
        <f>IFERROR(IF(Data_Entry!X488/Data_Entry!$H488&lt;0,0,Data_Entry!X488/Data_Entry!$H488),0)</f>
        <v>1.1182066027523103</v>
      </c>
      <c r="T499" s="49">
        <f>IFERROR(IF(Data_Entry!Y488/Data_Entry!$H488&lt;0,0,Data_Entry!Y488/Data_Entry!$H488),0)</f>
        <v>0.94921718047141457</v>
      </c>
      <c r="U499" s="49">
        <f>IFERROR(IF(Data_Entry!Z488/Data_Entry!$H488&lt;0,0,Data_Entry!Z488/Data_Entry!$H488),0)</f>
        <v>1.0355096514233613</v>
      </c>
      <c r="V499" s="49">
        <f>IFERROR(IF(Data_Entry!AA488/Data_Entry!$H488&lt;0,0,Data_Entry!AA488/Data_Entry!$H488),0)</f>
        <v>1.1110155635063148</v>
      </c>
      <c r="W499" s="49">
        <f>IFERROR(IF(Data_Entry!AB488/Data_Entry!$H488&lt;0,0,Data_Entry!AB488/Data_Entry!$H488),0)</f>
        <v>1.1182066027523103</v>
      </c>
      <c r="X499" s="49">
        <f>IFERROR(IF(Data_Entry!AC488/Data_Entry!$I488&lt;0,0,Data_Entry!AC488/Data_Entry!$I488),0)</f>
        <v>0.17881417965073723</v>
      </c>
      <c r="Y499" s="49">
        <f>IFERROR(IF(Data_Entry!AD488/Data_Entry!$I488&lt;0,0,Data_Entry!AD488/Data_Entry!$I488),0)</f>
        <v>0.15999163442434383</v>
      </c>
      <c r="Z499" s="49">
        <f>IFERROR(IF(Data_Entry!AE488/Data_Entry!$I488&lt;0,0,Data_Entry!AE488/Data_Entry!$I488),0)</f>
        <v>0.20391090661926176</v>
      </c>
      <c r="AA499" s="49">
        <f>IFERROR(IF(Data_Entry!AF488/Data_Entry!$I488&lt;0,0,Data_Entry!AF488/Data_Entry!$I488),0)</f>
        <v>0.24155599707204853</v>
      </c>
      <c r="AB499" s="49">
        <f>IFERROR(IF(Data_Entry!AG488/Data_Entry!$I488&lt;0,0,Data_Entry!AG488/Data_Entry!$I488),0)</f>
        <v>0.36076545017254003</v>
      </c>
      <c r="AC499" s="49">
        <f>IFERROR(IF(Data_Entry!AI488/Data_Entry!$I488&lt;0,0,Data_Entry!AI488/Data_Entry!$I488),0)</f>
        <v>0.18289239778312244</v>
      </c>
      <c r="AD499" s="49">
        <f>IFERROR(IF(Data_Entry!AM488/Data_Entry!$H488&lt;0,0,Data_Entry!AM488/Data_Entry!$H488),0)</f>
        <v>1.0355096514233613</v>
      </c>
      <c r="AE499" s="50">
        <f>Data_Entry!AK488</f>
        <v>0</v>
      </c>
      <c r="AF499" s="50">
        <f>Data_Entry!AL488</f>
        <v>0</v>
      </c>
      <c r="AG499" s="153">
        <f>(Data_Entry!O488-Data_Entry!Q488)/Data_Entry!O488</f>
        <v>-0.12286689419795221</v>
      </c>
      <c r="AH499" s="79" t="str">
        <f t="shared" si="14"/>
        <v>CAT1</v>
      </c>
      <c r="AI499" s="51">
        <f>SUBTOTAL(3,Tableau1[[#This Row],[ZS]])</f>
        <v>0</v>
      </c>
      <c r="AJ499" s="51" t="e">
        <f t="shared" ca="1" si="15"/>
        <v>#NAME?</v>
      </c>
      <c r="AK499" s="50" t="str">
        <f>IFERROR(IF((Data_Entry!O488-Data_Entry!Q488)/Data_Entry!O488&lt;=10%,"&lt;=10%","&gt;10%"),"&lt;=10%")</f>
        <v>&lt;=10%</v>
      </c>
    </row>
    <row r="500" spans="1:37" s="48" customFormat="1" ht="13" hidden="1" x14ac:dyDescent="0.3">
      <c r="A500" s="31" t="s">
        <v>16</v>
      </c>
      <c r="B500" s="48" t="str">
        <f>Data_Entry!B489</f>
        <v>Butembo</v>
      </c>
      <c r="C500" s="48" t="str">
        <f>Data_Entry!C489</f>
        <v xml:space="preserve"> Musienene</v>
      </c>
      <c r="D500" s="48" t="str">
        <f>Data_Entry!D489</f>
        <v xml:space="preserve"> Mongali</v>
      </c>
      <c r="E500" s="49">
        <f>IFERROR(IF(Data_Entry!J489/Data_Entry!$I489&lt;0,0,Data_Entry!J489/Data_Entry!$I489),0)</f>
        <v>0.6324110671936759</v>
      </c>
      <c r="F500" s="49">
        <f>IFERROR(IF(Data_Entry!K489/Data_Entry!$H489&lt;0,0,Data_Entry!K489/Data_Entry!$H489),0)</f>
        <v>0.54543189462835662</v>
      </c>
      <c r="G500" s="49">
        <f>IFERROR(IF(Data_Entry!L489/Data_Entry!$H489&lt;0,0,Data_Entry!L489/Data_Entry!$H489),0)</f>
        <v>1.0781793265909376</v>
      </c>
      <c r="H500" s="49">
        <f>IFERROR(IF(Data_Entry!M489/Data_Entry!$H489&lt;0,0,Data_Entry!M489/Data_Entry!$H489),0)</f>
        <v>0.94771056774295859</v>
      </c>
      <c r="I500" s="49">
        <f>IFERROR(IF(Data_Entry!N489/Data_Entry!$H489&lt;0,0,Data_Entry!N489/Data_Entry!$H489),0)</f>
        <v>1.0183811454522804</v>
      </c>
      <c r="J500" s="49">
        <f>IFERROR(IF(Data_Entry!O489/Data_Entry!$H489&lt;0,0,Data_Entry!O489/Data_Entry!$H489),0)</f>
        <v>0.92777784069673952</v>
      </c>
      <c r="K500" s="49">
        <f>IFERROR(IF(Data_Entry!P489/Data_Entry!$H489&lt;0,0,Data_Entry!P489/Data_Entry!$H489),0)</f>
        <v>0.88247618831896901</v>
      </c>
      <c r="L500" s="49">
        <f>IFERROR(IF(Data_Entry!Q489/Data_Entry!$H489&lt;0,0,Data_Entry!Q489/Data_Entry!$H489),0)</f>
        <v>0.89153651879452311</v>
      </c>
      <c r="M500" s="49">
        <f>IFERROR(IF(Data_Entry!R489/Data_Entry!$H489&lt;0,0,Data_Entry!R489/Data_Entry!$H489),0)</f>
        <v>0.93140197288696114</v>
      </c>
      <c r="N500" s="49">
        <f>IFERROR(IF(Data_Entry!S489/Data_Entry!$H489&lt;0,0,Data_Entry!S489/Data_Entry!$H489),0)</f>
        <v>0.88610032050919063</v>
      </c>
      <c r="O500" s="49">
        <f>IFERROR(IF(Data_Entry!T489/Data_Entry!$H489&lt;0,0,Data_Entry!T489/Data_Entry!$H489),0)</f>
        <v>0.9060330475554097</v>
      </c>
      <c r="P500" s="49">
        <f>IFERROR(IF(Data_Entry!U489/Data_Entry!$H489&lt;0,0,Data_Entry!U489/Data_Entry!$H489),0)</f>
        <v>0.78462461918298476</v>
      </c>
      <c r="Q500" s="49">
        <f>IFERROR(IF(Data_Entry!V489/Data_Entry!$H489&lt;0,0,Data_Entry!V489/Data_Entry!$H489),0)</f>
        <v>0.77918842089765239</v>
      </c>
      <c r="R500" s="49">
        <f>IFERROR(IF(Data_Entry!W489/Data_Entry!$H489&lt;0,0,Data_Entry!W489/Data_Entry!$H489),0)</f>
        <v>0.81542974279986868</v>
      </c>
      <c r="S500" s="49">
        <f>IFERROR(IF(Data_Entry!X489/Data_Entry!$H489&lt;0,0,Data_Entry!X489/Data_Entry!$H489),0)</f>
        <v>1.0020725505962831</v>
      </c>
      <c r="T500" s="49">
        <f>IFERROR(IF(Data_Entry!Y489/Data_Entry!$H489&lt;0,0,Data_Entry!Y489/Data_Entry!$H489),0)</f>
        <v>0.74113503290032512</v>
      </c>
      <c r="U500" s="49">
        <f>IFERROR(IF(Data_Entry!Z489/Data_Entry!$H489&lt;0,0,Data_Entry!Z489/Data_Entry!$H489),0)</f>
        <v>0.86435552736786081</v>
      </c>
      <c r="V500" s="49">
        <f>IFERROR(IF(Data_Entry!AA489/Data_Entry!$H489&lt;0,0,Data_Entry!AA489/Data_Entry!$H489),0)</f>
        <v>1.0256294098327239</v>
      </c>
      <c r="W500" s="49">
        <f>IFERROR(IF(Data_Entry!AB489/Data_Entry!$H489&lt;0,0,Data_Entry!AB489/Data_Entry!$H489),0)</f>
        <v>0.98395188964517488</v>
      </c>
      <c r="X500" s="49">
        <f>IFERROR(IF(Data_Entry!AC489/Data_Entry!$I489&lt;0,0,Data_Entry!AC489/Data_Entry!$I489),0)</f>
        <v>0.466403162055336</v>
      </c>
      <c r="Y500" s="49">
        <f>IFERROR(IF(Data_Entry!AD489/Data_Entry!$I489&lt;0,0,Data_Entry!AD489/Data_Entry!$I489),0)</f>
        <v>0.34466403162055337</v>
      </c>
      <c r="Z500" s="49">
        <f>IFERROR(IF(Data_Entry!AE489/Data_Entry!$I489&lt;0,0,Data_Entry!AE489/Data_Entry!$I489),0)</f>
        <v>0.32252964426877473</v>
      </c>
      <c r="AA500" s="49">
        <f>IFERROR(IF(Data_Entry!AF489/Data_Entry!$I489&lt;0,0,Data_Entry!AF489/Data_Entry!$I489),0)</f>
        <v>0.24980237154150198</v>
      </c>
      <c r="AB500" s="49">
        <f>IFERROR(IF(Data_Entry!AG489/Data_Entry!$I489&lt;0,0,Data_Entry!AG489/Data_Entry!$I489),0)</f>
        <v>0.24347826086956523</v>
      </c>
      <c r="AC500" s="49">
        <f>IFERROR(IF(Data_Entry!AI489/Data_Entry!$I489&lt;0,0,Data_Entry!AI489/Data_Entry!$I489),0)</f>
        <v>7.9051383399209488E-2</v>
      </c>
      <c r="AD500" s="49">
        <f>IFERROR(IF(Data_Entry!AM489/Data_Entry!$H489&lt;0,0,Data_Entry!AM489/Data_Entry!$H489),0)</f>
        <v>0.86435552736786081</v>
      </c>
      <c r="AE500" s="50">
        <f>Data_Entry!AK489</f>
        <v>39.856249999999932</v>
      </c>
      <c r="AF500" s="50">
        <f>Data_Entry!AL489</f>
        <v>0</v>
      </c>
      <c r="AG500" s="153">
        <f>(Data_Entry!O489-Data_Entry!Q489)/Data_Entry!O489</f>
        <v>3.90625E-2</v>
      </c>
      <c r="AH500" s="79" t="str">
        <f t="shared" si="14"/>
        <v>CAT1</v>
      </c>
      <c r="AI500" s="51">
        <f>SUBTOTAL(3,Tableau1[[#This Row],[ZS]])</f>
        <v>0</v>
      </c>
      <c r="AJ500" s="51" t="e">
        <f t="shared" ca="1" si="15"/>
        <v>#NAME?</v>
      </c>
      <c r="AK500" s="50" t="str">
        <f>IFERROR(IF((Data_Entry!O489-Data_Entry!Q489)/Data_Entry!O489&lt;=10%,"&lt;=10%","&gt;10%"),"&lt;=10%")</f>
        <v>&lt;=10%</v>
      </c>
    </row>
    <row r="501" spans="1:37" s="48" customFormat="1" ht="13" hidden="1" x14ac:dyDescent="0.3">
      <c r="A501" s="31" t="s">
        <v>16</v>
      </c>
      <c r="B501" s="48" t="str">
        <f>Data_Entry!B490</f>
        <v>Butembo</v>
      </c>
      <c r="C501" s="48" t="str">
        <f>Data_Entry!C490</f>
        <v xml:space="preserve"> Musienene</v>
      </c>
      <c r="D501" s="48" t="str">
        <f>Data_Entry!D490</f>
        <v xml:space="preserve"> Mukongo</v>
      </c>
      <c r="E501" s="49">
        <f>IFERROR(IF(Data_Entry!J490/Data_Entry!$I490&lt;0,0,Data_Entry!J490/Data_Entry!$I490),0)</f>
        <v>0.65604411008831376</v>
      </c>
      <c r="F501" s="49">
        <f>IFERROR(IF(Data_Entry!K490/Data_Entry!$H490&lt;0,0,Data_Entry!K490/Data_Entry!$H490),0)</f>
        <v>0.91739815066350028</v>
      </c>
      <c r="G501" s="49">
        <f>IFERROR(IF(Data_Entry!L490/Data_Entry!$H490&lt;0,0,Data_Entry!L490/Data_Entry!$H490),0)</f>
        <v>1.0700300671486711</v>
      </c>
      <c r="H501" s="49">
        <f>IFERROR(IF(Data_Entry!M490/Data_Entry!$H490&lt;0,0,Data_Entry!M490/Data_Entry!$H490),0)</f>
        <v>1.0170105593169803</v>
      </c>
      <c r="I501" s="49">
        <f>IFERROR(IF(Data_Entry!N490/Data_Entry!$H490&lt;0,0,Data_Entry!N490/Data_Entry!$H490),0)</f>
        <v>1.1471493512674942</v>
      </c>
      <c r="J501" s="49">
        <f>IFERROR(IF(Data_Entry!O490/Data_Entry!$H490&lt;0,0,Data_Entry!O490/Data_Entry!$H490),0)</f>
        <v>1.0105839523070783</v>
      </c>
      <c r="K501" s="49">
        <f>IFERROR(IF(Data_Entry!P490/Data_Entry!$H490&lt;0,0,Data_Entry!P490/Data_Entry!$H490),0)</f>
        <v>0.90775824014864737</v>
      </c>
      <c r="L501" s="49">
        <f>IFERROR(IF(Data_Entry!Q490/Data_Entry!$H490&lt;0,0,Data_Entry!Q490/Data_Entry!$H490),0)</f>
        <v>1.2065954661090872</v>
      </c>
      <c r="M501" s="49">
        <f>IFERROR(IF(Data_Entry!R490/Data_Entry!$H490&lt;0,0,Data_Entry!R490/Data_Entry!$H490),0)</f>
        <v>1.0105839523070783</v>
      </c>
      <c r="N501" s="49">
        <f>IFERROR(IF(Data_Entry!S490/Data_Entry!$H490&lt;0,0,Data_Entry!S490/Data_Entry!$H490),0)</f>
        <v>0.88687176736646611</v>
      </c>
      <c r="O501" s="49">
        <f>IFERROR(IF(Data_Entry!T490/Data_Entry!$H490&lt;0,0,Data_Entry!T490/Data_Entry!$H490),0)</f>
        <v>1.0202238628219311</v>
      </c>
      <c r="P501" s="49">
        <f>IFERROR(IF(Data_Entry!U490/Data_Entry!$H490&lt;0,0,Data_Entry!U490/Data_Entry!$H490),0)</f>
        <v>0.87562520509913777</v>
      </c>
      <c r="Q501" s="49">
        <f>IFERROR(IF(Data_Entry!V490/Data_Entry!$H490&lt;0,0,Data_Entry!V490/Data_Entry!$H490),0)</f>
        <v>0.72459994036644249</v>
      </c>
      <c r="R501" s="49">
        <f>IFERROR(IF(Data_Entry!W490/Data_Entry!$H490&lt;0,0,Data_Entry!W490/Data_Entry!$H490),0)</f>
        <v>0.91900480241597582</v>
      </c>
      <c r="S501" s="49">
        <f>IFERROR(IF(Data_Entry!X490/Data_Entry!$H490&lt;0,0,Data_Entry!X490/Data_Entry!$H490),0)</f>
        <v>1.1246562267328375</v>
      </c>
      <c r="T501" s="49">
        <f>IFERROR(IF(Data_Entry!Y490/Data_Entry!$H490&lt;0,0,Data_Entry!Y490/Data_Entry!$H490),0)</f>
        <v>1.3078145265150425</v>
      </c>
      <c r="U501" s="49">
        <f>IFERROR(IF(Data_Entry!Z490/Data_Entry!$H490&lt;0,0,Data_Entry!Z490/Data_Entry!$H490),0)</f>
        <v>1.0587835048813428</v>
      </c>
      <c r="V501" s="49">
        <f>IFERROR(IF(Data_Entry!AA490/Data_Entry!$H490&lt;0,0,Data_Entry!AA490/Data_Entry!$H490),0)</f>
        <v>1.1471493512674942</v>
      </c>
      <c r="W501" s="49">
        <f>IFERROR(IF(Data_Entry!AB490/Data_Entry!$H490&lt;0,0,Data_Entry!AB490/Data_Entry!$H490),0)</f>
        <v>1.1664291722972</v>
      </c>
      <c r="X501" s="49">
        <f>IFERROR(IF(Data_Entry!AC490/Data_Entry!$I490&lt;0,0,Data_Entry!AC490/Data_Entry!$I490),0)</f>
        <v>0.2789589271529368</v>
      </c>
      <c r="Y501" s="49">
        <f>IFERROR(IF(Data_Entry!AD490/Data_Entry!$I490&lt;0,0,Data_Entry!AD490/Data_Entry!$I490),0)</f>
        <v>0.33643287696836599</v>
      </c>
      <c r="Z501" s="49">
        <f>IFERROR(IF(Data_Entry!AE490/Data_Entry!$I490&lt;0,0,Data_Entry!AE490/Data_Entry!$I490),0)</f>
        <v>0.21307415541329847</v>
      </c>
      <c r="AA501" s="49">
        <f>IFERROR(IF(Data_Entry!AF490/Data_Entry!$I490&lt;0,0,Data_Entry!AF490/Data_Entry!$I490),0)</f>
        <v>0.18083267137049674</v>
      </c>
      <c r="AB501" s="49">
        <f>IFERROR(IF(Data_Entry!AG490/Data_Entry!$I490&lt;0,0,Data_Entry!AG490/Data_Entry!$I490),0)</f>
        <v>0.15560020559786927</v>
      </c>
      <c r="AC501" s="49">
        <f>IFERROR(IF(Data_Entry!AI490/Data_Entry!$I490&lt;0,0,Data_Entry!AI490/Data_Entry!$I490),0)</f>
        <v>8.761272837717865E-2</v>
      </c>
      <c r="AD501" s="49">
        <f>IFERROR(IF(Data_Entry!AM490/Data_Entry!$H490&lt;0,0,Data_Entry!AM490/Data_Entry!$H490),0)</f>
        <v>1.0587835048813428</v>
      </c>
      <c r="AE501" s="50">
        <f>Data_Entry!AK490</f>
        <v>0</v>
      </c>
      <c r="AF501" s="50">
        <f>Data_Entry!AL490</f>
        <v>0</v>
      </c>
      <c r="AG501" s="153">
        <f>(Data_Entry!O490-Data_Entry!Q490)/Data_Entry!O490</f>
        <v>-0.19395866454689983</v>
      </c>
      <c r="AH501" s="79" t="str">
        <f t="shared" si="14"/>
        <v>CAT1</v>
      </c>
      <c r="AI501" s="51">
        <f>SUBTOTAL(3,Tableau1[[#This Row],[ZS]])</f>
        <v>0</v>
      </c>
      <c r="AJ501" s="51" t="e">
        <f t="shared" ca="1" si="15"/>
        <v>#NAME?</v>
      </c>
      <c r="AK501" s="50" t="str">
        <f>IFERROR(IF((Data_Entry!O490-Data_Entry!Q490)/Data_Entry!O490&lt;=10%,"&lt;=10%","&gt;10%"),"&lt;=10%")</f>
        <v>&lt;=10%</v>
      </c>
    </row>
    <row r="502" spans="1:37" s="48" customFormat="1" ht="13" hidden="1" x14ac:dyDescent="0.3">
      <c r="A502" s="31" t="s">
        <v>16</v>
      </c>
      <c r="B502" s="48" t="str">
        <f>Data_Entry!B491</f>
        <v>Butembo</v>
      </c>
      <c r="C502" s="48" t="str">
        <f>Data_Entry!C491</f>
        <v xml:space="preserve"> Musienene</v>
      </c>
      <c r="D502" s="48" t="str">
        <f>Data_Entry!D491</f>
        <v xml:space="preserve"> Munoli</v>
      </c>
      <c r="E502" s="49">
        <f>IFERROR(IF(Data_Entry!J491/Data_Entry!$I491&lt;0,0,Data_Entry!J491/Data_Entry!$I491),0)</f>
        <v>0.75025693730729692</v>
      </c>
      <c r="F502" s="49">
        <f>IFERROR(IF(Data_Entry!K491/Data_Entry!$H491&lt;0,0,Data_Entry!K491/Data_Entry!$H491),0)</f>
        <v>0.1531316903088254</v>
      </c>
      <c r="G502" s="49">
        <f>IFERROR(IF(Data_Entry!L491/Data_Entry!$H491&lt;0,0,Data_Entry!L491/Data_Entry!$H491),0)</f>
        <v>1.1043150743424908</v>
      </c>
      <c r="H502" s="49">
        <f>IFERROR(IF(Data_Entry!M491/Data_Entry!$H491&lt;0,0,Data_Entry!M491/Data_Entry!$H491),0)</f>
        <v>1.0159698683950915</v>
      </c>
      <c r="I502" s="49">
        <f>IFERROR(IF(Data_Entry!N491/Data_Entry!$H491&lt;0,0,Data_Entry!N491/Data_Entry!$H491),0)</f>
        <v>1.1160944351354773</v>
      </c>
      <c r="J502" s="49">
        <f>IFERROR(IF(Data_Entry!O491/Data_Entry!$H491&lt;0,0,Data_Entry!O491/Data_Entry!$H491),0)</f>
        <v>1.0807563527565176</v>
      </c>
      <c r="K502" s="49">
        <f>IFERROR(IF(Data_Entry!P491/Data_Entry!$H491&lt;0,0,Data_Entry!P491/Data_Entry!$H491),0)</f>
        <v>0.98946630661087176</v>
      </c>
      <c r="L502" s="49">
        <f>IFERROR(IF(Data_Entry!Q491/Data_Entry!$H491&lt;0,0,Data_Entry!Q491/Data_Entry!$H491),0)</f>
        <v>1.068976991963531</v>
      </c>
      <c r="M502" s="49">
        <f>IFERROR(IF(Data_Entry!R491/Data_Entry!$H491&lt;0,0,Data_Entry!R491/Data_Entry!$H491),0)</f>
        <v>1.0130250281968449</v>
      </c>
      <c r="N502" s="49">
        <f>IFERROR(IF(Data_Entry!S491/Data_Entry!$H491&lt;0,0,Data_Entry!S491/Data_Entry!$H491),0)</f>
        <v>0.91584530165470568</v>
      </c>
      <c r="O502" s="49">
        <f>IFERROR(IF(Data_Entry!T491/Data_Entry!$H491&lt;0,0,Data_Entry!T491/Data_Entry!$H491),0)</f>
        <v>0.96001790462840531</v>
      </c>
      <c r="P502" s="49">
        <f>IFERROR(IF(Data_Entry!U491/Data_Entry!$H491&lt;0,0,Data_Entry!U491/Data_Entry!$H491),0)</f>
        <v>0.84811397709503289</v>
      </c>
      <c r="Q502" s="49">
        <f>IFERROR(IF(Data_Entry!V491/Data_Entry!$H491&lt;0,0,Data_Entry!V491/Data_Entry!$H491),0)</f>
        <v>0.66847872500198779</v>
      </c>
      <c r="R502" s="49">
        <f>IFERROR(IF(Data_Entry!W491/Data_Entry!$H491&lt;0,0,Data_Entry!W491/Data_Entry!$H491),0)</f>
        <v>0.66553388480374109</v>
      </c>
      <c r="S502" s="49">
        <f>IFERROR(IF(Data_Entry!X491/Data_Entry!$H491&lt;0,0,Data_Entry!X491/Data_Entry!$H491),0)</f>
        <v>1.1337634763249573</v>
      </c>
      <c r="T502" s="49">
        <f>IFERROR(IF(Data_Entry!Y491/Data_Entry!$H491&lt;0,0,Data_Entry!Y491/Data_Entry!$H491),0)</f>
        <v>0.66847872500198779</v>
      </c>
      <c r="U502" s="49">
        <f>IFERROR(IF(Data_Entry!Z491/Data_Entry!$H491&lt;0,0,Data_Entry!Z491/Data_Entry!$H491),0)</f>
        <v>1.0454182703775579</v>
      </c>
      <c r="V502" s="49">
        <f>IFERROR(IF(Data_Entry!AA491/Data_Entry!$H491&lt;0,0,Data_Entry!AA491/Data_Entry!$H491),0)</f>
        <v>1.1749912391004103</v>
      </c>
      <c r="W502" s="49">
        <f>IFERROR(IF(Data_Entry!AB491/Data_Entry!$H491&lt;0,0,Data_Entry!AB491/Data_Entry!$H491),0)</f>
        <v>1.1425979969196971</v>
      </c>
      <c r="X502" s="49">
        <f>IFERROR(IF(Data_Entry!AC491/Data_Entry!$I491&lt;0,0,Data_Entry!AC491/Data_Entry!$I491),0)</f>
        <v>0.19270298047276463</v>
      </c>
      <c r="Y502" s="49">
        <f>IFERROR(IF(Data_Entry!AD491/Data_Entry!$I491&lt;0,0,Data_Entry!AD491/Data_Entry!$I491),0)</f>
        <v>0.2595066803699897</v>
      </c>
      <c r="Z502" s="49">
        <f>IFERROR(IF(Data_Entry!AE491/Data_Entry!$I491&lt;0,0,Data_Entry!AE491/Data_Entry!$I491),0)</f>
        <v>0.2595066803699897</v>
      </c>
      <c r="AA502" s="49">
        <f>IFERROR(IF(Data_Entry!AF491/Data_Entry!$I491&lt;0,0,Data_Entry!AF491/Data_Entry!$I491),0)</f>
        <v>0.16700924974306267</v>
      </c>
      <c r="AB502" s="49">
        <f>IFERROR(IF(Data_Entry!AG491/Data_Entry!$I491&lt;0,0,Data_Entry!AG491/Data_Entry!$I491),0)</f>
        <v>0.1027749229188078</v>
      </c>
      <c r="AC502" s="49">
        <f>IFERROR(IF(Data_Entry!AI491/Data_Entry!$I491&lt;0,0,Data_Entry!AI491/Data_Entry!$I491),0)</f>
        <v>0.14979445015416237</v>
      </c>
      <c r="AD502" s="49">
        <f>IFERROR(IF(Data_Entry!AM491/Data_Entry!$H491&lt;0,0,Data_Entry!AM491/Data_Entry!$H491),0)</f>
        <v>1.0454182703775579</v>
      </c>
      <c r="AE502" s="50">
        <f>Data_Entry!AK491</f>
        <v>0</v>
      </c>
      <c r="AF502" s="50">
        <f>Data_Entry!AL491</f>
        <v>0</v>
      </c>
      <c r="AG502" s="153">
        <f>(Data_Entry!O491-Data_Entry!Q491)/Data_Entry!O491</f>
        <v>1.0899182561307902E-2</v>
      </c>
      <c r="AH502" s="79" t="str">
        <f t="shared" si="14"/>
        <v>CAT1</v>
      </c>
      <c r="AI502" s="51">
        <f>SUBTOTAL(3,Tableau1[[#This Row],[ZS]])</f>
        <v>0</v>
      </c>
      <c r="AJ502" s="51" t="e">
        <f t="shared" ca="1" si="15"/>
        <v>#NAME?</v>
      </c>
      <c r="AK502" s="50" t="str">
        <f>IFERROR(IF((Data_Entry!O491-Data_Entry!Q491)/Data_Entry!O491&lt;=10%,"&lt;=10%","&gt;10%"),"&lt;=10%")</f>
        <v>&lt;=10%</v>
      </c>
    </row>
    <row r="503" spans="1:37" s="48" customFormat="1" ht="13" hidden="1" x14ac:dyDescent="0.3">
      <c r="A503" s="31" t="s">
        <v>16</v>
      </c>
      <c r="B503" s="48" t="str">
        <f>Data_Entry!B492</f>
        <v>Butembo</v>
      </c>
      <c r="C503" s="48" t="str">
        <f>Data_Entry!C492</f>
        <v xml:space="preserve"> Musienene</v>
      </c>
      <c r="D503" s="48" t="str">
        <f>Data_Entry!D492</f>
        <v xml:space="preserve"> Nduko</v>
      </c>
      <c r="E503" s="49">
        <f>IFERROR(IF(Data_Entry!J492/Data_Entry!$I492&lt;0,0,Data_Entry!J492/Data_Entry!$I492),0)</f>
        <v>0.53460233888523256</v>
      </c>
      <c r="F503" s="49">
        <f>IFERROR(IF(Data_Entry!K492/Data_Entry!$H492&lt;0,0,Data_Entry!K492/Data_Entry!$H492),0)</f>
        <v>0.79723844493825391</v>
      </c>
      <c r="G503" s="49">
        <f>IFERROR(IF(Data_Entry!L492/Data_Entry!$H492&lt;0,0,Data_Entry!L492/Data_Entry!$H492),0)</f>
        <v>1.1775803668138183</v>
      </c>
      <c r="H503" s="49">
        <f>IFERROR(IF(Data_Entry!M492/Data_Entry!$H492&lt;0,0,Data_Entry!M492/Data_Entry!$H492),0)</f>
        <v>1.1123042932653806</v>
      </c>
      <c r="I503" s="49">
        <f>IFERROR(IF(Data_Entry!N492/Data_Entry!$H492&lt;0,0,Data_Entry!N492/Data_Entry!$H492),0)</f>
        <v>1.2054314915278186</v>
      </c>
      <c r="J503" s="49">
        <f>IFERROR(IF(Data_Entry!O492/Data_Entry!$H492&lt;0,0,Data_Entry!O492/Data_Entry!$H492),0)</f>
        <v>1.0783607350201929</v>
      </c>
      <c r="K503" s="49">
        <f>IFERROR(IF(Data_Entry!P492/Data_Entry!$H492&lt;0,0,Data_Entry!P492/Data_Entry!$H492),0)</f>
        <v>0.92604989674050464</v>
      </c>
      <c r="L503" s="49">
        <f>IFERROR(IF(Data_Entry!Q492/Data_Entry!$H492&lt;0,0,Data_Entry!Q492/Data_Entry!$H492),0)</f>
        <v>1.013084661471755</v>
      </c>
      <c r="M503" s="49">
        <f>IFERROR(IF(Data_Entry!R492/Data_Entry!$H492&lt;0,0,Data_Entry!R492/Data_Entry!$H492),0)</f>
        <v>1.1053415120868806</v>
      </c>
      <c r="N503" s="49">
        <f>IFERROR(IF(Data_Entry!S492/Data_Entry!$H492&lt;0,0,Data_Entry!S492/Data_Entry!$H492),0)</f>
        <v>0.93214233027169213</v>
      </c>
      <c r="O503" s="49">
        <f>IFERROR(IF(Data_Entry!T492/Data_Entry!$H492&lt;0,0,Data_Entry!T492/Data_Entry!$H492),0)</f>
        <v>1.0426764814803802</v>
      </c>
      <c r="P503" s="49">
        <f>IFERROR(IF(Data_Entry!U492/Data_Entry!$H492&lt;0,0,Data_Entry!U492/Data_Entry!$H492),0)</f>
        <v>0.87382903790175437</v>
      </c>
      <c r="Q503" s="49">
        <f>IFERROR(IF(Data_Entry!V492/Data_Entry!$H492&lt;0,0,Data_Entry!V492/Data_Entry!$H492),0)</f>
        <v>0.78592392552319146</v>
      </c>
      <c r="R503" s="49">
        <f>IFERROR(IF(Data_Entry!W492/Data_Entry!$H492&lt;0,0,Data_Entry!W492/Data_Entry!$H492),0)</f>
        <v>0.83901513200925415</v>
      </c>
      <c r="S503" s="49">
        <f>IFERROR(IF(Data_Entry!X492/Data_Entry!$H492&lt;0,0,Data_Entry!X492/Data_Entry!$H492),0)</f>
        <v>1.0278805714760677</v>
      </c>
      <c r="T503" s="49">
        <f>IFERROR(IF(Data_Entry!Y492/Data_Entry!$H492&lt;0,0,Data_Entry!Y492/Data_Entry!$H492),0)</f>
        <v>0.72238854726937862</v>
      </c>
      <c r="U503" s="49">
        <f>IFERROR(IF(Data_Entry!Z492/Data_Entry!$H492&lt;0,0,Data_Entry!Z492/Data_Entry!$H492),0)</f>
        <v>0.93301267791900466</v>
      </c>
      <c r="V503" s="49">
        <f>IFERROR(IF(Data_Entry!AA492/Data_Entry!$H492&lt;0,0,Data_Entry!AA492/Data_Entry!$H492),0)</f>
        <v>1.1593030662202557</v>
      </c>
      <c r="W503" s="49">
        <f>IFERROR(IF(Data_Entry!AB492/Data_Entry!$H492&lt;0,0,Data_Entry!AB492/Data_Entry!$H492),0)</f>
        <v>1.0452875244223176</v>
      </c>
      <c r="X503" s="49">
        <f>IFERROR(IF(Data_Entry!AC492/Data_Entry!$I492&lt;0,0,Data_Entry!AC492/Data_Entry!$I492),0)</f>
        <v>0.41841745557636811</v>
      </c>
      <c r="Y503" s="49">
        <f>IFERROR(IF(Data_Entry!AD492/Data_Entry!$I492&lt;0,0,Data_Entry!AD492/Data_Entry!$I492),0)</f>
        <v>0.41537994228724745</v>
      </c>
      <c r="Z503" s="49">
        <f>IFERROR(IF(Data_Entry!AE492/Data_Entry!$I492&lt;0,0,Data_Entry!AE492/Data_Entry!$I492),0)</f>
        <v>0.34627651495975292</v>
      </c>
      <c r="AA503" s="49">
        <f>IFERROR(IF(Data_Entry!AF492/Data_Entry!$I492&lt;0,0,Data_Entry!AF492/Data_Entry!$I492),0)</f>
        <v>0.28856376246646076</v>
      </c>
      <c r="AB503" s="49">
        <f>IFERROR(IF(Data_Entry!AG492/Data_Entry!$I492&lt;0,0,Data_Entry!AG492/Data_Entry!$I492),0)</f>
        <v>0.22857287500632814</v>
      </c>
      <c r="AC503" s="49">
        <f>IFERROR(IF(Data_Entry!AI492/Data_Entry!$I492&lt;0,0,Data_Entry!AI492/Data_Entry!$I492),0)</f>
        <v>5.065053409608667E-2</v>
      </c>
      <c r="AD503" s="49">
        <f>IFERROR(IF(Data_Entry!AM492/Data_Entry!$H492&lt;0,0,Data_Entry!AM492/Data_Entry!$H492),0)</f>
        <v>0.93301267791900466</v>
      </c>
      <c r="AE503" s="50">
        <f>Data_Entry!AK492</f>
        <v>0</v>
      </c>
      <c r="AF503" s="50">
        <f>Data_Entry!AL492</f>
        <v>58</v>
      </c>
      <c r="AG503" s="153">
        <f>(Data_Entry!O492-Data_Entry!Q492)/Data_Entry!O492</f>
        <v>6.0532687651331719E-2</v>
      </c>
      <c r="AH503" s="79" t="str">
        <f t="shared" si="14"/>
        <v>CAT1</v>
      </c>
      <c r="AI503" s="51">
        <f>SUBTOTAL(3,Tableau1[[#This Row],[ZS]])</f>
        <v>0</v>
      </c>
      <c r="AJ503" s="51" t="e">
        <f t="shared" ca="1" si="15"/>
        <v>#NAME?</v>
      </c>
      <c r="AK503" s="50" t="str">
        <f>IFERROR(IF((Data_Entry!O492-Data_Entry!Q492)/Data_Entry!O492&lt;=10%,"&lt;=10%","&gt;10%"),"&lt;=10%")</f>
        <v>&lt;=10%</v>
      </c>
    </row>
    <row r="504" spans="1:37" s="48" customFormat="1" ht="13" hidden="1" x14ac:dyDescent="0.3">
      <c r="A504" s="31" t="s">
        <v>16</v>
      </c>
      <c r="B504" s="48" t="str">
        <f>Data_Entry!B493</f>
        <v>Butembo</v>
      </c>
      <c r="C504" s="48" t="str">
        <f>Data_Entry!C493</f>
        <v xml:space="preserve"> Musienene</v>
      </c>
      <c r="D504" s="48" t="str">
        <f>Data_Entry!D493</f>
        <v xml:space="preserve"> Ngeleza</v>
      </c>
      <c r="E504" s="49">
        <f>IFERROR(IF(Data_Entry!J493/Data_Entry!$I493&lt;0,0,Data_Entry!J493/Data_Entry!$I493),0)</f>
        <v>0.79479119892231698</v>
      </c>
      <c r="F504" s="49">
        <f>IFERROR(IF(Data_Entry!K493/Data_Entry!$H493&lt;0,0,Data_Entry!K493/Data_Entry!$H493),0)</f>
        <v>0.35819835491229679</v>
      </c>
      <c r="G504" s="49">
        <f>IFERROR(IF(Data_Entry!L493/Data_Entry!$H493&lt;0,0,Data_Entry!L493/Data_Entry!$H493),0)</f>
        <v>1.0282763119465073</v>
      </c>
      <c r="H504" s="49">
        <f>IFERROR(IF(Data_Entry!M493/Data_Entry!$H493&lt;0,0,Data_Entry!M493/Data_Entry!$H493),0)</f>
        <v>1.0406279793572759</v>
      </c>
      <c r="I504" s="49">
        <f>IFERROR(IF(Data_Entry!N493/Data_Entry!$H493&lt;0,0,Data_Entry!N493/Data_Entry!$H493),0)</f>
        <v>1.1085621501165048</v>
      </c>
      <c r="J504" s="49">
        <f>IFERROR(IF(Data_Entry!O493/Data_Entry!$H493&lt;0,0,Data_Entry!O493/Data_Entry!$H493),0)</f>
        <v>0.99739714341958507</v>
      </c>
      <c r="K504" s="49">
        <f>IFERROR(IF(Data_Entry!P493/Data_Entry!$H493&lt;0,0,Data_Entry!P493/Data_Entry!$H493),0)</f>
        <v>0.93563880636574071</v>
      </c>
      <c r="L504" s="49">
        <f>IFERROR(IF(Data_Entry!Q493/Data_Entry!$H493&lt;0,0,Data_Entry!Q493/Data_Entry!$H493),0)</f>
        <v>1.0128367276830461</v>
      </c>
      <c r="M504" s="49">
        <f>IFERROR(IF(Data_Entry!R493/Data_Entry!$H493&lt;0,0,Data_Entry!R493/Data_Entry!$H493),0)</f>
        <v>0.96034214118727845</v>
      </c>
      <c r="N504" s="49">
        <f>IFERROR(IF(Data_Entry!S493/Data_Entry!$H493&lt;0,0,Data_Entry!S493/Data_Entry!$H493),0)</f>
        <v>0.91402338839689523</v>
      </c>
      <c r="O504" s="49">
        <f>IFERROR(IF(Data_Entry!T493/Data_Entry!$H493&lt;0,0,Data_Entry!T493/Data_Entry!$H493),0)</f>
        <v>0.94490255692381742</v>
      </c>
      <c r="P504" s="49">
        <f>IFERROR(IF(Data_Entry!U493/Data_Entry!$H493&lt;0,0,Data_Entry!U493/Data_Entry!$H493),0)</f>
        <v>0.95107839062920185</v>
      </c>
      <c r="Q504" s="49">
        <f>IFERROR(IF(Data_Entry!V493/Data_Entry!$H493&lt;0,0,Data_Entry!V493/Data_Entry!$H493),0)</f>
        <v>0.95416630748189402</v>
      </c>
      <c r="R504" s="49">
        <f>IFERROR(IF(Data_Entry!W493/Data_Entry!$H493&lt;0,0,Data_Entry!W493/Data_Entry!$H493),0)</f>
        <v>0.96651797489266289</v>
      </c>
      <c r="S504" s="49">
        <f>IFERROR(IF(Data_Entry!X493/Data_Entry!$H493&lt;0,0,Data_Entry!X493/Data_Entry!$H493),0)</f>
        <v>1.0282763119465073</v>
      </c>
      <c r="T504" s="49">
        <f>IFERROR(IF(Data_Entry!Y493/Data_Entry!$H493&lt;0,0,Data_Entry!Y493/Data_Entry!$H493),0)</f>
        <v>0.95107839062920185</v>
      </c>
      <c r="U504" s="49">
        <f>IFERROR(IF(Data_Entry!Z493/Data_Entry!$H493&lt;0,0,Data_Entry!Z493/Data_Entry!$H493),0)</f>
        <v>0.9850454760088162</v>
      </c>
      <c r="V504" s="49">
        <f>IFERROR(IF(Data_Entry!AA493/Data_Entry!$H493&lt;0,0,Data_Entry!AA493/Data_Entry!$H493),0)</f>
        <v>1.1363534017907346</v>
      </c>
      <c r="W504" s="49">
        <f>IFERROR(IF(Data_Entry!AB493/Data_Entry!$H493&lt;0,0,Data_Entry!AB493/Data_Entry!$H493),0)</f>
        <v>1.0221004782411227</v>
      </c>
      <c r="X504" s="49">
        <f>IFERROR(IF(Data_Entry!AC493/Data_Entry!$I493&lt;0,0,Data_Entry!AC493/Data_Entry!$I493),0)</f>
        <v>0.21553659631791647</v>
      </c>
      <c r="Y504" s="49">
        <f>IFERROR(IF(Data_Entry!AD493/Data_Entry!$I493&lt;0,0,Data_Entry!AD493/Data_Entry!$I493),0)</f>
        <v>0.25056129321957787</v>
      </c>
      <c r="Z504" s="49">
        <f>IFERROR(IF(Data_Entry!AE493/Data_Entry!$I493&lt;0,0,Data_Entry!AE493/Data_Entry!$I493),0)</f>
        <v>0.32330489447687472</v>
      </c>
      <c r="AA504" s="49">
        <f>IFERROR(IF(Data_Entry!AF493/Data_Entry!$I493&lt;0,0,Data_Entry!AF493/Data_Entry!$I493),0)</f>
        <v>0.21014818140996855</v>
      </c>
      <c r="AB504" s="49">
        <f>IFERROR(IF(Data_Entry!AG493/Data_Entry!$I493&lt;0,0,Data_Entry!AG493/Data_Entry!$I493),0)</f>
        <v>0.1643466546924113</v>
      </c>
      <c r="AC504" s="49">
        <f>IFERROR(IF(Data_Entry!AI493/Data_Entry!$I493&lt;0,0,Data_Entry!AI493/Data_Entry!$I493),0)</f>
        <v>0.15707229456668162</v>
      </c>
      <c r="AD504" s="49">
        <f>IFERROR(IF(Data_Entry!AM493/Data_Entry!$H493&lt;0,0,Data_Entry!AM493/Data_Entry!$H493),0)</f>
        <v>0.9850454760088162</v>
      </c>
      <c r="AE504" s="50">
        <f>Data_Entry!AK493</f>
        <v>0.84291666666661058</v>
      </c>
      <c r="AF504" s="50">
        <f>Data_Entry!AL493</f>
        <v>0</v>
      </c>
      <c r="AG504" s="153">
        <f>(Data_Entry!O493-Data_Entry!Q493)/Data_Entry!O493</f>
        <v>-1.5479876160990712E-2</v>
      </c>
      <c r="AH504" s="79" t="str">
        <f t="shared" si="14"/>
        <v>CAT1</v>
      </c>
      <c r="AI504" s="51">
        <f>SUBTOTAL(3,Tableau1[[#This Row],[ZS]])</f>
        <v>0</v>
      </c>
      <c r="AJ504" s="51" t="e">
        <f t="shared" ca="1" si="15"/>
        <v>#NAME?</v>
      </c>
      <c r="AK504" s="50" t="str">
        <f>IFERROR(IF((Data_Entry!O493-Data_Entry!Q493)/Data_Entry!O493&lt;=10%,"&lt;=10%","&gt;10%"),"&lt;=10%")</f>
        <v>&lt;=10%</v>
      </c>
    </row>
    <row r="505" spans="1:37" s="48" customFormat="1" ht="13" hidden="1" x14ac:dyDescent="0.3">
      <c r="A505" s="31" t="s">
        <v>16</v>
      </c>
      <c r="B505" s="48" t="str">
        <f>Data_Entry!B494</f>
        <v>Butembo</v>
      </c>
      <c r="C505" s="48" t="str">
        <f>Data_Entry!C494</f>
        <v xml:space="preserve"> Musienene</v>
      </c>
      <c r="D505" s="48" t="str">
        <f>Data_Entry!D494</f>
        <v xml:space="preserve"> Ngoma</v>
      </c>
      <c r="E505" s="49">
        <f>IFERROR(IF(Data_Entry!J494/Data_Entry!$I494&lt;0,0,Data_Entry!J494/Data_Entry!$I494),0)</f>
        <v>0.58149373125144221</v>
      </c>
      <c r="F505" s="49">
        <f>IFERROR(IF(Data_Entry!K494/Data_Entry!$H494&lt;0,0,Data_Entry!K494/Data_Entry!$H494),0)</f>
        <v>5.8183754434582839E-2</v>
      </c>
      <c r="G505" s="49">
        <f>IFERROR(IF(Data_Entry!L494/Data_Entry!$H494&lt;0,0,Data_Entry!L494/Data_Entry!$H494),0)</f>
        <v>1.0763994570397826</v>
      </c>
      <c r="H505" s="49">
        <f>IFERROR(IF(Data_Entry!M494/Data_Entry!$H494&lt;0,0,Data_Entry!M494/Data_Entry!$H494),0)</f>
        <v>1.0340839992691768</v>
      </c>
      <c r="I505" s="49">
        <f>IFERROR(IF(Data_Entry!N494/Data_Entry!$H494&lt;0,0,Data_Entry!N494/Data_Entry!$H494),0)</f>
        <v>1.049952295933154</v>
      </c>
      <c r="J505" s="49">
        <f>IFERROR(IF(Data_Entry!O494/Data_Entry!$H494&lt;0,0,Data_Entry!O494/Data_Entry!$H494),0)</f>
        <v>0.86217745207609109</v>
      </c>
      <c r="K505" s="49">
        <f>IFERROR(IF(Data_Entry!P494/Data_Entry!$H494&lt;0,0,Data_Entry!P494/Data_Entry!$H494),0)</f>
        <v>0.80134898153084544</v>
      </c>
      <c r="L505" s="49">
        <f>IFERROR(IF(Data_Entry!Q494/Data_Entry!$H494&lt;0,0,Data_Entry!Q494/Data_Entry!$H494),0)</f>
        <v>0.83573029096946261</v>
      </c>
      <c r="M505" s="49">
        <f>IFERROR(IF(Data_Entry!R494/Data_Entry!$H494&lt;0,0,Data_Entry!R494/Data_Entry!$H494),0)</f>
        <v>0.9520977998386283</v>
      </c>
      <c r="N505" s="49">
        <f>IFERROR(IF(Data_Entry!S494/Data_Entry!$H494&lt;0,0,Data_Entry!S494/Data_Entry!$H494),0)</f>
        <v>0.90713762595735969</v>
      </c>
      <c r="O505" s="49">
        <f>IFERROR(IF(Data_Entry!T494/Data_Entry!$H494&lt;0,0,Data_Entry!T494/Data_Entry!$H494),0)</f>
        <v>0.94680836761730258</v>
      </c>
      <c r="P505" s="49">
        <f>IFERROR(IF(Data_Entry!U494/Data_Entry!$H494&lt;0,0,Data_Entry!U494/Data_Entry!$H494),0)</f>
        <v>0.8939140454040454</v>
      </c>
      <c r="Q505" s="49">
        <f>IFERROR(IF(Data_Entry!V494/Data_Entry!$H494&lt;0,0,Data_Entry!V494/Data_Entry!$H494),0)</f>
        <v>0.60035055712046836</v>
      </c>
      <c r="R505" s="49">
        <f>IFERROR(IF(Data_Entry!W494/Data_Entry!$H494&lt;0,0,Data_Entry!W494/Data_Entry!$H494),0)</f>
        <v>0.62150828600577124</v>
      </c>
      <c r="S505" s="49">
        <f>IFERROR(IF(Data_Entry!X494/Data_Entry!$H494&lt;0,0,Data_Entry!X494/Data_Entry!$H494),0)</f>
        <v>1.0763994570397826</v>
      </c>
      <c r="T505" s="49">
        <f>IFERROR(IF(Data_Entry!Y494/Data_Entry!$H494&lt;0,0,Data_Entry!Y494/Data_Entry!$H494),0)</f>
        <v>0.94151893539597686</v>
      </c>
      <c r="U505" s="49">
        <f>IFERROR(IF(Data_Entry!Z494/Data_Entry!$H494&lt;0,0,Data_Entry!Z494/Data_Entry!$H494),0)</f>
        <v>0.99970268983055965</v>
      </c>
      <c r="V505" s="49">
        <f>IFERROR(IF(Data_Entry!AA494/Data_Entry!$H494&lt;0,0,Data_Entry!AA494/Data_Entry!$H494),0)</f>
        <v>1.049952295933154</v>
      </c>
      <c r="W505" s="49">
        <f>IFERROR(IF(Data_Entry!AB494/Data_Entry!$H494&lt;0,0,Data_Entry!AB494/Data_Entry!$H494),0)</f>
        <v>1.0763994570397826</v>
      </c>
      <c r="X505" s="49">
        <f>IFERROR(IF(Data_Entry!AC494/Data_Entry!$I494&lt;0,0,Data_Entry!AC494/Data_Entry!$I494),0)</f>
        <v>0.14768094761941389</v>
      </c>
      <c r="Y505" s="49">
        <f>IFERROR(IF(Data_Entry!AD494/Data_Entry!$I494&lt;0,0,Data_Entry!AD494/Data_Entry!$I494),0)</f>
        <v>0.24228905468810091</v>
      </c>
      <c r="Z505" s="49">
        <f>IFERROR(IF(Data_Entry!AE494/Data_Entry!$I494&lt;0,0,Data_Entry!AE494/Data_Entry!$I494),0)</f>
        <v>0.23998153988154758</v>
      </c>
      <c r="AA505" s="49">
        <f>IFERROR(IF(Data_Entry!AF494/Data_Entry!$I494&lt;0,0,Data_Entry!AF494/Data_Entry!$I494),0)</f>
        <v>0.20767633258980078</v>
      </c>
      <c r="AB505" s="49">
        <f>IFERROR(IF(Data_Entry!AG494/Data_Entry!$I494&lt;0,0,Data_Entry!AG494/Data_Entry!$I494),0)</f>
        <v>0.19613875855703408</v>
      </c>
      <c r="AC505" s="49">
        <f>IFERROR(IF(Data_Entry!AI494/Data_Entry!$I494&lt;0,0,Data_Entry!AI494/Data_Entry!$I494),0)</f>
        <v>0.13452811322205982</v>
      </c>
      <c r="AD505" s="49">
        <f>IFERROR(IF(Data_Entry!AM494/Data_Entry!$H494&lt;0,0,Data_Entry!AM494/Data_Entry!$H494),0)</f>
        <v>0.99970268983055965</v>
      </c>
      <c r="AE505" s="50">
        <f>Data_Entry!AK494</f>
        <v>52.112416666666661</v>
      </c>
      <c r="AF505" s="50">
        <f>Data_Entry!AL494</f>
        <v>0</v>
      </c>
      <c r="AG505" s="153">
        <f>(Data_Entry!O494-Data_Entry!Q494)/Data_Entry!O494</f>
        <v>3.0674846625766871E-2</v>
      </c>
      <c r="AH505" s="79" t="str">
        <f t="shared" si="14"/>
        <v>CAT3</v>
      </c>
      <c r="AI505" s="51">
        <f>SUBTOTAL(3,Tableau1[[#This Row],[ZS]])</f>
        <v>0</v>
      </c>
      <c r="AJ505" s="51" t="e">
        <f t="shared" ca="1" si="15"/>
        <v>#NAME?</v>
      </c>
      <c r="AK505" s="50" t="str">
        <f>IFERROR(IF((Data_Entry!O494-Data_Entry!Q494)/Data_Entry!O494&lt;=10%,"&lt;=10%","&gt;10%"),"&lt;=10%")</f>
        <v>&lt;=10%</v>
      </c>
    </row>
    <row r="506" spans="1:37" s="48" customFormat="1" ht="13" hidden="1" x14ac:dyDescent="0.3">
      <c r="A506" s="31" t="s">
        <v>16</v>
      </c>
      <c r="B506" s="48" t="str">
        <f>Data_Entry!B495</f>
        <v>Butembo</v>
      </c>
      <c r="C506" s="48" t="str">
        <f>Data_Entry!C495</f>
        <v xml:space="preserve"> Musienene</v>
      </c>
      <c r="D506" s="48" t="str">
        <f>Data_Entry!D495</f>
        <v xml:space="preserve"> Vughalihya</v>
      </c>
      <c r="E506" s="49">
        <f>IFERROR(IF(Data_Entry!J495/Data_Entry!$I495&lt;0,0,Data_Entry!J495/Data_Entry!$I495),0)</f>
        <v>0.86572438162544163</v>
      </c>
      <c r="F506" s="49">
        <f>IFERROR(IF(Data_Entry!K495/Data_Entry!$H495&lt;0,0,Data_Entry!K495/Data_Entry!$H495),0)</f>
        <v>0.62267761499286201</v>
      </c>
      <c r="G506" s="49">
        <f>IFERROR(IF(Data_Entry!L495/Data_Entry!$H495&lt;0,0,Data_Entry!L495/Data_Entry!$H495),0)</f>
        <v>1.1846061943766644</v>
      </c>
      <c r="H506" s="49">
        <f>IFERROR(IF(Data_Entry!M495/Data_Entry!$H495&lt;0,0,Data_Entry!M495/Data_Entry!$H495),0)</f>
        <v>1.1643565158403111</v>
      </c>
      <c r="I506" s="49">
        <f>IFERROR(IF(Data_Entry!N495/Data_Entry!$H495&lt;0,0,Data_Entry!N495/Data_Entry!$H495),0)</f>
        <v>1.1744813551084876</v>
      </c>
      <c r="J506" s="49">
        <f>IFERROR(IF(Data_Entry!O495/Data_Entry!$H495&lt;0,0,Data_Entry!O495/Data_Entry!$H495),0)</f>
        <v>1.0833578016948981</v>
      </c>
      <c r="K506" s="49">
        <f>IFERROR(IF(Data_Entry!P495/Data_Entry!$H495&lt;0,0,Data_Entry!P495/Data_Entry!$H495),0)</f>
        <v>1.0580457035244566</v>
      </c>
      <c r="L506" s="49">
        <f>IFERROR(IF(Data_Entry!Q495/Data_Entry!$H495&lt;0,0,Data_Entry!Q495/Data_Entry!$H495),0)</f>
        <v>1.1187947391335162</v>
      </c>
      <c r="M506" s="49">
        <f>IFERROR(IF(Data_Entry!R495/Data_Entry!$H495&lt;0,0,Data_Entry!R495/Data_Entry!$H495),0)</f>
        <v>0.97704698937904366</v>
      </c>
      <c r="N506" s="49">
        <f>IFERROR(IF(Data_Entry!S495/Data_Entry!$H495&lt;0,0,Data_Entry!S495/Data_Entry!$H495),0)</f>
        <v>0.97198456974495528</v>
      </c>
      <c r="O506" s="49">
        <f>IFERROR(IF(Data_Entry!T495/Data_Entry!$H495&lt;0,0,Data_Entry!T495/Data_Entry!$H495),0)</f>
        <v>1.0377960249881033</v>
      </c>
      <c r="P506" s="49">
        <f>IFERROR(IF(Data_Entry!U495/Data_Entry!$H495&lt;0,0,Data_Entry!U495/Data_Entry!$H495),0)</f>
        <v>1.0833578016948981</v>
      </c>
      <c r="Q506" s="49">
        <f>IFERROR(IF(Data_Entry!V495/Data_Entry!$H495&lt;0,0,Data_Entry!V495/Data_Entry!$H495),0)</f>
        <v>1.0681705427926331</v>
      </c>
      <c r="R506" s="49">
        <f>IFERROR(IF(Data_Entry!W495/Data_Entry!$H495&lt;0,0,Data_Entry!W495/Data_Entry!$H495),0)</f>
        <v>1.1694189354743993</v>
      </c>
      <c r="S506" s="49">
        <f>IFERROR(IF(Data_Entry!X495/Data_Entry!$H495&lt;0,0,Data_Entry!X495/Data_Entry!$H495),0)</f>
        <v>1.2757297477902538</v>
      </c>
      <c r="T506" s="49">
        <f>IFERROR(IF(Data_Entry!Y495/Data_Entry!$H495&lt;0,0,Data_Entry!Y495/Data_Entry!$H495),0)</f>
        <v>0.83023681999048271</v>
      </c>
      <c r="U506" s="49">
        <f>IFERROR(IF(Data_Entry!Z495/Data_Entry!$H495&lt;0,0,Data_Entry!Z495/Data_Entry!$H495),0)</f>
        <v>1.1744813551084876</v>
      </c>
      <c r="V506" s="49">
        <f>IFERROR(IF(Data_Entry!AA495/Data_Entry!$H495&lt;0,0,Data_Entry!AA495/Data_Entry!$H495),0)</f>
        <v>1.2402928103516357</v>
      </c>
      <c r="W506" s="49">
        <f>IFERROR(IF(Data_Entry!AB495/Data_Entry!$H495&lt;0,0,Data_Entry!AB495/Data_Entry!$H495),0)</f>
        <v>1.2504176496198123</v>
      </c>
      <c r="X506" s="49">
        <f>IFERROR(IF(Data_Entry!AC495/Data_Entry!$I495&lt;0,0,Data_Entry!AC495/Data_Entry!$I495),0)</f>
        <v>0.357773851590106</v>
      </c>
      <c r="Y506" s="49">
        <f>IFERROR(IF(Data_Entry!AD495/Data_Entry!$I495&lt;0,0,Data_Entry!AD495/Data_Entry!$I495),0)</f>
        <v>0.32685512367491165</v>
      </c>
      <c r="Z506" s="49">
        <f>IFERROR(IF(Data_Entry!AE495/Data_Entry!$I495&lt;0,0,Data_Entry!AE495/Data_Entry!$I495),0)</f>
        <v>0.27385159010600707</v>
      </c>
      <c r="AA506" s="49">
        <f>IFERROR(IF(Data_Entry!AF495/Data_Entry!$I495&lt;0,0,Data_Entry!AF495/Data_Entry!$I495),0)</f>
        <v>0.2871024734982332</v>
      </c>
      <c r="AB506" s="49">
        <f>IFERROR(IF(Data_Entry!AG495/Data_Entry!$I495&lt;0,0,Data_Entry!AG495/Data_Entry!$I495),0)</f>
        <v>0.32685512367491165</v>
      </c>
      <c r="AC506" s="49">
        <f>IFERROR(IF(Data_Entry!AI495/Data_Entry!$I495&lt;0,0,Data_Entry!AI495/Data_Entry!$I495),0)</f>
        <v>0.25750883392226148</v>
      </c>
      <c r="AD506" s="49">
        <f>IFERROR(IF(Data_Entry!AM495/Data_Entry!$H495&lt;0,0,Data_Entry!AM495/Data_Entry!$H495),0)</f>
        <v>1.1744813551084876</v>
      </c>
      <c r="AE506" s="50">
        <f>Data_Entry!AK495</f>
        <v>0</v>
      </c>
      <c r="AF506" s="50">
        <f>Data_Entry!AL495</f>
        <v>0</v>
      </c>
      <c r="AG506" s="153">
        <f>(Data_Entry!O495-Data_Entry!Q495)/Data_Entry!O495</f>
        <v>-3.2710280373831772E-2</v>
      </c>
      <c r="AH506" s="79" t="str">
        <f t="shared" si="14"/>
        <v>CAT1</v>
      </c>
      <c r="AI506" s="51">
        <f>SUBTOTAL(3,Tableau1[[#This Row],[ZS]])</f>
        <v>0</v>
      </c>
      <c r="AJ506" s="51" t="e">
        <f t="shared" ca="1" si="15"/>
        <v>#NAME?</v>
      </c>
      <c r="AK506" s="50" t="str">
        <f>IFERROR(IF((Data_Entry!O495-Data_Entry!Q495)/Data_Entry!O495&lt;=10%,"&lt;=10%","&gt;10%"),"&lt;=10%")</f>
        <v>&lt;=10%</v>
      </c>
    </row>
    <row r="507" spans="1:37" s="48" customFormat="1" ht="13" hidden="1" x14ac:dyDescent="0.3">
      <c r="A507" s="31" t="s">
        <v>16</v>
      </c>
      <c r="B507" s="48" t="str">
        <f>Data_Entry!B496</f>
        <v>Butembo</v>
      </c>
      <c r="C507" s="48" t="str">
        <f>Data_Entry!C496</f>
        <v xml:space="preserve"> Musienene</v>
      </c>
      <c r="D507" s="48" t="str">
        <f>Data_Entry!D496</f>
        <v xml:space="preserve"> Vusa</v>
      </c>
      <c r="E507" s="49">
        <f>IFERROR(IF(Data_Entry!J496/Data_Entry!$I496&lt;0,0,Data_Entry!J496/Data_Entry!$I496),0)</f>
        <v>1.0568952524491335</v>
      </c>
      <c r="F507" s="49">
        <f>IFERROR(IF(Data_Entry!K496/Data_Entry!$H496&lt;0,0,Data_Entry!K496/Data_Entry!$H496),0)</f>
        <v>0.35627684222118094</v>
      </c>
      <c r="G507" s="49">
        <f>IFERROR(IF(Data_Entry!L496/Data_Entry!$H496&lt;0,0,Data_Entry!L496/Data_Entry!$H496),0)</f>
        <v>1.0753082874312008</v>
      </c>
      <c r="H507" s="49">
        <f>IFERROR(IF(Data_Entry!M496/Data_Entry!$H496&lt;0,0,Data_Entry!M496/Data_Entry!$H496),0)</f>
        <v>1.140085895107779</v>
      </c>
      <c r="I507" s="49">
        <f>IFERROR(IF(Data_Entry!N496/Data_Entry!$H496&lt;0,0,Data_Entry!N496/Data_Entry!$H496),0)</f>
        <v>1.185430220481384</v>
      </c>
      <c r="J507" s="49">
        <f>IFERROR(IF(Data_Entry!O496/Data_Entry!$H496&lt;0,0,Data_Entry!O496/Data_Entry!$H496),0)</f>
        <v>0.97166411514867534</v>
      </c>
      <c r="K507" s="49">
        <f>IFERROR(IF(Data_Entry!P496/Data_Entry!$H496&lt;0,0,Data_Entry!P496/Data_Entry!$H496),0)</f>
        <v>1.0817860481988586</v>
      </c>
      <c r="L507" s="49">
        <f>IFERROR(IF(Data_Entry!Q496/Data_Entry!$H496&lt;0,0,Data_Entry!Q496/Data_Entry!$H496),0)</f>
        <v>1.0688305266635429</v>
      </c>
      <c r="M507" s="49">
        <f>IFERROR(IF(Data_Entry!R496/Data_Entry!$H496&lt;0,0,Data_Entry!R496/Data_Entry!$H496),0)</f>
        <v>1.0234862012899379</v>
      </c>
      <c r="N507" s="49">
        <f>IFERROR(IF(Data_Entry!S496/Data_Entry!$H496&lt;0,0,Data_Entry!S496/Data_Entry!$H496),0)</f>
        <v>1.0688305266635429</v>
      </c>
      <c r="O507" s="49">
        <f>IFERROR(IF(Data_Entry!T496/Data_Entry!$H496&lt;0,0,Data_Entry!T496/Data_Entry!$H496),0)</f>
        <v>1.1530414166430947</v>
      </c>
      <c r="P507" s="49">
        <f>IFERROR(IF(Data_Entry!U496/Data_Entry!$H496&lt;0,0,Data_Entry!U496/Data_Entry!$H496),0)</f>
        <v>1.0040529189869645</v>
      </c>
      <c r="Q507" s="49">
        <f>IFERROR(IF(Data_Entry!V496/Data_Entry!$H496&lt;0,0,Data_Entry!V496/Data_Entry!$H496),0)</f>
        <v>1.2113412635520153</v>
      </c>
      <c r="R507" s="49">
        <f>IFERROR(IF(Data_Entry!W496/Data_Entry!$H496&lt;0,0,Data_Entry!W496/Data_Entry!$H496),0)</f>
        <v>1.3927185650464347</v>
      </c>
      <c r="S507" s="49">
        <f>IFERROR(IF(Data_Entry!X496/Data_Entry!$H496&lt;0,0,Data_Entry!X496/Data_Entry!$H496),0)</f>
        <v>1.1465636558754368</v>
      </c>
      <c r="T507" s="49">
        <f>IFERROR(IF(Data_Entry!Y496/Data_Entry!$H496&lt;0,0,Data_Entry!Y496/Data_Entry!$H496),0)</f>
        <v>0.79676457442191384</v>
      </c>
      <c r="U507" s="49">
        <f>IFERROR(IF(Data_Entry!Z496/Data_Entry!$H496&lt;0,0,Data_Entry!Z496/Data_Entry!$H496),0)</f>
        <v>1.0947415697341742</v>
      </c>
      <c r="V507" s="49">
        <f>IFERROR(IF(Data_Entry!AA496/Data_Entry!$H496&lt;0,0,Data_Entry!AA496/Data_Entry!$H496),0)</f>
        <v>1.2048635027843575</v>
      </c>
      <c r="W507" s="49">
        <f>IFERROR(IF(Data_Entry!AB496/Data_Entry!$H496&lt;0,0,Data_Entry!AB496/Data_Entry!$H496),0)</f>
        <v>1.1465636558754368</v>
      </c>
      <c r="X507" s="49">
        <f>IFERROR(IF(Data_Entry!AC496/Data_Entry!$I496&lt;0,0,Data_Entry!AC496/Data_Entry!$I496),0)</f>
        <v>0.16390354182366243</v>
      </c>
      <c r="Y507" s="49">
        <f>IFERROR(IF(Data_Entry!AD496/Data_Entry!$I496&lt;0,0,Data_Entry!AD496/Data_Entry!$I496),0)</f>
        <v>0.24868123587038435</v>
      </c>
      <c r="Z507" s="49">
        <f>IFERROR(IF(Data_Entry!AE496/Data_Entry!$I496&lt;0,0,Data_Entry!AE496/Data_Entry!$I496),0)</f>
        <v>0.17520723436322536</v>
      </c>
      <c r="AA507" s="49">
        <f>IFERROR(IF(Data_Entry!AF496/Data_Entry!$I496&lt;0,0,Data_Entry!AF496/Data_Entry!$I496),0)</f>
        <v>0.1525998492840995</v>
      </c>
      <c r="AB507" s="49">
        <f>IFERROR(IF(Data_Entry!AG496/Data_Entry!$I496&lt;0,0,Data_Entry!AG496/Data_Entry!$I496),0)</f>
        <v>0.10173323285606634</v>
      </c>
      <c r="AC507" s="49">
        <f>IFERROR(IF(Data_Entry!AI496/Data_Entry!$I496&lt;0,0,Data_Entry!AI496/Data_Entry!$I496),0)</f>
        <v>0.32950263752825926</v>
      </c>
      <c r="AD507" s="49">
        <f>IFERROR(IF(Data_Entry!AM496/Data_Entry!$H496&lt;0,0,Data_Entry!AM496/Data_Entry!$H496),0)</f>
        <v>1.0947415697341742</v>
      </c>
      <c r="AE507" s="50">
        <f>Data_Entry!AK496</f>
        <v>4.3743333333333396</v>
      </c>
      <c r="AF507" s="50">
        <f>Data_Entry!AL496</f>
        <v>0</v>
      </c>
      <c r="AG507" s="153">
        <f>(Data_Entry!O496-Data_Entry!Q496)/Data_Entry!O496</f>
        <v>-0.1</v>
      </c>
      <c r="AH507" s="79" t="str">
        <f t="shared" si="14"/>
        <v>CAT1</v>
      </c>
      <c r="AI507" s="51">
        <f>SUBTOTAL(3,Tableau1[[#This Row],[ZS]])</f>
        <v>0</v>
      </c>
      <c r="AJ507" s="51" t="e">
        <f t="shared" ca="1" si="15"/>
        <v>#NAME?</v>
      </c>
      <c r="AK507" s="50" t="str">
        <f>IFERROR(IF((Data_Entry!O496-Data_Entry!Q496)/Data_Entry!O496&lt;=10%,"&lt;=10%","&gt;10%"),"&lt;=10%")</f>
        <v>&lt;=10%</v>
      </c>
    </row>
    <row r="508" spans="1:37" s="48" customFormat="1" ht="13" hidden="1" x14ac:dyDescent="0.3">
      <c r="A508" s="31" t="s">
        <v>16</v>
      </c>
      <c r="B508" s="48" t="str">
        <f>Data_Entry!B497</f>
        <v>Butembo</v>
      </c>
      <c r="C508" s="48" t="str">
        <f>Data_Entry!C497</f>
        <v xml:space="preserve"> Musienene</v>
      </c>
      <c r="D508" s="48" t="str">
        <f>Data_Entry!D497</f>
        <v xml:space="preserve"> Vusamba</v>
      </c>
      <c r="E508" s="49">
        <f>IFERROR(IF(Data_Entry!J497/Data_Entry!$I497&lt;0,0,Data_Entry!J497/Data_Entry!$I497),0)</f>
        <v>0.85365853658536583</v>
      </c>
      <c r="F508" s="49">
        <f>IFERROR(IF(Data_Entry!K497/Data_Entry!$H497&lt;0,0,Data_Entry!K497/Data_Entry!$H497),0)</f>
        <v>0.20537951710141042</v>
      </c>
      <c r="G508" s="49">
        <f>IFERROR(IF(Data_Entry!L497/Data_Entry!$H497&lt;0,0,Data_Entry!L497/Data_Entry!$H497),0)</f>
        <v>1.0183401056278267</v>
      </c>
      <c r="H508" s="49">
        <f>IFERROR(IF(Data_Entry!M497/Data_Entry!$H497&lt;0,0,Data_Entry!M497/Data_Entry!$H497),0)</f>
        <v>0.80155061535411565</v>
      </c>
      <c r="I508" s="49">
        <f>IFERROR(IF(Data_Entry!N497/Data_Entry!$H497&lt;0,0,Data_Entry!N497/Data_Entry!$H497),0)</f>
        <v>1.1495547971092834</v>
      </c>
      <c r="J508" s="49">
        <f>IFERROR(IF(Data_Entry!O497/Data_Entry!$H497&lt;0,0,Data_Entry!O497/Data_Entry!$H497),0)</f>
        <v>0.9812576928178498</v>
      </c>
      <c r="K508" s="49">
        <f>IFERROR(IF(Data_Entry!P497/Data_Entry!$H497&lt;0,0,Data_Entry!P497/Data_Entry!$H497),0)</f>
        <v>0.7616157092510637</v>
      </c>
      <c r="L508" s="49">
        <f>IFERROR(IF(Data_Entry!Q497/Data_Entry!$H497&lt;0,0,Data_Entry!Q497/Data_Entry!$H497),0)</f>
        <v>1.0383075586793526</v>
      </c>
      <c r="M508" s="49">
        <f>IFERROR(IF(Data_Entry!R497/Data_Entry!$H497&lt;0,0,Data_Entry!R497/Data_Entry!$H497),0)</f>
        <v>0.92420782695634696</v>
      </c>
      <c r="N508" s="49">
        <f>IFERROR(IF(Data_Entry!S497/Data_Entry!$H497&lt;0,0,Data_Entry!S497/Data_Entry!$H497),0)</f>
        <v>0.69315587021726022</v>
      </c>
      <c r="O508" s="49">
        <f>IFERROR(IF(Data_Entry!T497/Data_Entry!$H497&lt;0,0,Data_Entry!T497/Data_Entry!$H497),0)</f>
        <v>0.98411018611092493</v>
      </c>
      <c r="P508" s="49">
        <f>IFERROR(IF(Data_Entry!U497/Data_Entry!$H497&lt;0,0,Data_Entry!U497/Data_Entry!$H497),0)</f>
        <v>0.89853538731867066</v>
      </c>
      <c r="Q508" s="49">
        <f>IFERROR(IF(Data_Entry!V497/Data_Entry!$H497&lt;0,0,Data_Entry!V497/Data_Entry!$H497),0)</f>
        <v>0.75020573607876306</v>
      </c>
      <c r="R508" s="49">
        <f>IFERROR(IF(Data_Entry!W497/Data_Entry!$H497&lt;0,0,Data_Entry!W497/Data_Entry!$H497),0)</f>
        <v>0.867157961094844</v>
      </c>
      <c r="S508" s="49">
        <f>IFERROR(IF(Data_Entry!X497/Data_Entry!$H497&lt;0,0,Data_Entry!X497/Data_Entry!$H497),0)</f>
        <v>1.0040776391624511</v>
      </c>
      <c r="T508" s="49">
        <f>IFERROR(IF(Data_Entry!Y497/Data_Entry!$H497&lt;0,0,Data_Entry!Y497/Data_Entry!$H497),0)</f>
        <v>0.82437056169871681</v>
      </c>
      <c r="U508" s="49">
        <f>IFERROR(IF(Data_Entry!Z497/Data_Entry!$H497&lt;0,0,Data_Entry!Z497/Data_Entry!$H497),0)</f>
        <v>1.0668324916101042</v>
      </c>
      <c r="V508" s="49">
        <f>IFERROR(IF(Data_Entry!AA497/Data_Entry!$H497&lt;0,0,Data_Entry!AA497/Data_Entry!$H497),0)</f>
        <v>0.93847029342172261</v>
      </c>
      <c r="W508" s="49">
        <f>IFERROR(IF(Data_Entry!AB497/Data_Entry!$H497&lt;0,0,Data_Entry!AB497/Data_Entry!$H497),0)</f>
        <v>0.88142042756021977</v>
      </c>
      <c r="X508" s="49">
        <f>IFERROR(IF(Data_Entry!AC497/Data_Entry!$I497&lt;0,0,Data_Entry!AC497/Data_Entry!$I497),0)</f>
        <v>0.24141363862618218</v>
      </c>
      <c r="Y508" s="49">
        <f>IFERROR(IF(Data_Entry!AD497/Data_Entry!$I497&lt;0,0,Data_Entry!AD497/Data_Entry!$I497),0)</f>
        <v>0.32105525136884022</v>
      </c>
      <c r="Z508" s="49">
        <f>IFERROR(IF(Data_Entry!AE497/Data_Entry!$I497&lt;0,0,Data_Entry!AE497/Data_Entry!$I497),0)</f>
        <v>0.34345445495271276</v>
      </c>
      <c r="AA508" s="49">
        <f>IFERROR(IF(Data_Entry!AF497/Data_Entry!$I497&lt;0,0,Data_Entry!AF497/Data_Entry!$I497),0)</f>
        <v>0.62220009955201594</v>
      </c>
      <c r="AB508" s="49">
        <f>IFERROR(IF(Data_Entry!AG497/Data_Entry!$I497&lt;0,0,Data_Entry!AG497/Data_Entry!$I497),0)</f>
        <v>0.14186162269785962</v>
      </c>
      <c r="AC508" s="49">
        <f>IFERROR(IF(Data_Entry!AI497/Data_Entry!$I497&lt;0,0,Data_Entry!AI497/Data_Entry!$I497),0)</f>
        <v>0.14509706321553009</v>
      </c>
      <c r="AD508" s="49">
        <f>IFERROR(IF(Data_Entry!AM497/Data_Entry!$H497&lt;0,0,Data_Entry!AM497/Data_Entry!$H497),0)</f>
        <v>1.0040776391624511</v>
      </c>
      <c r="AE508" s="50">
        <f>Data_Entry!AK497</f>
        <v>6.5704999999999814</v>
      </c>
      <c r="AF508" s="50">
        <f>Data_Entry!AL497</f>
        <v>0</v>
      </c>
      <c r="AG508" s="153">
        <f>(Data_Entry!O497-Data_Entry!Q497)/Data_Entry!O497</f>
        <v>-5.8139534883720929E-2</v>
      </c>
      <c r="AH508" s="79" t="str">
        <f t="shared" si="14"/>
        <v>CAT1</v>
      </c>
      <c r="AI508" s="51">
        <f>SUBTOTAL(3,Tableau1[[#This Row],[ZS]])</f>
        <v>0</v>
      </c>
      <c r="AJ508" s="51" t="e">
        <f t="shared" ca="1" si="15"/>
        <v>#NAME?</v>
      </c>
      <c r="AK508" s="50" t="str">
        <f>IFERROR(IF((Data_Entry!O497-Data_Entry!Q497)/Data_Entry!O497&lt;=10%,"&lt;=10%","&gt;10%"),"&lt;=10%")</f>
        <v>&lt;=10%</v>
      </c>
    </row>
    <row r="509" spans="1:37" s="48" customFormat="1" ht="13" hidden="1" x14ac:dyDescent="0.3">
      <c r="A509" s="31" t="s">
        <v>16</v>
      </c>
      <c r="B509" s="48" t="str">
        <f>Data_Entry!B498</f>
        <v>Butembo</v>
      </c>
      <c r="C509" s="48" t="str">
        <f>Data_Entry!C498</f>
        <v xml:space="preserve"> Musienene</v>
      </c>
      <c r="D509" s="48" t="str">
        <f>Data_Entry!D498</f>
        <v xml:space="preserve"> Vusayi</v>
      </c>
      <c r="E509" s="49">
        <f>IFERROR(IF(Data_Entry!J498/Data_Entry!$I498&lt;0,0,Data_Entry!J498/Data_Entry!$I498),0)</f>
        <v>0.67788980914656105</v>
      </c>
      <c r="F509" s="49">
        <f>IFERROR(IF(Data_Entry!K498/Data_Entry!$H498&lt;0,0,Data_Entry!K498/Data_Entry!$H498),0)</f>
        <v>0.27549261071036857</v>
      </c>
      <c r="G509" s="49">
        <f>IFERROR(IF(Data_Entry!L498/Data_Entry!$H498&lt;0,0,Data_Entry!L498/Data_Entry!$H498),0)</f>
        <v>1.2041193883857682</v>
      </c>
      <c r="H509" s="49">
        <f>IFERROR(IF(Data_Entry!M498/Data_Entry!$H498&lt;0,0,Data_Entry!M498/Data_Entry!$H498),0)</f>
        <v>1.3031729113378108</v>
      </c>
      <c r="I509" s="49">
        <f>IFERROR(IF(Data_Entry!N498/Data_Entry!$H498&lt;0,0,Data_Entry!N498/Data_Entry!$H498),0)</f>
        <v>1.1236384009872336</v>
      </c>
      <c r="J509" s="49">
        <f>IFERROR(IF(Data_Entry!O498/Data_Entry!$H498&lt;0,0,Data_Entry!O498/Data_Entry!$H498),0)</f>
        <v>1.2536461498617895</v>
      </c>
      <c r="K509" s="49">
        <f>IFERROR(IF(Data_Entry!P498/Data_Entry!$H498&lt;0,0,Data_Entry!P498/Data_Entry!$H498),0)</f>
        <v>1.4424669279891207</v>
      </c>
      <c r="L509" s="49">
        <f>IFERROR(IF(Data_Entry!Q498/Data_Entry!$H498&lt;0,0,Data_Entry!Q498/Data_Entry!$H498),0)</f>
        <v>1.3341271372603241</v>
      </c>
      <c r="M509" s="49">
        <f>IFERROR(IF(Data_Entry!R498/Data_Entry!$H498&lt;0,0,Data_Entry!R498/Data_Entry!$H498),0)</f>
        <v>1.2226919239392762</v>
      </c>
      <c r="N509" s="49">
        <f>IFERROR(IF(Data_Entry!S498/Data_Entry!$H498&lt;0,0,Data_Entry!S498/Data_Entry!$H498),0)</f>
        <v>1.2722186854152975</v>
      </c>
      <c r="O509" s="49">
        <f>IFERROR(IF(Data_Entry!T498/Data_Entry!$H498&lt;0,0,Data_Entry!T498/Data_Entry!$H498),0)</f>
        <v>1.1081612880259768</v>
      </c>
      <c r="P509" s="49">
        <f>IFERROR(IF(Data_Entry!U498/Data_Entry!$H498&lt;0,0,Data_Entry!U498/Data_Entry!$H498),0)</f>
        <v>0.95339015841341024</v>
      </c>
      <c r="Q509" s="49">
        <f>IFERROR(IF(Data_Entry!V498/Data_Entry!$H498&lt;0,0,Data_Entry!V498/Data_Entry!$H498),0)</f>
        <v>0.6655158573340364</v>
      </c>
      <c r="R509" s="49">
        <f>IFERROR(IF(Data_Entry!W498/Data_Entry!$H498&lt;0,0,Data_Entry!W498/Data_Entry!$H498),0)</f>
        <v>0.26930176552586588</v>
      </c>
      <c r="S509" s="49">
        <f>IFERROR(IF(Data_Entry!X498/Data_Entry!$H498&lt;0,0,Data_Entry!X498/Data_Entry!$H498),0)</f>
        <v>1.2660278402307947</v>
      </c>
      <c r="T509" s="49">
        <f>IFERROR(IF(Data_Entry!Y498/Data_Entry!$H498&lt;0,0,Data_Entry!Y498/Data_Entry!$H498),0)</f>
        <v>0.61289367326576372</v>
      </c>
      <c r="U509" s="49">
        <f>IFERROR(IF(Data_Entry!Z498/Data_Entry!$H498&lt;0,0,Data_Entry!Z498/Data_Entry!$H498),0)</f>
        <v>1.2660278402307947</v>
      </c>
      <c r="V509" s="49">
        <f>IFERROR(IF(Data_Entry!AA498/Data_Entry!$H498&lt;0,0,Data_Entry!AA498/Data_Entry!$H498),0)</f>
        <v>1.0741116395112122</v>
      </c>
      <c r="W509" s="49">
        <f>IFERROR(IF(Data_Entry!AB498/Data_Entry!$H498&lt;0,0,Data_Entry!AB498/Data_Entry!$H498),0)</f>
        <v>1.1886422754245114</v>
      </c>
      <c r="X509" s="49">
        <f>IFERROR(IF(Data_Entry!AC498/Data_Entry!$I498&lt;0,0,Data_Entry!AC498/Data_Entry!$I498),0)</f>
        <v>0.3132877205617573</v>
      </c>
      <c r="Y509" s="49">
        <f>IFERROR(IF(Data_Entry!AD498/Data_Entry!$I498&lt;0,0,Data_Entry!AD498/Data_Entry!$I498),0)</f>
        <v>0.19445444724522867</v>
      </c>
      <c r="Z509" s="49">
        <f>IFERROR(IF(Data_Entry!AE498/Data_Entry!$I498&lt;0,0,Data_Entry!AE498/Data_Entry!$I498),0)</f>
        <v>0.2079582283039251</v>
      </c>
      <c r="AA509" s="49">
        <f>IFERROR(IF(Data_Entry!AF498/Data_Entry!$I498&lt;0,0,Data_Entry!AF498/Data_Entry!$I498),0)</f>
        <v>0.21065898451566439</v>
      </c>
      <c r="AB509" s="49">
        <f>IFERROR(IF(Data_Entry!AG498/Data_Entry!$I498&lt;0,0,Data_Entry!AG498/Data_Entry!$I498),0)</f>
        <v>0.17824990997479295</v>
      </c>
      <c r="AC509" s="49">
        <f>IFERROR(IF(Data_Entry!AI498/Data_Entry!$I498&lt;0,0,Data_Entry!AI498/Data_Entry!$I498),0)</f>
        <v>0.15745408714440043</v>
      </c>
      <c r="AD509" s="49">
        <f>IFERROR(IF(Data_Entry!AM498/Data_Entry!$H498&lt;0,0,Data_Entry!AM498/Data_Entry!$H498),0)</f>
        <v>1.2660278402307947</v>
      </c>
      <c r="AE509" s="50">
        <f>Data_Entry!AK498</f>
        <v>0</v>
      </c>
      <c r="AF509" s="50">
        <f>Data_Entry!AL498</f>
        <v>0</v>
      </c>
      <c r="AG509" s="153">
        <f>(Data_Entry!O498-Data_Entry!Q498)/Data_Entry!O498</f>
        <v>-6.4197530864197536E-2</v>
      </c>
      <c r="AH509" s="79" t="str">
        <f t="shared" si="14"/>
        <v>CAT1</v>
      </c>
      <c r="AI509" s="51">
        <f>SUBTOTAL(3,Tableau1[[#This Row],[ZS]])</f>
        <v>0</v>
      </c>
      <c r="AJ509" s="51" t="e">
        <f t="shared" ca="1" si="15"/>
        <v>#NAME?</v>
      </c>
      <c r="AK509" s="50" t="str">
        <f>IFERROR(IF((Data_Entry!O498-Data_Entry!Q498)/Data_Entry!O498&lt;=10%,"&lt;=10%","&gt;10%"),"&lt;=10%")</f>
        <v>&lt;=10%</v>
      </c>
    </row>
    <row r="510" spans="1:37" s="48" customFormat="1" ht="13" hidden="1" x14ac:dyDescent="0.3">
      <c r="A510" s="31" t="s">
        <v>16</v>
      </c>
      <c r="B510" s="48" t="str">
        <f>Data_Entry!B499</f>
        <v>Butembo</v>
      </c>
      <c r="C510" s="48" t="str">
        <f>Data_Entry!C499</f>
        <v xml:space="preserve"> Mutwanga</v>
      </c>
      <c r="D510" s="48" t="str">
        <f>Data_Entry!D499</f>
        <v xml:space="preserve"> Bulongo</v>
      </c>
      <c r="E510" s="49">
        <f>IFERROR(IF(Data_Entry!J499/Data_Entry!$I499&lt;0,0,Data_Entry!J499/Data_Entry!$I499),0)</f>
        <v>0.54413059134192199</v>
      </c>
      <c r="F510" s="49">
        <f>IFERROR(IF(Data_Entry!K499/Data_Entry!$H499&lt;0,0,Data_Entry!K499/Data_Entry!$H499),0)</f>
        <v>8.0707048774800519E-2</v>
      </c>
      <c r="G510" s="49">
        <f>IFERROR(IF(Data_Entry!L499/Data_Entry!$H499&lt;0,0,Data_Entry!L499/Data_Entry!$H499),0)</f>
        <v>0.82999862660448254</v>
      </c>
      <c r="H510" s="49">
        <f>IFERROR(IF(Data_Entry!M499/Data_Entry!$H499&lt;0,0,Data_Entry!M499/Data_Entry!$H499),0)</f>
        <v>0.9116228009335422</v>
      </c>
      <c r="I510" s="49">
        <f>IFERROR(IF(Data_Entry!N499/Data_Entry!$H499&lt;0,0,Data_Entry!N499/Data_Entry!$H499),0)</f>
        <v>0.84283838436410996</v>
      </c>
      <c r="J510" s="49">
        <f>IFERROR(IF(Data_Entry!O499/Data_Entry!$H499&lt;0,0,Data_Entry!O499/Data_Entry!$H499),0)</f>
        <v>0.90061729428243309</v>
      </c>
      <c r="K510" s="49">
        <f>IFERROR(IF(Data_Entry!P499/Data_Entry!$H499&lt;0,0,Data_Entry!P499/Data_Entry!$H499),0)</f>
        <v>0.80156773442245055</v>
      </c>
      <c r="L510" s="49">
        <f>IFERROR(IF(Data_Entry!Q499/Data_Entry!$H499&lt;0,0,Data_Entry!Q499/Data_Entry!$H499),0)</f>
        <v>0.72361206231042741</v>
      </c>
      <c r="M510" s="49">
        <f>IFERROR(IF(Data_Entry!R499/Data_Entry!$H499&lt;0,0,Data_Entry!R499/Data_Entry!$H499),0)</f>
        <v>0.92721393535594687</v>
      </c>
      <c r="N510" s="49">
        <f>IFERROR(IF(Data_Entry!S499/Data_Entry!$H499&lt;0,0,Data_Entry!S499/Data_Entry!$H499),0)</f>
        <v>0.80890473885652336</v>
      </c>
      <c r="O510" s="49">
        <f>IFERROR(IF(Data_Entry!T499/Data_Entry!$H499&lt;0,0,Data_Entry!T499/Data_Entry!$H499),0)</f>
        <v>0.73461756896153652</v>
      </c>
      <c r="P510" s="49">
        <f>IFERROR(IF(Data_Entry!U499/Data_Entry!$H499&lt;0,0,Data_Entry!U499/Data_Entry!$H499),0)</f>
        <v>0.97123596196038353</v>
      </c>
      <c r="Q510" s="49">
        <f>IFERROR(IF(Data_Entry!V499/Data_Entry!$H499&lt;0,0,Data_Entry!V499/Data_Entry!$H499),0)</f>
        <v>0.89786591761965573</v>
      </c>
      <c r="R510" s="49">
        <f>IFERROR(IF(Data_Entry!W499/Data_Entry!$H499&lt;0,0,Data_Entry!W499/Data_Entry!$H499),0)</f>
        <v>0.8006506088681915</v>
      </c>
      <c r="S510" s="49">
        <f>IFERROR(IF(Data_Entry!X499/Data_Entry!$H499&lt;0,0,Data_Entry!X499/Data_Entry!$H499),0)</f>
        <v>0.94097081866983334</v>
      </c>
      <c r="T510" s="49">
        <f>IFERROR(IF(Data_Entry!Y499/Data_Entry!$H499&lt;0,0,Data_Entry!Y499/Data_Entry!$H499),0)</f>
        <v>2.1093887747959224E-2</v>
      </c>
      <c r="U510" s="49">
        <f>IFERROR(IF(Data_Entry!Z499/Data_Entry!$H499&lt;0,0,Data_Entry!Z499/Data_Entry!$H499),0)</f>
        <v>0.9547277019837197</v>
      </c>
      <c r="V510" s="49">
        <f>IFERROR(IF(Data_Entry!AA499/Data_Entry!$H499&lt;0,0,Data_Entry!AA499/Data_Entry!$H499),0)</f>
        <v>0.84558976102688721</v>
      </c>
      <c r="W510" s="49">
        <f>IFERROR(IF(Data_Entry!AB499/Data_Entry!$H499&lt;0,0,Data_Entry!AB499/Data_Entry!$H499),0)</f>
        <v>0.49708205040843045</v>
      </c>
      <c r="X510" s="49">
        <f>IFERROR(IF(Data_Entry!AC499/Data_Entry!$I499&lt;0,0,Data_Entry!AC499/Data_Entry!$I499),0)</f>
        <v>0.36808834120188844</v>
      </c>
      <c r="Y510" s="49">
        <f>IFERROR(IF(Data_Entry!AD499/Data_Entry!$I499&lt;0,0,Data_Entry!AD499/Data_Entry!$I499),0)</f>
        <v>0.23445626950468113</v>
      </c>
      <c r="Z510" s="49">
        <f>IFERROR(IF(Data_Entry!AE499/Data_Entry!$I499&lt;0,0,Data_Entry!AE499/Data_Entry!$I499),0)</f>
        <v>0.19204609106185483</v>
      </c>
      <c r="AA510" s="49">
        <f>IFERROR(IF(Data_Entry!AF499/Data_Entry!$I499&lt;0,0,Data_Entry!AF499/Data_Entry!$I499),0)</f>
        <v>5.121229094982796E-2</v>
      </c>
      <c r="AB510" s="49">
        <f>IFERROR(IF(Data_Entry!AG499/Data_Entry!$I499&lt;0,0,Data_Entry!AG499/Data_Entry!$I499),0)</f>
        <v>3.3608065935824598E-2</v>
      </c>
      <c r="AC510" s="49">
        <f>IFERROR(IF(Data_Entry!AI499/Data_Entry!$I499&lt;0,0,Data_Entry!AI499/Data_Entry!$I499),0)</f>
        <v>4.0009602304553089E-2</v>
      </c>
      <c r="AD510" s="49">
        <f>IFERROR(IF(Data_Entry!AM499/Data_Entry!$H499&lt;0,0,Data_Entry!AM499/Data_Entry!$H499),0)</f>
        <v>0.94097081866983334</v>
      </c>
      <c r="AE510" s="50">
        <f>Data_Entry!AK499</f>
        <v>108.36324999999988</v>
      </c>
      <c r="AF510" s="50">
        <f>Data_Entry!AL499</f>
        <v>0</v>
      </c>
      <c r="AG510" s="153">
        <f>(Data_Entry!O499-Data_Entry!Q499)/Data_Entry!O499</f>
        <v>0.19653767820773932</v>
      </c>
      <c r="AH510" s="79" t="str">
        <f t="shared" si="14"/>
        <v>CAT2</v>
      </c>
      <c r="AI510" s="51">
        <f>SUBTOTAL(3,Tableau1[[#This Row],[ZS]])</f>
        <v>0</v>
      </c>
      <c r="AJ510" s="51" t="e">
        <f t="shared" ca="1" si="15"/>
        <v>#NAME?</v>
      </c>
      <c r="AK510" s="50" t="str">
        <f>IFERROR(IF((Data_Entry!O499-Data_Entry!Q499)/Data_Entry!O499&lt;=10%,"&lt;=10%","&gt;10%"),"&lt;=10%")</f>
        <v>&gt;10%</v>
      </c>
    </row>
    <row r="511" spans="1:37" s="48" customFormat="1" ht="13" hidden="1" x14ac:dyDescent="0.3">
      <c r="A511" s="31" t="s">
        <v>16</v>
      </c>
      <c r="B511" s="48" t="str">
        <f>Data_Entry!B500</f>
        <v>Butembo</v>
      </c>
      <c r="C511" s="48" t="str">
        <f>Data_Entry!C500</f>
        <v xml:space="preserve"> Mutwanga</v>
      </c>
      <c r="D511" s="48" t="str">
        <f>Data_Entry!D500</f>
        <v xml:space="preserve"> Halungupa</v>
      </c>
      <c r="E511" s="49">
        <f>IFERROR(IF(Data_Entry!J500/Data_Entry!$I500&lt;0,0,Data_Entry!J500/Data_Entry!$I500),0)</f>
        <v>0.8239095315024233</v>
      </c>
      <c r="F511" s="49">
        <f>IFERROR(IF(Data_Entry!K500/Data_Entry!$H500&lt;0,0,Data_Entry!K500/Data_Entry!$H500),0)</f>
        <v>0.27426619327781659</v>
      </c>
      <c r="G511" s="49">
        <f>IFERROR(IF(Data_Entry!L500/Data_Entry!$H500&lt;0,0,Data_Entry!L500/Data_Entry!$H500),0)</f>
        <v>0.72559030879827435</v>
      </c>
      <c r="H511" s="49">
        <f>IFERROR(IF(Data_Entry!M500/Data_Entry!$H500&lt;0,0,Data_Entry!M500/Data_Entry!$H500),0)</f>
        <v>0.69781651707393844</v>
      </c>
      <c r="I511" s="49">
        <f>IFERROR(IF(Data_Entry!N500/Data_Entry!$H500&lt;0,0,Data_Entry!N500/Data_Entry!$H500),0)</f>
        <v>0.59366479810767903</v>
      </c>
      <c r="J511" s="49">
        <f>IFERROR(IF(Data_Entry!O500/Data_Entry!$H500&lt;0,0,Data_Entry!O500/Data_Entry!$H500),0)</f>
        <v>0.73600548069490024</v>
      </c>
      <c r="K511" s="49">
        <f>IFERROR(IF(Data_Entry!P500/Data_Entry!$H500&lt;0,0,Data_Entry!P500/Data_Entry!$H500),0)</f>
        <v>0.67351444931514459</v>
      </c>
      <c r="L511" s="49">
        <f>IFERROR(IF(Data_Entry!Q500/Data_Entry!$H500&lt;0,0,Data_Entry!Q500/Data_Entry!$H500),0)</f>
        <v>0.63185376172864083</v>
      </c>
      <c r="M511" s="49">
        <f>IFERROR(IF(Data_Entry!R500/Data_Entry!$H500&lt;0,0,Data_Entry!R500/Data_Entry!$H500),0)</f>
        <v>0.73600548069490024</v>
      </c>
      <c r="N511" s="49">
        <f>IFERROR(IF(Data_Entry!S500/Data_Entry!$H500&lt;0,0,Data_Entry!S500/Data_Entry!$H500),0)</f>
        <v>0.67351444931514459</v>
      </c>
      <c r="O511" s="49">
        <f>IFERROR(IF(Data_Entry!T500/Data_Entry!$H500&lt;0,0,Data_Entry!T500/Data_Entry!$H500),0)</f>
        <v>0.63185376172864083</v>
      </c>
      <c r="P511" s="49">
        <f>IFERROR(IF(Data_Entry!U500/Data_Entry!$H500&lt;0,0,Data_Entry!U500/Data_Entry!$H500),0)</f>
        <v>0.75336410052261016</v>
      </c>
      <c r="Q511" s="49">
        <f>IFERROR(IF(Data_Entry!V500/Data_Entry!$H500&lt;0,0,Data_Entry!V500/Data_Entry!$H500),0)</f>
        <v>0.69781651707393844</v>
      </c>
      <c r="R511" s="49">
        <f>IFERROR(IF(Data_Entry!W500/Data_Entry!$H500&lt;0,0,Data_Entry!W500/Data_Entry!$H500),0)</f>
        <v>0.60060824603876295</v>
      </c>
      <c r="S511" s="49">
        <f>IFERROR(IF(Data_Entry!X500/Data_Entry!$H500&lt;0,0,Data_Entry!X500/Data_Entry!$H500),0)</f>
        <v>0.51381514690021335</v>
      </c>
      <c r="T511" s="49">
        <f>IFERROR(IF(Data_Entry!Y500/Data_Entry!$H500&lt;0,0,Data_Entry!Y500/Data_Entry!$H500),0)</f>
        <v>6.2491031379755681E-2</v>
      </c>
      <c r="U511" s="49">
        <f>IFERROR(IF(Data_Entry!Z500/Data_Entry!$H500&lt;0,0,Data_Entry!Z500/Data_Entry!$H500),0)</f>
        <v>0.56589100638334311</v>
      </c>
      <c r="V511" s="49">
        <f>IFERROR(IF(Data_Entry!AA500/Data_Entry!$H500&lt;0,0,Data_Entry!AA500/Data_Entry!$H500),0)</f>
        <v>0.68045789724622852</v>
      </c>
      <c r="W511" s="49">
        <f>IFERROR(IF(Data_Entry!AB500/Data_Entry!$H500&lt;0,0,Data_Entry!AB500/Data_Entry!$H500),0)</f>
        <v>0.22913378172577084</v>
      </c>
      <c r="X511" s="49">
        <f>IFERROR(IF(Data_Entry!AC500/Data_Entry!$I500&lt;0,0,Data_Entry!AC500/Data_Entry!$I500),0)</f>
        <v>0.27564620355411956</v>
      </c>
      <c r="Y511" s="49">
        <f>IFERROR(IF(Data_Entry!AD500/Data_Entry!$I500&lt;0,0,Data_Entry!AD500/Data_Entry!$I500),0)</f>
        <v>0.14842487883683361</v>
      </c>
      <c r="Z511" s="49">
        <f>IFERROR(IF(Data_Entry!AE500/Data_Entry!$I500&lt;0,0,Data_Entry!AE500/Data_Entry!$I500),0)</f>
        <v>5.4523424878836838E-2</v>
      </c>
      <c r="AA511" s="49">
        <f>IFERROR(IF(Data_Entry!AF500/Data_Entry!$I500&lt;0,0,Data_Entry!AF500/Data_Entry!$I500),0)</f>
        <v>4.8465266558966075E-2</v>
      </c>
      <c r="AB511" s="49">
        <f>IFERROR(IF(Data_Entry!AG500/Data_Entry!$I500&lt;0,0,Data_Entry!AG500/Data_Entry!$I500),0)</f>
        <v>1.8174474959612278E-2</v>
      </c>
      <c r="AC511" s="49">
        <f>IFERROR(IF(Data_Entry!AI500/Data_Entry!$I500&lt;0,0,Data_Entry!AI500/Data_Entry!$I500),0)</f>
        <v>0.10086833602584813</v>
      </c>
      <c r="AD511" s="49">
        <f>IFERROR(IF(Data_Entry!AM500/Data_Entry!$H500&lt;0,0,Data_Entry!AM500/Data_Entry!$H500),0)</f>
        <v>0.51381514690021335</v>
      </c>
      <c r="AE511" s="50">
        <f>Data_Entry!AK500</f>
        <v>76.041333333333341</v>
      </c>
      <c r="AF511" s="50">
        <f>Data_Entry!AL500</f>
        <v>64</v>
      </c>
      <c r="AG511" s="153">
        <f>(Data_Entry!O500-Data_Entry!Q500)/Data_Entry!O500</f>
        <v>0.14150943396226415</v>
      </c>
      <c r="AH511" s="79" t="str">
        <f t="shared" si="14"/>
        <v>CAT4</v>
      </c>
      <c r="AI511" s="51">
        <f>SUBTOTAL(3,Tableau1[[#This Row],[ZS]])</f>
        <v>0</v>
      </c>
      <c r="AJ511" s="51" t="e">
        <f t="shared" ca="1" si="15"/>
        <v>#NAME?</v>
      </c>
      <c r="AK511" s="50" t="str">
        <f>IFERROR(IF((Data_Entry!O500-Data_Entry!Q500)/Data_Entry!O500&lt;=10%,"&lt;=10%","&gt;10%"),"&lt;=10%")</f>
        <v>&gt;10%</v>
      </c>
    </row>
    <row r="512" spans="1:37" s="48" customFormat="1" ht="13" hidden="1" x14ac:dyDescent="0.3">
      <c r="A512" s="31" t="s">
        <v>16</v>
      </c>
      <c r="B512" s="48" t="str">
        <f>Data_Entry!B501</f>
        <v>Butembo</v>
      </c>
      <c r="C512" s="48" t="str">
        <f>Data_Entry!C501</f>
        <v xml:space="preserve"> Mutwanga</v>
      </c>
      <c r="D512" s="48" t="str">
        <f>Data_Entry!D501</f>
        <v xml:space="preserve"> Kabalwa</v>
      </c>
      <c r="E512" s="49">
        <f>IFERROR(IF(Data_Entry!J501/Data_Entry!$I501&lt;0,0,Data_Entry!J501/Data_Entry!$I501),0)</f>
        <v>5.0223214285714288E-2</v>
      </c>
      <c r="F512" s="49">
        <f>IFERROR(IF(Data_Entry!K501/Data_Entry!$H501&lt;0,0,Data_Entry!K501/Data_Entry!$H501),0)</f>
        <v>1.9187474416700774E-2</v>
      </c>
      <c r="G512" s="49">
        <f>IFERROR(IF(Data_Entry!L501/Data_Entry!$H501&lt;0,0,Data_Entry!L501/Data_Entry!$H501),0)</f>
        <v>0.13431232091690543</v>
      </c>
      <c r="H512" s="49">
        <f>IFERROR(IF(Data_Entry!M501/Data_Entry!$H501&lt;0,0,Data_Entry!M501/Data_Entry!$H501),0)</f>
        <v>0.11032797789602945</v>
      </c>
      <c r="I512" s="49">
        <f>IFERROR(IF(Data_Entry!N501/Data_Entry!$H501&lt;0,0,Data_Entry!N501/Data_Entry!$H501),0)</f>
        <v>0.15349979533360619</v>
      </c>
      <c r="J512" s="49">
        <f>IFERROR(IF(Data_Entry!O501/Data_Entry!$H501&lt;0,0,Data_Entry!O501/Data_Entry!$H501),0)</f>
        <v>0.11032797789602945</v>
      </c>
      <c r="K512" s="49">
        <f>IFERROR(IF(Data_Entry!P501/Data_Entry!$H501&lt;0,0,Data_Entry!P501/Data_Entry!$H501),0)</f>
        <v>0.10553110929185426</v>
      </c>
      <c r="L512" s="49">
        <f>IFERROR(IF(Data_Entry!Q501/Data_Entry!$H501&lt;0,0,Data_Entry!Q501/Data_Entry!$H501),0)</f>
        <v>0.11032797789602945</v>
      </c>
      <c r="M512" s="49">
        <f>IFERROR(IF(Data_Entry!R501/Data_Entry!$H501&lt;0,0,Data_Entry!R501/Data_Entry!$H501),0)</f>
        <v>0.12951545231273023</v>
      </c>
      <c r="N512" s="49">
        <f>IFERROR(IF(Data_Entry!S501/Data_Entry!$H501&lt;0,0,Data_Entry!S501/Data_Entry!$H501),0)</f>
        <v>0.10553110929185426</v>
      </c>
      <c r="O512" s="49">
        <f>IFERROR(IF(Data_Entry!T501/Data_Entry!$H501&lt;0,0,Data_Entry!T501/Data_Entry!$H501),0)</f>
        <v>0.11032797789602945</v>
      </c>
      <c r="P512" s="49">
        <f>IFERROR(IF(Data_Entry!U501/Data_Entry!$H501&lt;0,0,Data_Entry!U501/Data_Entry!$H501),0)</f>
        <v>9.5937372083503877E-2</v>
      </c>
      <c r="Q512" s="49">
        <f>IFERROR(IF(Data_Entry!V501/Data_Entry!$H501&lt;0,0,Data_Entry!V501/Data_Entry!$H501),0)</f>
        <v>9.1140503479328686E-2</v>
      </c>
      <c r="R512" s="49">
        <f>IFERROR(IF(Data_Entry!W501/Data_Entry!$H501&lt;0,0,Data_Entry!W501/Data_Entry!$H501),0)</f>
        <v>8.634363487515348E-2</v>
      </c>
      <c r="S512" s="49">
        <f>IFERROR(IF(Data_Entry!X501/Data_Entry!$H501&lt;0,0,Data_Entry!X501/Data_Entry!$H501),0)</f>
        <v>9.1140503479328686E-2</v>
      </c>
      <c r="T512" s="49">
        <f>IFERROR(IF(Data_Entry!Y501/Data_Entry!$H501&lt;0,0,Data_Entry!Y501/Data_Entry!$H501),0)</f>
        <v>0</v>
      </c>
      <c r="U512" s="49">
        <f>IFERROR(IF(Data_Entry!Z501/Data_Entry!$H501&lt;0,0,Data_Entry!Z501/Data_Entry!$H501),0)</f>
        <v>9.1140503479328686E-2</v>
      </c>
      <c r="V512" s="49">
        <f>IFERROR(IF(Data_Entry!AA501/Data_Entry!$H501&lt;0,0,Data_Entry!AA501/Data_Entry!$H501),0)</f>
        <v>8.1546766270978288E-2</v>
      </c>
      <c r="W512" s="49">
        <f>IFERROR(IF(Data_Entry!AB501/Data_Entry!$H501&lt;0,0,Data_Entry!AB501/Data_Entry!$H501),0)</f>
        <v>4.7968686041751935E-3</v>
      </c>
      <c r="X512" s="49">
        <f>IFERROR(IF(Data_Entry!AC501/Data_Entry!$I501&lt;0,0,Data_Entry!AC501/Data_Entry!$I501),0)</f>
        <v>0</v>
      </c>
      <c r="Y512" s="49">
        <f>IFERROR(IF(Data_Entry!AD501/Data_Entry!$I501&lt;0,0,Data_Entry!AD501/Data_Entry!$I501),0)</f>
        <v>0</v>
      </c>
      <c r="Z512" s="49">
        <f>IFERROR(IF(Data_Entry!AE501/Data_Entry!$I501&lt;0,0,Data_Entry!AE501/Data_Entry!$I501),0)</f>
        <v>0</v>
      </c>
      <c r="AA512" s="49">
        <f>IFERROR(IF(Data_Entry!AF501/Data_Entry!$I501&lt;0,0,Data_Entry!AF501/Data_Entry!$I501),0)</f>
        <v>0</v>
      </c>
      <c r="AB512" s="49">
        <f>IFERROR(IF(Data_Entry!AG501/Data_Entry!$I501&lt;0,0,Data_Entry!AG501/Data_Entry!$I501),0)</f>
        <v>0</v>
      </c>
      <c r="AC512" s="49">
        <f>IFERROR(IF(Data_Entry!AI501/Data_Entry!$I501&lt;0,0,Data_Entry!AI501/Data_Entry!$I501),0)</f>
        <v>0.24400111607142855</v>
      </c>
      <c r="AD512" s="49">
        <f>IFERROR(IF(Data_Entry!AM501/Data_Entry!$H501&lt;0,0,Data_Entry!AM501/Data_Entry!$H501),0)</f>
        <v>9.1140503479328686E-2</v>
      </c>
      <c r="AE512" s="50">
        <f>Data_Entry!AK501</f>
        <v>185.46933333333337</v>
      </c>
      <c r="AF512" s="50">
        <f>Data_Entry!AL501</f>
        <v>4</v>
      </c>
      <c r="AG512" s="153">
        <f>(Data_Entry!O501-Data_Entry!Q501)/Data_Entry!O501</f>
        <v>0</v>
      </c>
      <c r="AH512" s="79" t="str">
        <f t="shared" si="14"/>
        <v>CAT3</v>
      </c>
      <c r="AI512" s="51">
        <f>SUBTOTAL(3,Tableau1[[#This Row],[ZS]])</f>
        <v>0</v>
      </c>
      <c r="AJ512" s="51" t="e">
        <f t="shared" ca="1" si="15"/>
        <v>#NAME?</v>
      </c>
      <c r="AK512" s="50" t="str">
        <f>IFERROR(IF((Data_Entry!O501-Data_Entry!Q501)/Data_Entry!O501&lt;=10%,"&lt;=10%","&gt;10%"),"&lt;=10%")</f>
        <v>&lt;=10%</v>
      </c>
    </row>
    <row r="513" spans="1:37" s="48" customFormat="1" ht="13" hidden="1" x14ac:dyDescent="0.3">
      <c r="A513" s="31" t="s">
        <v>16</v>
      </c>
      <c r="B513" s="48" t="str">
        <f>Data_Entry!B502</f>
        <v>Butembo</v>
      </c>
      <c r="C513" s="48" t="str">
        <f>Data_Entry!C502</f>
        <v xml:space="preserve"> Mutwanga</v>
      </c>
      <c r="D513" s="48" t="str">
        <f>Data_Entry!D502</f>
        <v xml:space="preserve"> Kalembo</v>
      </c>
      <c r="E513" s="49">
        <f>IFERROR(IF(Data_Entry!J502/Data_Entry!$I502&lt;0,0,Data_Entry!J502/Data_Entry!$I502),0)</f>
        <v>0.11410562921104107</v>
      </c>
      <c r="F513" s="49">
        <f>IFERROR(IF(Data_Entry!K502/Data_Entry!$H502&lt;0,0,Data_Entry!K502/Data_Entry!$H502),0)</f>
        <v>3.7365740224655282E-2</v>
      </c>
      <c r="G513" s="49">
        <f>IFERROR(IF(Data_Entry!L502/Data_Entry!$H502&lt;0,0,Data_Entry!L502/Data_Entry!$H502),0)</f>
        <v>0.36244768017915624</v>
      </c>
      <c r="H513" s="49">
        <f>IFERROR(IF(Data_Entry!M502/Data_Entry!$H502&lt;0,0,Data_Entry!M502/Data_Entry!$H502),0)</f>
        <v>0.32134536593203544</v>
      </c>
      <c r="I513" s="49">
        <f>IFERROR(IF(Data_Entry!N502/Data_Entry!$H502&lt;0,0,Data_Entry!N502/Data_Entry!$H502),0)</f>
        <v>0.28397962570738017</v>
      </c>
      <c r="J513" s="49">
        <f>IFERROR(IF(Data_Entry!O502/Data_Entry!$H502&lt;0,0,Data_Entry!O502/Data_Entry!$H502),0)</f>
        <v>0.36244768017915624</v>
      </c>
      <c r="K513" s="49">
        <f>IFERROR(IF(Data_Entry!P502/Data_Entry!$H502&lt;0,0,Data_Entry!P502/Data_Entry!$H502),0)</f>
        <v>0.23914073743779379</v>
      </c>
      <c r="L513" s="49">
        <f>IFERROR(IF(Data_Entry!Q502/Data_Entry!$H502&lt;0,0,Data_Entry!Q502/Data_Entry!$H502),0)</f>
        <v>0.23540416341532827</v>
      </c>
      <c r="M513" s="49">
        <f>IFERROR(IF(Data_Entry!R502/Data_Entry!$H502&lt;0,0,Data_Entry!R502/Data_Entry!$H502),0)</f>
        <v>0.36618425420162176</v>
      </c>
      <c r="N513" s="49">
        <f>IFERROR(IF(Data_Entry!S502/Data_Entry!$H502&lt;0,0,Data_Entry!S502/Data_Entry!$H502),0)</f>
        <v>0.27276990363998355</v>
      </c>
      <c r="O513" s="49">
        <f>IFERROR(IF(Data_Entry!T502/Data_Entry!$H502&lt;0,0,Data_Entry!T502/Data_Entry!$H502),0)</f>
        <v>0.26903332961751802</v>
      </c>
      <c r="P513" s="49">
        <f>IFERROR(IF(Data_Entry!U502/Data_Entry!$H502&lt;0,0,Data_Entry!U502/Data_Entry!$H502),0)</f>
        <v>0.34376481006682857</v>
      </c>
      <c r="Q513" s="49">
        <f>IFERROR(IF(Data_Entry!V502/Data_Entry!$H502&lt;0,0,Data_Entry!V502/Data_Entry!$H502),0)</f>
        <v>0.31760879190956992</v>
      </c>
      <c r="R513" s="49">
        <f>IFERROR(IF(Data_Entry!W502/Data_Entry!$H502&lt;0,0,Data_Entry!W502/Data_Entry!$H502),0)</f>
        <v>0.29145277375231121</v>
      </c>
      <c r="S513" s="49">
        <f>IFERROR(IF(Data_Entry!X502/Data_Entry!$H502&lt;0,0,Data_Entry!X502/Data_Entry!$H502),0)</f>
        <v>0.34376481006682857</v>
      </c>
      <c r="T513" s="49">
        <f>IFERROR(IF(Data_Entry!Y502/Data_Entry!$H502&lt;0,0,Data_Entry!Y502/Data_Entry!$H502),0)</f>
        <v>8.5941202516707144E-2</v>
      </c>
      <c r="U513" s="49">
        <f>IFERROR(IF(Data_Entry!Z502/Data_Entry!$H502&lt;0,0,Data_Entry!Z502/Data_Entry!$H502),0)</f>
        <v>0.40354999442627704</v>
      </c>
      <c r="V513" s="49">
        <f>IFERROR(IF(Data_Entry!AA502/Data_Entry!$H502&lt;0,0,Data_Entry!AA502/Data_Entry!$H502),0)</f>
        <v>0.28397962570738017</v>
      </c>
      <c r="W513" s="49">
        <f>IFERROR(IF(Data_Entry!AB502/Data_Entry!$H502&lt;0,0,Data_Entry!AB502/Data_Entry!$H502),0)</f>
        <v>0.26903332961751802</v>
      </c>
      <c r="X513" s="49">
        <f>IFERROR(IF(Data_Entry!AC502/Data_Entry!$I502&lt;0,0,Data_Entry!AC502/Data_Entry!$I502),0)</f>
        <v>2.6081286676809388E-2</v>
      </c>
      <c r="Y513" s="49">
        <f>IFERROR(IF(Data_Entry!AD502/Data_Entry!$I502&lt;0,0,Data_Entry!AD502/Data_Entry!$I502),0)</f>
        <v>3.2601608346011736E-3</v>
      </c>
      <c r="Z513" s="49">
        <f>IFERROR(IF(Data_Entry!AE502/Data_Entry!$I502&lt;0,0,Data_Entry!AE502/Data_Entry!$I502),0)</f>
        <v>1.3040643338404694E-2</v>
      </c>
      <c r="AA513" s="49">
        <f>IFERROR(IF(Data_Entry!AF502/Data_Entry!$I502&lt;0,0,Data_Entry!AF502/Data_Entry!$I502),0)</f>
        <v>9.7804825038035198E-3</v>
      </c>
      <c r="AB513" s="49">
        <f>IFERROR(IF(Data_Entry!AG502/Data_Entry!$I502&lt;0,0,Data_Entry!AG502/Data_Entry!$I502),0)</f>
        <v>1.3040643338404694E-2</v>
      </c>
      <c r="AC513" s="49">
        <f>IFERROR(IF(Data_Entry!AI502/Data_Entry!$I502&lt;0,0,Data_Entry!AI502/Data_Entry!$I502),0)</f>
        <v>0.10856335579221907</v>
      </c>
      <c r="AD513" s="49">
        <f>IFERROR(IF(Data_Entry!AM502/Data_Entry!$H502&lt;0,0,Data_Entry!AM502/Data_Entry!$H502),0)</f>
        <v>0.34376481006682857</v>
      </c>
      <c r="AE513" s="50">
        <f>Data_Entry!AK502</f>
        <v>170.62483333333336</v>
      </c>
      <c r="AF513" s="50">
        <f>Data_Entry!AL502</f>
        <v>5</v>
      </c>
      <c r="AG513" s="153">
        <f>(Data_Entry!O502-Data_Entry!Q502)/Data_Entry!O502</f>
        <v>0.35051546391752575</v>
      </c>
      <c r="AH513" s="79" t="str">
        <f t="shared" si="14"/>
        <v>CAT4</v>
      </c>
      <c r="AI513" s="51">
        <f>SUBTOTAL(3,Tableau1[[#This Row],[ZS]])</f>
        <v>0</v>
      </c>
      <c r="AJ513" s="51" t="e">
        <f t="shared" ca="1" si="15"/>
        <v>#NAME?</v>
      </c>
      <c r="AK513" s="50" t="str">
        <f>IFERROR(IF((Data_Entry!O502-Data_Entry!Q502)/Data_Entry!O502&lt;=10%,"&lt;=10%","&gt;10%"),"&lt;=10%")</f>
        <v>&gt;10%</v>
      </c>
    </row>
    <row r="514" spans="1:37" s="48" customFormat="1" ht="13" hidden="1" x14ac:dyDescent="0.3">
      <c r="A514" s="31" t="s">
        <v>16</v>
      </c>
      <c r="B514" s="48" t="str">
        <f>Data_Entry!B503</f>
        <v>Butembo</v>
      </c>
      <c r="C514" s="48" t="str">
        <f>Data_Entry!C503</f>
        <v xml:space="preserve"> Mutwanga</v>
      </c>
      <c r="D514" s="48" t="str">
        <f>Data_Entry!D503</f>
        <v xml:space="preserve"> Kangahuka</v>
      </c>
      <c r="E514" s="49">
        <f>IFERROR(IF(Data_Entry!J503/Data_Entry!$I503&lt;0,0,Data_Entry!J503/Data_Entry!$I503),0)</f>
        <v>0.5575930875862497</v>
      </c>
      <c r="F514" s="49">
        <f>IFERROR(IF(Data_Entry!K503/Data_Entry!$H503&lt;0,0,Data_Entry!K503/Data_Entry!$H503),0)</f>
        <v>0.85281268774391683</v>
      </c>
      <c r="G514" s="49">
        <f>IFERROR(IF(Data_Entry!L503/Data_Entry!$H503&lt;0,0,Data_Entry!L503/Data_Entry!$H503),0)</f>
        <v>1.6970758748588219</v>
      </c>
      <c r="H514" s="49">
        <f>IFERROR(IF(Data_Entry!M503/Data_Entry!$H503&lt;0,0,Data_Entry!M503/Data_Entry!$H503),0)</f>
        <v>1.6842516239153043</v>
      </c>
      <c r="I514" s="49">
        <f>IFERROR(IF(Data_Entry!N503/Data_Entry!$H503&lt;0,0,Data_Entry!N503/Data_Entry!$H503),0)</f>
        <v>1.5902071169961758</v>
      </c>
      <c r="J514" s="49">
        <f>IFERROR(IF(Data_Entry!O503/Data_Entry!$H503&lt;0,0,Data_Entry!O503/Data_Entry!$H503),0)</f>
        <v>1.6094434934114521</v>
      </c>
      <c r="K514" s="49">
        <f>IFERROR(IF(Data_Entry!P503/Data_Entry!$H503&lt;0,0,Data_Entry!P503/Data_Entry!$H503),0)</f>
        <v>1.5025747355488057</v>
      </c>
      <c r="L514" s="49">
        <f>IFERROR(IF(Data_Entry!Q503/Data_Entry!$H503&lt;0,0,Data_Entry!Q503/Data_Entry!$H503),0)</f>
        <v>1.5025747355488057</v>
      </c>
      <c r="M514" s="49">
        <f>IFERROR(IF(Data_Entry!R503/Data_Entry!$H503&lt;0,0,Data_Entry!R503/Data_Entry!$H503),0)</f>
        <v>1.8830275135398262</v>
      </c>
      <c r="N514" s="49">
        <f>IFERROR(IF(Data_Entry!S503/Data_Entry!$H503&lt;0,0,Data_Entry!S503/Data_Entry!$H503),0)</f>
        <v>1.7334112525321217</v>
      </c>
      <c r="O514" s="49">
        <f>IFERROR(IF(Data_Entry!T503/Data_Entry!$H503&lt;0,0,Data_Entry!T503/Data_Entry!$H503),0)</f>
        <v>1.7120375009595923</v>
      </c>
      <c r="P514" s="49">
        <f>IFERROR(IF(Data_Entry!U503/Data_Entry!$H503&lt;0,0,Data_Entry!U503/Data_Entry!$H503),0)</f>
        <v>1.4598272324037473</v>
      </c>
      <c r="Q514" s="49">
        <f>IFERROR(IF(Data_Entry!V503/Data_Entry!$H503&lt;0,0,Data_Entry!V503/Data_Entry!$H503),0)</f>
        <v>1.3892938522144007</v>
      </c>
      <c r="R514" s="49">
        <f>IFERROR(IF(Data_Entry!W503/Data_Entry!$H503&lt;0,0,Data_Entry!W503/Data_Entry!$H503),0)</f>
        <v>1.327309972654066</v>
      </c>
      <c r="S514" s="49">
        <f>IFERROR(IF(Data_Entry!X503/Data_Entry!$H503&lt;0,0,Data_Entry!X503/Data_Entry!$H503),0)</f>
        <v>1.6179929940404636</v>
      </c>
      <c r="T514" s="49">
        <f>IFERROR(IF(Data_Entry!Y503/Data_Entry!$H503&lt;0,0,Data_Entry!Y503/Data_Entry!$H503),0)</f>
        <v>0.2030506399390278</v>
      </c>
      <c r="U514" s="49">
        <f>IFERROR(IF(Data_Entry!Z503/Data_Entry!$H503&lt;0,0,Data_Entry!Z503/Data_Entry!$H503),0)</f>
        <v>1.3251725974968132</v>
      </c>
      <c r="V514" s="49">
        <f>IFERROR(IF(Data_Entry!AA503/Data_Entry!$H503&lt;0,0,Data_Entry!AA503/Data_Entry!$H503),0)</f>
        <v>1.6863889990725573</v>
      </c>
      <c r="W514" s="49">
        <f>IFERROR(IF(Data_Entry!AB503/Data_Entry!$H503&lt;0,0,Data_Entry!AB503/Data_Entry!$H503),0)</f>
        <v>0.44457403270860824</v>
      </c>
      <c r="X514" s="49">
        <f>IFERROR(IF(Data_Entry!AC503/Data_Entry!$I503&lt;0,0,Data_Entry!AC503/Data_Entry!$I503),0)</f>
        <v>0.60794430285323553</v>
      </c>
      <c r="Y514" s="49">
        <f>IFERROR(IF(Data_Entry!AD503/Data_Entry!$I503&lt;0,0,Data_Entry!AD503/Data_Entry!$I503),0)</f>
        <v>0.46994467582520044</v>
      </c>
      <c r="Z514" s="49">
        <f>IFERROR(IF(Data_Entry!AE503/Data_Entry!$I503&lt;0,0,Data_Entry!AE503/Data_Entry!$I503),0)</f>
        <v>0.28532355317958602</v>
      </c>
      <c r="AA514" s="49">
        <f>IFERROR(IF(Data_Entry!AF503/Data_Entry!$I503&lt;0,0,Data_Entry!AF503/Data_Entry!$I503),0)</f>
        <v>0.20699944054205258</v>
      </c>
      <c r="AB514" s="49">
        <f>IFERROR(IF(Data_Entry!AG503/Data_Entry!$I503&lt;0,0,Data_Entry!AG503/Data_Entry!$I503),0)</f>
        <v>0.15291850562566048</v>
      </c>
      <c r="AC514" s="49">
        <f>IFERROR(IF(Data_Entry!AI503/Data_Entry!$I503&lt;0,0,Data_Entry!AI503/Data_Entry!$I503),0)</f>
        <v>0.12438615030770188</v>
      </c>
      <c r="AD514" s="49">
        <f>IFERROR(IF(Data_Entry!AM503/Data_Entry!$H503&lt;0,0,Data_Entry!AM503/Data_Entry!$H503),0)</f>
        <v>1.3251725974968132</v>
      </c>
      <c r="AE514" s="50">
        <f>Data_Entry!AK503</f>
        <v>0</v>
      </c>
      <c r="AF514" s="50">
        <f>Data_Entry!AL503</f>
        <v>0</v>
      </c>
      <c r="AG514" s="153">
        <f>(Data_Entry!O503-Data_Entry!Q503)/Data_Entry!O503</f>
        <v>6.6401062416998669E-2</v>
      </c>
      <c r="AH514" s="79" t="str">
        <f t="shared" si="14"/>
        <v>CAT1</v>
      </c>
      <c r="AI514" s="51">
        <f>SUBTOTAL(3,Tableau1[[#This Row],[ZS]])</f>
        <v>0</v>
      </c>
      <c r="AJ514" s="51" t="e">
        <f t="shared" ca="1" si="15"/>
        <v>#NAME?</v>
      </c>
      <c r="AK514" s="50" t="str">
        <f>IFERROR(IF((Data_Entry!O503-Data_Entry!Q503)/Data_Entry!O503&lt;=10%,"&lt;=10%","&gt;10%"),"&lt;=10%")</f>
        <v>&lt;=10%</v>
      </c>
    </row>
    <row r="515" spans="1:37" s="48" customFormat="1" ht="13" hidden="1" x14ac:dyDescent="0.3">
      <c r="A515" s="31" t="s">
        <v>16</v>
      </c>
      <c r="B515" s="48" t="str">
        <f>Data_Entry!B504</f>
        <v>Butembo</v>
      </c>
      <c r="C515" s="48" t="str">
        <f>Data_Entry!C504</f>
        <v xml:space="preserve"> Mutwanga</v>
      </c>
      <c r="D515" s="48" t="str">
        <f>Data_Entry!D504</f>
        <v xml:space="preserve"> Kasanga</v>
      </c>
      <c r="E515" s="49">
        <f>IFERROR(IF(Data_Entry!J504/Data_Entry!$I504&lt;0,0,Data_Entry!J504/Data_Entry!$I504),0)</f>
        <v>0.47236503856041134</v>
      </c>
      <c r="F515" s="49">
        <f>IFERROR(IF(Data_Entry!K504/Data_Entry!$H504&lt;0,0,Data_Entry!K504/Data_Entry!$H504),0)</f>
        <v>1.1453952165938672</v>
      </c>
      <c r="G515" s="49">
        <f>IFERROR(IF(Data_Entry!L504/Data_Entry!$H504&lt;0,0,Data_Entry!L504/Data_Entry!$H504),0)</f>
        <v>0.66661265017199345</v>
      </c>
      <c r="H515" s="49">
        <f>IFERROR(IF(Data_Entry!M504/Data_Entry!$H504&lt;0,0,Data_Entry!M504/Data_Entry!$H504),0)</f>
        <v>0.65188087889747426</v>
      </c>
      <c r="I515" s="49">
        <f>IFERROR(IF(Data_Entry!N504/Data_Entry!$H504&lt;0,0,Data_Entry!N504/Data_Entry!$H504),0)</f>
        <v>0.67397853580925304</v>
      </c>
      <c r="J515" s="49">
        <f>IFERROR(IF(Data_Entry!O504/Data_Entry!$H504&lt;0,0,Data_Entry!O504/Data_Entry!$H504),0)</f>
        <v>0.66661265017199345</v>
      </c>
      <c r="K515" s="49">
        <f>IFERROR(IF(Data_Entry!P504/Data_Entry!$H504&lt;0,0,Data_Entry!P504/Data_Entry!$H504),0)</f>
        <v>0.65188087889747426</v>
      </c>
      <c r="L515" s="49">
        <f>IFERROR(IF(Data_Entry!Q504/Data_Entry!$H504&lt;0,0,Data_Entry!Q504/Data_Entry!$H504),0)</f>
        <v>0.63714910762295507</v>
      </c>
      <c r="M515" s="49">
        <f>IFERROR(IF(Data_Entry!R504/Data_Entry!$H504&lt;0,0,Data_Entry!R504/Data_Entry!$H504),0)</f>
        <v>0.67029559299062325</v>
      </c>
      <c r="N515" s="49">
        <f>IFERROR(IF(Data_Entry!S504/Data_Entry!$H504&lt;0,0,Data_Entry!S504/Data_Entry!$H504),0)</f>
        <v>0.65188087889747426</v>
      </c>
      <c r="O515" s="49">
        <f>IFERROR(IF(Data_Entry!T504/Data_Entry!$H504&lt;0,0,Data_Entry!T504/Data_Entry!$H504),0)</f>
        <v>0.56717319406898892</v>
      </c>
      <c r="P515" s="49">
        <f>IFERROR(IF(Data_Entry!U504/Data_Entry!$H504&lt;0,0,Data_Entry!U504/Data_Entry!$H504),0)</f>
        <v>0.61505145071117628</v>
      </c>
      <c r="Q515" s="49">
        <f>IFERROR(IF(Data_Entry!V504/Data_Entry!$H504&lt;0,0,Data_Entry!V504/Data_Entry!$H504),0)</f>
        <v>0.5855879081621379</v>
      </c>
      <c r="R515" s="49">
        <f>IFERROR(IF(Data_Entry!W504/Data_Entry!$H504&lt;0,0,Data_Entry!W504/Data_Entry!$H504),0)</f>
        <v>0.60031967943665709</v>
      </c>
      <c r="S515" s="49">
        <f>IFERROR(IF(Data_Entry!X504/Data_Entry!$H504&lt;0,0,Data_Entry!X504/Data_Entry!$H504),0)</f>
        <v>0.7329056209073298</v>
      </c>
      <c r="T515" s="49">
        <f>IFERROR(IF(Data_Entry!Y504/Data_Entry!$H504&lt;0,0,Data_Entry!Y504/Data_Entry!$H504),0)</f>
        <v>2.5780599730408586E-2</v>
      </c>
      <c r="U515" s="49">
        <f>IFERROR(IF(Data_Entry!Z504/Data_Entry!$H504&lt;0,0,Data_Entry!Z504/Data_Entry!$H504),0)</f>
        <v>0.72553973527007021</v>
      </c>
      <c r="V515" s="49">
        <f>IFERROR(IF(Data_Entry!AA504/Data_Entry!$H504&lt;0,0,Data_Entry!AA504/Data_Entry!$H504),0)</f>
        <v>0.64083205044158487</v>
      </c>
      <c r="W515" s="49">
        <f>IFERROR(IF(Data_Entry!AB504/Data_Entry!$H504&lt;0,0,Data_Entry!AB504/Data_Entry!$H504),0)</f>
        <v>0.31305013958353284</v>
      </c>
      <c r="X515" s="49">
        <f>IFERROR(IF(Data_Entry!AC504/Data_Entry!$I504&lt;0,0,Data_Entry!AC504/Data_Entry!$I504),0)</f>
        <v>0.8322622107969152</v>
      </c>
      <c r="Y515" s="49">
        <f>IFERROR(IF(Data_Entry!AD504/Data_Entry!$I504&lt;0,0,Data_Entry!AD504/Data_Entry!$I504),0)</f>
        <v>0.59768637532133684</v>
      </c>
      <c r="Z515" s="49">
        <f>IFERROR(IF(Data_Entry!AE504/Data_Entry!$I504&lt;0,0,Data_Entry!AE504/Data_Entry!$I504),0)</f>
        <v>3.2133676092544985E-2</v>
      </c>
      <c r="AA515" s="49">
        <f>IFERROR(IF(Data_Entry!AF504/Data_Entry!$I504&lt;0,0,Data_Entry!AF504/Data_Entry!$I504),0)</f>
        <v>0</v>
      </c>
      <c r="AB515" s="49">
        <f>IFERROR(IF(Data_Entry!AG504/Data_Entry!$I504&lt;0,0,Data_Entry!AG504/Data_Entry!$I504),0)</f>
        <v>6.4267352185089976E-3</v>
      </c>
      <c r="AC515" s="49">
        <f>IFERROR(IF(Data_Entry!AI504/Data_Entry!$I504&lt;0,0,Data_Entry!AI504/Data_Entry!$I504),0)</f>
        <v>0.16066838046272494</v>
      </c>
      <c r="AD515" s="49">
        <f>IFERROR(IF(Data_Entry!AM504/Data_Entry!$H504&lt;0,0,Data_Entry!AM504/Data_Entry!$H504),0)</f>
        <v>0.72553973527007021</v>
      </c>
      <c r="AE515" s="50">
        <f>Data_Entry!AK504</f>
        <v>90.521999999999991</v>
      </c>
      <c r="AF515" s="50">
        <f>Data_Entry!AL504</f>
        <v>0</v>
      </c>
      <c r="AG515" s="153">
        <f>(Data_Entry!O504-Data_Entry!Q504)/Data_Entry!O504</f>
        <v>4.4198895027624308E-2</v>
      </c>
      <c r="AH515" s="79" t="str">
        <f t="shared" si="14"/>
        <v>CAT3</v>
      </c>
      <c r="AI515" s="51">
        <f>SUBTOTAL(3,Tableau1[[#This Row],[ZS]])</f>
        <v>0</v>
      </c>
      <c r="AJ515" s="51" t="e">
        <f t="shared" ca="1" si="15"/>
        <v>#NAME?</v>
      </c>
      <c r="AK515" s="50" t="str">
        <f>IFERROR(IF((Data_Entry!O504-Data_Entry!Q504)/Data_Entry!O504&lt;=10%,"&lt;=10%","&gt;10%"),"&lt;=10%")</f>
        <v>&lt;=10%</v>
      </c>
    </row>
    <row r="516" spans="1:37" s="48" customFormat="1" ht="13" hidden="1" x14ac:dyDescent="0.3">
      <c r="A516" s="31" t="s">
        <v>16</v>
      </c>
      <c r="B516" s="48" t="str">
        <f>Data_Entry!B505</f>
        <v>Butembo</v>
      </c>
      <c r="C516" s="48" t="str">
        <f>Data_Entry!C505</f>
        <v xml:space="preserve"> Mutwanga</v>
      </c>
      <c r="D516" s="48" t="str">
        <f>Data_Entry!D505</f>
        <v xml:space="preserve"> Kasindi</v>
      </c>
      <c r="E516" s="49">
        <f>IFERROR(IF(Data_Entry!J505/Data_Entry!$I505&lt;0,0,Data_Entry!J505/Data_Entry!$I505),0)</f>
        <v>0</v>
      </c>
      <c r="F516" s="49">
        <f>IFERROR(IF(Data_Entry!K505/Data_Entry!$H505&lt;0,0,Data_Entry!K505/Data_Entry!$H505),0)</f>
        <v>2.6001175253121442E-2</v>
      </c>
      <c r="G516" s="49">
        <f>IFERROR(IF(Data_Entry!L505/Data_Entry!$H505&lt;0,0,Data_Entry!L505/Data_Entry!$H505),0)</f>
        <v>0.15600705151872865</v>
      </c>
      <c r="H516" s="49">
        <f>IFERROR(IF(Data_Entry!M505/Data_Entry!$H505&lt;0,0,Data_Entry!M505/Data_Entry!$H505),0)</f>
        <v>0.15080681646810434</v>
      </c>
      <c r="I516" s="49">
        <f>IFERROR(IF(Data_Entry!N505/Data_Entry!$H505&lt;0,0,Data_Entry!N505/Data_Entry!$H505),0)</f>
        <v>0.11180505358842219</v>
      </c>
      <c r="J516" s="49">
        <f>IFERROR(IF(Data_Entry!O505/Data_Entry!$H505&lt;0,0,Data_Entry!O505/Data_Entry!$H505),0)</f>
        <v>0.15600705151872865</v>
      </c>
      <c r="K516" s="49">
        <f>IFERROR(IF(Data_Entry!P505/Data_Entry!$H505&lt;0,0,Data_Entry!P505/Data_Entry!$H505),0)</f>
        <v>0.15080681646810434</v>
      </c>
      <c r="L516" s="49">
        <f>IFERROR(IF(Data_Entry!Q505/Data_Entry!$H505&lt;0,0,Data_Entry!Q505/Data_Entry!$H505),0)</f>
        <v>0.11180505358842219</v>
      </c>
      <c r="M516" s="49">
        <f>IFERROR(IF(Data_Entry!R505/Data_Entry!$H505&lt;0,0,Data_Entry!R505/Data_Entry!$H505),0)</f>
        <v>0.15600705151872865</v>
      </c>
      <c r="N516" s="49">
        <f>IFERROR(IF(Data_Entry!S505/Data_Entry!$H505&lt;0,0,Data_Entry!S505/Data_Entry!$H505),0)</f>
        <v>0.15080681646810434</v>
      </c>
      <c r="O516" s="49">
        <f>IFERROR(IF(Data_Entry!T505/Data_Entry!$H505&lt;0,0,Data_Entry!T505/Data_Entry!$H505),0)</f>
        <v>0.11180505358842219</v>
      </c>
      <c r="P516" s="49">
        <f>IFERROR(IF(Data_Entry!U505/Data_Entry!$H505&lt;0,0,Data_Entry!U505/Data_Entry!$H505),0)</f>
        <v>0.15600705151872865</v>
      </c>
      <c r="Q516" s="49">
        <f>IFERROR(IF(Data_Entry!V505/Data_Entry!$H505&lt;0,0,Data_Entry!V505/Data_Entry!$H505),0)</f>
        <v>0.15080681646810434</v>
      </c>
      <c r="R516" s="49">
        <f>IFERROR(IF(Data_Entry!W505/Data_Entry!$H505&lt;0,0,Data_Entry!W505/Data_Entry!$H505),0)</f>
        <v>0.11180505358842219</v>
      </c>
      <c r="S516" s="49">
        <f>IFERROR(IF(Data_Entry!X505/Data_Entry!$H505&lt;0,0,Data_Entry!X505/Data_Entry!$H505),0)</f>
        <v>0.14040634636685578</v>
      </c>
      <c r="T516" s="49">
        <f>IFERROR(IF(Data_Entry!Y505/Data_Entry!$H505&lt;0,0,Data_Entry!Y505/Data_Entry!$H505),0)</f>
        <v>1.8200822677185008E-2</v>
      </c>
      <c r="U516" s="49">
        <f>IFERROR(IF(Data_Entry!Z505/Data_Entry!$H505&lt;0,0,Data_Entry!Z505/Data_Entry!$H505),0)</f>
        <v>0.14040634636685578</v>
      </c>
      <c r="V516" s="49">
        <f>IFERROR(IF(Data_Entry!AA505/Data_Entry!$H505&lt;0,0,Data_Entry!AA505/Data_Entry!$H505),0)</f>
        <v>0.11180505358842219</v>
      </c>
      <c r="W516" s="49">
        <f>IFERROR(IF(Data_Entry!AB505/Data_Entry!$H505&lt;0,0,Data_Entry!AB505/Data_Entry!$H505),0)</f>
        <v>0.14040634636685578</v>
      </c>
      <c r="X516" s="49">
        <f>IFERROR(IF(Data_Entry!AC505/Data_Entry!$I505&lt;0,0,Data_Entry!AC505/Data_Entry!$I505),0)</f>
        <v>5.2177858439201447E-2</v>
      </c>
      <c r="Y516" s="49">
        <f>IFERROR(IF(Data_Entry!AD505/Data_Entry!$I505&lt;0,0,Data_Entry!AD505/Data_Entry!$I505),0)</f>
        <v>3.1760435571687833E-2</v>
      </c>
      <c r="Z516" s="49">
        <f>IFERROR(IF(Data_Entry!AE505/Data_Entry!$I505&lt;0,0,Data_Entry!AE505/Data_Entry!$I505),0)</f>
        <v>2.7223230490018145E-2</v>
      </c>
      <c r="AA516" s="49">
        <f>IFERROR(IF(Data_Entry!AF505/Data_Entry!$I505&lt;0,0,Data_Entry!AF505/Data_Entry!$I505),0)</f>
        <v>2.0417422867513607E-2</v>
      </c>
      <c r="AB516" s="49">
        <f>IFERROR(IF(Data_Entry!AG505/Data_Entry!$I505&lt;0,0,Data_Entry!AG505/Data_Entry!$I505),0)</f>
        <v>1.3611615245009073E-2</v>
      </c>
      <c r="AC516" s="49">
        <f>IFERROR(IF(Data_Entry!AI505/Data_Entry!$I505&lt;0,0,Data_Entry!AI505/Data_Entry!$I505),0)</f>
        <v>7.5544464609800341E-2</v>
      </c>
      <c r="AD516" s="49">
        <f>IFERROR(IF(Data_Entry!AM505/Data_Entry!$H505&lt;0,0,Data_Entry!AM505/Data_Entry!$H505),0)</f>
        <v>0.14040634636685578</v>
      </c>
      <c r="AE516" s="50">
        <f>Data_Entry!AK505</f>
        <v>324.59800000000001</v>
      </c>
      <c r="AF516" s="50">
        <f>Data_Entry!AL505</f>
        <v>6</v>
      </c>
      <c r="AG516" s="153">
        <f>(Data_Entry!O505-Data_Entry!Q505)/Data_Entry!O505</f>
        <v>0.28333333333333333</v>
      </c>
      <c r="AH516" s="79" t="str">
        <f t="shared" si="14"/>
        <v>CAT4</v>
      </c>
      <c r="AI516" s="51">
        <f>SUBTOTAL(3,Tableau1[[#This Row],[ZS]])</f>
        <v>0</v>
      </c>
      <c r="AJ516" s="51" t="e">
        <f t="shared" ca="1" si="15"/>
        <v>#NAME?</v>
      </c>
      <c r="AK516" s="50" t="str">
        <f>IFERROR(IF((Data_Entry!O505-Data_Entry!Q505)/Data_Entry!O505&lt;=10%,"&lt;=10%","&gt;10%"),"&lt;=10%")</f>
        <v>&gt;10%</v>
      </c>
    </row>
    <row r="517" spans="1:37" s="48" customFormat="1" ht="13" hidden="1" x14ac:dyDescent="0.3">
      <c r="A517" s="31" t="s">
        <v>16</v>
      </c>
      <c r="B517" s="48" t="str">
        <f>Data_Entry!B506</f>
        <v>Butembo</v>
      </c>
      <c r="C517" s="48" t="str">
        <f>Data_Entry!C506</f>
        <v xml:space="preserve"> Mutwanga</v>
      </c>
      <c r="D517" s="48" t="str">
        <f>Data_Entry!D506</f>
        <v xml:space="preserve"> Kenehambaore</v>
      </c>
      <c r="E517" s="49">
        <f>IFERROR(IF(Data_Entry!J506/Data_Entry!$I506&lt;0,0,Data_Entry!J506/Data_Entry!$I506),0)</f>
        <v>0</v>
      </c>
      <c r="F517" s="49">
        <f>IFERROR(IF(Data_Entry!K506/Data_Entry!$H506&lt;0,0,Data_Entry!K506/Data_Entry!$H506),0)</f>
        <v>0</v>
      </c>
      <c r="G517" s="49">
        <f>IFERROR(IF(Data_Entry!L506/Data_Entry!$H506&lt;0,0,Data_Entry!L506/Data_Entry!$H506),0)</f>
        <v>0</v>
      </c>
      <c r="H517" s="49">
        <f>IFERROR(IF(Data_Entry!M506/Data_Entry!$H506&lt;0,0,Data_Entry!M506/Data_Entry!$H506),0)</f>
        <v>0</v>
      </c>
      <c r="I517" s="49">
        <f>IFERROR(IF(Data_Entry!N506/Data_Entry!$H506&lt;0,0,Data_Entry!N506/Data_Entry!$H506),0)</f>
        <v>0</v>
      </c>
      <c r="J517" s="49">
        <f>IFERROR(IF(Data_Entry!O506/Data_Entry!$H506&lt;0,0,Data_Entry!O506/Data_Entry!$H506),0)</f>
        <v>0</v>
      </c>
      <c r="K517" s="49">
        <f>IFERROR(IF(Data_Entry!P506/Data_Entry!$H506&lt;0,0,Data_Entry!P506/Data_Entry!$H506),0)</f>
        <v>0</v>
      </c>
      <c r="L517" s="49">
        <f>IFERROR(IF(Data_Entry!Q506/Data_Entry!$H506&lt;0,0,Data_Entry!Q506/Data_Entry!$H506),0)</f>
        <v>0</v>
      </c>
      <c r="M517" s="49">
        <f>IFERROR(IF(Data_Entry!R506/Data_Entry!$H506&lt;0,0,Data_Entry!R506/Data_Entry!$H506),0)</f>
        <v>0</v>
      </c>
      <c r="N517" s="49">
        <f>IFERROR(IF(Data_Entry!S506/Data_Entry!$H506&lt;0,0,Data_Entry!S506/Data_Entry!$H506),0)</f>
        <v>0</v>
      </c>
      <c r="O517" s="49">
        <f>IFERROR(IF(Data_Entry!T506/Data_Entry!$H506&lt;0,0,Data_Entry!T506/Data_Entry!$H506),0)</f>
        <v>0</v>
      </c>
      <c r="P517" s="49">
        <f>IFERROR(IF(Data_Entry!U506/Data_Entry!$H506&lt;0,0,Data_Entry!U506/Data_Entry!$H506),0)</f>
        <v>0</v>
      </c>
      <c r="Q517" s="49">
        <f>IFERROR(IF(Data_Entry!V506/Data_Entry!$H506&lt;0,0,Data_Entry!V506/Data_Entry!$H506),0)</f>
        <v>0</v>
      </c>
      <c r="R517" s="49">
        <f>IFERROR(IF(Data_Entry!W506/Data_Entry!$H506&lt;0,0,Data_Entry!W506/Data_Entry!$H506),0)</f>
        <v>0</v>
      </c>
      <c r="S517" s="49">
        <f>IFERROR(IF(Data_Entry!X506/Data_Entry!$H506&lt;0,0,Data_Entry!X506/Data_Entry!$H506),0)</f>
        <v>0</v>
      </c>
      <c r="T517" s="49">
        <f>IFERROR(IF(Data_Entry!Y506/Data_Entry!$H506&lt;0,0,Data_Entry!Y506/Data_Entry!$H506),0)</f>
        <v>0</v>
      </c>
      <c r="U517" s="49">
        <f>IFERROR(IF(Data_Entry!Z506/Data_Entry!$H506&lt;0,0,Data_Entry!Z506/Data_Entry!$H506),0)</f>
        <v>0</v>
      </c>
      <c r="V517" s="49">
        <f>IFERROR(IF(Data_Entry!AA506/Data_Entry!$H506&lt;0,0,Data_Entry!AA506/Data_Entry!$H506),0)</f>
        <v>0</v>
      </c>
      <c r="W517" s="49">
        <f>IFERROR(IF(Data_Entry!AB506/Data_Entry!$H506&lt;0,0,Data_Entry!AB506/Data_Entry!$H506),0)</f>
        <v>0</v>
      </c>
      <c r="X517" s="49">
        <f>IFERROR(IF(Data_Entry!AC506/Data_Entry!$I506&lt;0,0,Data_Entry!AC506/Data_Entry!$I506),0)</f>
        <v>0</v>
      </c>
      <c r="Y517" s="49">
        <f>IFERROR(IF(Data_Entry!AD506/Data_Entry!$I506&lt;0,0,Data_Entry!AD506/Data_Entry!$I506),0)</f>
        <v>0</v>
      </c>
      <c r="Z517" s="49">
        <f>IFERROR(IF(Data_Entry!AE506/Data_Entry!$I506&lt;0,0,Data_Entry!AE506/Data_Entry!$I506),0)</f>
        <v>0</v>
      </c>
      <c r="AA517" s="49">
        <f>IFERROR(IF(Data_Entry!AF506/Data_Entry!$I506&lt;0,0,Data_Entry!AF506/Data_Entry!$I506),0)</f>
        <v>0</v>
      </c>
      <c r="AB517" s="49">
        <f>IFERROR(IF(Data_Entry!AG506/Data_Entry!$I506&lt;0,0,Data_Entry!AG506/Data_Entry!$I506),0)</f>
        <v>0</v>
      </c>
      <c r="AC517" s="49">
        <f>IFERROR(IF(Data_Entry!AI506/Data_Entry!$I506&lt;0,0,Data_Entry!AI506/Data_Entry!$I506),0)</f>
        <v>0</v>
      </c>
      <c r="AD517" s="49">
        <f>IFERROR(IF(Data_Entry!AM506/Data_Entry!$H506&lt;0,0,Data_Entry!AM506/Data_Entry!$H506),0)</f>
        <v>0</v>
      </c>
      <c r="AE517" s="50">
        <f>Data_Entry!AK506</f>
        <v>0</v>
      </c>
      <c r="AF517" s="50">
        <f>Data_Entry!AL506</f>
        <v>0</v>
      </c>
      <c r="AG517" s="153" t="e">
        <f>(Data_Entry!O506-Data_Entry!Q506)/Data_Entry!O506</f>
        <v>#VALUE!</v>
      </c>
      <c r="AH517" s="79" t="str">
        <f t="shared" si="14"/>
        <v>ND</v>
      </c>
      <c r="AI517" s="51">
        <f>SUBTOTAL(3,Tableau1[[#This Row],[ZS]])</f>
        <v>0</v>
      </c>
      <c r="AJ517" s="51" t="e">
        <f t="shared" ca="1" si="15"/>
        <v>#NAME?</v>
      </c>
      <c r="AK517" s="50" t="str">
        <f>IFERROR(IF((Data_Entry!O506-Data_Entry!Q506)/Data_Entry!O506&lt;=10%,"&lt;=10%","&gt;10%"),"&lt;=10%")</f>
        <v>&lt;=10%</v>
      </c>
    </row>
    <row r="518" spans="1:37" s="48" customFormat="1" ht="13" hidden="1" x14ac:dyDescent="0.3">
      <c r="A518" s="31" t="s">
        <v>16</v>
      </c>
      <c r="B518" s="48" t="str">
        <f>Data_Entry!B507</f>
        <v>Butembo</v>
      </c>
      <c r="C518" s="48" t="str">
        <f>Data_Entry!C507</f>
        <v xml:space="preserve"> Mutwanga</v>
      </c>
      <c r="D518" s="48" t="str">
        <f>Data_Entry!D507</f>
        <v xml:space="preserve"> Kisima</v>
      </c>
      <c r="E518" s="49">
        <f>IFERROR(IF(Data_Entry!J507/Data_Entry!$I507&lt;0,0,Data_Entry!J507/Data_Entry!$I507),0)</f>
        <v>0.20172910662824206</v>
      </c>
      <c r="F518" s="49">
        <f>IFERROR(IF(Data_Entry!K507/Data_Entry!$H507&lt;0,0,Data_Entry!K507/Data_Entry!$H507),0)</f>
        <v>0.14112704962642619</v>
      </c>
      <c r="G518" s="49">
        <f>IFERROR(IF(Data_Entry!L507/Data_Entry!$H507&lt;0,0,Data_Entry!L507/Data_Entry!$H507),0)</f>
        <v>0.7536784990687867</v>
      </c>
      <c r="H518" s="49">
        <f>IFERROR(IF(Data_Entry!M507/Data_Entry!$H507&lt;0,0,Data_Entry!M507/Data_Entry!$H507),0)</f>
        <v>0.69062173221442602</v>
      </c>
      <c r="I518" s="49">
        <f>IFERROR(IF(Data_Entry!N507/Data_Entry!$H507&lt;0,0,Data_Entry!N507/Data_Entry!$H507),0)</f>
        <v>0.67560821629672108</v>
      </c>
      <c r="J518" s="49">
        <f>IFERROR(IF(Data_Entry!O507/Data_Entry!$H507&lt;0,0,Data_Entry!O507/Data_Entry!$H507),0)</f>
        <v>0.7536784990687867</v>
      </c>
      <c r="K518" s="49">
        <f>IFERROR(IF(Data_Entry!P507/Data_Entry!$H507&lt;0,0,Data_Entry!P507/Data_Entry!$H507),0)</f>
        <v>0.684616325847344</v>
      </c>
      <c r="L518" s="49">
        <f>IFERROR(IF(Data_Entry!Q507/Data_Entry!$H507&lt;0,0,Data_Entry!Q507/Data_Entry!$H507),0)</f>
        <v>0.62456226217652444</v>
      </c>
      <c r="M518" s="49">
        <f>IFERROR(IF(Data_Entry!R507/Data_Entry!$H507&lt;0,0,Data_Entry!R507/Data_Entry!$H507),0)</f>
        <v>0.66059470037901624</v>
      </c>
      <c r="N518" s="49">
        <f>IFERROR(IF(Data_Entry!S507/Data_Entry!$H507&lt;0,0,Data_Entry!S507/Data_Entry!$H507),0)</f>
        <v>0.54348927622091792</v>
      </c>
      <c r="O518" s="49">
        <f>IFERROR(IF(Data_Entry!T507/Data_Entry!$H507&lt;0,0,Data_Entry!T507/Data_Entry!$H507),0)</f>
        <v>0.6095487462588195</v>
      </c>
      <c r="P518" s="49">
        <f>IFERROR(IF(Data_Entry!U507/Data_Entry!$H507&lt;0,0,Data_Entry!U507/Data_Entry!$H507),0)</f>
        <v>0.70563524813213097</v>
      </c>
      <c r="Q518" s="49">
        <f>IFERROR(IF(Data_Entry!V507/Data_Entry!$H507&lt;0,0,Data_Entry!V507/Data_Entry!$H507),0)</f>
        <v>0.64858388764485231</v>
      </c>
      <c r="R518" s="49">
        <f>IFERROR(IF(Data_Entry!W507/Data_Entry!$H507&lt;0,0,Data_Entry!W507/Data_Entry!$H507),0)</f>
        <v>0.64858388764485231</v>
      </c>
      <c r="S518" s="49">
        <f>IFERROR(IF(Data_Entry!X507/Data_Entry!$H507&lt;0,0,Data_Entry!X507/Data_Entry!$H507),0)</f>
        <v>0.84976500094209806</v>
      </c>
      <c r="T518" s="49">
        <f>IFERROR(IF(Data_Entry!Y507/Data_Entry!$H507&lt;0,0,Data_Entry!Y507/Data_Entry!$H507),0)</f>
        <v>3.6032438202491794E-2</v>
      </c>
      <c r="U518" s="49">
        <f>IFERROR(IF(Data_Entry!Z507/Data_Entry!$H507&lt;0,0,Data_Entry!Z507/Data_Entry!$H507),0)</f>
        <v>0.51646494756904904</v>
      </c>
      <c r="V518" s="49">
        <f>IFERROR(IF(Data_Entry!AA507/Data_Entry!$H507&lt;0,0,Data_Entry!AA507/Data_Entry!$H507),0)</f>
        <v>0.7566812022523276</v>
      </c>
      <c r="W518" s="49">
        <f>IFERROR(IF(Data_Entry!AB507/Data_Entry!$H507&lt;0,0,Data_Entry!AB507/Data_Entry!$H507),0)</f>
        <v>0.37233519475908183</v>
      </c>
      <c r="X518" s="49">
        <f>IFERROR(IF(Data_Entry!AC507/Data_Entry!$I507&lt;0,0,Data_Entry!AC507/Data_Entry!$I507),0)</f>
        <v>4.7157453497511131E-2</v>
      </c>
      <c r="Y518" s="49">
        <f>IFERROR(IF(Data_Entry!AD507/Data_Entry!$I507&lt;0,0,Data_Entry!AD507/Data_Entry!$I507),0)</f>
        <v>2.3578726748755566E-2</v>
      </c>
      <c r="Z518" s="49">
        <f>IFERROR(IF(Data_Entry!AE507/Data_Entry!$I507&lt;0,0,Data_Entry!AE507/Data_Entry!$I507),0)</f>
        <v>1.833900969347655E-2</v>
      </c>
      <c r="AA518" s="49">
        <f>IFERROR(IF(Data_Entry!AF507/Data_Entry!$I507&lt;0,0,Data_Entry!AF507/Data_Entry!$I507),0)</f>
        <v>2.619858527639507E-2</v>
      </c>
      <c r="AB518" s="49">
        <f>IFERROR(IF(Data_Entry!AG507/Data_Entry!$I507&lt;0,0,Data_Entry!AG507/Data_Entry!$I507),0)</f>
        <v>3.6678019386953101E-2</v>
      </c>
      <c r="AC518" s="49">
        <f>IFERROR(IF(Data_Entry!AI507/Data_Entry!$I507&lt;0,0,Data_Entry!AI507/Data_Entry!$I507),0)</f>
        <v>8.7241288970395584E-2</v>
      </c>
      <c r="AD518" s="49">
        <f>IFERROR(IF(Data_Entry!AM507/Data_Entry!$H507&lt;0,0,Data_Entry!AM507/Data_Entry!$H507),0)</f>
        <v>0.51646494756904904</v>
      </c>
      <c r="AE518" s="50">
        <f>Data_Entry!AK507</f>
        <v>82.03325000000001</v>
      </c>
      <c r="AF518" s="50">
        <f>Data_Entry!AL507</f>
        <v>0</v>
      </c>
      <c r="AG518" s="153">
        <f>(Data_Entry!O507-Data_Entry!Q507)/Data_Entry!O507</f>
        <v>0.17131474103585656</v>
      </c>
      <c r="AH518" s="79" t="str">
        <f t="shared" si="14"/>
        <v>CAT4</v>
      </c>
      <c r="AI518" s="51">
        <f>SUBTOTAL(3,Tableau1[[#This Row],[ZS]])</f>
        <v>0</v>
      </c>
      <c r="AJ518" s="51" t="e">
        <f t="shared" ca="1" si="15"/>
        <v>#NAME?</v>
      </c>
      <c r="AK518" s="50" t="str">
        <f>IFERROR(IF((Data_Entry!O507-Data_Entry!Q507)/Data_Entry!O507&lt;=10%,"&lt;=10%","&gt;10%"),"&lt;=10%")</f>
        <v>&gt;10%</v>
      </c>
    </row>
    <row r="519" spans="1:37" s="48" customFormat="1" ht="13" hidden="1" x14ac:dyDescent="0.3">
      <c r="A519" s="31" t="s">
        <v>16</v>
      </c>
      <c r="B519" s="48" t="str">
        <f>Data_Entry!B508</f>
        <v>Butembo</v>
      </c>
      <c r="C519" s="48" t="str">
        <f>Data_Entry!C508</f>
        <v xml:space="preserve"> Mutwanga</v>
      </c>
      <c r="D519" s="48" t="str">
        <f>Data_Entry!D508</f>
        <v xml:space="preserve"> Kitokoli</v>
      </c>
      <c r="E519" s="49">
        <f>IFERROR(IF(Data_Entry!J508/Data_Entry!$I508&lt;0,0,Data_Entry!J508/Data_Entry!$I508),0)</f>
        <v>0.52292138748474803</v>
      </c>
      <c r="F519" s="49">
        <f>IFERROR(IF(Data_Entry!K508/Data_Entry!$H508&lt;0,0,Data_Entry!K508/Data_Entry!$H508),0)</f>
        <v>0.10188726174487928</v>
      </c>
      <c r="G519" s="49">
        <f>IFERROR(IF(Data_Entry!L508/Data_Entry!$H508&lt;0,0,Data_Entry!L508/Data_Entry!$H508),0)</f>
        <v>1.111769826686771</v>
      </c>
      <c r="H519" s="49">
        <f>IFERROR(IF(Data_Entry!M508/Data_Entry!$H508&lt;0,0,Data_Entry!M508/Data_Entry!$H508),0)</f>
        <v>1.0338560382936279</v>
      </c>
      <c r="I519" s="49">
        <f>IFERROR(IF(Data_Entry!N508/Data_Entry!$H508&lt;0,0,Data_Entry!N508/Data_Entry!$H508),0)</f>
        <v>1.0997830900109029</v>
      </c>
      <c r="J519" s="49">
        <f>IFERROR(IF(Data_Entry!O508/Data_Entry!$H508&lt;0,0,Data_Entry!O508/Data_Entry!$H508),0)</f>
        <v>0.92297872404184755</v>
      </c>
      <c r="K519" s="49">
        <f>IFERROR(IF(Data_Entry!P508/Data_Entry!$H508&lt;0,0,Data_Entry!P508/Data_Entry!$H508),0)</f>
        <v>0.82708483063490235</v>
      </c>
      <c r="L519" s="49">
        <f>IFERROR(IF(Data_Entry!Q508/Data_Entry!$H508&lt;0,0,Data_Entry!Q508/Data_Entry!$H508),0)</f>
        <v>0.87503177733837501</v>
      </c>
      <c r="M519" s="49">
        <f>IFERROR(IF(Data_Entry!R508/Data_Entry!$H508&lt;0,0,Data_Entry!R508/Data_Entry!$H508),0)</f>
        <v>0.92297872404184755</v>
      </c>
      <c r="N519" s="49">
        <f>IFERROR(IF(Data_Entry!S508/Data_Entry!$H508&lt;0,0,Data_Entry!S508/Data_Entry!$H508),0)</f>
        <v>0.82708483063490235</v>
      </c>
      <c r="O519" s="49">
        <f>IFERROR(IF(Data_Entry!T508/Data_Entry!$H508&lt;0,0,Data_Entry!T508/Data_Entry!$H508),0)</f>
        <v>0.87503177733837501</v>
      </c>
      <c r="P519" s="49">
        <f>IFERROR(IF(Data_Entry!U508/Data_Entry!$H508&lt;0,0,Data_Entry!U508/Data_Entry!$H508),0)</f>
        <v>0.97092567074532021</v>
      </c>
      <c r="Q519" s="49">
        <f>IFERROR(IF(Data_Entry!V508/Data_Entry!$H508&lt;0,0,Data_Entry!V508/Data_Entry!$H508),0)</f>
        <v>0.8570516723245728</v>
      </c>
      <c r="R519" s="49">
        <f>IFERROR(IF(Data_Entry!W508/Data_Entry!$H508&lt;0,0,Data_Entry!W508/Data_Entry!$H508),0)</f>
        <v>0.91698535570391349</v>
      </c>
      <c r="S519" s="49">
        <f>IFERROR(IF(Data_Entry!X508/Data_Entry!$H508&lt;0,0,Data_Entry!X508/Data_Entry!$H508),0)</f>
        <v>0.89600856652114425</v>
      </c>
      <c r="T519" s="49">
        <f>IFERROR(IF(Data_Entry!Y508/Data_Entry!$H508&lt;0,0,Data_Entry!Y508/Data_Entry!$H508),0)</f>
        <v>9.8890577575912242E-2</v>
      </c>
      <c r="U519" s="49">
        <f>IFERROR(IF(Data_Entry!Z508/Data_Entry!$H508&lt;0,0,Data_Entry!Z508/Data_Entry!$H508),0)</f>
        <v>0.719204200552089</v>
      </c>
      <c r="V519" s="49">
        <f>IFERROR(IF(Data_Entry!AA508/Data_Entry!$H508&lt;0,0,Data_Entry!AA508/Data_Entry!$H508),0)</f>
        <v>1.036852722462595</v>
      </c>
      <c r="W519" s="49">
        <f>IFERROR(IF(Data_Entry!AB508/Data_Entry!$H508&lt;0,0,Data_Entry!AB508/Data_Entry!$H508),0)</f>
        <v>0.3895689419657149</v>
      </c>
      <c r="X519" s="49">
        <f>IFERROR(IF(Data_Entry!AC508/Data_Entry!$I508&lt;0,0,Data_Entry!AC508/Data_Entry!$I508),0)</f>
        <v>0.5490674568589855</v>
      </c>
      <c r="Y519" s="49">
        <f>IFERROR(IF(Data_Entry!AD508/Data_Entry!$I508&lt;0,0,Data_Entry!AD508/Data_Entry!$I508),0)</f>
        <v>0.27191912149206898</v>
      </c>
      <c r="Z519" s="49">
        <f>IFERROR(IF(Data_Entry!AE508/Data_Entry!$I508&lt;0,0,Data_Entry!AE508/Data_Entry!$I508),0)</f>
        <v>2.0916855499389923E-2</v>
      </c>
      <c r="AA519" s="49">
        <f>IFERROR(IF(Data_Entry!AF508/Data_Entry!$I508&lt;0,0,Data_Entry!AF508/Data_Entry!$I508),0)</f>
        <v>1.8302248561966182E-2</v>
      </c>
      <c r="AB519" s="49">
        <f>IFERROR(IF(Data_Entry!AG508/Data_Entry!$I508&lt;0,0,Data_Entry!AG508/Data_Entry!$I508),0)</f>
        <v>0</v>
      </c>
      <c r="AC519" s="49">
        <f>IFERROR(IF(Data_Entry!AI508/Data_Entry!$I508&lt;0,0,Data_Entry!AI508/Data_Entry!$I508),0)</f>
        <v>0.13073034687118701</v>
      </c>
      <c r="AD519" s="49">
        <f>IFERROR(IF(Data_Entry!AM508/Data_Entry!$H508&lt;0,0,Data_Entry!AM508/Data_Entry!$H508),0)</f>
        <v>0.719204200552089</v>
      </c>
      <c r="AE519" s="50">
        <f>Data_Entry!AK508</f>
        <v>25.702166666666699</v>
      </c>
      <c r="AF519" s="50">
        <f>Data_Entry!AL508</f>
        <v>9</v>
      </c>
      <c r="AG519" s="153">
        <f>(Data_Entry!O508-Data_Entry!Q508)/Data_Entry!O508</f>
        <v>5.1948051948051951E-2</v>
      </c>
      <c r="AH519" s="79" t="str">
        <f t="shared" si="14"/>
        <v>CAT1</v>
      </c>
      <c r="AI519" s="51">
        <f>SUBTOTAL(3,Tableau1[[#This Row],[ZS]])</f>
        <v>0</v>
      </c>
      <c r="AJ519" s="51" t="e">
        <f t="shared" ca="1" si="15"/>
        <v>#NAME?</v>
      </c>
      <c r="AK519" s="50" t="str">
        <f>IFERROR(IF((Data_Entry!O508-Data_Entry!Q508)/Data_Entry!O508&lt;=10%,"&lt;=10%","&gt;10%"),"&lt;=10%")</f>
        <v>&lt;=10%</v>
      </c>
    </row>
    <row r="520" spans="1:37" s="48" customFormat="1" ht="13" hidden="1" x14ac:dyDescent="0.3">
      <c r="A520" s="31" t="s">
        <v>16</v>
      </c>
      <c r="B520" s="48" t="str">
        <f>Data_Entry!B509</f>
        <v>Butembo</v>
      </c>
      <c r="C520" s="48" t="str">
        <f>Data_Entry!C509</f>
        <v xml:space="preserve"> Mutwanga</v>
      </c>
      <c r="D520" s="48" t="str">
        <f>Data_Entry!D509</f>
        <v xml:space="preserve"> Kudi 3</v>
      </c>
      <c r="E520" s="49">
        <f>IFERROR(IF(Data_Entry!J509/Data_Entry!$I509&lt;0,0,Data_Entry!J509/Data_Entry!$I509),0)</f>
        <v>0.25477707006369427</v>
      </c>
      <c r="F520" s="49">
        <f>IFERROR(IF(Data_Entry!K509/Data_Entry!$H509&lt;0,0,Data_Entry!K509/Data_Entry!$H509),0)</f>
        <v>0.38185675037097661</v>
      </c>
      <c r="G520" s="49">
        <f>IFERROR(IF(Data_Entry!L509/Data_Entry!$H509&lt;0,0,Data_Entry!L509/Data_Entry!$H509),0)</f>
        <v>0.87602430967459333</v>
      </c>
      <c r="H520" s="49">
        <f>IFERROR(IF(Data_Entry!M509/Data_Entry!$H509&lt;0,0,Data_Entry!M509/Data_Entry!$H509),0)</f>
        <v>0.79740674342174522</v>
      </c>
      <c r="I520" s="49">
        <f>IFERROR(IF(Data_Entry!N509/Data_Entry!$H509&lt;0,0,Data_Entry!N509/Data_Entry!$H509),0)</f>
        <v>0.654210462032629</v>
      </c>
      <c r="J520" s="49">
        <f>IFERROR(IF(Data_Entry!O509/Data_Entry!$H509&lt;0,0,Data_Entry!O509/Data_Entry!$H509),0)</f>
        <v>0.72159694739221314</v>
      </c>
      <c r="K520" s="49">
        <f>IFERROR(IF(Data_Entry!P509/Data_Entry!$H509&lt;0,0,Data_Entry!P509/Data_Entry!$H509),0)</f>
        <v>0.69632701538236907</v>
      </c>
      <c r="L520" s="49">
        <f>IFERROR(IF(Data_Entry!Q509/Data_Entry!$H509&lt;0,0,Data_Entry!Q509/Data_Entry!$H509),0)</f>
        <v>0.74405910917874118</v>
      </c>
      <c r="M520" s="49">
        <f>IFERROR(IF(Data_Entry!R509/Data_Entry!$H509&lt;0,0,Data_Entry!R509/Data_Entry!$H509),0)</f>
        <v>0.81425336476164123</v>
      </c>
      <c r="N520" s="49">
        <f>IFERROR(IF(Data_Entry!S509/Data_Entry!$H509&lt;0,0,Data_Entry!S509/Data_Entry!$H509),0)</f>
        <v>0.69632701538236907</v>
      </c>
      <c r="O520" s="49">
        <f>IFERROR(IF(Data_Entry!T509/Data_Entry!$H509&lt;0,0,Data_Entry!T509/Data_Entry!$H509),0)</f>
        <v>0.654210462032629</v>
      </c>
      <c r="P520" s="49">
        <f>IFERROR(IF(Data_Entry!U509/Data_Entry!$H509&lt;0,0,Data_Entry!U509/Data_Entry!$H509),0)</f>
        <v>0.70755809627563315</v>
      </c>
      <c r="Q520" s="49">
        <f>IFERROR(IF(Data_Entry!V509/Data_Entry!$H509&lt;0,0,Data_Entry!V509/Data_Entry!$H509),0)</f>
        <v>0.51943749131346084</v>
      </c>
      <c r="R520" s="49">
        <f>IFERROR(IF(Data_Entry!W509/Data_Entry!$H509&lt;0,0,Data_Entry!W509/Data_Entry!$H509),0)</f>
        <v>0.49416755930361678</v>
      </c>
      <c r="S520" s="49">
        <f>IFERROR(IF(Data_Entry!X509/Data_Entry!$H509&lt;0,0,Data_Entry!X509/Data_Entry!$H509),0)</f>
        <v>0.62051721935283699</v>
      </c>
      <c r="T520" s="49">
        <f>IFERROR(IF(Data_Entry!Y509/Data_Entry!$H509&lt;0,0,Data_Entry!Y509/Data_Entry!$H509),0)</f>
        <v>0.10388749826269217</v>
      </c>
      <c r="U520" s="49">
        <f>IFERROR(IF(Data_Entry!Z509/Data_Entry!$H509&lt;0,0,Data_Entry!Z509/Data_Entry!$H509),0)</f>
        <v>0.62051721935283699</v>
      </c>
      <c r="V520" s="49">
        <f>IFERROR(IF(Data_Entry!AA509/Data_Entry!$H509&lt;0,0,Data_Entry!AA509/Data_Entry!$H509),0)</f>
        <v>0.654210462032629</v>
      </c>
      <c r="W520" s="49">
        <f>IFERROR(IF(Data_Entry!AB509/Data_Entry!$H509&lt;0,0,Data_Entry!AB509/Data_Entry!$H509),0)</f>
        <v>0.17688952406890829</v>
      </c>
      <c r="X520" s="49">
        <f>IFERROR(IF(Data_Entry!AC509/Data_Entry!$I509&lt;0,0,Data_Entry!AC509/Data_Entry!$I509),0)</f>
        <v>1.2787849093581578</v>
      </c>
      <c r="Y520" s="49">
        <f>IFERROR(IF(Data_Entry!AD509/Data_Entry!$I509&lt;0,0,Data_Entry!AD509/Data_Entry!$I509),0)</f>
        <v>0.74228319451249392</v>
      </c>
      <c r="Z520" s="49">
        <f>IFERROR(IF(Data_Entry!AE509/Data_Entry!$I509&lt;0,0,Data_Entry!AE509/Data_Entry!$I509),0)</f>
        <v>9.7991180793728563E-3</v>
      </c>
      <c r="AA520" s="49">
        <f>IFERROR(IF(Data_Entry!AF509/Data_Entry!$I509&lt;0,0,Data_Entry!AF509/Data_Entry!$I509),0)</f>
        <v>0</v>
      </c>
      <c r="AB520" s="49">
        <f>IFERROR(IF(Data_Entry!AG509/Data_Entry!$I509&lt;0,0,Data_Entry!AG509/Data_Entry!$I509),0)</f>
        <v>0</v>
      </c>
      <c r="AC520" s="49">
        <f>IFERROR(IF(Data_Entry!AI509/Data_Entry!$I509&lt;0,0,Data_Entry!AI509/Data_Entry!$I509),0)</f>
        <v>0.12248897599216071</v>
      </c>
      <c r="AD520" s="49">
        <f>IFERROR(IF(Data_Entry!AM509/Data_Entry!$H509&lt;0,0,Data_Entry!AM509/Data_Entry!$H509),0)</f>
        <v>0.62051721935283699</v>
      </c>
      <c r="AE520" s="50">
        <f>Data_Entry!AK509</f>
        <v>99.154500000000041</v>
      </c>
      <c r="AF520" s="50">
        <f>Data_Entry!AL509</f>
        <v>36</v>
      </c>
      <c r="AG520" s="153">
        <f>(Data_Entry!O509-Data_Entry!Q509)/Data_Entry!O509</f>
        <v>-3.1128404669260701E-2</v>
      </c>
      <c r="AH520" s="79" t="str">
        <f t="shared" si="14"/>
        <v>CAT3</v>
      </c>
      <c r="AI520" s="51">
        <f>SUBTOTAL(3,Tableau1[[#This Row],[ZS]])</f>
        <v>0</v>
      </c>
      <c r="AJ520" s="51" t="e">
        <f t="shared" ca="1" si="15"/>
        <v>#NAME?</v>
      </c>
      <c r="AK520" s="50" t="str">
        <f>IFERROR(IF((Data_Entry!O509-Data_Entry!Q509)/Data_Entry!O509&lt;=10%,"&lt;=10%","&gt;10%"),"&lt;=10%")</f>
        <v>&lt;=10%</v>
      </c>
    </row>
    <row r="521" spans="1:37" s="48" customFormat="1" ht="13" hidden="1" x14ac:dyDescent="0.3">
      <c r="A521" s="31" t="s">
        <v>16</v>
      </c>
      <c r="B521" s="48" t="str">
        <f>Data_Entry!B510</f>
        <v>Butembo</v>
      </c>
      <c r="C521" s="48" t="str">
        <f>Data_Entry!C510</f>
        <v xml:space="preserve"> Mutwanga</v>
      </c>
      <c r="D521" s="48" t="str">
        <f>Data_Entry!D510</f>
        <v xml:space="preserve"> La Frontière</v>
      </c>
      <c r="E521" s="49">
        <f>IFERROR(IF(Data_Entry!J510/Data_Entry!$I510&lt;0,0,Data_Entry!J510/Data_Entry!$I510),0)</f>
        <v>0.61177743136194451</v>
      </c>
      <c r="F521" s="49">
        <f>IFERROR(IF(Data_Entry!K510/Data_Entry!$H510&lt;0,0,Data_Entry!K510/Data_Entry!$H510),0)</f>
        <v>0.37301334160793365</v>
      </c>
      <c r="G521" s="49">
        <f>IFERROR(IF(Data_Entry!L510/Data_Entry!$H510&lt;0,0,Data_Entry!L510/Data_Entry!$H510),0)</f>
        <v>1.1660768978124845</v>
      </c>
      <c r="H521" s="49">
        <f>IFERROR(IF(Data_Entry!M510/Data_Entry!$H510&lt;0,0,Data_Entry!M510/Data_Entry!$H510),0)</f>
        <v>0.97574164432339239</v>
      </c>
      <c r="I521" s="49">
        <f>IFERROR(IF(Data_Entry!N510/Data_Entry!$H510&lt;0,0,Data_Entry!N510/Data_Entry!$H510),0)</f>
        <v>0.90682715599113484</v>
      </c>
      <c r="J521" s="49">
        <f>IFERROR(IF(Data_Entry!O510/Data_Entry!$H510&lt;0,0,Data_Entry!O510/Data_Entry!$H510),0)</f>
        <v>1.0523132980259007</v>
      </c>
      <c r="K521" s="49">
        <f>IFERROR(IF(Data_Entry!P510/Data_Entry!$H510&lt;0,0,Data_Entry!P510/Data_Entry!$H510),0)</f>
        <v>0.97574164432339239</v>
      </c>
      <c r="L521" s="49">
        <f>IFERROR(IF(Data_Entry!Q510/Data_Entry!$H510&lt;0,0,Data_Entry!Q510/Data_Entry!$H510),0)</f>
        <v>0.90682715599113484</v>
      </c>
      <c r="M521" s="49">
        <f>IFERROR(IF(Data_Entry!R510/Data_Entry!$H510&lt;0,0,Data_Entry!R510/Data_Entry!$H510),0)</f>
        <v>1.1660768978124845</v>
      </c>
      <c r="N521" s="49">
        <f>IFERROR(IF(Data_Entry!S510/Data_Entry!$H510&lt;0,0,Data_Entry!S510/Data_Entry!$H510),0)</f>
        <v>0.93198641363624468</v>
      </c>
      <c r="O521" s="49">
        <f>IFERROR(IF(Data_Entry!T510/Data_Entry!$H510&lt;0,0,Data_Entry!T510/Data_Entry!$H510),0)</f>
        <v>0.90682715599113484</v>
      </c>
      <c r="P521" s="49">
        <f>IFERROR(IF(Data_Entry!U510/Data_Entry!$H510&lt;0,0,Data_Entry!U510/Data_Entry!$H510),0)</f>
        <v>1.1649830170453059</v>
      </c>
      <c r="Q521" s="49">
        <f>IFERROR(IF(Data_Entry!V510/Data_Entry!$H510&lt;0,0,Data_Entry!V510/Data_Entry!$H510),0)</f>
        <v>0.97574164432339239</v>
      </c>
      <c r="R521" s="49">
        <f>IFERROR(IF(Data_Entry!W510/Data_Entry!$H510&lt;0,0,Data_Entry!W510/Data_Entry!$H510),0)</f>
        <v>0.90682715599113484</v>
      </c>
      <c r="S521" s="49">
        <f>IFERROR(IF(Data_Entry!X510/Data_Entry!$H510&lt;0,0,Data_Entry!X510/Data_Entry!$H510),0)</f>
        <v>0.87182297144141674</v>
      </c>
      <c r="T521" s="49">
        <f>IFERROR(IF(Data_Entry!Y510/Data_Entry!$H510&lt;0,0,Data_Entry!Y510/Data_Entry!$H510),0)</f>
        <v>0.13564121513015767</v>
      </c>
      <c r="U521" s="49">
        <f>IFERROR(IF(Data_Entry!Z510/Data_Entry!$H510&lt;0,0,Data_Entry!Z510/Data_Entry!$H510),0)</f>
        <v>0.81056564847941004</v>
      </c>
      <c r="V521" s="49">
        <f>IFERROR(IF(Data_Entry!AA510/Data_Entry!$H510&lt;0,0,Data_Entry!AA510/Data_Entry!$H510),0)</f>
        <v>1.3060936360113571</v>
      </c>
      <c r="W521" s="49">
        <f>IFERROR(IF(Data_Entry!AB510/Data_Entry!$H510&lt;0,0,Data_Entry!AB510/Data_Entry!$H510),0)</f>
        <v>0.48568306062733879</v>
      </c>
      <c r="X521" s="49">
        <f>IFERROR(IF(Data_Entry!AC510/Data_Entry!$I510&lt;0,0,Data_Entry!AC510/Data_Entry!$I510),0)</f>
        <v>0.60032449972958357</v>
      </c>
      <c r="Y521" s="49">
        <f>IFERROR(IF(Data_Entry!AD510/Data_Entry!$I510&lt;0,0,Data_Entry!AD510/Data_Entry!$I510),0)</f>
        <v>0.37699233289854611</v>
      </c>
      <c r="Z521" s="49">
        <f>IFERROR(IF(Data_Entry!AE510/Data_Entry!$I510&lt;0,0,Data_Entry!AE510/Data_Entry!$I510),0)</f>
        <v>0.19851748162758884</v>
      </c>
      <c r="AA521" s="49">
        <f>IFERROR(IF(Data_Entry!AF510/Data_Entry!$I510&lt;0,0,Data_Entry!AF510/Data_Entry!$I510),0)</f>
        <v>8.589698724270671E-2</v>
      </c>
      <c r="AB521" s="49">
        <f>IFERROR(IF(Data_Entry!AG510/Data_Entry!$I510&lt;0,0,Data_Entry!AG510/Data_Entry!$I510),0)</f>
        <v>6.2036713008621513E-2</v>
      </c>
      <c r="AC521" s="49">
        <f>IFERROR(IF(Data_Entry!AI510/Data_Entry!$I510&lt;0,0,Data_Entry!AI510/Data_Entry!$I510),0)</f>
        <v>5.1729074539496711E-2</v>
      </c>
      <c r="AD521" s="49">
        <f>IFERROR(IF(Data_Entry!AM510/Data_Entry!$H510&lt;0,0,Data_Entry!AM510/Data_Entry!$H510),0)</f>
        <v>0.81056564847941004</v>
      </c>
      <c r="AE521" s="50">
        <f>Data_Entry!AK510</f>
        <v>0</v>
      </c>
      <c r="AF521" s="50">
        <f>Data_Entry!AL510</f>
        <v>165</v>
      </c>
      <c r="AG521" s="153">
        <f>(Data_Entry!O510-Data_Entry!Q510)/Data_Entry!O510</f>
        <v>0.13825363825363826</v>
      </c>
      <c r="AH521" s="79" t="str">
        <f t="shared" si="14"/>
        <v>CAT2</v>
      </c>
      <c r="AI521" s="51">
        <f>SUBTOTAL(3,Tableau1[[#This Row],[ZS]])</f>
        <v>0</v>
      </c>
      <c r="AJ521" s="51" t="e">
        <f t="shared" ca="1" si="15"/>
        <v>#NAME?</v>
      </c>
      <c r="AK521" s="50" t="str">
        <f>IFERROR(IF((Data_Entry!O510-Data_Entry!Q510)/Data_Entry!O510&lt;=10%,"&lt;=10%","&gt;10%"),"&lt;=10%")</f>
        <v>&gt;10%</v>
      </c>
    </row>
    <row r="522" spans="1:37" s="48" customFormat="1" ht="13" hidden="1" x14ac:dyDescent="0.3">
      <c r="A522" s="31" t="s">
        <v>16</v>
      </c>
      <c r="B522" s="48" t="str">
        <f>Data_Entry!B511</f>
        <v>Butembo</v>
      </c>
      <c r="C522" s="48" t="str">
        <f>Data_Entry!C511</f>
        <v xml:space="preserve"> Mutwanga</v>
      </c>
      <c r="D522" s="48" t="str">
        <f>Data_Entry!D511</f>
        <v xml:space="preserve"> Loulo</v>
      </c>
      <c r="E522" s="49">
        <f>IFERROR(IF(Data_Entry!J511/Data_Entry!$I511&lt;0,0,Data_Entry!J511/Data_Entry!$I511),0)</f>
        <v>0.63235418606619831</v>
      </c>
      <c r="F522" s="49">
        <f>IFERROR(IF(Data_Entry!K511/Data_Entry!$H511&lt;0,0,Data_Entry!K511/Data_Entry!$H511),0)</f>
        <v>0.10187407055070455</v>
      </c>
      <c r="G522" s="49">
        <f>IFERROR(IF(Data_Entry!L511/Data_Entry!$H511&lt;0,0,Data_Entry!L511/Data_Entry!$H511),0)</f>
        <v>0.39585353128273765</v>
      </c>
      <c r="H522" s="49">
        <f>IFERROR(IF(Data_Entry!M511/Data_Entry!$H511&lt;0,0,Data_Entry!M511/Data_Entry!$H511),0)</f>
        <v>0.37547871717259673</v>
      </c>
      <c r="I522" s="49">
        <f>IFERROR(IF(Data_Entry!N511/Data_Entry!$H511&lt;0,0,Data_Entry!N511/Data_Entry!$H511),0)</f>
        <v>0.43369247177299936</v>
      </c>
      <c r="J522" s="49">
        <f>IFERROR(IF(Data_Entry!O511/Data_Entry!$H511&lt;0,0,Data_Entry!O511/Data_Entry!$H511),0)</f>
        <v>0.42496040858293893</v>
      </c>
      <c r="K522" s="49">
        <f>IFERROR(IF(Data_Entry!P511/Data_Entry!$H511&lt;0,0,Data_Entry!P511/Data_Entry!$H511),0)</f>
        <v>0.40167490674277789</v>
      </c>
      <c r="L522" s="49">
        <f>IFERROR(IF(Data_Entry!Q511/Data_Entry!$H511&lt;0,0,Data_Entry!Q511/Data_Entry!$H511),0)</f>
        <v>0.45406728588314027</v>
      </c>
      <c r="M522" s="49">
        <f>IFERROR(IF(Data_Entry!R511/Data_Entry!$H511&lt;0,0,Data_Entry!R511/Data_Entry!$H511),0)</f>
        <v>0.42496040858293893</v>
      </c>
      <c r="N522" s="49">
        <f>IFERROR(IF(Data_Entry!S511/Data_Entry!$H511&lt;0,0,Data_Entry!S511/Data_Entry!$H511),0)</f>
        <v>0.40167490674277789</v>
      </c>
      <c r="O522" s="49">
        <f>IFERROR(IF(Data_Entry!T511/Data_Entry!$H511&lt;0,0,Data_Entry!T511/Data_Entry!$H511),0)</f>
        <v>0.45406728588314027</v>
      </c>
      <c r="P522" s="49">
        <f>IFERROR(IF(Data_Entry!U511/Data_Entry!$H511&lt;0,0,Data_Entry!U511/Data_Entry!$H511),0)</f>
        <v>0.42496040858293893</v>
      </c>
      <c r="Q522" s="49">
        <f>IFERROR(IF(Data_Entry!V511/Data_Entry!$H511&lt;0,0,Data_Entry!V511/Data_Entry!$H511),0)</f>
        <v>0.40167490674277789</v>
      </c>
      <c r="R522" s="49">
        <f>IFERROR(IF(Data_Entry!W511/Data_Entry!$H511&lt;0,0,Data_Entry!W511/Data_Entry!$H511),0)</f>
        <v>0.45406728588314027</v>
      </c>
      <c r="S522" s="49">
        <f>IFERROR(IF(Data_Entry!X511/Data_Entry!$H511&lt;0,0,Data_Entry!X511/Data_Entry!$H511),0)</f>
        <v>0.22121226748152986</v>
      </c>
      <c r="T522" s="49">
        <f>IFERROR(IF(Data_Entry!Y511/Data_Entry!$H511&lt;0,0,Data_Entry!Y511/Data_Entry!$H511),0)</f>
        <v>0</v>
      </c>
      <c r="U522" s="49">
        <f>IFERROR(IF(Data_Entry!Z511/Data_Entry!$H511&lt;0,0,Data_Entry!Z511/Data_Entry!$H511),0)</f>
        <v>0.19792676564136882</v>
      </c>
      <c r="V522" s="49">
        <f>IFERROR(IF(Data_Entry!AA511/Data_Entry!$H511&lt;0,0,Data_Entry!AA511/Data_Entry!$H511),0)</f>
        <v>0.45697797361316039</v>
      </c>
      <c r="W522" s="49">
        <f>IFERROR(IF(Data_Entry!AB511/Data_Entry!$H511&lt;0,0,Data_Entry!AB511/Data_Entry!$H511),0)</f>
        <v>2.9106877300201298E-2</v>
      </c>
      <c r="X522" s="49">
        <f>IFERROR(IF(Data_Entry!AC511/Data_Entry!$I511&lt;0,0,Data_Entry!AC511/Data_Entry!$I511),0)</f>
        <v>9.1424701599932282E-2</v>
      </c>
      <c r="Y522" s="49">
        <f>IFERROR(IF(Data_Entry!AD511/Data_Entry!$I511&lt;0,0,Data_Entry!AD511/Data_Entry!$I511),0)</f>
        <v>6.8568526199949215E-2</v>
      </c>
      <c r="Z522" s="49">
        <f>IFERROR(IF(Data_Entry!AE511/Data_Entry!$I511&lt;0,0,Data_Entry!AE511/Data_Entry!$I511),0)</f>
        <v>3.5554050622195889E-2</v>
      </c>
      <c r="AA522" s="49">
        <f>IFERROR(IF(Data_Entry!AF511/Data_Entry!$I511&lt;0,0,Data_Entry!AF511/Data_Entry!$I511),0)</f>
        <v>1.0158300177770254E-2</v>
      </c>
      <c r="AB522" s="49">
        <f>IFERROR(IF(Data_Entry!AG511/Data_Entry!$I511&lt;0,0,Data_Entry!AG511/Data_Entry!$I511),0)</f>
        <v>1.523745026665538E-2</v>
      </c>
      <c r="AC522" s="49">
        <f>IFERROR(IF(Data_Entry!AI511/Data_Entry!$I511&lt;0,0,Data_Entry!AI511/Data_Entry!$I511),0)</f>
        <v>8.4567848979937355E-2</v>
      </c>
      <c r="AD522" s="49">
        <f>IFERROR(IF(Data_Entry!AM511/Data_Entry!$H511&lt;0,0,Data_Entry!AM511/Data_Entry!$H511),0)</f>
        <v>0.19792676564136882</v>
      </c>
      <c r="AE522" s="50">
        <f>Data_Entry!AK511</f>
        <v>197.56141666666667</v>
      </c>
      <c r="AF522" s="50">
        <f>Data_Entry!AL511</f>
        <v>70</v>
      </c>
      <c r="AG522" s="153">
        <f>(Data_Entry!O511-Data_Entry!Q511)/Data_Entry!O511</f>
        <v>-6.8493150684931503E-2</v>
      </c>
      <c r="AH522" s="79" t="str">
        <f t="shared" si="14"/>
        <v>CAT3</v>
      </c>
      <c r="AI522" s="51">
        <f>SUBTOTAL(3,Tableau1[[#This Row],[ZS]])</f>
        <v>0</v>
      </c>
      <c r="AJ522" s="51" t="e">
        <f t="shared" ca="1" si="15"/>
        <v>#NAME?</v>
      </c>
      <c r="AK522" s="50" t="str">
        <f>IFERROR(IF((Data_Entry!O511-Data_Entry!Q511)/Data_Entry!O511&lt;=10%,"&lt;=10%","&gt;10%"),"&lt;=10%")</f>
        <v>&lt;=10%</v>
      </c>
    </row>
    <row r="523" spans="1:37" s="48" customFormat="1" ht="13" hidden="1" x14ac:dyDescent="0.3">
      <c r="A523" s="31" t="s">
        <v>16</v>
      </c>
      <c r="B523" s="48" t="str">
        <f>Data_Entry!B512</f>
        <v>Butembo</v>
      </c>
      <c r="C523" s="48" t="str">
        <f>Data_Entry!C512</f>
        <v xml:space="preserve"> Mutwanga</v>
      </c>
      <c r="D523" s="48" t="str">
        <f>Data_Entry!D512</f>
        <v xml:space="preserve"> Lubiriha</v>
      </c>
      <c r="E523" s="49">
        <f>IFERROR(IF(Data_Entry!J512/Data_Entry!$I512&lt;0,0,Data_Entry!J512/Data_Entry!$I512),0)</f>
        <v>1.1537643555933643</v>
      </c>
      <c r="F523" s="49">
        <f>IFERROR(IF(Data_Entry!K512/Data_Entry!$H512&lt;0,0,Data_Entry!K512/Data_Entry!$H512),0)</f>
        <v>0.92626560178623019</v>
      </c>
      <c r="G523" s="49">
        <f>IFERROR(IF(Data_Entry!L512/Data_Entry!$H512&lt;0,0,Data_Entry!L512/Data_Entry!$H512),0)</f>
        <v>1.5466198008772711</v>
      </c>
      <c r="H523" s="49">
        <f>IFERROR(IF(Data_Entry!M512/Data_Entry!$H512&lt;0,0,Data_Entry!M512/Data_Entry!$H512),0)</f>
        <v>1.47836865127197</v>
      </c>
      <c r="I523" s="49">
        <f>IFERROR(IF(Data_Entry!N512/Data_Entry!$H512&lt;0,0,Data_Entry!N512/Data_Entry!$H512),0)</f>
        <v>1.4625246343993108</v>
      </c>
      <c r="J523" s="49">
        <f>IFERROR(IF(Data_Entry!O512/Data_Entry!$H512&lt;0,0,Data_Entry!O512/Data_Entry!$H512),0)</f>
        <v>1.4040236490233384</v>
      </c>
      <c r="K523" s="49">
        <f>IFERROR(IF(Data_Entry!P512/Data_Entry!$H512&lt;0,0,Data_Entry!P512/Data_Entry!$H512),0)</f>
        <v>1.279709055099397</v>
      </c>
      <c r="L523" s="49">
        <f>IFERROR(IF(Data_Entry!Q512/Data_Entry!$H512&lt;0,0,Data_Entry!Q512/Data_Entry!$H512),0)</f>
        <v>1.3162721709593797</v>
      </c>
      <c r="M523" s="49">
        <f>IFERROR(IF(Data_Entry!R512/Data_Entry!$H512&lt;0,0,Data_Entry!R512/Data_Entry!$H512),0)</f>
        <v>1.4040236490233384</v>
      </c>
      <c r="N523" s="49">
        <f>IFERROR(IF(Data_Entry!S512/Data_Entry!$H512&lt;0,0,Data_Entry!S512/Data_Entry!$H512),0)</f>
        <v>1.3552728278766948</v>
      </c>
      <c r="O523" s="49">
        <f>IFERROR(IF(Data_Entry!T512/Data_Entry!$H512&lt;0,0,Data_Entry!T512/Data_Entry!$H512),0)</f>
        <v>1.3199284825453781</v>
      </c>
      <c r="P523" s="49">
        <f>IFERROR(IF(Data_Entry!U512/Data_Entry!$H512&lt;0,0,Data_Entry!U512/Data_Entry!$H512),0)</f>
        <v>1.4588683228133126</v>
      </c>
      <c r="Q523" s="49">
        <f>IFERROR(IF(Data_Entry!V512/Data_Entry!$H512&lt;0,0,Data_Entry!V512/Data_Entry!$H512),0)</f>
        <v>1.4174301248386654</v>
      </c>
      <c r="R523" s="49">
        <f>IFERROR(IF(Data_Entry!W512/Data_Entry!$H512&lt;0,0,Data_Entry!W512/Data_Entry!$H512),0)</f>
        <v>1.3820857795073487</v>
      </c>
      <c r="S523" s="49">
        <f>IFERROR(IF(Data_Entry!X512/Data_Entry!$H512&lt;0,0,Data_Entry!X512/Data_Entry!$H512),0)</f>
        <v>1.1261439684874692</v>
      </c>
      <c r="T523" s="49">
        <f>IFERROR(IF(Data_Entry!Y512/Data_Entry!$H512&lt;0,0,Data_Entry!Y512/Data_Entry!$H512),0)</f>
        <v>0.25716058154854549</v>
      </c>
      <c r="U523" s="49">
        <f>IFERROR(IF(Data_Entry!Z512/Data_Entry!$H512&lt;0,0,Data_Entry!Z512/Data_Entry!$H512),0)</f>
        <v>1.1334565916594659</v>
      </c>
      <c r="V523" s="49">
        <f>IFERROR(IF(Data_Entry!AA512/Data_Entry!$H512&lt;0,0,Data_Entry!AA512/Data_Entry!$H512),0)</f>
        <v>1.4698372575713075</v>
      </c>
      <c r="W523" s="49">
        <f>IFERROR(IF(Data_Entry!AB512/Data_Entry!$H512&lt;0,0,Data_Entry!AB512/Data_Entry!$H512),0)</f>
        <v>0.54722796737107549</v>
      </c>
      <c r="X523" s="49">
        <f>IFERROR(IF(Data_Entry!AC512/Data_Entry!$I512&lt;0,0,Data_Entry!AC512/Data_Entry!$I512),0)</f>
        <v>0.56146320714589526</v>
      </c>
      <c r="Y523" s="49">
        <f>IFERROR(IF(Data_Entry!AD512/Data_Entry!$I512&lt;0,0,Data_Entry!AD512/Data_Entry!$I512),0)</f>
        <v>0.50829434283283703</v>
      </c>
      <c r="Z523" s="49">
        <f>IFERROR(IF(Data_Entry!AE512/Data_Entry!$I512&lt;0,0,Data_Entry!AE512/Data_Entry!$I512),0)</f>
        <v>0.22968949383241172</v>
      </c>
      <c r="AA523" s="49">
        <f>IFERROR(IF(Data_Entry!AF512/Data_Entry!$I512&lt;0,0,Data_Entry!AF512/Data_Entry!$I512),0)</f>
        <v>0.1446193109315185</v>
      </c>
      <c r="AB523" s="49">
        <f>IFERROR(IF(Data_Entry!AG512/Data_Entry!$I512&lt;0,0,Data_Entry!AG512/Data_Entry!$I512),0)</f>
        <v>8.1880051042109728E-2</v>
      </c>
      <c r="AC523" s="49">
        <f>IFERROR(IF(Data_Entry!AI512/Data_Entry!$I512&lt;0,0,Data_Entry!AI512/Data_Entry!$I512),0)</f>
        <v>6.1994895789025936E-2</v>
      </c>
      <c r="AD523" s="49">
        <f>IFERROR(IF(Data_Entry!AM512/Data_Entry!$H512&lt;0,0,Data_Entry!AM512/Data_Entry!$H512),0)</f>
        <v>1.1261439684874692</v>
      </c>
      <c r="AE523" s="50">
        <f>Data_Entry!AK512</f>
        <v>0</v>
      </c>
      <c r="AF523" s="50">
        <f>Data_Entry!AL512</f>
        <v>228</v>
      </c>
      <c r="AG523" s="153">
        <f>(Data_Entry!O512-Data_Entry!Q512)/Data_Entry!O512</f>
        <v>6.25E-2</v>
      </c>
      <c r="AH523" s="79" t="str">
        <f t="shared" si="14"/>
        <v>CAT1</v>
      </c>
      <c r="AI523" s="51">
        <f>SUBTOTAL(3,Tableau1[[#This Row],[ZS]])</f>
        <v>0</v>
      </c>
      <c r="AJ523" s="51" t="e">
        <f t="shared" ca="1" si="15"/>
        <v>#NAME?</v>
      </c>
      <c r="AK523" s="50" t="str">
        <f>IFERROR(IF((Data_Entry!O512-Data_Entry!Q512)/Data_Entry!O512&lt;=10%,"&lt;=10%","&gt;10%"),"&lt;=10%")</f>
        <v>&lt;=10%</v>
      </c>
    </row>
    <row r="524" spans="1:37" s="48" customFormat="1" ht="13" hidden="1" x14ac:dyDescent="0.3">
      <c r="A524" s="31" t="s">
        <v>16</v>
      </c>
      <c r="B524" s="48" t="str">
        <f>Data_Entry!B513</f>
        <v>Butembo</v>
      </c>
      <c r="C524" s="48" t="str">
        <f>Data_Entry!C513</f>
        <v xml:space="preserve"> Mutwanga</v>
      </c>
      <c r="D524" s="48" t="str">
        <f>Data_Entry!D513</f>
        <v xml:space="preserve"> Lume</v>
      </c>
      <c r="E524" s="49">
        <f>IFERROR(IF(Data_Entry!J513/Data_Entry!$I513&lt;0,0,Data_Entry!J513/Data_Entry!$I513),0)</f>
        <v>0.87166530430259359</v>
      </c>
      <c r="F524" s="49">
        <f>IFERROR(IF(Data_Entry!K513/Data_Entry!$H513&lt;0,0,Data_Entry!K513/Data_Entry!$H513),0)</f>
        <v>0.3142770573702548</v>
      </c>
      <c r="G524" s="49">
        <f>IFERROR(IF(Data_Entry!L513/Data_Entry!$H513&lt;0,0,Data_Entry!L513/Data_Entry!$H513),0)</f>
        <v>1.1753450926042048</v>
      </c>
      <c r="H524" s="49">
        <f>IFERROR(IF(Data_Entry!M513/Data_Entry!$H513&lt;0,0,Data_Entry!M513/Data_Entry!$H513),0)</f>
        <v>1.0782513675629879</v>
      </c>
      <c r="I524" s="49">
        <f>IFERROR(IF(Data_Entry!N513/Data_Entry!$H513&lt;0,0,Data_Entry!N513/Data_Entry!$H513),0)</f>
        <v>0.96071685830256748</v>
      </c>
      <c r="J524" s="49">
        <f>IFERROR(IF(Data_Entry!O513/Data_Entry!$H513&lt;0,0,Data_Entry!O513/Data_Entry!$H513),0)</f>
        <v>0.93005568197376209</v>
      </c>
      <c r="K524" s="49">
        <f>IFERROR(IF(Data_Entry!P513/Data_Entry!$H513&lt;0,0,Data_Entry!P513/Data_Entry!$H513),0)</f>
        <v>0.72309274175432603</v>
      </c>
      <c r="L524" s="49">
        <f>IFERROR(IF(Data_Entry!Q513/Data_Entry!$H513&lt;0,0,Data_Entry!Q513/Data_Entry!$H513),0)</f>
        <v>0.63110921276790999</v>
      </c>
      <c r="M524" s="49">
        <f>IFERROR(IF(Data_Entry!R513/Data_Entry!$H513&lt;0,0,Data_Entry!R513/Data_Entry!$H513),0)</f>
        <v>1.1063574458643928</v>
      </c>
      <c r="N524" s="49">
        <f>IFERROR(IF(Data_Entry!S513/Data_Entry!$H513&lt;0,0,Data_Entry!S513/Data_Entry!$H513),0)</f>
        <v>0.97604744646697017</v>
      </c>
      <c r="O524" s="49">
        <f>IFERROR(IF(Data_Entry!T513/Data_Entry!$H513&lt;0,0,Data_Entry!T513/Data_Entry!$H513),0)</f>
        <v>0.86617823128875104</v>
      </c>
      <c r="P524" s="49">
        <f>IFERROR(IF(Data_Entry!U513/Data_Entry!$H513&lt;0,0,Data_Entry!U513/Data_Entry!$H513),0)</f>
        <v>1.0143739168779768</v>
      </c>
      <c r="Q524" s="49">
        <f>IFERROR(IF(Data_Entry!V513/Data_Entry!$H513&lt;0,0,Data_Entry!V513/Data_Entry!$H513),0)</f>
        <v>0.88917411353535503</v>
      </c>
      <c r="R524" s="49">
        <f>IFERROR(IF(Data_Entry!W513/Data_Entry!$H513&lt;0,0,Data_Entry!W513/Data_Entry!$H513),0)</f>
        <v>0.78185999638453629</v>
      </c>
      <c r="S524" s="49">
        <f>IFERROR(IF(Data_Entry!X513/Data_Entry!$H513&lt;0,0,Data_Entry!X513/Data_Entry!$H513),0)</f>
        <v>1.0910268576999902</v>
      </c>
      <c r="T524" s="49">
        <f>IFERROR(IF(Data_Entry!Y513/Data_Entry!$H513&lt;0,0,Data_Entry!Y513/Data_Entry!$H513),0)</f>
        <v>2.0440784219203565E-2</v>
      </c>
      <c r="U524" s="49">
        <f>IFERROR(IF(Data_Entry!Z513/Data_Entry!$H513&lt;0,0,Data_Entry!Z513/Data_Entry!$H513),0)</f>
        <v>1.0910268576999902</v>
      </c>
      <c r="V524" s="49">
        <f>IFERROR(IF(Data_Entry!AA513/Data_Entry!$H513&lt;0,0,Data_Entry!AA513/Data_Entry!$H513),0)</f>
        <v>0.85340274115174874</v>
      </c>
      <c r="W524" s="49">
        <f>IFERROR(IF(Data_Entry!AB513/Data_Entry!$H513&lt;0,0,Data_Entry!AB513/Data_Entry!$H513),0)</f>
        <v>0.28106078301404902</v>
      </c>
      <c r="X524" s="49">
        <f>IFERROR(IF(Data_Entry!AC513/Data_Entry!$I513&lt;0,0,Data_Entry!AC513/Data_Entry!$I513),0)</f>
        <v>1.2662554804191128</v>
      </c>
      <c r="Y524" s="49">
        <f>IFERROR(IF(Data_Entry!AD513/Data_Entry!$I513&lt;0,0,Data_Entry!AD513/Data_Entry!$I513),0)</f>
        <v>0.88504124247603488</v>
      </c>
      <c r="Z524" s="49">
        <f>IFERROR(IF(Data_Entry!AE513/Data_Entry!$I513&lt;0,0,Data_Entry!AE513/Data_Entry!$I513),0)</f>
        <v>6.0191721780485999E-2</v>
      </c>
      <c r="AA524" s="49">
        <f>IFERROR(IF(Data_Entry!AF513/Data_Entry!$I513&lt;0,0,Data_Entry!AF513/Data_Entry!$I513),0)</f>
        <v>8.248495206955489E-2</v>
      </c>
      <c r="AB524" s="49">
        <f>IFERROR(IF(Data_Entry!AG513/Data_Entry!$I513&lt;0,0,Data_Entry!AG513/Data_Entry!$I513),0)</f>
        <v>4.0127814520323997E-2</v>
      </c>
      <c r="AC524" s="49">
        <f>IFERROR(IF(Data_Entry!AI513/Data_Entry!$I513&lt;0,0,Data_Entry!AI513/Data_Entry!$I513),0)</f>
        <v>0.1486958460280895</v>
      </c>
      <c r="AD524" s="49">
        <f>IFERROR(IF(Data_Entry!AM513/Data_Entry!$H513&lt;0,0,Data_Entry!AM513/Data_Entry!$H513),0)</f>
        <v>1.0910268576999902</v>
      </c>
      <c r="AE524" s="50">
        <f>Data_Entry!AK513</f>
        <v>27.374416666666662</v>
      </c>
      <c r="AF524" s="50">
        <f>Data_Entry!AL513</f>
        <v>0</v>
      </c>
      <c r="AG524" s="153">
        <f>(Data_Entry!O513-Data_Entry!Q513)/Data_Entry!O513</f>
        <v>0.32142857142857145</v>
      </c>
      <c r="AH524" s="79" t="str">
        <f t="shared" si="14"/>
        <v>CAT2</v>
      </c>
      <c r="AI524" s="51">
        <f>SUBTOTAL(3,Tableau1[[#This Row],[ZS]])</f>
        <v>0</v>
      </c>
      <c r="AJ524" s="51" t="e">
        <f t="shared" ca="1" si="15"/>
        <v>#NAME?</v>
      </c>
      <c r="AK524" s="50" t="str">
        <f>IFERROR(IF((Data_Entry!O513-Data_Entry!Q513)/Data_Entry!O513&lt;=10%,"&lt;=10%","&gt;10%"),"&lt;=10%")</f>
        <v>&gt;10%</v>
      </c>
    </row>
    <row r="525" spans="1:37" s="48" customFormat="1" ht="13" hidden="1" x14ac:dyDescent="0.3">
      <c r="A525" s="31" t="s">
        <v>16</v>
      </c>
      <c r="B525" s="48" t="str">
        <f>Data_Entry!B514</f>
        <v>Butembo</v>
      </c>
      <c r="C525" s="48" t="str">
        <f>Data_Entry!C514</f>
        <v xml:space="preserve"> Mutwanga</v>
      </c>
      <c r="D525" s="48" t="str">
        <f>Data_Entry!D514</f>
        <v xml:space="preserve"> Manzanga</v>
      </c>
      <c r="E525" s="49">
        <f>IFERROR(IF(Data_Entry!J514/Data_Entry!$I514&lt;0,0,Data_Entry!J514/Data_Entry!$I514),0)</f>
        <v>1.5307471897729779</v>
      </c>
      <c r="F525" s="49">
        <f>IFERROR(IF(Data_Entry!K514/Data_Entry!$H514&lt;0,0,Data_Entry!K514/Data_Entry!$H514),0)</f>
        <v>1.1746777372675354</v>
      </c>
      <c r="G525" s="49">
        <f>IFERROR(IF(Data_Entry!L514/Data_Entry!$H514&lt;0,0,Data_Entry!L514/Data_Entry!$H514),0)</f>
        <v>1.0875242277283312</v>
      </c>
      <c r="H525" s="49">
        <f>IFERROR(IF(Data_Entry!M514/Data_Entry!$H514&lt;0,0,Data_Entry!M514/Data_Entry!$H514),0)</f>
        <v>1.0913135107517749</v>
      </c>
      <c r="I525" s="49">
        <f>IFERROR(IF(Data_Entry!N514/Data_Entry!$H514&lt;0,0,Data_Entry!N514/Data_Entry!$H514),0)</f>
        <v>1.1216277749393242</v>
      </c>
      <c r="J525" s="49">
        <f>IFERROR(IF(Data_Entry!O514/Data_Entry!$H514&lt;0,0,Data_Entry!O514/Data_Entry!$H514),0)</f>
        <v>0.84501011422793681</v>
      </c>
      <c r="K525" s="49">
        <f>IFERROR(IF(Data_Entry!P514/Data_Entry!$H514&lt;0,0,Data_Entry!P514/Data_Entry!$H514),0)</f>
        <v>0.8412208312044932</v>
      </c>
      <c r="L525" s="49">
        <f>IFERROR(IF(Data_Entry!Q514/Data_Entry!$H514&lt;0,0,Data_Entry!Q514/Data_Entry!$H514),0)</f>
        <v>0.79953871794661291</v>
      </c>
      <c r="M525" s="49">
        <f>IFERROR(IF(Data_Entry!R514/Data_Entry!$H514&lt;0,0,Data_Entry!R514/Data_Entry!$H514),0)</f>
        <v>0.95489932190780313</v>
      </c>
      <c r="N525" s="49">
        <f>IFERROR(IF(Data_Entry!S514/Data_Entry!$H514&lt;0,0,Data_Entry!S514/Data_Entry!$H514),0)</f>
        <v>0.94353147283747207</v>
      </c>
      <c r="O525" s="49">
        <f>IFERROR(IF(Data_Entry!T514/Data_Entry!$H514&lt;0,0,Data_Entry!T514/Data_Entry!$H514),0)</f>
        <v>0.95111003888435941</v>
      </c>
      <c r="P525" s="49">
        <f>IFERROR(IF(Data_Entry!U514/Data_Entry!$H514&lt;0,0,Data_Entry!U514/Data_Entry!$H514),0)</f>
        <v>0.83743154818104948</v>
      </c>
      <c r="Q525" s="49">
        <f>IFERROR(IF(Data_Entry!V514/Data_Entry!$H514&lt;0,0,Data_Entry!V514/Data_Entry!$H514),0)</f>
        <v>0.81848513306383119</v>
      </c>
      <c r="R525" s="49">
        <f>IFERROR(IF(Data_Entry!W514/Data_Entry!$H514&lt;0,0,Data_Entry!W514/Data_Entry!$H514),0)</f>
        <v>0.8412208312044932</v>
      </c>
      <c r="S525" s="49">
        <f>IFERROR(IF(Data_Entry!X514/Data_Entry!$H514&lt;0,0,Data_Entry!X514/Data_Entry!$H514),0)</f>
        <v>0.87532437841548616</v>
      </c>
      <c r="T525" s="49">
        <f>IFERROR(IF(Data_Entry!Y514/Data_Entry!$H514&lt;0,0,Data_Entry!Y514/Data_Entry!$H514),0)</f>
        <v>5.6839245351654945E-2</v>
      </c>
      <c r="U525" s="49">
        <f>IFERROR(IF(Data_Entry!Z514/Data_Entry!$H514&lt;0,0,Data_Entry!Z514/Data_Entry!$H514),0)</f>
        <v>0.65175668003231002</v>
      </c>
      <c r="V525" s="49">
        <f>IFERROR(IF(Data_Entry!AA514/Data_Entry!$H514&lt;0,0,Data_Entry!AA514/Data_Entry!$H514),0)</f>
        <v>0.87153509539204255</v>
      </c>
      <c r="W525" s="49">
        <f>IFERROR(IF(Data_Entry!AB514/Data_Entry!$H514&lt;0,0,Data_Entry!AB514/Data_Entry!$H514),0)</f>
        <v>0.65933524607919736</v>
      </c>
      <c r="X525" s="49">
        <f>IFERROR(IF(Data_Entry!AC514/Data_Entry!$I514&lt;0,0,Data_Entry!AC514/Data_Entry!$I514),0)</f>
        <v>0.20167511571523034</v>
      </c>
      <c r="Y525" s="49">
        <f>IFERROR(IF(Data_Entry!AD514/Data_Entry!$I514&lt;0,0,Data_Entry!AD514/Data_Entry!$I514),0)</f>
        <v>0.14216442583204761</v>
      </c>
      <c r="Z525" s="49">
        <f>IFERROR(IF(Data_Entry!AE514/Data_Entry!$I514&lt;0,0,Data_Entry!AE514/Data_Entry!$I514),0)</f>
        <v>0.13555212695613844</v>
      </c>
      <c r="AA525" s="49">
        <f>IFERROR(IF(Data_Entry!AF514/Data_Entry!$I514&lt;0,0,Data_Entry!AF514/Data_Entry!$I514),0)</f>
        <v>9.5878333700683285E-2</v>
      </c>
      <c r="AB525" s="49">
        <f>IFERROR(IF(Data_Entry!AG514/Data_Entry!$I514&lt;0,0,Data_Entry!AG514/Data_Entry!$I514),0)</f>
        <v>6.9429138197046519E-2</v>
      </c>
      <c r="AC525" s="49">
        <f>IFERROR(IF(Data_Entry!AI514/Data_Entry!$I514&lt;0,0,Data_Entry!AI514/Data_Entry!$I514),0)</f>
        <v>0.19274851223275294</v>
      </c>
      <c r="AD525" s="49">
        <f>IFERROR(IF(Data_Entry!AM514/Data_Entry!$H514&lt;0,0,Data_Entry!AM514/Data_Entry!$H514),0)</f>
        <v>0.65175668003231002</v>
      </c>
      <c r="AE525" s="50">
        <f>Data_Entry!AK514</f>
        <v>40.902166666666631</v>
      </c>
      <c r="AF525" s="50">
        <f>Data_Entry!AL514</f>
        <v>0</v>
      </c>
      <c r="AG525" s="153">
        <f>(Data_Entry!O514-Data_Entry!Q514)/Data_Entry!O514</f>
        <v>5.3811659192825115E-2</v>
      </c>
      <c r="AH525" s="79" t="str">
        <f t="shared" si="14"/>
        <v>CAT3</v>
      </c>
      <c r="AI525" s="51">
        <f>SUBTOTAL(3,Tableau1[[#This Row],[ZS]])</f>
        <v>0</v>
      </c>
      <c r="AJ525" s="51" t="e">
        <f t="shared" ca="1" si="15"/>
        <v>#NAME?</v>
      </c>
      <c r="AK525" s="50" t="str">
        <f>IFERROR(IF((Data_Entry!O514-Data_Entry!Q514)/Data_Entry!O514&lt;=10%,"&lt;=10%","&gt;10%"),"&lt;=10%")</f>
        <v>&lt;=10%</v>
      </c>
    </row>
    <row r="526" spans="1:37" s="48" customFormat="1" ht="13" hidden="1" x14ac:dyDescent="0.3">
      <c r="A526" s="31" t="s">
        <v>16</v>
      </c>
      <c r="B526" s="48" t="str">
        <f>Data_Entry!B515</f>
        <v>Butembo</v>
      </c>
      <c r="C526" s="48" t="str">
        <f>Data_Entry!C515</f>
        <v xml:space="preserve"> Mutwanga</v>
      </c>
      <c r="D526" s="48" t="str">
        <f>Data_Entry!D515</f>
        <v xml:space="preserve"> Masambo</v>
      </c>
      <c r="E526" s="49">
        <f>IFERROR(IF(Data_Entry!J515/Data_Entry!$I515&lt;0,0,Data_Entry!J515/Data_Entry!$I515),0)</f>
        <v>0.2798708288482239</v>
      </c>
      <c r="F526" s="49">
        <f>IFERROR(IF(Data_Entry!K515/Data_Entry!$H515&lt;0,0,Data_Entry!K515/Data_Entry!$H515),0)</f>
        <v>6.4770634844750957E-2</v>
      </c>
      <c r="G526" s="49">
        <f>IFERROR(IF(Data_Entry!L515/Data_Entry!$H515&lt;0,0,Data_Entry!L515/Data_Entry!$H515),0)</f>
        <v>0.39479244095848204</v>
      </c>
      <c r="H526" s="49">
        <f>IFERROR(IF(Data_Entry!M515/Data_Entry!$H515&lt;0,0,Data_Entry!M515/Data_Entry!$H515),0)</f>
        <v>0.38091301920603537</v>
      </c>
      <c r="I526" s="49">
        <f>IFERROR(IF(Data_Entry!N515/Data_Entry!$H515&lt;0,0,Data_Entry!N515/Data_Entry!$H515),0)</f>
        <v>0.41329833662841087</v>
      </c>
      <c r="J526" s="49">
        <f>IFERROR(IF(Data_Entry!O515/Data_Entry!$H515&lt;0,0,Data_Entry!O515/Data_Entry!$H515),0)</f>
        <v>0.53821313240043056</v>
      </c>
      <c r="K526" s="49">
        <f>IFERROR(IF(Data_Entry!P515/Data_Entry!$H515&lt;0,0,Data_Entry!P515/Data_Entry!$H515),0)</f>
        <v>0.38708165109601167</v>
      </c>
      <c r="L526" s="49">
        <f>IFERROR(IF(Data_Entry!Q515/Data_Entry!$H515&lt;0,0,Data_Entry!Q515/Data_Entry!$H515),0)</f>
        <v>0.40404538879344642</v>
      </c>
      <c r="M526" s="49">
        <f>IFERROR(IF(Data_Entry!R515/Data_Entry!$H515&lt;0,0,Data_Entry!R515/Data_Entry!$H515),0)</f>
        <v>0.4749846555281737</v>
      </c>
      <c r="N526" s="49">
        <f>IFERROR(IF(Data_Entry!S515/Data_Entry!$H515&lt;0,0,Data_Entry!S515/Data_Entry!$H515),0)</f>
        <v>0.42871991635335155</v>
      </c>
      <c r="O526" s="49">
        <f>IFERROR(IF(Data_Entry!T515/Data_Entry!$H515&lt;0,0,Data_Entry!T515/Data_Entry!$H515),0)</f>
        <v>0.41484049460090494</v>
      </c>
      <c r="P526" s="49">
        <f>IFERROR(IF(Data_Entry!U515/Data_Entry!$H515&lt;0,0,Data_Entry!U515/Data_Entry!$H515),0)</f>
        <v>0.38091301920603537</v>
      </c>
      <c r="Q526" s="49">
        <f>IFERROR(IF(Data_Entry!V515/Data_Entry!$H515&lt;0,0,Data_Entry!V515/Data_Entry!$H515),0)</f>
        <v>0.25599822343401568</v>
      </c>
      <c r="R526" s="49">
        <f>IFERROR(IF(Data_Entry!W515/Data_Entry!$H515&lt;0,0,Data_Entry!W515/Data_Entry!$H515),0)</f>
        <v>0.32539533219624883</v>
      </c>
      <c r="S526" s="49">
        <f>IFERROR(IF(Data_Entry!X515/Data_Entry!$H515&lt;0,0,Data_Entry!X515/Data_Entry!$H515),0)</f>
        <v>0.51508076281301951</v>
      </c>
      <c r="T526" s="49">
        <f>IFERROR(IF(Data_Entry!Y515/Data_Entry!$H515&lt;0,0,Data_Entry!Y515/Data_Entry!$H515),0)</f>
        <v>1.5421579724940704E-2</v>
      </c>
      <c r="U526" s="49">
        <f>IFERROR(IF(Data_Entry!Z515/Data_Entry!$H515&lt;0,0,Data_Entry!Z515/Data_Entry!$H515),0)</f>
        <v>0.41175617865591679</v>
      </c>
      <c r="V526" s="49">
        <f>IFERROR(IF(Data_Entry!AA515/Data_Entry!$H515&lt;0,0,Data_Entry!AA515/Data_Entry!$H515),0)</f>
        <v>0.70476619342979019</v>
      </c>
      <c r="W526" s="49">
        <f>IFERROR(IF(Data_Entry!AB515/Data_Entry!$H515&lt;0,0,Data_Entry!AB515/Data_Entry!$H515),0)</f>
        <v>0.32076885827876667</v>
      </c>
      <c r="X526" s="49">
        <f>IFERROR(IF(Data_Entry!AC515/Data_Entry!$I515&lt;0,0,Data_Entry!AC515/Data_Entry!$I515),0)</f>
        <v>0.20855758880516684</v>
      </c>
      <c r="Y526" s="49">
        <f>IFERROR(IF(Data_Entry!AD515/Data_Entry!$I515&lt;0,0,Data_Entry!AD515/Data_Entry!$I515),0)</f>
        <v>0.11033369214208825</v>
      </c>
      <c r="Z526" s="49">
        <f>IFERROR(IF(Data_Entry!AE515/Data_Entry!$I515&lt;0,0,Data_Entry!AE515/Data_Entry!$I515),0)</f>
        <v>4.0365984930032291E-3</v>
      </c>
      <c r="AA526" s="49">
        <f>IFERROR(IF(Data_Entry!AF515/Data_Entry!$I515&lt;0,0,Data_Entry!AF515/Data_Entry!$I515),0)</f>
        <v>4.0365984930032291E-3</v>
      </c>
      <c r="AB526" s="49">
        <f>IFERROR(IF(Data_Entry!AG515/Data_Entry!$I515&lt;0,0,Data_Entry!AG515/Data_Entry!$I515),0)</f>
        <v>5.3821313240043052E-3</v>
      </c>
      <c r="AC526" s="49">
        <f>IFERROR(IF(Data_Entry!AI515/Data_Entry!$I515&lt;0,0,Data_Entry!AI515/Data_Entry!$I515),0)</f>
        <v>8.9747039827771796E-2</v>
      </c>
      <c r="AD526" s="49">
        <f>IFERROR(IF(Data_Entry!AM515/Data_Entry!$H515&lt;0,0,Data_Entry!AM515/Data_Entry!$H515),0)</f>
        <v>0.41175617865591679</v>
      </c>
      <c r="AE526" s="50">
        <f>Data_Entry!AK515</f>
        <v>299.44200000000001</v>
      </c>
      <c r="AF526" s="50">
        <f>Data_Entry!AL515</f>
        <v>15</v>
      </c>
      <c r="AG526" s="153">
        <f>(Data_Entry!O515-Data_Entry!Q515)/Data_Entry!O515</f>
        <v>0.24928366762177651</v>
      </c>
      <c r="AH526" s="79" t="str">
        <f t="shared" si="14"/>
        <v>CAT4</v>
      </c>
      <c r="AI526" s="51">
        <f>SUBTOTAL(3,Tableau1[[#This Row],[ZS]])</f>
        <v>0</v>
      </c>
      <c r="AJ526" s="51" t="e">
        <f t="shared" ca="1" si="15"/>
        <v>#NAME?</v>
      </c>
      <c r="AK526" s="50" t="str">
        <f>IFERROR(IF((Data_Entry!O515-Data_Entry!Q515)/Data_Entry!O515&lt;=10%,"&lt;=10%","&gt;10%"),"&lt;=10%")</f>
        <v>&gt;10%</v>
      </c>
    </row>
    <row r="527" spans="1:37" s="48" customFormat="1" ht="13" hidden="1" x14ac:dyDescent="0.3">
      <c r="A527" s="31" t="s">
        <v>16</v>
      </c>
      <c r="B527" s="48" t="str">
        <f>Data_Entry!B516</f>
        <v>Butembo</v>
      </c>
      <c r="C527" s="48" t="str">
        <f>Data_Entry!C516</f>
        <v xml:space="preserve"> Mutwanga</v>
      </c>
      <c r="D527" s="48" t="str">
        <f>Data_Entry!D516</f>
        <v xml:space="preserve"> Muramba</v>
      </c>
      <c r="E527" s="49">
        <f>IFERROR(IF(Data_Entry!J516/Data_Entry!$I516&lt;0,0,Data_Entry!J516/Data_Entry!$I516),0)</f>
        <v>0.70381851486543612</v>
      </c>
      <c r="F527" s="49">
        <f>IFERROR(IF(Data_Entry!K516/Data_Entry!$H516&lt;0,0,Data_Entry!K516/Data_Entry!$H516),0)</f>
        <v>0.18894944512250017</v>
      </c>
      <c r="G527" s="49">
        <f>IFERROR(IF(Data_Entry!L516/Data_Entry!$H516&lt;0,0,Data_Entry!L516/Data_Entry!$H516),0)</f>
        <v>0.81878092886416742</v>
      </c>
      <c r="H527" s="49">
        <f>IFERROR(IF(Data_Entry!M516/Data_Entry!$H516&lt;0,0,Data_Entry!M516/Data_Entry!$H516),0)</f>
        <v>0.71703891995205193</v>
      </c>
      <c r="I527" s="49">
        <f>IFERROR(IF(Data_Entry!N516/Data_Entry!$H516&lt;0,0,Data_Entry!N516/Data_Entry!$H516),0)</f>
        <v>0.77759963954259692</v>
      </c>
      <c r="J527" s="49">
        <f>IFERROR(IF(Data_Entry!O516/Data_Entry!$H516&lt;0,0,Data_Entry!O516/Data_Entry!$H516),0)</f>
        <v>0.83331550156589829</v>
      </c>
      <c r="K527" s="49">
        <f>IFERROR(IF(Data_Entry!P516/Data_Entry!$H516&lt;0,0,Data_Entry!P516/Data_Entry!$H516),0)</f>
        <v>0.74126320778826993</v>
      </c>
      <c r="L527" s="49">
        <f>IFERROR(IF(Data_Entry!Q516/Data_Entry!$H516&lt;0,0,Data_Entry!Q516/Data_Entry!$H516),0)</f>
        <v>0.62740905495804544</v>
      </c>
      <c r="M527" s="49">
        <f>IFERROR(IF(Data_Entry!R516/Data_Entry!$H516&lt;0,0,Data_Entry!R516/Data_Entry!$H516),0)</f>
        <v>0.86480707575298166</v>
      </c>
      <c r="N527" s="49">
        <f>IFERROR(IF(Data_Entry!S516/Data_Entry!$H516&lt;0,0,Data_Entry!S516/Data_Entry!$H516),0)</f>
        <v>0.86965193332022517</v>
      </c>
      <c r="O527" s="49">
        <f>IFERROR(IF(Data_Entry!T516/Data_Entry!$H516&lt;0,0,Data_Entry!T516/Data_Entry!$H516),0)</f>
        <v>0.84058278791676366</v>
      </c>
      <c r="P527" s="49">
        <f>IFERROR(IF(Data_Entry!U516/Data_Entry!$H516&lt;0,0,Data_Entry!U516/Data_Entry!$H516),0)</f>
        <v>1.1167396692496485</v>
      </c>
      <c r="Q527" s="49">
        <f>IFERROR(IF(Data_Entry!V516/Data_Entry!$H516&lt;0,0,Data_Entry!V516/Data_Entry!$H516),0)</f>
        <v>0.78728935467708405</v>
      </c>
      <c r="R527" s="49">
        <f>IFERROR(IF(Data_Entry!W516/Data_Entry!$H516&lt;0,0,Data_Entry!W516/Data_Entry!$H516),0)</f>
        <v>0.78971178346070592</v>
      </c>
      <c r="S527" s="49">
        <f>IFERROR(IF(Data_Entry!X516/Data_Entry!$H516&lt;0,0,Data_Entry!X516/Data_Entry!$H516),0)</f>
        <v>0.87207436210384703</v>
      </c>
      <c r="T527" s="49">
        <f>IFERROR(IF(Data_Entry!Y516/Data_Entry!$H516&lt;0,0,Data_Entry!Y516/Data_Entry!$H516),0)</f>
        <v>5.5715862023301338E-2</v>
      </c>
      <c r="U527" s="49">
        <f>IFERROR(IF(Data_Entry!Z516/Data_Entry!$H516&lt;0,0,Data_Entry!Z516/Data_Entry!$H516),0)</f>
        <v>0.76790992440810968</v>
      </c>
      <c r="V527" s="49">
        <f>IFERROR(IF(Data_Entry!AA516/Data_Entry!$H516&lt;0,0,Data_Entry!AA516/Data_Entry!$H516),0)</f>
        <v>0.97381637101596252</v>
      </c>
      <c r="W527" s="49">
        <f>IFERROR(IF(Data_Entry!AB516/Data_Entry!$H516&lt;0,0,Data_Entry!AB516/Data_Entry!$H516),0)</f>
        <v>0.36336431754326959</v>
      </c>
      <c r="X527" s="49">
        <f>IFERROR(IF(Data_Entry!AC516/Data_Entry!$I516&lt;0,0,Data_Entry!AC516/Data_Entry!$I516),0)</f>
        <v>0.60659433563477527</v>
      </c>
      <c r="Y527" s="49">
        <f>IFERROR(IF(Data_Entry!AD516/Data_Entry!$I516&lt;0,0,Data_Entry!AD516/Data_Entry!$I516),0)</f>
        <v>0.48823446526701425</v>
      </c>
      <c r="Z527" s="49">
        <f>IFERROR(IF(Data_Entry!AE516/Data_Entry!$I516&lt;0,0,Data_Entry!AE516/Data_Entry!$I516),0)</f>
        <v>8.0315626320980701E-2</v>
      </c>
      <c r="AA527" s="49">
        <f>IFERROR(IF(Data_Entry!AF516/Data_Entry!$I516&lt;0,0,Data_Entry!AF516/Data_Entry!$I516),0)</f>
        <v>8.2429195434690711E-2</v>
      </c>
      <c r="AB527" s="49">
        <f>IFERROR(IF(Data_Entry!AG516/Data_Entry!$I516&lt;0,0,Data_Entry!AG516/Data_Entry!$I516),0)</f>
        <v>4.4384951387910383E-2</v>
      </c>
      <c r="AC527" s="49">
        <f>IFERROR(IF(Data_Entry!AI516/Data_Entry!$I516&lt;0,0,Data_Entry!AI516/Data_Entry!$I516),0)</f>
        <v>0.10567845568550092</v>
      </c>
      <c r="AD527" s="49">
        <f>IFERROR(IF(Data_Entry!AM516/Data_Entry!$H516&lt;0,0,Data_Entry!AM516/Data_Entry!$H516),0)</f>
        <v>0.76790992440810968</v>
      </c>
      <c r="AE527" s="50">
        <f>Data_Entry!AK516</f>
        <v>68.808833333333382</v>
      </c>
      <c r="AF527" s="50">
        <f>Data_Entry!AL516</f>
        <v>0</v>
      </c>
      <c r="AG527" s="153">
        <f>(Data_Entry!O516-Data_Entry!Q516)/Data_Entry!O516</f>
        <v>0.24709302325581395</v>
      </c>
      <c r="AH527" s="79" t="str">
        <f t="shared" si="14"/>
        <v>CAT4</v>
      </c>
      <c r="AI527" s="51">
        <f>SUBTOTAL(3,Tableau1[[#This Row],[ZS]])</f>
        <v>0</v>
      </c>
      <c r="AJ527" s="51" t="e">
        <f t="shared" ca="1" si="15"/>
        <v>#NAME?</v>
      </c>
      <c r="AK527" s="50" t="str">
        <f>IFERROR(IF((Data_Entry!O516-Data_Entry!Q516)/Data_Entry!O516&lt;=10%,"&lt;=10%","&gt;10%"),"&lt;=10%")</f>
        <v>&gt;10%</v>
      </c>
    </row>
    <row r="528" spans="1:37" s="48" customFormat="1" ht="13" hidden="1" x14ac:dyDescent="0.3">
      <c r="A528" s="31" t="s">
        <v>16</v>
      </c>
      <c r="B528" s="48" t="str">
        <f>Data_Entry!B517</f>
        <v>Butembo</v>
      </c>
      <c r="C528" s="48" t="str">
        <f>Data_Entry!C517</f>
        <v xml:space="preserve"> Mutwanga</v>
      </c>
      <c r="D528" s="48" t="str">
        <f>Data_Entry!D517</f>
        <v xml:space="preserve"> Mutwanga</v>
      </c>
      <c r="E528" s="49">
        <f>IFERROR(IF(Data_Entry!J517/Data_Entry!$I517&lt;0,0,Data_Entry!J517/Data_Entry!$I517),0)</f>
        <v>0.7531895270789567</v>
      </c>
      <c r="F528" s="49">
        <f>IFERROR(IF(Data_Entry!K517/Data_Entry!$H517&lt;0,0,Data_Entry!K517/Data_Entry!$H517),0)</f>
        <v>0.5161909395570653</v>
      </c>
      <c r="G528" s="49">
        <f>IFERROR(IF(Data_Entry!L517/Data_Entry!$H517&lt;0,0,Data_Entry!L517/Data_Entry!$H517),0)</f>
        <v>0.65713044523817532</v>
      </c>
      <c r="H528" s="49">
        <f>IFERROR(IF(Data_Entry!M517/Data_Entry!$H517&lt;0,0,Data_Entry!M517/Data_Entry!$H517),0)</f>
        <v>1.0094792094409502</v>
      </c>
      <c r="I528" s="49">
        <f>IFERROR(IF(Data_Entry!N517/Data_Entry!$H517&lt;0,0,Data_Entry!N517/Data_Entry!$H517),0)</f>
        <v>0.6483217261331059</v>
      </c>
      <c r="J528" s="49">
        <f>IFERROR(IF(Data_Entry!O517/Data_Entry!$H517&lt;0,0,Data_Entry!O517/Data_Entry!$H517),0)</f>
        <v>0.65713044523817532</v>
      </c>
      <c r="K528" s="49">
        <f>IFERROR(IF(Data_Entry!P517/Data_Entry!$H517&lt;0,0,Data_Entry!P517/Data_Entry!$H517),0)</f>
        <v>1.0094792094409502</v>
      </c>
      <c r="L528" s="49">
        <f>IFERROR(IF(Data_Entry!Q517/Data_Entry!$H517&lt;0,0,Data_Entry!Q517/Data_Entry!$H517),0)</f>
        <v>0.63775126320702269</v>
      </c>
      <c r="M528" s="49">
        <f>IFERROR(IF(Data_Entry!R517/Data_Entry!$H517&lt;0,0,Data_Entry!R517/Data_Entry!$H517),0)</f>
        <v>0.65713044523817532</v>
      </c>
      <c r="N528" s="49">
        <f>IFERROR(IF(Data_Entry!S517/Data_Entry!$H517&lt;0,0,Data_Entry!S517/Data_Entry!$H517),0)</f>
        <v>1.0094792094409502</v>
      </c>
      <c r="O528" s="49">
        <f>IFERROR(IF(Data_Entry!T517/Data_Entry!$H517&lt;0,0,Data_Entry!T517/Data_Entry!$H517),0)</f>
        <v>0.6483217261331059</v>
      </c>
      <c r="P528" s="49">
        <f>IFERROR(IF(Data_Entry!U517/Data_Entry!$H517&lt;0,0,Data_Entry!U517/Data_Entry!$H517),0)</f>
        <v>0.65713044523817532</v>
      </c>
      <c r="Q528" s="49">
        <f>IFERROR(IF(Data_Entry!V517/Data_Entry!$H517&lt;0,0,Data_Entry!V517/Data_Entry!$H517),0)</f>
        <v>1.0094792094409502</v>
      </c>
      <c r="R528" s="49">
        <f>IFERROR(IF(Data_Entry!W517/Data_Entry!$H517&lt;0,0,Data_Entry!W517/Data_Entry!$H517),0)</f>
        <v>0.65536870141716141</v>
      </c>
      <c r="S528" s="49">
        <f>IFERROR(IF(Data_Entry!X517/Data_Entry!$H517&lt;0,0,Data_Entry!X517/Data_Entry!$H517),0)</f>
        <v>0.53204663394619023</v>
      </c>
      <c r="T528" s="49">
        <f>IFERROR(IF(Data_Entry!Y517/Data_Entry!$H517&lt;0,0,Data_Entry!Y517/Data_Entry!$H517),0)</f>
        <v>9.8657653976776991E-2</v>
      </c>
      <c r="U528" s="49">
        <f>IFERROR(IF(Data_Entry!Z517/Data_Entry!$H517&lt;0,0,Data_Entry!Z517/Data_Entry!$H517),0)</f>
        <v>0.4527681620005658</v>
      </c>
      <c r="V528" s="49">
        <f>IFERROR(IF(Data_Entry!AA517/Data_Entry!$H517&lt;0,0,Data_Entry!AA517/Data_Entry!$H517),0)</f>
        <v>0.6483217261331059</v>
      </c>
      <c r="W528" s="49">
        <f>IFERROR(IF(Data_Entry!AB517/Data_Entry!$H517&lt;0,0,Data_Entry!AB517/Data_Entry!$H517),0)</f>
        <v>0.45805339346360746</v>
      </c>
      <c r="X528" s="49">
        <f>IFERROR(IF(Data_Entry!AC517/Data_Entry!$I517&lt;0,0,Data_Entry!AC517/Data_Entry!$I517),0)</f>
        <v>0.32740687605677099</v>
      </c>
      <c r="Y528" s="49">
        <f>IFERROR(IF(Data_Entry!AD517/Data_Entry!$I517&lt;0,0,Data_Entry!AD517/Data_Entry!$I517),0)</f>
        <v>0.25823640928421376</v>
      </c>
      <c r="Z528" s="49">
        <f>IFERROR(IF(Data_Entry!AE517/Data_Entry!$I517&lt;0,0,Data_Entry!AE517/Data_Entry!$I517),0)</f>
        <v>0.17215760618947581</v>
      </c>
      <c r="AA528" s="49">
        <f>IFERROR(IF(Data_Entry!AF517/Data_Entry!$I517&lt;0,0,Data_Entry!AF517/Data_Entry!$I517),0)</f>
        <v>0.14602654096428752</v>
      </c>
      <c r="AB528" s="49">
        <f>IFERROR(IF(Data_Entry!AG517/Data_Entry!$I517&lt;0,0,Data_Entry!AG517/Data_Entry!$I517),0)</f>
        <v>8.3004560127068708E-2</v>
      </c>
      <c r="AC528" s="49">
        <f>IFERROR(IF(Data_Entry!AI517/Data_Entry!$I517&lt;0,0,Data_Entry!AI517/Data_Entry!$I517),0)</f>
        <v>4.4883947327970485E-2</v>
      </c>
      <c r="AD528" s="49">
        <f>IFERROR(IF(Data_Entry!AM517/Data_Entry!$H517&lt;0,0,Data_Entry!AM517/Data_Entry!$H517),0)</f>
        <v>0.4527681620005658</v>
      </c>
      <c r="AE528" s="50">
        <f>Data_Entry!AK517</f>
        <v>194.61941666666667</v>
      </c>
      <c r="AF528" s="50">
        <f>Data_Entry!AL517</f>
        <v>71</v>
      </c>
      <c r="AG528" s="153">
        <f>(Data_Entry!O517-Data_Entry!Q517)/Data_Entry!O517</f>
        <v>2.9490616621983913E-2</v>
      </c>
      <c r="AH528" s="79" t="str">
        <f t="shared" ref="AH528:AH591" si="16">IFERROR(IF(AND(AG528&lt;=10%,J528&gt;=90%),"CAT1",IF(AND(AG528&lt;=10%,J528&lt;90%),"CAT3",IF(AND(AG528&gt;10%,J528&gt;=90%),"CAT2",IF(AND(AG528&gt;10%,J528&lt;90%),"CAT4",)))),"ND")</f>
        <v>CAT3</v>
      </c>
      <c r="AI528" s="51">
        <f>SUBTOTAL(3,Tableau1[[#This Row],[ZS]])</f>
        <v>0</v>
      </c>
      <c r="AJ528" s="51" t="e">
        <f t="shared" ref="AJ528:AJ591" ca="1" si="17">_xlfn.IFS(L528&lt;50%,"&lt;50%",(AND(L528&lt;80%,L528&gt;50%)),"&gt;50%&lt;80%",(AND(L528&gt;=80%,L528&lt;95%)),"&gt;=80%&lt;95%",(AND(L528&gt;=95%,L528&lt;100%)),"95-100%",L528&gt;100%,"&gt;100%")</f>
        <v>#NAME?</v>
      </c>
      <c r="AK528" s="50" t="str">
        <f>IFERROR(IF((Data_Entry!O517-Data_Entry!Q517)/Data_Entry!O517&lt;=10%,"&lt;=10%","&gt;10%"),"&lt;=10%")</f>
        <v>&lt;=10%</v>
      </c>
    </row>
    <row r="529" spans="1:37" s="48" customFormat="1" ht="13" hidden="1" x14ac:dyDescent="0.3">
      <c r="A529" s="31" t="s">
        <v>16</v>
      </c>
      <c r="B529" s="48" t="str">
        <f>Data_Entry!B518</f>
        <v>Butembo</v>
      </c>
      <c r="C529" s="48" t="str">
        <f>Data_Entry!C518</f>
        <v xml:space="preserve"> Mutwanga</v>
      </c>
      <c r="D529" s="48" t="str">
        <f>Data_Entry!D518</f>
        <v xml:space="preserve"> Mwenda</v>
      </c>
      <c r="E529" s="49">
        <f>IFERROR(IF(Data_Entry!J518/Data_Entry!$I518&lt;0,0,Data_Entry!J518/Data_Entry!$I518),0)</f>
        <v>0.71534287123828311</v>
      </c>
      <c r="F529" s="49">
        <f>IFERROR(IF(Data_Entry!K518/Data_Entry!$H518&lt;0,0,Data_Entry!K518/Data_Entry!$H518),0)</f>
        <v>0.33360521215736549</v>
      </c>
      <c r="G529" s="49">
        <f>IFERROR(IF(Data_Entry!L518/Data_Entry!$H518&lt;0,0,Data_Entry!L518/Data_Entry!$H518),0)</f>
        <v>0.60689761759701522</v>
      </c>
      <c r="H529" s="49">
        <f>IFERROR(IF(Data_Entry!M518/Data_Entry!$H518&lt;0,0,Data_Entry!M518/Data_Entry!$H518),0)</f>
        <v>0.61632149364665834</v>
      </c>
      <c r="I529" s="49">
        <f>IFERROR(IF(Data_Entry!N518/Data_Entry!$H518&lt;0,0,Data_Entry!N518/Data_Entry!$H518),0)</f>
        <v>0.60312806717715794</v>
      </c>
      <c r="J529" s="49">
        <f>IFERROR(IF(Data_Entry!O518/Data_Entry!$H518&lt;0,0,Data_Entry!O518/Data_Entry!$H518),0)</f>
        <v>0.62197581927644419</v>
      </c>
      <c r="K529" s="49">
        <f>IFERROR(IF(Data_Entry!P518/Data_Entry!$H518&lt;0,0,Data_Entry!P518/Data_Entry!$H518),0)</f>
        <v>0.57108688860837142</v>
      </c>
      <c r="L529" s="49">
        <f>IFERROR(IF(Data_Entry!Q518/Data_Entry!$H518&lt;0,0,Data_Entry!Q518/Data_Entry!$H518),0)</f>
        <v>0.53716093482965632</v>
      </c>
      <c r="M529" s="49">
        <f>IFERROR(IF(Data_Entry!R518/Data_Entry!$H518&lt;0,0,Data_Entry!R518/Data_Entry!$H518),0)</f>
        <v>0.61066716801687249</v>
      </c>
      <c r="N529" s="49">
        <f>IFERROR(IF(Data_Entry!S518/Data_Entry!$H518&lt;0,0,Data_Entry!S518/Data_Entry!$H518),0)</f>
        <v>0.53150660919987047</v>
      </c>
      <c r="O529" s="49">
        <f>IFERROR(IF(Data_Entry!T518/Data_Entry!$H518&lt;0,0,Data_Entry!T518/Data_Entry!$H518),0)</f>
        <v>0.51265885710058423</v>
      </c>
      <c r="P529" s="49">
        <f>IFERROR(IF(Data_Entry!U518/Data_Entry!$H518&lt;0,0,Data_Entry!U518/Data_Entry!$H518),0)</f>
        <v>0.63516924574594447</v>
      </c>
      <c r="Q529" s="49">
        <f>IFERROR(IF(Data_Entry!V518/Data_Entry!$H518&lt;0,0,Data_Entry!V518/Data_Entry!$H518),0)</f>
        <v>0.57862598944808596</v>
      </c>
      <c r="R529" s="49">
        <f>IFERROR(IF(Data_Entry!W518/Data_Entry!$H518&lt;0,0,Data_Entry!W518/Data_Entry!$H518),0)</f>
        <v>0.53150660919987047</v>
      </c>
      <c r="S529" s="49">
        <f>IFERROR(IF(Data_Entry!X518/Data_Entry!$H518&lt;0,0,Data_Entry!X518/Data_Entry!$H518),0)</f>
        <v>0.57297166381830011</v>
      </c>
      <c r="T529" s="49">
        <f>IFERROR(IF(Data_Entry!Y518/Data_Entry!$H518&lt;0,0,Data_Entry!Y518/Data_Entry!$H518),0)</f>
        <v>0.42218964702401057</v>
      </c>
      <c r="U529" s="49">
        <f>IFERROR(IF(Data_Entry!Z518/Data_Entry!$H518&lt;0,0,Data_Entry!Z518/Data_Entry!$H518),0)</f>
        <v>0.44103739912329676</v>
      </c>
      <c r="V529" s="49">
        <f>IFERROR(IF(Data_Entry!AA518/Data_Entry!$H518&lt;0,0,Data_Entry!AA518/Data_Entry!$H518),0)</f>
        <v>0.61255194322680107</v>
      </c>
      <c r="W529" s="49">
        <f>IFERROR(IF(Data_Entry!AB518/Data_Entry!$H518&lt;0,0,Data_Entry!AB518/Data_Entry!$H518),0)</f>
        <v>0.57108688860837142</v>
      </c>
      <c r="X529" s="49">
        <f>IFERROR(IF(Data_Entry!AC518/Data_Entry!$I518&lt;0,0,Data_Entry!AC518/Data_Entry!$I518),0)</f>
        <v>0.30587074494326588</v>
      </c>
      <c r="Y529" s="49">
        <f>IFERROR(IF(Data_Entry!AD518/Data_Entry!$I518&lt;0,0,Data_Entry!AD518/Data_Entry!$I518),0)</f>
        <v>0.13649070876500574</v>
      </c>
      <c r="Z529" s="49">
        <f>IFERROR(IF(Data_Entry!AE518/Data_Entry!$I518&lt;0,0,Data_Entry!AE518/Data_Entry!$I518),0)</f>
        <v>3.2889327413254399E-2</v>
      </c>
      <c r="AA529" s="49">
        <f>IFERROR(IF(Data_Entry!AF518/Data_Entry!$I518&lt;0,0,Data_Entry!AF518/Data_Entry!$I518),0)</f>
        <v>2.1378062818615359E-2</v>
      </c>
      <c r="AB529" s="49">
        <f>IFERROR(IF(Data_Entry!AG518/Data_Entry!$I518&lt;0,0,Data_Entry!AG518/Data_Entry!$I518),0)</f>
        <v>1.315573096530176E-2</v>
      </c>
      <c r="AC529" s="49">
        <f>IFERROR(IF(Data_Entry!AI518/Data_Entry!$I518&lt;0,0,Data_Entry!AI518/Data_Entry!$I518),0)</f>
        <v>0.10277914816641999</v>
      </c>
      <c r="AD529" s="49">
        <f>IFERROR(IF(Data_Entry!AM518/Data_Entry!$H518&lt;0,0,Data_Entry!AM518/Data_Entry!$H518),0)</f>
        <v>0.44103739912329676</v>
      </c>
      <c r="AE529" s="50">
        <f>Data_Entry!AK518</f>
        <v>200.56725000000006</v>
      </c>
      <c r="AF529" s="50">
        <f>Data_Entry!AL518</f>
        <v>26</v>
      </c>
      <c r="AG529" s="153">
        <f>(Data_Entry!O518-Data_Entry!Q518)/Data_Entry!O518</f>
        <v>0.13636363636363635</v>
      </c>
      <c r="AH529" s="79" t="str">
        <f t="shared" si="16"/>
        <v>CAT4</v>
      </c>
      <c r="AI529" s="51">
        <f>SUBTOTAL(3,Tableau1[[#This Row],[ZS]])</f>
        <v>0</v>
      </c>
      <c r="AJ529" s="51" t="e">
        <f t="shared" ca="1" si="17"/>
        <v>#NAME?</v>
      </c>
      <c r="AK529" s="50" t="str">
        <f>IFERROR(IF((Data_Entry!O518-Data_Entry!Q518)/Data_Entry!O518&lt;=10%,"&lt;=10%","&gt;10%"),"&lt;=10%")</f>
        <v>&gt;10%</v>
      </c>
    </row>
    <row r="530" spans="1:37" s="48" customFormat="1" ht="13" hidden="1" x14ac:dyDescent="0.3">
      <c r="A530" s="31" t="s">
        <v>16</v>
      </c>
      <c r="B530" s="48" t="str">
        <f>Data_Entry!B519</f>
        <v>Butembo</v>
      </c>
      <c r="C530" s="48" t="str">
        <f>Data_Entry!C519</f>
        <v xml:space="preserve"> Mutwanga</v>
      </c>
      <c r="D530" s="48" t="str">
        <f>Data_Entry!D519</f>
        <v xml:space="preserve"> Nzenga</v>
      </c>
      <c r="E530" s="49">
        <f>IFERROR(IF(Data_Entry!J519/Data_Entry!$I519&lt;0,0,Data_Entry!J519/Data_Entry!$I519),0)</f>
        <v>1.4105504587155961</v>
      </c>
      <c r="F530" s="49">
        <f>IFERROR(IF(Data_Entry!K519/Data_Entry!$H519&lt;0,0,Data_Entry!K519/Data_Entry!$H519),0)</f>
        <v>0.80760816545890557</v>
      </c>
      <c r="G530" s="49">
        <f>IFERROR(IF(Data_Entry!L519/Data_Entry!$H519&lt;0,0,Data_Entry!L519/Data_Entry!$H519),0)</f>
        <v>0.62651700358385254</v>
      </c>
      <c r="H530" s="49">
        <f>IFERROR(IF(Data_Entry!M519/Data_Entry!$H519&lt;0,0,Data_Entry!M519/Data_Entry!$H519),0)</f>
        <v>0.70683969635101318</v>
      </c>
      <c r="I530" s="49">
        <f>IFERROR(IF(Data_Entry!N519/Data_Entry!$H519&lt;0,0,Data_Entry!N519/Data_Entry!$H519),0)</f>
        <v>0.6557252554991837</v>
      </c>
      <c r="J530" s="49">
        <f>IFERROR(IF(Data_Entry!O519/Data_Entry!$H519&lt;0,0,Data_Entry!O519/Data_Entry!$H519),0)</f>
        <v>0.64112112954151812</v>
      </c>
      <c r="K530" s="49">
        <f>IFERROR(IF(Data_Entry!P519/Data_Entry!$H519&lt;0,0,Data_Entry!P519/Data_Entry!$H519),0)</f>
        <v>0.7740186757562747</v>
      </c>
      <c r="L530" s="49">
        <f>IFERROR(IF(Data_Entry!Q519/Data_Entry!$H519&lt;0,0,Data_Entry!Q519/Data_Entry!$H519),0)</f>
        <v>0.71998340971291219</v>
      </c>
      <c r="M530" s="49">
        <f>IFERROR(IF(Data_Entry!R519/Data_Entry!$H519&lt;0,0,Data_Entry!R519/Data_Entry!$H519),0)</f>
        <v>0.64112112954151812</v>
      </c>
      <c r="N530" s="49">
        <f>IFERROR(IF(Data_Entry!S519/Data_Entry!$H519&lt;0,0,Data_Entry!S519/Data_Entry!$H519),0)</f>
        <v>0.76525620018167539</v>
      </c>
      <c r="O530" s="49">
        <f>IFERROR(IF(Data_Entry!T519/Data_Entry!$H519&lt;0,0,Data_Entry!T519/Data_Entry!$H519),0)</f>
        <v>0.71998340971291219</v>
      </c>
      <c r="P530" s="49">
        <f>IFERROR(IF(Data_Entry!U519/Data_Entry!$H519&lt;0,0,Data_Entry!U519/Data_Entry!$H519),0)</f>
        <v>0.64112112954151812</v>
      </c>
      <c r="Q530" s="49">
        <f>IFERROR(IF(Data_Entry!V519/Data_Entry!$H519&lt;0,0,Data_Entry!V519/Data_Entry!$H519),0)</f>
        <v>0.77255826316050813</v>
      </c>
      <c r="R530" s="49">
        <f>IFERROR(IF(Data_Entry!W519/Data_Entry!$H519&lt;0,0,Data_Entry!W519/Data_Entry!$H519),0)</f>
        <v>0.71998340971291219</v>
      </c>
      <c r="S530" s="49">
        <f>IFERROR(IF(Data_Entry!X519/Data_Entry!$H519&lt;0,0,Data_Entry!X519/Data_Entry!$H519),0)</f>
        <v>0.90399539677949825</v>
      </c>
      <c r="T530" s="49">
        <f>IFERROR(IF(Data_Entry!Y519/Data_Entry!$H519&lt;0,0,Data_Entry!Y519/Data_Entry!$H519),0)</f>
        <v>4.6733203064529792E-2</v>
      </c>
      <c r="U530" s="49">
        <f>IFERROR(IF(Data_Entry!Z519/Data_Entry!$H519&lt;0,0,Data_Entry!Z519/Data_Entry!$H519),0)</f>
        <v>0.8426580677573029</v>
      </c>
      <c r="V530" s="49">
        <f>IFERROR(IF(Data_Entry!AA519/Data_Entry!$H519&lt;0,0,Data_Entry!AA519/Data_Entry!$H519),0)</f>
        <v>0.89377250860913238</v>
      </c>
      <c r="W530" s="49">
        <f>IFERROR(IF(Data_Entry!AB519/Data_Entry!$H519&lt;0,0,Data_Entry!AB519/Data_Entry!$H519),0)</f>
        <v>0.52866935966749329</v>
      </c>
      <c r="X530" s="49">
        <f>IFERROR(IF(Data_Entry!AC519/Data_Entry!$I519&lt;0,0,Data_Entry!AC519/Data_Entry!$I519),0)</f>
        <v>0.35550458715596328</v>
      </c>
      <c r="Y530" s="49">
        <f>IFERROR(IF(Data_Entry!AD519/Data_Entry!$I519&lt;0,0,Data_Entry!AD519/Data_Entry!$I519),0)</f>
        <v>0.26630988786952087</v>
      </c>
      <c r="Z530" s="49">
        <f>IFERROR(IF(Data_Entry!AE519/Data_Entry!$I519&lt;0,0,Data_Entry!AE519/Data_Entry!$I519),0)</f>
        <v>0.1146788990825688</v>
      </c>
      <c r="AA530" s="49">
        <f>IFERROR(IF(Data_Entry!AF519/Data_Entry!$I519&lt;0,0,Data_Entry!AF519/Data_Entry!$I519),0)</f>
        <v>6.8807339449541274E-2</v>
      </c>
      <c r="AB530" s="49">
        <f>IFERROR(IF(Data_Entry!AG519/Data_Entry!$I519&lt;0,0,Data_Entry!AG519/Data_Entry!$I519),0)</f>
        <v>2.6758409785932719E-2</v>
      </c>
      <c r="AC530" s="49">
        <f>IFERROR(IF(Data_Entry!AI519/Data_Entry!$I519&lt;0,0,Data_Entry!AI519/Data_Entry!$I519),0)</f>
        <v>7.4286442405708447E-2</v>
      </c>
      <c r="AD530" s="49">
        <f>IFERROR(IF(Data_Entry!AM519/Data_Entry!$H519&lt;0,0,Data_Entry!AM519/Data_Entry!$H519),0)</f>
        <v>0.8426580677573029</v>
      </c>
      <c r="AE530" s="50">
        <f>Data_Entry!AK519</f>
        <v>245.73799999999994</v>
      </c>
      <c r="AF530" s="50">
        <f>Data_Entry!AL519</f>
        <v>0</v>
      </c>
      <c r="AG530" s="153">
        <f>(Data_Entry!O519-Data_Entry!Q519)/Data_Entry!O519</f>
        <v>-0.12300683371298406</v>
      </c>
      <c r="AH530" s="79" t="str">
        <f t="shared" si="16"/>
        <v>CAT3</v>
      </c>
      <c r="AI530" s="51">
        <f>SUBTOTAL(3,Tableau1[[#This Row],[ZS]])</f>
        <v>0</v>
      </c>
      <c r="AJ530" s="51" t="e">
        <f t="shared" ca="1" si="17"/>
        <v>#NAME?</v>
      </c>
      <c r="AK530" s="50" t="str">
        <f>IFERROR(IF((Data_Entry!O519-Data_Entry!Q519)/Data_Entry!O519&lt;=10%,"&lt;=10%","&gt;10%"),"&lt;=10%")</f>
        <v>&lt;=10%</v>
      </c>
    </row>
    <row r="531" spans="1:37" s="48" customFormat="1" ht="13" hidden="1" x14ac:dyDescent="0.3">
      <c r="A531" s="31" t="s">
        <v>16</v>
      </c>
      <c r="B531" s="48" t="str">
        <f>Data_Entry!B520</f>
        <v>Butembo</v>
      </c>
      <c r="C531" s="48" t="str">
        <f>Data_Entry!C520</f>
        <v xml:space="preserve"> Mutwanga</v>
      </c>
      <c r="D531" s="48" t="str">
        <f>Data_Entry!D520</f>
        <v xml:space="preserve"> Rugetsi</v>
      </c>
      <c r="E531" s="49">
        <f>IFERROR(IF(Data_Entry!J520/Data_Entry!$I520&lt;0,0,Data_Entry!J520/Data_Entry!$I520),0)</f>
        <v>0.45912202980265809</v>
      </c>
      <c r="F531" s="49">
        <f>IFERROR(IF(Data_Entry!K520/Data_Entry!$H520&lt;0,0,Data_Entry!K520/Data_Entry!$H520),0)</f>
        <v>0.42697217872363014</v>
      </c>
      <c r="G531" s="49">
        <f>IFERROR(IF(Data_Entry!L520/Data_Entry!$H520&lt;0,0,Data_Entry!L520/Data_Entry!$H520),0)</f>
        <v>0.81240111843631246</v>
      </c>
      <c r="H531" s="49">
        <f>IFERROR(IF(Data_Entry!M520/Data_Entry!$H520&lt;0,0,Data_Entry!M520/Data_Entry!$H520),0)</f>
        <v>0.79393745665366899</v>
      </c>
      <c r="I531" s="49">
        <f>IFERROR(IF(Data_Entry!N520/Data_Entry!$H520&lt;0,0,Data_Entry!N520/Data_Entry!$H520),0)</f>
        <v>0.66007590872950384</v>
      </c>
      <c r="J531" s="49">
        <f>IFERROR(IF(Data_Entry!O520/Data_Entry!$H520&lt;0,0,Data_Entry!O520/Data_Entry!$H520),0)</f>
        <v>0.80086132982216029</v>
      </c>
      <c r="K531" s="49">
        <f>IFERROR(IF(Data_Entry!P520/Data_Entry!$H520&lt;0,0,Data_Entry!P520/Data_Entry!$H520),0)</f>
        <v>0.74085442902856902</v>
      </c>
      <c r="L531" s="49">
        <f>IFERROR(IF(Data_Entry!Q520/Data_Entry!$H520&lt;0,0,Data_Entry!Q520/Data_Entry!$H520),0)</f>
        <v>0.63930428922403004</v>
      </c>
      <c r="M531" s="49">
        <f>IFERROR(IF(Data_Entry!R520/Data_Entry!$H520&lt;0,0,Data_Entry!R520/Data_Entry!$H520),0)</f>
        <v>0.84009661111027767</v>
      </c>
      <c r="N531" s="49">
        <f>IFERROR(IF(Data_Entry!S520/Data_Entry!$H520&lt;0,0,Data_Entry!S520/Data_Entry!$H520),0)</f>
        <v>0.80086132982216029</v>
      </c>
      <c r="O531" s="49">
        <f>IFERROR(IF(Data_Entry!T520/Data_Entry!$H520&lt;0,0,Data_Entry!T520/Data_Entry!$H520),0)</f>
        <v>0.62314858516421701</v>
      </c>
      <c r="P531" s="49">
        <f>IFERROR(IF(Data_Entry!U520/Data_Entry!$H520&lt;0,0,Data_Entry!U520/Data_Entry!$H520),0)</f>
        <v>2.3748884967925159</v>
      </c>
      <c r="Q531" s="49">
        <f>IFERROR(IF(Data_Entry!V520/Data_Entry!$H520&lt;0,0,Data_Entry!V520/Data_Entry!$H520),0)</f>
        <v>0.75239421764272119</v>
      </c>
      <c r="R531" s="49">
        <f>IFERROR(IF(Data_Entry!W520/Data_Entry!$H520&lt;0,0,Data_Entry!W520/Data_Entry!$H520),0)</f>
        <v>0.60006900793591267</v>
      </c>
      <c r="S531" s="49">
        <f>IFERROR(IF(Data_Entry!X520/Data_Entry!$H520&lt;0,0,Data_Entry!X520/Data_Entry!$H520),0)</f>
        <v>0.60699288110440397</v>
      </c>
      <c r="T531" s="49">
        <f>IFERROR(IF(Data_Entry!Y520/Data_Entry!$H520&lt;0,0,Data_Entry!Y520/Data_Entry!$H520),0)</f>
        <v>0</v>
      </c>
      <c r="U531" s="49">
        <f>IFERROR(IF(Data_Entry!Z520/Data_Entry!$H520&lt;0,0,Data_Entry!Z520/Data_Entry!$H520),0)</f>
        <v>0.55160189575647356</v>
      </c>
      <c r="V531" s="49">
        <f>IFERROR(IF(Data_Entry!AA520/Data_Entry!$H520&lt;0,0,Data_Entry!AA520/Data_Entry!$H520),0)</f>
        <v>0.64622816239252134</v>
      </c>
      <c r="W531" s="49">
        <f>IFERROR(IF(Data_Entry!AB520/Data_Entry!$H520&lt;0,0,Data_Entry!AB520/Data_Entry!$H520),0)</f>
        <v>0.21694802594606072</v>
      </c>
      <c r="X531" s="49">
        <f>IFERROR(IF(Data_Entry!AC520/Data_Entry!$I520&lt;0,0,Data_Entry!AC520/Data_Entry!$I520),0)</f>
        <v>0.66451872734595252</v>
      </c>
      <c r="Y531" s="49">
        <f>IFERROR(IF(Data_Entry!AD520/Data_Entry!$I520&lt;0,0,Data_Entry!AD520/Data_Entry!$I520),0)</f>
        <v>0.46919049536850588</v>
      </c>
      <c r="Z531" s="49">
        <f>IFERROR(IF(Data_Entry!AE520/Data_Entry!$I520&lt;0,0,Data_Entry!AE520/Data_Entry!$I520),0)</f>
        <v>5.4369714055577931E-2</v>
      </c>
      <c r="AA531" s="49">
        <f>IFERROR(IF(Data_Entry!AF520/Data_Entry!$I520&lt;0,0,Data_Entry!AF520/Data_Entry!$I520),0)</f>
        <v>0</v>
      </c>
      <c r="AB531" s="49">
        <f>IFERROR(IF(Data_Entry!AG520/Data_Entry!$I520&lt;0,0,Data_Entry!AG520/Data_Entry!$I520),0)</f>
        <v>0</v>
      </c>
      <c r="AC531" s="49">
        <f>IFERROR(IF(Data_Entry!AI520/Data_Entry!$I520&lt;0,0,Data_Entry!AI520/Data_Entry!$I520),0)</f>
        <v>0.11739830849778495</v>
      </c>
      <c r="AD531" s="49">
        <f>IFERROR(IF(Data_Entry!AM520/Data_Entry!$H520&lt;0,0,Data_Entry!AM520/Data_Entry!$H520),0)</f>
        <v>0.55160189575647356</v>
      </c>
      <c r="AE531" s="50">
        <f>Data_Entry!AK520</f>
        <v>86.283500000000004</v>
      </c>
      <c r="AF531" s="50">
        <f>Data_Entry!AL520</f>
        <v>84</v>
      </c>
      <c r="AG531" s="153">
        <f>(Data_Entry!O520-Data_Entry!Q520)/Data_Entry!O520</f>
        <v>0.20172910662824209</v>
      </c>
      <c r="AH531" s="79" t="str">
        <f t="shared" si="16"/>
        <v>CAT4</v>
      </c>
      <c r="AI531" s="51">
        <f>SUBTOTAL(3,Tableau1[[#This Row],[ZS]])</f>
        <v>0</v>
      </c>
      <c r="AJ531" s="51" t="e">
        <f t="shared" ca="1" si="17"/>
        <v>#NAME?</v>
      </c>
      <c r="AK531" s="50" t="str">
        <f>IFERROR(IF((Data_Entry!O520-Data_Entry!Q520)/Data_Entry!O520&lt;=10%,"&lt;=10%","&gt;10%"),"&lt;=10%")</f>
        <v>&gt;10%</v>
      </c>
    </row>
    <row r="532" spans="1:37" s="48" customFormat="1" ht="13" hidden="1" x14ac:dyDescent="0.3">
      <c r="A532" s="31" t="s">
        <v>16</v>
      </c>
      <c r="B532" s="48" t="str">
        <f>Data_Entry!B521</f>
        <v>Goma</v>
      </c>
      <c r="C532" s="48" t="str">
        <f>Data_Entry!C521</f>
        <v xml:space="preserve"> Mweso</v>
      </c>
      <c r="D532" s="48" t="str">
        <f>Data_Entry!D521</f>
        <v xml:space="preserve"> Bibwe</v>
      </c>
      <c r="E532" s="49">
        <f>IFERROR(IF(Data_Entry!J521/Data_Entry!$I521&lt;0,0,Data_Entry!J521/Data_Entry!$I521),0)</f>
        <v>0.76872793829258723</v>
      </c>
      <c r="F532" s="49">
        <f>IFERROR(IF(Data_Entry!K521/Data_Entry!$H521&lt;0,0,Data_Entry!K521/Data_Entry!$H521),0)</f>
        <v>0.6922642096781384</v>
      </c>
      <c r="G532" s="49">
        <f>IFERROR(IF(Data_Entry!L521/Data_Entry!$H521&lt;0,0,Data_Entry!L521/Data_Entry!$H521),0)</f>
        <v>0.94849187170186489</v>
      </c>
      <c r="H532" s="49">
        <f>IFERROR(IF(Data_Entry!M521/Data_Entry!$H521&lt;0,0,Data_Entry!M521/Data_Entry!$H521),0)</f>
        <v>0.85409220674575514</v>
      </c>
      <c r="I532" s="49">
        <f>IFERROR(IF(Data_Entry!N521/Data_Entry!$H521&lt;0,0,Data_Entry!N521/Data_Entry!$H521),0)</f>
        <v>0.88331115066074151</v>
      </c>
      <c r="J532" s="49">
        <f>IFERROR(IF(Data_Entry!O521/Data_Entry!$H521&lt;0,0,Data_Entry!O521/Data_Entry!$H521),0)</f>
        <v>1.2519193662036463</v>
      </c>
      <c r="K532" s="49">
        <f>IFERROR(IF(Data_Entry!P521/Data_Entry!$H521&lt;0,0,Data_Entry!P521/Data_Entry!$H521),0)</f>
        <v>1.1687577565994545</v>
      </c>
      <c r="L532" s="49">
        <f>IFERROR(IF(Data_Entry!Q521/Data_Entry!$H521&lt;0,0,Data_Entry!Q521/Data_Entry!$H521),0)</f>
        <v>1.1665101455290707</v>
      </c>
      <c r="M532" s="49">
        <f>IFERROR(IF(Data_Entry!R521/Data_Entry!$H521&lt;0,0,Data_Entry!R521/Data_Entry!$H521),0)</f>
        <v>1.2294432554998107</v>
      </c>
      <c r="N532" s="49">
        <f>IFERROR(IF(Data_Entry!S521/Data_Entry!$H521&lt;0,0,Data_Entry!S521/Data_Entry!$H521),0)</f>
        <v>1.1372912016140844</v>
      </c>
      <c r="O532" s="49">
        <f>IFERROR(IF(Data_Entry!T521/Data_Entry!$H521&lt;0,0,Data_Entry!T521/Data_Entry!$H521),0)</f>
        <v>1.1889862562329065</v>
      </c>
      <c r="P532" s="49">
        <f>IFERROR(IF(Data_Entry!U521/Data_Entry!$H521&lt;0,0,Data_Entry!U521/Data_Entry!$H521),0)</f>
        <v>1.1193103130510158</v>
      </c>
      <c r="Q532" s="49">
        <f>IFERROR(IF(Data_Entry!V521/Data_Entry!$H521&lt;0,0,Data_Entry!V521/Data_Entry!$H521),0)</f>
        <v>0.92376814992764567</v>
      </c>
      <c r="R532" s="49">
        <f>IFERROR(IF(Data_Entry!W521/Data_Entry!$H521&lt;0,0,Data_Entry!W521/Data_Entry!$H521),0)</f>
        <v>0.96872037133531697</v>
      </c>
      <c r="S532" s="49">
        <f>IFERROR(IF(Data_Entry!X521/Data_Entry!$H521&lt;0,0,Data_Entry!X521/Data_Entry!$H521),0)</f>
        <v>0.97096798240570059</v>
      </c>
      <c r="T532" s="49">
        <f>IFERROR(IF(Data_Entry!Y521/Data_Entry!$H521&lt;0,0,Data_Entry!Y521/Data_Entry!$H521),0)</f>
        <v>1.3418238090189889</v>
      </c>
      <c r="U532" s="49">
        <f>IFERROR(IF(Data_Entry!Z521/Data_Entry!$H521&lt;0,0,Data_Entry!Z521/Data_Entry!$H521),0)</f>
        <v>1.1575197012475364</v>
      </c>
      <c r="V532" s="49">
        <f>IFERROR(IF(Data_Entry!AA521/Data_Entry!$H521&lt;0,0,Data_Entry!AA521/Data_Entry!$H521),0)</f>
        <v>1.1665101455290707</v>
      </c>
      <c r="W532" s="49">
        <f>IFERROR(IF(Data_Entry!AB521/Data_Entry!$H521&lt;0,0,Data_Entry!AB521/Data_Entry!$H521),0)</f>
        <v>1.1552720901771529</v>
      </c>
      <c r="X532" s="49">
        <f>IFERROR(IF(Data_Entry!AC521/Data_Entry!$I521&lt;0,0,Data_Entry!AC521/Data_Entry!$I521),0)</f>
        <v>0.486338083409596</v>
      </c>
      <c r="Y532" s="49">
        <f>IFERROR(IF(Data_Entry!AD521/Data_Entry!$I521&lt;0,0,Data_Entry!AD521/Data_Entry!$I521),0)</f>
        <v>0.43142894496012552</v>
      </c>
      <c r="Z532" s="49">
        <f>IFERROR(IF(Data_Entry!AE521/Data_Entry!$I521&lt;0,0,Data_Entry!AE521/Data_Entry!$I521),0)</f>
        <v>0.35494835926264873</v>
      </c>
      <c r="AA532" s="49">
        <f>IFERROR(IF(Data_Entry!AF521/Data_Entry!$I521&lt;0,0,Data_Entry!AF521/Data_Entry!$I521),0)</f>
        <v>0.23140279775134004</v>
      </c>
      <c r="AB532" s="49">
        <f>IFERROR(IF(Data_Entry!AG521/Data_Entry!$I521&lt;0,0,Data_Entry!AG521/Data_Entry!$I521),0)</f>
        <v>0.17257157798405021</v>
      </c>
      <c r="AC532" s="49">
        <f>IFERROR(IF(Data_Entry!AI521/Data_Entry!$I521&lt;0,0,Data_Entry!AI521/Data_Entry!$I521),0)</f>
        <v>9.8052032945483064E-2</v>
      </c>
      <c r="AD532" s="49">
        <f>IFERROR(IF(Data_Entry!AM521/Data_Entry!$H521&lt;0,0,Data_Entry!AM521/Data_Entry!$H521),0)</f>
        <v>0.97096798240570059</v>
      </c>
      <c r="AE532" s="50">
        <f>Data_Entry!AK521</f>
        <v>0</v>
      </c>
      <c r="AF532" s="50">
        <f>Data_Entry!AL521</f>
        <v>125</v>
      </c>
      <c r="AG532" s="153">
        <f>(Data_Entry!O521-Data_Entry!Q521)/Data_Entry!O521</f>
        <v>6.8222621184919216E-2</v>
      </c>
      <c r="AH532" s="79" t="str">
        <f t="shared" si="16"/>
        <v>CAT1</v>
      </c>
      <c r="AI532" s="51">
        <f>SUBTOTAL(3,Tableau1[[#This Row],[ZS]])</f>
        <v>0</v>
      </c>
      <c r="AJ532" s="51" t="e">
        <f t="shared" ca="1" si="17"/>
        <v>#NAME?</v>
      </c>
      <c r="AK532" s="50" t="str">
        <f>IFERROR(IF((Data_Entry!O521-Data_Entry!Q521)/Data_Entry!O521&lt;=10%,"&lt;=10%","&gt;10%"),"&lt;=10%")</f>
        <v>&lt;=10%</v>
      </c>
    </row>
    <row r="533" spans="1:37" s="48" customFormat="1" ht="13" hidden="1" x14ac:dyDescent="0.3">
      <c r="A533" s="31" t="s">
        <v>16</v>
      </c>
      <c r="B533" s="48" t="str">
        <f>Data_Entry!B522</f>
        <v>Goma</v>
      </c>
      <c r="C533" s="48" t="str">
        <f>Data_Entry!C522</f>
        <v xml:space="preserve"> Mweso</v>
      </c>
      <c r="D533" s="48" t="str">
        <f>Data_Entry!D522</f>
        <v xml:space="preserve"> Bukama</v>
      </c>
      <c r="E533" s="49">
        <f>IFERROR(IF(Data_Entry!J522/Data_Entry!$I522&lt;0,0,Data_Entry!J522/Data_Entry!$I522),0)</f>
        <v>0.80414817418816187</v>
      </c>
      <c r="F533" s="49">
        <f>IFERROR(IF(Data_Entry!K522/Data_Entry!$H522&lt;0,0,Data_Entry!K522/Data_Entry!$H522),0)</f>
        <v>1.6529439664838166</v>
      </c>
      <c r="G533" s="49">
        <f>IFERROR(IF(Data_Entry!L522/Data_Entry!$H522&lt;0,0,Data_Entry!L522/Data_Entry!$H522),0)</f>
        <v>1.14225378305463</v>
      </c>
      <c r="H533" s="49">
        <f>IFERROR(IF(Data_Entry!M522/Data_Entry!$H522&lt;0,0,Data_Entry!M522/Data_Entry!$H522),0)</f>
        <v>0.96547641186760391</v>
      </c>
      <c r="I533" s="49">
        <f>IFERROR(IF(Data_Entry!N522/Data_Entry!$H522&lt;0,0,Data_Entry!N522/Data_Entry!$H522),0)</f>
        <v>0.97152008267741685</v>
      </c>
      <c r="J533" s="49">
        <f>IFERROR(IF(Data_Entry!O522/Data_Entry!$H522&lt;0,0,Data_Entry!O522/Data_Entry!$H522),0)</f>
        <v>1.14225378305463</v>
      </c>
      <c r="K533" s="49">
        <f>IFERROR(IF(Data_Entry!P522/Data_Entry!$H522&lt;0,0,Data_Entry!P522/Data_Entry!$H522),0)</f>
        <v>0.96547641186760391</v>
      </c>
      <c r="L533" s="49">
        <f>IFERROR(IF(Data_Entry!Q522/Data_Entry!$H522&lt;0,0,Data_Entry!Q522/Data_Entry!$H522),0)</f>
        <v>0.96547641186760391</v>
      </c>
      <c r="M533" s="49">
        <f>IFERROR(IF(Data_Entry!R522/Data_Entry!$H522&lt;0,0,Data_Entry!R522/Data_Entry!$H522),0)</f>
        <v>1.1075026758982061</v>
      </c>
      <c r="N533" s="49">
        <f>IFERROR(IF(Data_Entry!S522/Data_Entry!$H522&lt;0,0,Data_Entry!S522/Data_Entry!$H522),0)</f>
        <v>0.94130172862835249</v>
      </c>
      <c r="O533" s="49">
        <f>IFERROR(IF(Data_Entry!T522/Data_Entry!$H522&lt;0,0,Data_Entry!T522/Data_Entry!$H522),0)</f>
        <v>0.97152008267741685</v>
      </c>
      <c r="P533" s="49">
        <f>IFERROR(IF(Data_Entry!U522/Data_Entry!$H522&lt;0,0,Data_Entry!U522/Data_Entry!$H522),0)</f>
        <v>0.83553748945662754</v>
      </c>
      <c r="Q533" s="49">
        <f>IFERROR(IF(Data_Entry!V522/Data_Entry!$H522&lt;0,0,Data_Entry!V522/Data_Entry!$H522),0)</f>
        <v>0.74337150960698151</v>
      </c>
      <c r="R533" s="49">
        <f>IFERROR(IF(Data_Entry!W522/Data_Entry!$H522&lt;0,0,Data_Entry!W522/Data_Entry!$H522),0)</f>
        <v>0.72372957947508965</v>
      </c>
      <c r="S533" s="49">
        <f>IFERROR(IF(Data_Entry!X522/Data_Entry!$H522&lt;0,0,Data_Entry!X522/Data_Entry!$H522),0)</f>
        <v>0.93525805781853966</v>
      </c>
      <c r="T533" s="49">
        <f>IFERROR(IF(Data_Entry!Y522/Data_Entry!$H522&lt;0,0,Data_Entry!Y522/Data_Entry!$H522),0)</f>
        <v>0.66178195367450787</v>
      </c>
      <c r="U533" s="49">
        <f>IFERROR(IF(Data_Entry!Z522/Data_Entry!$H522&lt;0,0,Data_Entry!Z522/Data_Entry!$H522),0)</f>
        <v>0.88086502053022397</v>
      </c>
      <c r="V533" s="49">
        <f>IFERROR(IF(Data_Entry!AA522/Data_Entry!$H522&lt;0,0,Data_Entry!AA522/Data_Entry!$H522),0)</f>
        <v>0.87784318512531756</v>
      </c>
      <c r="W533" s="49">
        <f>IFERROR(IF(Data_Entry!AB522/Data_Entry!$H522&lt;0,0,Data_Entry!AB522/Data_Entry!$H522),0)</f>
        <v>0.72826233258244932</v>
      </c>
      <c r="X533" s="49">
        <f>IFERROR(IF(Data_Entry!AC522/Data_Entry!$I522&lt;0,0,Data_Entry!AC522/Data_Entry!$I522),0)</f>
        <v>0.62618095531045392</v>
      </c>
      <c r="Y533" s="49">
        <f>IFERROR(IF(Data_Entry!AD522/Data_Entry!$I522&lt;0,0,Data_Entry!AD522/Data_Entry!$I522),0)</f>
        <v>0.42975787669727994</v>
      </c>
      <c r="Z533" s="49">
        <f>IFERROR(IF(Data_Entry!AE522/Data_Entry!$I522&lt;0,0,Data_Entry!AE522/Data_Entry!$I522),0)</f>
        <v>0.25574548490574328</v>
      </c>
      <c r="AA533" s="49">
        <f>IFERROR(IF(Data_Entry!AF522/Data_Entry!$I522&lt;0,0,Data_Entry!AF522/Data_Entry!$I522),0)</f>
        <v>0.17928549457309836</v>
      </c>
      <c r="AB533" s="49">
        <f>IFERROR(IF(Data_Entry!AG522/Data_Entry!$I522&lt;0,0,Data_Entry!AG522/Data_Entry!$I522),0)</f>
        <v>8.7006195895768329E-2</v>
      </c>
      <c r="AC533" s="49">
        <f>IFERROR(IF(Data_Entry!AI522/Data_Entry!$I522&lt;0,0,Data_Entry!AI522/Data_Entry!$I522),0)</f>
        <v>6.0377026848881653E-2</v>
      </c>
      <c r="AD533" s="49">
        <f>IFERROR(IF(Data_Entry!AM522/Data_Entry!$H522&lt;0,0,Data_Entry!AM522/Data_Entry!$H522),0)</f>
        <v>0.88086502053022397</v>
      </c>
      <c r="AE533" s="50">
        <f>Data_Entry!AK522</f>
        <v>0</v>
      </c>
      <c r="AF533" s="50">
        <f>Data_Entry!AL522</f>
        <v>137</v>
      </c>
      <c r="AG533" s="153">
        <f>(Data_Entry!O522-Data_Entry!Q522)/Data_Entry!O522</f>
        <v>0.15476190476190477</v>
      </c>
      <c r="AH533" s="79" t="str">
        <f t="shared" si="16"/>
        <v>CAT2</v>
      </c>
      <c r="AI533" s="51">
        <f>SUBTOTAL(3,Tableau1[[#This Row],[ZS]])</f>
        <v>0</v>
      </c>
      <c r="AJ533" s="51" t="e">
        <f t="shared" ca="1" si="17"/>
        <v>#NAME?</v>
      </c>
      <c r="AK533" s="50" t="str">
        <f>IFERROR(IF((Data_Entry!O522-Data_Entry!Q522)/Data_Entry!O522&lt;=10%,"&lt;=10%","&gt;10%"),"&lt;=10%")</f>
        <v>&gt;10%</v>
      </c>
    </row>
    <row r="534" spans="1:37" s="48" customFormat="1" ht="13" hidden="1" x14ac:dyDescent="0.3">
      <c r="A534" s="31" t="s">
        <v>16</v>
      </c>
      <c r="B534" s="48" t="str">
        <f>Data_Entry!B523</f>
        <v>Goma</v>
      </c>
      <c r="C534" s="48" t="str">
        <f>Data_Entry!C523</f>
        <v xml:space="preserve"> Mweso</v>
      </c>
      <c r="D534" s="48" t="str">
        <f>Data_Entry!D523</f>
        <v xml:space="preserve"> Burungu</v>
      </c>
      <c r="E534" s="49">
        <f>IFERROR(IF(Data_Entry!J523/Data_Entry!$I523&lt;0,0,Data_Entry!J523/Data_Entry!$I523),0)</f>
        <v>0.5576950506347168</v>
      </c>
      <c r="F534" s="49">
        <f>IFERROR(IF(Data_Entry!K523/Data_Entry!$H523&lt;0,0,Data_Entry!K523/Data_Entry!$H523),0)</f>
        <v>0.21578861543403552</v>
      </c>
      <c r="G534" s="49">
        <f>IFERROR(IF(Data_Entry!L523/Data_Entry!$H523&lt;0,0,Data_Entry!L523/Data_Entry!$H523),0)</f>
        <v>0.66371346868347281</v>
      </c>
      <c r="H534" s="49">
        <f>IFERROR(IF(Data_Entry!M523/Data_Entry!$H523&lt;0,0,Data_Entry!M523/Data_Entry!$H523),0)</f>
        <v>0.58361011901477788</v>
      </c>
      <c r="I534" s="49">
        <f>IFERROR(IF(Data_Entry!N523/Data_Entry!$H523&lt;0,0,Data_Entry!N523/Data_Entry!$H523),0)</f>
        <v>0.55745392320459175</v>
      </c>
      <c r="J534" s="49">
        <f>IFERROR(IF(Data_Entry!O523/Data_Entry!$H523&lt;0,0,Data_Entry!O523/Data_Entry!$H523),0)</f>
        <v>0.67025251763601934</v>
      </c>
      <c r="K534" s="49">
        <f>IFERROR(IF(Data_Entry!P523/Data_Entry!$H523&lt;0,0,Data_Entry!P523/Data_Entry!$H523),0)</f>
        <v>0.64246155958769668</v>
      </c>
      <c r="L534" s="49">
        <f>IFERROR(IF(Data_Entry!Q523/Data_Entry!$H523&lt;0,0,Data_Entry!Q523/Data_Entry!$H523),0)</f>
        <v>0.57707107006223135</v>
      </c>
      <c r="M534" s="49">
        <f>IFERROR(IF(Data_Entry!R523/Data_Entry!$H523&lt;0,0,Data_Entry!R523/Data_Entry!$H523),0)</f>
        <v>0.67025251763601934</v>
      </c>
      <c r="N534" s="49">
        <f>IFERROR(IF(Data_Entry!S523/Data_Entry!$H523&lt;0,0,Data_Entry!S523/Data_Entry!$H523),0)</f>
        <v>0.64246155958769668</v>
      </c>
      <c r="O534" s="49">
        <f>IFERROR(IF(Data_Entry!T523/Data_Entry!$H523&lt;0,0,Data_Entry!T523/Data_Entry!$H523),0)</f>
        <v>0.54110630082322542</v>
      </c>
      <c r="P534" s="49">
        <f>IFERROR(IF(Data_Entry!U523/Data_Entry!$H523&lt;0,0,Data_Entry!U523/Data_Entry!$H523),0)</f>
        <v>0.63265298615887688</v>
      </c>
      <c r="Q534" s="49">
        <f>IFERROR(IF(Data_Entry!V523/Data_Entry!$H523&lt;0,0,Data_Entry!V523/Data_Entry!$H523),0)</f>
        <v>0.59178393020546105</v>
      </c>
      <c r="R534" s="49">
        <f>IFERROR(IF(Data_Entry!W523/Data_Entry!$H523&lt;0,0,Data_Entry!W523/Data_Entry!$H523),0)</f>
        <v>0.53947153858508878</v>
      </c>
      <c r="S534" s="49">
        <f>IFERROR(IF(Data_Entry!X523/Data_Entry!$H523&lt;0,0,Data_Entry!X523/Data_Entry!$H523),0)</f>
        <v>0.69150442673179557</v>
      </c>
      <c r="T534" s="49">
        <f>IFERROR(IF(Data_Entry!Y523/Data_Entry!$H523&lt;0,0,Data_Entry!Y523/Data_Entry!$H523),0)</f>
        <v>0.26483148257813449</v>
      </c>
      <c r="U534" s="49">
        <f>IFERROR(IF(Data_Entry!Z523/Data_Entry!$H523&lt;0,0,Data_Entry!Z523/Data_Entry!$H523),0)</f>
        <v>0.52639344067999572</v>
      </c>
      <c r="V534" s="49">
        <f>IFERROR(IF(Data_Entry!AA523/Data_Entry!$H523&lt;0,0,Data_Entry!AA523/Data_Entry!$H523),0)</f>
        <v>0.65063537077837974</v>
      </c>
      <c r="W534" s="49">
        <f>IFERROR(IF(Data_Entry!AB523/Data_Entry!$H523&lt;0,0,Data_Entry!AB523/Data_Entry!$H523),0)</f>
        <v>0.50023724486980958</v>
      </c>
      <c r="X534" s="49">
        <f>IFERROR(IF(Data_Entry!AC523/Data_Entry!$I523&lt;0,0,Data_Entry!AC523/Data_Entry!$I523),0)</f>
        <v>0.1426330052774212</v>
      </c>
      <c r="Y534" s="49">
        <f>IFERROR(IF(Data_Entry!AD523/Data_Entry!$I523&lt;0,0,Data_Entry!AD523/Data_Entry!$I523),0)</f>
        <v>8.2727143060904285E-2</v>
      </c>
      <c r="Z534" s="49">
        <f>IFERROR(IF(Data_Entry!AE523/Data_Entry!$I523&lt;0,0,Data_Entry!AE523/Data_Entry!$I523),0)</f>
        <v>5.8479532163742687E-2</v>
      </c>
      <c r="AA534" s="49">
        <f>IFERROR(IF(Data_Entry!AF523/Data_Entry!$I523&lt;0,0,Data_Entry!AF523/Data_Entry!$I523),0)</f>
        <v>5.4200542005420051E-2</v>
      </c>
      <c r="AB534" s="49">
        <f>IFERROR(IF(Data_Entry!AG523/Data_Entry!$I523&lt;0,0,Data_Entry!AG523/Data_Entry!$I523),0)</f>
        <v>5.7053202110968475E-2</v>
      </c>
      <c r="AC534" s="49">
        <f>IFERROR(IF(Data_Entry!AI523/Data_Entry!$I523&lt;0,0,Data_Entry!AI523/Data_Entry!$I523),0)</f>
        <v>8.3155042076736546E-2</v>
      </c>
      <c r="AD534" s="49">
        <f>IFERROR(IF(Data_Entry!AM523/Data_Entry!$H523&lt;0,0,Data_Entry!AM523/Data_Entry!$H523),0)</f>
        <v>0.52639344067999572</v>
      </c>
      <c r="AE534" s="50">
        <f>Data_Entry!AK523</f>
        <v>201.70974999999999</v>
      </c>
      <c r="AF534" s="50">
        <f>Data_Entry!AL523</f>
        <v>0</v>
      </c>
      <c r="AG534" s="153">
        <f>(Data_Entry!O523-Data_Entry!Q523)/Data_Entry!O523</f>
        <v>0.13902439024390245</v>
      </c>
      <c r="AH534" s="79" t="str">
        <f t="shared" si="16"/>
        <v>CAT4</v>
      </c>
      <c r="AI534" s="51">
        <f>SUBTOTAL(3,Tableau1[[#This Row],[ZS]])</f>
        <v>0</v>
      </c>
      <c r="AJ534" s="51" t="e">
        <f t="shared" ca="1" si="17"/>
        <v>#NAME?</v>
      </c>
      <c r="AK534" s="50" t="str">
        <f>IFERROR(IF((Data_Entry!O523-Data_Entry!Q523)/Data_Entry!O523&lt;=10%,"&lt;=10%","&gt;10%"),"&lt;=10%")</f>
        <v>&gt;10%</v>
      </c>
    </row>
    <row r="535" spans="1:37" s="48" customFormat="1" ht="13" hidden="1" x14ac:dyDescent="0.3">
      <c r="A535" s="31" t="s">
        <v>16</v>
      </c>
      <c r="B535" s="48" t="str">
        <f>Data_Entry!B524</f>
        <v>Goma</v>
      </c>
      <c r="C535" s="48" t="str">
        <f>Data_Entry!C524</f>
        <v xml:space="preserve"> Mweso</v>
      </c>
      <c r="D535" s="48" t="str">
        <f>Data_Entry!D524</f>
        <v xml:space="preserve"> Bushanga</v>
      </c>
      <c r="E535" s="49">
        <f>IFERROR(IF(Data_Entry!J524/Data_Entry!$I524&lt;0,0,Data_Entry!J524/Data_Entry!$I524),0)</f>
        <v>2.616478214430408</v>
      </c>
      <c r="F535" s="49">
        <f>IFERROR(IF(Data_Entry!K524/Data_Entry!$H524&lt;0,0,Data_Entry!K524/Data_Entry!$H524),0)</f>
        <v>4.1449184909735948</v>
      </c>
      <c r="G535" s="49">
        <f>IFERROR(IF(Data_Entry!L524/Data_Entry!$H524&lt;0,0,Data_Entry!L524/Data_Entry!$H524),0)</f>
        <v>1.0042530899303577</v>
      </c>
      <c r="H535" s="49">
        <f>IFERROR(IF(Data_Entry!M524/Data_Entry!$H524&lt;0,0,Data_Entry!M524/Data_Entry!$H524),0)</f>
        <v>0.97385955379122957</v>
      </c>
      <c r="I535" s="49">
        <f>IFERROR(IF(Data_Entry!N524/Data_Entry!$H524&lt;0,0,Data_Entry!N524/Data_Entry!$H524),0)</f>
        <v>0.94979800434775319</v>
      </c>
      <c r="J535" s="49">
        <f>IFERROR(IF(Data_Entry!O524/Data_Entry!$H524&lt;0,0,Data_Entry!O524/Data_Entry!$H524),0)</f>
        <v>1.0042530899303577</v>
      </c>
      <c r="K535" s="49">
        <f>IFERROR(IF(Data_Entry!P524/Data_Entry!$H524&lt;0,0,Data_Entry!P524/Data_Entry!$H524),0)</f>
        <v>0.97385955379122957</v>
      </c>
      <c r="L535" s="49">
        <f>IFERROR(IF(Data_Entry!Q524/Data_Entry!$H524&lt;0,0,Data_Entry!Q524/Data_Entry!$H524),0)</f>
        <v>0.94979800434775319</v>
      </c>
      <c r="M535" s="49">
        <f>IFERROR(IF(Data_Entry!R524/Data_Entry!$H524&lt;0,0,Data_Entry!R524/Data_Entry!$H524),0)</f>
        <v>1.0042530899303577</v>
      </c>
      <c r="N535" s="49">
        <f>IFERROR(IF(Data_Entry!S524/Data_Entry!$H524&lt;0,0,Data_Entry!S524/Data_Entry!$H524),0)</f>
        <v>0.97385955379122957</v>
      </c>
      <c r="O535" s="49">
        <f>IFERROR(IF(Data_Entry!T524/Data_Entry!$H524&lt;0,0,Data_Entry!T524/Data_Entry!$H524),0)</f>
        <v>0.94979800434775319</v>
      </c>
      <c r="P535" s="49">
        <f>IFERROR(IF(Data_Entry!U524/Data_Entry!$H524&lt;0,0,Data_Entry!U524/Data_Entry!$H524),0)</f>
        <v>0.8649493826260205</v>
      </c>
      <c r="Q535" s="49">
        <f>IFERROR(IF(Data_Entry!V524/Data_Entry!$H524&lt;0,0,Data_Entry!V524/Data_Entry!$H524),0)</f>
        <v>0.83582224382602277</v>
      </c>
      <c r="R535" s="49">
        <f>IFERROR(IF(Data_Entry!W524/Data_Entry!$H524&lt;0,0,Data_Entry!W524/Data_Entry!$H524),0)</f>
        <v>0.80922789970428566</v>
      </c>
      <c r="S535" s="49">
        <f>IFERROR(IF(Data_Entry!X524/Data_Entry!$H524&lt;0,0,Data_Entry!X524/Data_Entry!$H524),0)</f>
        <v>1.3981026623998927</v>
      </c>
      <c r="T535" s="49">
        <f>IFERROR(IF(Data_Entry!Y524/Data_Entry!$H524&lt;0,0,Data_Entry!Y524/Data_Entry!$H524),0)</f>
        <v>1.1156960557738274</v>
      </c>
      <c r="U535" s="49">
        <f>IFERROR(IF(Data_Entry!Z524/Data_Entry!$H524&lt;0,0,Data_Entry!Z524/Data_Entry!$H524),0)</f>
        <v>1.0397122154260072</v>
      </c>
      <c r="V535" s="49">
        <f>IFERROR(IF(Data_Entry!AA524/Data_Entry!$H524&lt;0,0,Data_Entry!AA524/Data_Entry!$H524),0)</f>
        <v>0.94979800434775319</v>
      </c>
      <c r="W535" s="49">
        <f>IFERROR(IF(Data_Entry!AB524/Data_Entry!$H524&lt;0,0,Data_Entry!AB524/Data_Entry!$H524),0)</f>
        <v>1.0080522819477487</v>
      </c>
      <c r="X535" s="49">
        <f>IFERROR(IF(Data_Entry!AC524/Data_Entry!$I524&lt;0,0,Data_Entry!AC524/Data_Entry!$I524),0)</f>
        <v>0.60771242311517071</v>
      </c>
      <c r="Y535" s="49">
        <f>IFERROR(IF(Data_Entry!AD524/Data_Entry!$I524&lt;0,0,Data_Entry!AD524/Data_Entry!$I524),0)</f>
        <v>0.39998526757762148</v>
      </c>
      <c r="Z535" s="49">
        <f>IFERROR(IF(Data_Entry!AE524/Data_Entry!$I524&lt;0,0,Data_Entry!AE524/Data_Entry!$I524),0)</f>
        <v>0.40771978932635999</v>
      </c>
      <c r="AA535" s="49">
        <f>IFERROR(IF(Data_Entry!AF524/Data_Entry!$I524&lt;0,0,Data_Entry!AF524/Data_Entry!$I524),0)</f>
        <v>0.3215351184118449</v>
      </c>
      <c r="AB535" s="49">
        <f>IFERROR(IF(Data_Entry!AG524/Data_Entry!$I524&lt;0,0,Data_Entry!AG524/Data_Entry!$I524),0)</f>
        <v>0.26297373945711022</v>
      </c>
      <c r="AC535" s="49">
        <f>IFERROR(IF(Data_Entry!AI524/Data_Entry!$I524&lt;0,0,Data_Entry!AI524/Data_Entry!$I524),0)</f>
        <v>6.4417516850208092E-2</v>
      </c>
      <c r="AD535" s="49">
        <f>IFERROR(IF(Data_Entry!AM524/Data_Entry!$H524&lt;0,0,Data_Entry!AM524/Data_Entry!$H524),0)</f>
        <v>1.0397122154260072</v>
      </c>
      <c r="AE535" s="50">
        <f>Data_Entry!AK524</f>
        <v>0</v>
      </c>
      <c r="AF535" s="50">
        <f>Data_Entry!AL524</f>
        <v>0</v>
      </c>
      <c r="AG535" s="153">
        <f>(Data_Entry!O524-Data_Entry!Q524)/Data_Entry!O524</f>
        <v>5.4224464060529637E-2</v>
      </c>
      <c r="AH535" s="79" t="str">
        <f t="shared" si="16"/>
        <v>CAT1</v>
      </c>
      <c r="AI535" s="51">
        <f>SUBTOTAL(3,Tableau1[[#This Row],[ZS]])</f>
        <v>0</v>
      </c>
      <c r="AJ535" s="51" t="e">
        <f t="shared" ca="1" si="17"/>
        <v>#NAME?</v>
      </c>
      <c r="AK535" s="50" t="str">
        <f>IFERROR(IF((Data_Entry!O524-Data_Entry!Q524)/Data_Entry!O524&lt;=10%,"&lt;=10%","&gt;10%"),"&lt;=10%")</f>
        <v>&lt;=10%</v>
      </c>
    </row>
    <row r="536" spans="1:37" s="48" customFormat="1" ht="13" hidden="1" x14ac:dyDescent="0.3">
      <c r="A536" s="31" t="s">
        <v>16</v>
      </c>
      <c r="B536" s="48" t="str">
        <f>Data_Entry!B525</f>
        <v>Goma</v>
      </c>
      <c r="C536" s="48" t="str">
        <f>Data_Entry!C525</f>
        <v xml:space="preserve"> Mweso</v>
      </c>
      <c r="D536" s="48" t="str">
        <f>Data_Entry!D525</f>
        <v xml:space="preserve"> Busumba</v>
      </c>
      <c r="E536" s="49">
        <f>IFERROR(IF(Data_Entry!J525/Data_Entry!$I525&lt;0,0,Data_Entry!J525/Data_Entry!$I525),0)</f>
        <v>1.3421765796605334</v>
      </c>
      <c r="F536" s="49">
        <f>IFERROR(IF(Data_Entry!K525/Data_Entry!$H525&lt;0,0,Data_Entry!K525/Data_Entry!$H525),0)</f>
        <v>0.82228540578272624</v>
      </c>
      <c r="G536" s="49">
        <f>IFERROR(IF(Data_Entry!L525/Data_Entry!$H525&lt;0,0,Data_Entry!L525/Data_Entry!$H525),0)</f>
        <v>1.0887516505989974</v>
      </c>
      <c r="H536" s="49">
        <f>IFERROR(IF(Data_Entry!M525/Data_Entry!$H525&lt;0,0,Data_Entry!M525/Data_Entry!$H525),0)</f>
        <v>1.0805778394083141</v>
      </c>
      <c r="I536" s="49">
        <f>IFERROR(IF(Data_Entry!N525/Data_Entry!$H525&lt;0,0,Data_Entry!N525/Data_Entry!$H525),0)</f>
        <v>1.059325930312538</v>
      </c>
      <c r="J536" s="49">
        <f>IFERROR(IF(Data_Entry!O525/Data_Entry!$H525&lt;0,0,Data_Entry!O525/Data_Entry!$H525),0)</f>
        <v>1.1623159513151458</v>
      </c>
      <c r="K536" s="49">
        <f>IFERROR(IF(Data_Entry!P525/Data_Entry!$H525&lt;0,0,Data_Entry!P525/Data_Entry!$H525),0)</f>
        <v>1.1606811890770092</v>
      </c>
      <c r="L536" s="49">
        <f>IFERROR(IF(Data_Entry!Q525/Data_Entry!$H525&lt;0,0,Data_Entry!Q525/Data_Entry!$H525),0)</f>
        <v>1.1394292799812329</v>
      </c>
      <c r="M536" s="49">
        <f>IFERROR(IF(Data_Entry!R525/Data_Entry!$H525&lt;0,0,Data_Entry!R525/Data_Entry!$H525),0)</f>
        <v>1.0871168883608606</v>
      </c>
      <c r="N536" s="49">
        <f>IFERROR(IF(Data_Entry!S525/Data_Entry!$H525&lt;0,0,Data_Entry!S525/Data_Entry!$H525),0)</f>
        <v>1.0805778394083141</v>
      </c>
      <c r="O536" s="49">
        <f>IFERROR(IF(Data_Entry!T525/Data_Entry!$H525&lt;0,0,Data_Entry!T525/Data_Entry!$H525),0)</f>
        <v>1.059325930312538</v>
      </c>
      <c r="P536" s="49">
        <f>IFERROR(IF(Data_Entry!U525/Data_Entry!$H525&lt;0,0,Data_Entry!U525/Data_Entry!$H525),0)</f>
        <v>1.067499741503221</v>
      </c>
      <c r="Q536" s="49">
        <f>IFERROR(IF(Data_Entry!V525/Data_Entry!$H525&lt;0,0,Data_Entry!V525/Data_Entry!$H525),0)</f>
        <v>1.0658649792650845</v>
      </c>
      <c r="R536" s="49">
        <f>IFERROR(IF(Data_Entry!W525/Data_Entry!$H525&lt;0,0,Data_Entry!W525/Data_Entry!$H525),0)</f>
        <v>1.0511521191218547</v>
      </c>
      <c r="S536" s="49">
        <f>IFERROR(IF(Data_Entry!X525/Data_Entry!$H525&lt;0,0,Data_Entry!X525/Data_Entry!$H525),0)</f>
        <v>1.3208878884143991</v>
      </c>
      <c r="T536" s="49">
        <f>IFERROR(IF(Data_Entry!Y525/Data_Entry!$H525&lt;0,0,Data_Entry!Y525/Data_Entry!$H525),0)</f>
        <v>0.54437582529949868</v>
      </c>
      <c r="U536" s="49">
        <f>IFERROR(IF(Data_Entry!Z525/Data_Entry!$H525&lt;0,0,Data_Entry!Z525/Data_Entry!$H525),0)</f>
        <v>1.0217263988353955</v>
      </c>
      <c r="V536" s="49">
        <f>IFERROR(IF(Data_Entry!AA525/Data_Entry!$H525&lt;0,0,Data_Entry!AA525/Data_Entry!$H525),0)</f>
        <v>0.94979686035738353</v>
      </c>
      <c r="W536" s="49">
        <f>IFERROR(IF(Data_Entry!AB525/Data_Entry!$H525&lt;0,0,Data_Entry!AB525/Data_Entry!$H525),0)</f>
        <v>0.19126718186198602</v>
      </c>
      <c r="X536" s="49">
        <f>IFERROR(IF(Data_Entry!AC525/Data_Entry!$I525&lt;0,0,Data_Entry!AC525/Data_Entry!$I525),0)</f>
        <v>0.33804022250748822</v>
      </c>
      <c r="Y536" s="49">
        <f>IFERROR(IF(Data_Entry!AD525/Data_Entry!$I525&lt;0,0,Data_Entry!AD525/Data_Entry!$I525),0)</f>
        <v>0.32520325203252032</v>
      </c>
      <c r="Z536" s="49">
        <f>IFERROR(IF(Data_Entry!AE525/Data_Entry!$I525&lt;0,0,Data_Entry!AE525/Data_Entry!$I525),0)</f>
        <v>0.27100271002710025</v>
      </c>
      <c r="AA536" s="49">
        <f>IFERROR(IF(Data_Entry!AF525/Data_Entry!$I525&lt;0,0,Data_Entry!AF525/Data_Entry!$I525),0)</f>
        <v>0.2296391384966481</v>
      </c>
      <c r="AB536" s="49">
        <f>IFERROR(IF(Data_Entry!AG525/Data_Entry!$I525&lt;0,0,Data_Entry!AG525/Data_Entry!$I525),0)</f>
        <v>0.18399657680787335</v>
      </c>
      <c r="AC536" s="49">
        <f>IFERROR(IF(Data_Entry!AI525/Data_Entry!$I525&lt;0,0,Data_Entry!AI525/Data_Entry!$I525),0)</f>
        <v>8.3155042076736546E-2</v>
      </c>
      <c r="AD536" s="49">
        <f>IFERROR(IF(Data_Entry!AM525/Data_Entry!$H525&lt;0,0,Data_Entry!AM525/Data_Entry!$H525),0)</f>
        <v>1.0217263988353955</v>
      </c>
      <c r="AE536" s="50">
        <f>Data_Entry!AK525</f>
        <v>0</v>
      </c>
      <c r="AF536" s="50">
        <f>Data_Entry!AL525</f>
        <v>0</v>
      </c>
      <c r="AG536" s="153">
        <f>(Data_Entry!O525-Data_Entry!Q525)/Data_Entry!O525</f>
        <v>1.969057665260197E-2</v>
      </c>
      <c r="AH536" s="79" t="str">
        <f t="shared" si="16"/>
        <v>CAT1</v>
      </c>
      <c r="AI536" s="51">
        <f>SUBTOTAL(3,Tableau1[[#This Row],[ZS]])</f>
        <v>0</v>
      </c>
      <c r="AJ536" s="51" t="e">
        <f t="shared" ca="1" si="17"/>
        <v>#NAME?</v>
      </c>
      <c r="AK536" s="50" t="str">
        <f>IFERROR(IF((Data_Entry!O525-Data_Entry!Q525)/Data_Entry!O525&lt;=10%,"&lt;=10%","&gt;10%"),"&lt;=10%")</f>
        <v>&lt;=10%</v>
      </c>
    </row>
    <row r="537" spans="1:37" s="48" customFormat="1" ht="13" hidden="1" x14ac:dyDescent="0.3">
      <c r="A537" s="31" t="s">
        <v>16</v>
      </c>
      <c r="B537" s="48" t="str">
        <f>Data_Entry!B526</f>
        <v>Goma</v>
      </c>
      <c r="C537" s="48" t="str">
        <f>Data_Entry!C526</f>
        <v xml:space="preserve"> Mweso</v>
      </c>
      <c r="D537" s="48" t="str">
        <f>Data_Entry!D526</f>
        <v xml:space="preserve"> Bweru</v>
      </c>
      <c r="E537" s="49">
        <f>IFERROR(IF(Data_Entry!J526/Data_Entry!$I526&lt;0,0,Data_Entry!J526/Data_Entry!$I526),0)</f>
        <v>0.55213721753335143</v>
      </c>
      <c r="F537" s="49">
        <f>IFERROR(IF(Data_Entry!K526/Data_Entry!$H526&lt;0,0,Data_Entry!K526/Data_Entry!$H526),0)</f>
        <v>0.6215884987405188</v>
      </c>
      <c r="G537" s="49">
        <f>IFERROR(IF(Data_Entry!L526/Data_Entry!$H526&lt;0,0,Data_Entry!L526/Data_Entry!$H526),0)</f>
        <v>0.76762435085425518</v>
      </c>
      <c r="H537" s="49">
        <f>IFERROR(IF(Data_Entry!M526/Data_Entry!$H526&lt;0,0,Data_Entry!M526/Data_Entry!$H526),0)</f>
        <v>0.6908619157688296</v>
      </c>
      <c r="I537" s="49">
        <f>IFERROR(IF(Data_Entry!N526/Data_Entry!$H526&lt;0,0,Data_Entry!N526/Data_Entry!$H526),0)</f>
        <v>0.64405555291186289</v>
      </c>
      <c r="J537" s="49">
        <f>IFERROR(IF(Data_Entry!O526/Data_Entry!$H526&lt;0,0,Data_Entry!O526/Data_Entry!$H526),0)</f>
        <v>0.79945267759699257</v>
      </c>
      <c r="K537" s="49">
        <f>IFERROR(IF(Data_Entry!P526/Data_Entry!$H526&lt;0,0,Data_Entry!P526/Data_Entry!$H526),0)</f>
        <v>0.76762435085425518</v>
      </c>
      <c r="L537" s="49">
        <f>IFERROR(IF(Data_Entry!Q526/Data_Entry!$H526&lt;0,0,Data_Entry!Q526/Data_Entry!$H526),0)</f>
        <v>0.70396769736878029</v>
      </c>
      <c r="M537" s="49">
        <f>IFERROR(IF(Data_Entry!R526/Data_Entry!$H526&lt;0,0,Data_Entry!R526/Data_Entry!$H526),0)</f>
        <v>0.80694169565410723</v>
      </c>
      <c r="N537" s="49">
        <f>IFERROR(IF(Data_Entry!S526/Data_Entry!$H526&lt;0,0,Data_Entry!S526/Data_Entry!$H526),0)</f>
        <v>0.72081798799728836</v>
      </c>
      <c r="O537" s="49">
        <f>IFERROR(IF(Data_Entry!T526/Data_Entry!$H526&lt;0,0,Data_Entry!T526/Data_Entry!$H526),0)</f>
        <v>0.66839486159748562</v>
      </c>
      <c r="P537" s="49">
        <f>IFERROR(IF(Data_Entry!U526/Data_Entry!$H526&lt;0,0,Data_Entry!U526/Data_Entry!$H526),0)</f>
        <v>0.45495784696971708</v>
      </c>
      <c r="Q537" s="49">
        <f>IFERROR(IF(Data_Entry!V526/Data_Entry!$H526&lt;0,0,Data_Entry!V526/Data_Entry!$H526),0)</f>
        <v>0.40815148411275032</v>
      </c>
      <c r="R537" s="49">
        <f>IFERROR(IF(Data_Entry!W526/Data_Entry!$H526&lt;0,0,Data_Entry!W526/Data_Entry!$H526),0)</f>
        <v>0.39691795702707827</v>
      </c>
      <c r="S537" s="49">
        <f>IFERROR(IF(Data_Entry!X526/Data_Entry!$H526&lt;0,0,Data_Entry!X526/Data_Entry!$H526),0)</f>
        <v>0.79009140502559916</v>
      </c>
      <c r="T537" s="49">
        <f>IFERROR(IF(Data_Entry!Y526/Data_Entry!$H526&lt;0,0,Data_Entry!Y526/Data_Entry!$H526),0)</f>
        <v>0.61971624422624016</v>
      </c>
      <c r="U537" s="49">
        <f>IFERROR(IF(Data_Entry!Z526/Data_Entry!$H526&lt;0,0,Data_Entry!Z526/Data_Entry!$H526),0)</f>
        <v>0.63282202582619085</v>
      </c>
      <c r="V537" s="49">
        <f>IFERROR(IF(Data_Entry!AA526/Data_Entry!$H526&lt;0,0,Data_Entry!AA526/Data_Entry!$H526),0)</f>
        <v>0.40627922959847163</v>
      </c>
      <c r="W537" s="49">
        <f>IFERROR(IF(Data_Entry!AB526/Data_Entry!$H526&lt;0,0,Data_Entry!AB526/Data_Entry!$H526),0)</f>
        <v>0.37070639382717691</v>
      </c>
      <c r="X537" s="49">
        <f>IFERROR(IF(Data_Entry!AC526/Data_Entry!$I526&lt;0,0,Data_Entry!AC526/Data_Entry!$I526),0)</f>
        <v>0.34141029131500134</v>
      </c>
      <c r="Y537" s="49">
        <f>IFERROR(IF(Data_Entry!AD526/Data_Entry!$I526&lt;0,0,Data_Entry!AD526/Data_Entry!$I526),0)</f>
        <v>0.24013068336509663</v>
      </c>
      <c r="Z537" s="49">
        <f>IFERROR(IF(Data_Entry!AE526/Data_Entry!$I526&lt;0,0,Data_Entry!AE526/Data_Entry!$I526),0)</f>
        <v>8.6577729376531437E-2</v>
      </c>
      <c r="AA537" s="49">
        <f>IFERROR(IF(Data_Entry!AF526/Data_Entry!$I526&lt;0,0,Data_Entry!AF526/Data_Entry!$I526),0)</f>
        <v>0.11434794445956982</v>
      </c>
      <c r="AB537" s="49">
        <f>IFERROR(IF(Data_Entry!AG526/Data_Entry!$I526&lt;0,0,Data_Entry!AG526/Data_Entry!$I526),0)</f>
        <v>7.0242308739450032E-2</v>
      </c>
      <c r="AC537" s="49">
        <f>IFERROR(IF(Data_Entry!AI526/Data_Entry!$I526&lt;0,0,Data_Entry!AI526/Data_Entry!$I526),0)</f>
        <v>9.5235502314184567E-2</v>
      </c>
      <c r="AD537" s="49">
        <f>IFERROR(IF(Data_Entry!AM526/Data_Entry!$H526&lt;0,0,Data_Entry!AM526/Data_Entry!$H526),0)</f>
        <v>0.63282202582619085</v>
      </c>
      <c r="AE537" s="50">
        <f>Data_Entry!AK526</f>
        <v>107.11541666666665</v>
      </c>
      <c r="AF537" s="50">
        <f>Data_Entry!AL526</f>
        <v>5</v>
      </c>
      <c r="AG537" s="153">
        <f>(Data_Entry!O526-Data_Entry!Q526)/Data_Entry!O526</f>
        <v>0.11943793911007025</v>
      </c>
      <c r="AH537" s="79" t="str">
        <f t="shared" si="16"/>
        <v>CAT4</v>
      </c>
      <c r="AI537" s="51">
        <f>SUBTOTAL(3,Tableau1[[#This Row],[ZS]])</f>
        <v>0</v>
      </c>
      <c r="AJ537" s="51" t="e">
        <f t="shared" ca="1" si="17"/>
        <v>#NAME?</v>
      </c>
      <c r="AK537" s="50" t="str">
        <f>IFERROR(IF((Data_Entry!O526-Data_Entry!Q526)/Data_Entry!O526&lt;=10%,"&lt;=10%","&gt;10%"),"&lt;=10%")</f>
        <v>&gt;10%</v>
      </c>
    </row>
    <row r="538" spans="1:37" s="48" customFormat="1" ht="13" hidden="1" x14ac:dyDescent="0.3">
      <c r="A538" s="31" t="s">
        <v>16</v>
      </c>
      <c r="B538" s="48" t="str">
        <f>Data_Entry!B527</f>
        <v>Goma</v>
      </c>
      <c r="C538" s="48" t="str">
        <f>Data_Entry!C527</f>
        <v xml:space="preserve"> Mweso</v>
      </c>
      <c r="D538" s="48" t="str">
        <f>Data_Entry!D527</f>
        <v xml:space="preserve"> Kalembe</v>
      </c>
      <c r="E538" s="49">
        <f>IFERROR(IF(Data_Entry!J527/Data_Entry!$I527&lt;0,0,Data_Entry!J527/Data_Entry!$I527),0)</f>
        <v>0.56805260295644433</v>
      </c>
      <c r="F538" s="49">
        <f>IFERROR(IF(Data_Entry!K527/Data_Entry!$H527&lt;0,0,Data_Entry!K527/Data_Entry!$H527),0)</f>
        <v>0.77260627692311179</v>
      </c>
      <c r="G538" s="49">
        <f>IFERROR(IF(Data_Entry!L527/Data_Entry!$H527&lt;0,0,Data_Entry!L527/Data_Entry!$H527),0)</f>
        <v>1.1831330445291217</v>
      </c>
      <c r="H538" s="49">
        <f>IFERROR(IF(Data_Entry!M527/Data_Entry!$H527&lt;0,0,Data_Entry!M527/Data_Entry!$H527),0)</f>
        <v>1.0692394899551976</v>
      </c>
      <c r="I538" s="49">
        <f>IFERROR(IF(Data_Entry!N527/Data_Entry!$H527&lt;0,0,Data_Entry!N527/Data_Entry!$H527),0)</f>
        <v>1.007193001269403</v>
      </c>
      <c r="J538" s="49">
        <f>IFERROR(IF(Data_Entry!O527/Data_Entry!$H527&lt;0,0,Data_Entry!O527/Data_Entry!$H527),0)</f>
        <v>1.1780333331302892</v>
      </c>
      <c r="K538" s="49">
        <f>IFERROR(IF(Data_Entry!P527/Data_Entry!$H527&lt;0,0,Data_Entry!P527/Data_Entry!$H527),0)</f>
        <v>1.0675395861555868</v>
      </c>
      <c r="L538" s="49">
        <f>IFERROR(IF(Data_Entry!Q527/Data_Entry!$H527&lt;0,0,Data_Entry!Q527/Data_Entry!$H527),0)</f>
        <v>0.98849405947368418</v>
      </c>
      <c r="M538" s="49">
        <f>IFERROR(IF(Data_Entry!R527/Data_Entry!$H527&lt;0,0,Data_Entry!R527/Data_Entry!$H527),0)</f>
        <v>1.1831330445291217</v>
      </c>
      <c r="N538" s="49">
        <f>IFERROR(IF(Data_Entry!S527/Data_Entry!$H527&lt;0,0,Data_Entry!S527/Data_Entry!$H527),0)</f>
        <v>1.0692394899551976</v>
      </c>
      <c r="O538" s="49">
        <f>IFERROR(IF(Data_Entry!T527/Data_Entry!$H527&lt;0,0,Data_Entry!T527/Data_Entry!$H527),0)</f>
        <v>1.007193001269403</v>
      </c>
      <c r="P538" s="49">
        <f>IFERROR(IF(Data_Entry!U527/Data_Entry!$H527&lt;0,0,Data_Entry!U527/Data_Entry!$H527),0)</f>
        <v>1.007193001269403</v>
      </c>
      <c r="Q538" s="49">
        <f>IFERROR(IF(Data_Entry!V527/Data_Entry!$H527&lt;0,0,Data_Entry!V527/Data_Entry!$H527),0)</f>
        <v>0.90349886949314384</v>
      </c>
      <c r="R538" s="49">
        <f>IFERROR(IF(Data_Entry!W527/Data_Entry!$H527&lt;0,0,Data_Entry!W527/Data_Entry!$H527),0)</f>
        <v>0.84400223650676565</v>
      </c>
      <c r="S538" s="49">
        <f>IFERROR(IF(Data_Entry!X527/Data_Entry!$H527&lt;0,0,Data_Entry!X527/Data_Entry!$H527),0)</f>
        <v>0.75050752752817129</v>
      </c>
      <c r="T538" s="49">
        <f>IFERROR(IF(Data_Entry!Y527/Data_Entry!$H527&lt;0,0,Data_Entry!Y527/Data_Entry!$H527),0)</f>
        <v>0.70206026923926323</v>
      </c>
      <c r="U538" s="49">
        <f>IFERROR(IF(Data_Entry!Z527/Data_Entry!$H527&lt;0,0,Data_Entry!Z527/Data_Entry!$H527),0)</f>
        <v>0.7734562288229172</v>
      </c>
      <c r="V538" s="49">
        <f>IFERROR(IF(Data_Entry!AA527/Data_Entry!$H527&lt;0,0,Data_Entry!AA527/Data_Entry!$H527),0)</f>
        <v>1.061589922856949</v>
      </c>
      <c r="W538" s="49">
        <f>IFERROR(IF(Data_Entry!AB527/Data_Entry!$H527&lt;0,0,Data_Entry!AB527/Data_Entry!$H527),0)</f>
        <v>0.76750656552427932</v>
      </c>
      <c r="X538" s="49">
        <f>IFERROR(IF(Data_Entry!AC527/Data_Entry!$I527&lt;0,0,Data_Entry!AC527/Data_Entry!$I527),0)</f>
        <v>0.31072329065110987</v>
      </c>
      <c r="Y538" s="49">
        <f>IFERROR(IF(Data_Entry!AD527/Data_Entry!$I527&lt;0,0,Data_Entry!AD527/Data_Entry!$I527),0)</f>
        <v>0.11272062095219261</v>
      </c>
      <c r="Z538" s="49">
        <f>IFERROR(IF(Data_Entry!AE527/Data_Entry!$I527&lt;0,0,Data_Entry!AE527/Data_Entry!$I527),0)</f>
        <v>0.16092351806990657</v>
      </c>
      <c r="AA538" s="49">
        <f>IFERROR(IF(Data_Entry!AF527/Data_Entry!$I527&lt;0,0,Data_Entry!AF527/Data_Entry!$I527),0)</f>
        <v>0.12458594947347604</v>
      </c>
      <c r="AB538" s="49">
        <f>IFERROR(IF(Data_Entry!AG527/Data_Entry!$I527&lt;0,0,Data_Entry!AG527/Data_Entry!$I527),0)</f>
        <v>0.12977703070153754</v>
      </c>
      <c r="AC538" s="49">
        <f>IFERROR(IF(Data_Entry!AI527/Data_Entry!$I527&lt;0,0,Data_Entry!AI527/Data_Entry!$I527),0)</f>
        <v>3.2926286646561526E-2</v>
      </c>
      <c r="AD538" s="49">
        <f>IFERROR(IF(Data_Entry!AM527/Data_Entry!$H527&lt;0,0,Data_Entry!AM527/Data_Entry!$H527),0)</f>
        <v>0.75050752752817129</v>
      </c>
      <c r="AE538" s="50">
        <f>Data_Entry!AK527</f>
        <v>0</v>
      </c>
      <c r="AF538" s="50">
        <f>Data_Entry!AL527</f>
        <v>503</v>
      </c>
      <c r="AG538" s="153">
        <f>(Data_Entry!O527-Data_Entry!Q527)/Data_Entry!O527</f>
        <v>0.1608946608946609</v>
      </c>
      <c r="AH538" s="79" t="str">
        <f t="shared" si="16"/>
        <v>CAT2</v>
      </c>
      <c r="AI538" s="51">
        <f>SUBTOTAL(3,Tableau1[[#This Row],[ZS]])</f>
        <v>0</v>
      </c>
      <c r="AJ538" s="51" t="e">
        <f t="shared" ca="1" si="17"/>
        <v>#NAME?</v>
      </c>
      <c r="AK538" s="50" t="str">
        <f>IFERROR(IF((Data_Entry!O527-Data_Entry!Q527)/Data_Entry!O527&lt;=10%,"&lt;=10%","&gt;10%"),"&lt;=10%")</f>
        <v>&gt;10%</v>
      </c>
    </row>
    <row r="539" spans="1:37" s="48" customFormat="1" ht="13" hidden="1" x14ac:dyDescent="0.3">
      <c r="A539" s="31" t="s">
        <v>16</v>
      </c>
      <c r="B539" s="48" t="str">
        <f>Data_Entry!B528</f>
        <v>Goma</v>
      </c>
      <c r="C539" s="48" t="str">
        <f>Data_Entry!C528</f>
        <v xml:space="preserve"> Mweso</v>
      </c>
      <c r="D539" s="48" t="str">
        <f>Data_Entry!D528</f>
        <v xml:space="preserve"> Kamonyi</v>
      </c>
      <c r="E539" s="49">
        <f>IFERROR(IF(Data_Entry!J528/Data_Entry!$I528&lt;0,0,Data_Entry!J528/Data_Entry!$I528),0)</f>
        <v>0.58487094046849364</v>
      </c>
      <c r="F539" s="49">
        <f>IFERROR(IF(Data_Entry!K528/Data_Entry!$H528&lt;0,0,Data_Entry!K528/Data_Entry!$H528),0)</f>
        <v>1.0448399059302076</v>
      </c>
      <c r="G539" s="49">
        <f>IFERROR(IF(Data_Entry!L528/Data_Entry!$H528&lt;0,0,Data_Entry!L528/Data_Entry!$H528),0)</f>
        <v>0.93368672444827061</v>
      </c>
      <c r="H539" s="49">
        <f>IFERROR(IF(Data_Entry!M528/Data_Entry!$H528&lt;0,0,Data_Entry!M528/Data_Entry!$H528),0)</f>
        <v>0.96788770336578978</v>
      </c>
      <c r="I539" s="49">
        <f>IFERROR(IF(Data_Entry!N528/Data_Entry!$H528&lt;0,0,Data_Entry!N528/Data_Entry!$H528),0)</f>
        <v>0.95591736074465805</v>
      </c>
      <c r="J539" s="49">
        <f>IFERROR(IF(Data_Entry!O528/Data_Entry!$H528&lt;0,0,Data_Entry!O528/Data_Entry!$H528),0)</f>
        <v>0.93368672444827061</v>
      </c>
      <c r="K539" s="49">
        <f>IFERROR(IF(Data_Entry!P528/Data_Entry!$H528&lt;0,0,Data_Entry!P528/Data_Entry!$H528),0)</f>
        <v>0.91658623498951108</v>
      </c>
      <c r="L539" s="49">
        <f>IFERROR(IF(Data_Entry!Q528/Data_Entry!$H528&lt;0,0,Data_Entry!Q528/Data_Entry!$H528),0)</f>
        <v>0.95591736074465805</v>
      </c>
      <c r="M539" s="49">
        <f>IFERROR(IF(Data_Entry!R528/Data_Entry!$H528&lt;0,0,Data_Entry!R528/Data_Entry!$H528),0)</f>
        <v>0.9849881928245493</v>
      </c>
      <c r="N539" s="49">
        <f>IFERROR(IF(Data_Entry!S528/Data_Entry!$H528&lt;0,0,Data_Entry!S528/Data_Entry!$H528),0)</f>
        <v>0.91658623498951108</v>
      </c>
      <c r="O539" s="49">
        <f>IFERROR(IF(Data_Entry!T528/Data_Entry!$H528&lt;0,0,Data_Entry!T528/Data_Entry!$H528),0)</f>
        <v>0.95591736074465805</v>
      </c>
      <c r="P539" s="49">
        <f>IFERROR(IF(Data_Entry!U528/Data_Entry!$H528&lt;0,0,Data_Entry!U528/Data_Entry!$H528),0)</f>
        <v>0.31293895709529951</v>
      </c>
      <c r="Q539" s="49">
        <f>IFERROR(IF(Data_Entry!V528/Data_Entry!$H528&lt;0,0,Data_Entry!V528/Data_Entry!$H528),0)</f>
        <v>0.30096861447416784</v>
      </c>
      <c r="R539" s="49">
        <f>IFERROR(IF(Data_Entry!W528/Data_Entry!$H528&lt;0,0,Data_Entry!W528/Data_Entry!$H528),0)</f>
        <v>0.29412841869066403</v>
      </c>
      <c r="S539" s="49">
        <f>IFERROR(IF(Data_Entry!X528/Data_Entry!$H528&lt;0,0,Data_Entry!X528/Data_Entry!$H528),0)</f>
        <v>0.93710682234002252</v>
      </c>
      <c r="T539" s="49">
        <f>IFERROR(IF(Data_Entry!Y528/Data_Entry!$H528&lt;0,0,Data_Entry!Y528/Data_Entry!$H528),0)</f>
        <v>0.97472789914929359</v>
      </c>
      <c r="U539" s="49">
        <f>IFERROR(IF(Data_Entry!Z528/Data_Entry!$H528&lt;0,0,Data_Entry!Z528/Data_Entry!$H528),0)</f>
        <v>0.94052692023177442</v>
      </c>
      <c r="V539" s="49">
        <f>IFERROR(IF(Data_Entry!AA528/Data_Entry!$H528&lt;0,0,Data_Entry!AA528/Data_Entry!$H528),0)</f>
        <v>0.65836884416224217</v>
      </c>
      <c r="W539" s="49">
        <f>IFERROR(IF(Data_Entry!AB528/Data_Entry!$H528&lt;0,0,Data_Entry!AB528/Data_Entry!$H528),0)</f>
        <v>0.64981859943286235</v>
      </c>
      <c r="X539" s="49">
        <f>IFERROR(IF(Data_Entry!AC528/Data_Entry!$I528&lt;0,0,Data_Entry!AC528/Data_Entry!$I528),0)</f>
        <v>0.42074899288804901</v>
      </c>
      <c r="Y539" s="49">
        <f>IFERROR(IF(Data_Entry!AD528/Data_Entry!$I528&lt;0,0,Data_Entry!AD528/Data_Entry!$I528),0)</f>
        <v>0.4058288158352813</v>
      </c>
      <c r="Z539" s="49">
        <f>IFERROR(IF(Data_Entry!AE528/Data_Entry!$I528&lt;0,0,Data_Entry!AE528/Data_Entry!$I528),0)</f>
        <v>0.41179688665638836</v>
      </c>
      <c r="AA539" s="49">
        <f>IFERROR(IF(Data_Entry!AF528/Data_Entry!$I528&lt;0,0,Data_Entry!AF528/Data_Entry!$I528),0)</f>
        <v>0.36106828467697821</v>
      </c>
      <c r="AB539" s="49">
        <f>IFERROR(IF(Data_Entry!AG528/Data_Entry!$I528&lt;0,0,Data_Entry!AG528/Data_Entry!$I528),0)</f>
        <v>0.37002039090863886</v>
      </c>
      <c r="AC539" s="49">
        <f>IFERROR(IF(Data_Entry!AI528/Data_Entry!$I528&lt;0,0,Data_Entry!AI528/Data_Entry!$I528),0)</f>
        <v>8.6984632217635652E-2</v>
      </c>
      <c r="AD539" s="49">
        <f>IFERROR(IF(Data_Entry!AM528/Data_Entry!$H528&lt;0,0,Data_Entry!AM528/Data_Entry!$H528),0)</f>
        <v>0.93710682234002252</v>
      </c>
      <c r="AE539" s="50">
        <f>Data_Entry!AK528</f>
        <v>38.778583333333245</v>
      </c>
      <c r="AF539" s="50">
        <f>Data_Entry!AL528</f>
        <v>0</v>
      </c>
      <c r="AG539" s="153">
        <f>(Data_Entry!O528-Data_Entry!Q528)/Data_Entry!O528</f>
        <v>-2.3809523809523808E-2</v>
      </c>
      <c r="AH539" s="79" t="str">
        <f t="shared" si="16"/>
        <v>CAT1</v>
      </c>
      <c r="AI539" s="51">
        <f>SUBTOTAL(3,Tableau1[[#This Row],[ZS]])</f>
        <v>0</v>
      </c>
      <c r="AJ539" s="51" t="e">
        <f t="shared" ca="1" si="17"/>
        <v>#NAME?</v>
      </c>
      <c r="AK539" s="50" t="str">
        <f>IFERROR(IF((Data_Entry!O528-Data_Entry!Q528)/Data_Entry!O528&lt;=10%,"&lt;=10%","&gt;10%"),"&lt;=10%")</f>
        <v>&lt;=10%</v>
      </c>
    </row>
    <row r="540" spans="1:37" s="48" customFormat="1" ht="13" hidden="1" x14ac:dyDescent="0.3">
      <c r="A540" s="31" t="s">
        <v>16</v>
      </c>
      <c r="B540" s="48" t="str">
        <f>Data_Entry!B529</f>
        <v>Goma</v>
      </c>
      <c r="C540" s="48" t="str">
        <f>Data_Entry!C529</f>
        <v xml:space="preserve"> Mweso</v>
      </c>
      <c r="D540" s="48" t="str">
        <f>Data_Entry!D529</f>
        <v xml:space="preserve"> Kashuga</v>
      </c>
      <c r="E540" s="49">
        <f>IFERROR(IF(Data_Entry!J529/Data_Entry!$I529&lt;0,0,Data_Entry!J529/Data_Entry!$I529),0)</f>
        <v>0.40293180858820365</v>
      </c>
      <c r="F540" s="49">
        <f>IFERROR(IF(Data_Entry!K529/Data_Entry!$H529&lt;0,0,Data_Entry!K529/Data_Entry!$H529),0)</f>
        <v>0.99883546164967729</v>
      </c>
      <c r="G540" s="49">
        <f>IFERROR(IF(Data_Entry!L529/Data_Entry!$H529&lt;0,0,Data_Entry!L529/Data_Entry!$H529),0)</f>
        <v>1.0562322153904449</v>
      </c>
      <c r="H540" s="49">
        <f>IFERROR(IF(Data_Entry!M529/Data_Entry!$H529&lt;0,0,Data_Entry!M529/Data_Entry!$H529),0)</f>
        <v>0.93748031109920182</v>
      </c>
      <c r="I540" s="49">
        <f>IFERROR(IF(Data_Entry!N529/Data_Entry!$H529&lt;0,0,Data_Entry!N529/Data_Entry!$H529),0)</f>
        <v>1.0107106520788016</v>
      </c>
      <c r="J540" s="49">
        <f>IFERROR(IF(Data_Entry!O529/Data_Entry!$H529&lt;0,0,Data_Entry!O529/Data_Entry!$H529),0)</f>
        <v>1.0562322153904449</v>
      </c>
      <c r="K540" s="49">
        <f>IFERROR(IF(Data_Entry!P529/Data_Entry!$H529&lt;0,0,Data_Entry!P529/Data_Entry!$H529),0)</f>
        <v>0.93748031109920182</v>
      </c>
      <c r="L540" s="49">
        <f>IFERROR(IF(Data_Entry!Q529/Data_Entry!$H529&lt;0,0,Data_Entry!Q529/Data_Entry!$H529),0)</f>
        <v>1.0107106520788016</v>
      </c>
      <c r="M540" s="49">
        <f>IFERROR(IF(Data_Entry!R529/Data_Entry!$H529&lt;0,0,Data_Entry!R529/Data_Entry!$H529),0)</f>
        <v>0.96386962316392244</v>
      </c>
      <c r="N540" s="49">
        <f>IFERROR(IF(Data_Entry!S529/Data_Entry!$H529&lt;0,0,Data_Entry!S529/Data_Entry!$H529),0)</f>
        <v>0.85105531408724155</v>
      </c>
      <c r="O540" s="49">
        <f>IFERROR(IF(Data_Entry!T529/Data_Entry!$H529&lt;0,0,Data_Entry!T529/Data_Entry!$H529),0)</f>
        <v>0.91966752545551533</v>
      </c>
      <c r="P540" s="49">
        <f>IFERROR(IF(Data_Entry!U529/Data_Entry!$H529&lt;0,0,Data_Entry!U529/Data_Entry!$H529),0)</f>
        <v>0.88206275576328841</v>
      </c>
      <c r="Q540" s="49">
        <f>IFERROR(IF(Data_Entry!V529/Data_Entry!$H529&lt;0,0,Data_Entry!V529/Data_Entry!$H529),0)</f>
        <v>0.76792898108337149</v>
      </c>
      <c r="R540" s="49">
        <f>IFERROR(IF(Data_Entry!W529/Data_Entry!$H529&lt;0,0,Data_Entry!W529/Data_Entry!$H529),0)</f>
        <v>0.89195874778755857</v>
      </c>
      <c r="S540" s="49">
        <f>IFERROR(IF(Data_Entry!X529/Data_Entry!$H529&lt;0,0,Data_Entry!X529/Data_Entry!$H529),0)</f>
        <v>1.1314417547748987</v>
      </c>
      <c r="T540" s="49">
        <f>IFERROR(IF(Data_Entry!Y529/Data_Entry!$H529&lt;0,0,Data_Entry!Y529/Data_Entry!$H529),0)</f>
        <v>1.0166482472933638</v>
      </c>
      <c r="U540" s="49">
        <f>IFERROR(IF(Data_Entry!Z529/Data_Entry!$H529&lt;0,0,Data_Entry!Z529/Data_Entry!$H529),0)</f>
        <v>0.80685321637883445</v>
      </c>
      <c r="V540" s="49">
        <f>IFERROR(IF(Data_Entry!AA529/Data_Entry!$H529&lt;0,0,Data_Entry!AA529/Data_Entry!$H529),0)</f>
        <v>0.99751599604644126</v>
      </c>
      <c r="W540" s="49">
        <f>IFERROR(IF(Data_Entry!AB529/Data_Entry!$H529&lt;0,0,Data_Entry!AB529/Data_Entry!$H529),0)</f>
        <v>0.93484137989272975</v>
      </c>
      <c r="X540" s="49">
        <f>IFERROR(IF(Data_Entry!AC529/Data_Entry!$I529&lt;0,0,Data_Entry!AC529/Data_Entry!$I529),0)</f>
        <v>0.23657853332821671</v>
      </c>
      <c r="Y540" s="49">
        <f>IFERROR(IF(Data_Entry!AD529/Data_Entry!$I529&lt;0,0,Data_Entry!AD529/Data_Entry!$I529),0)</f>
        <v>0.17613876203998616</v>
      </c>
      <c r="Z540" s="49">
        <f>IFERROR(IF(Data_Entry!AE529/Data_Entry!$I529&lt;0,0,Data_Entry!AE529/Data_Entry!$I529),0)</f>
        <v>0.13066502935646032</v>
      </c>
      <c r="AA540" s="49">
        <f>IFERROR(IF(Data_Entry!AF529/Data_Entry!$I529&lt;0,0,Data_Entry!AF529/Data_Entry!$I529),0)</f>
        <v>0.11397214014352046</v>
      </c>
      <c r="AB540" s="49">
        <f>IFERROR(IF(Data_Entry!AG529/Data_Entry!$I529&lt;0,0,Data_Entry!AG529/Data_Entry!$I529),0)</f>
        <v>0.11857707509881421</v>
      </c>
      <c r="AC540" s="49">
        <f>IFERROR(IF(Data_Entry!AI529/Data_Entry!$I529&lt;0,0,Data_Entry!AI529/Data_Entry!$I529),0)</f>
        <v>3.11984343221152E-2</v>
      </c>
      <c r="AD540" s="49">
        <f>IFERROR(IF(Data_Entry!AM529/Data_Entry!$H529&lt;0,0,Data_Entry!AM529/Data_Entry!$H529),0)</f>
        <v>0.80685321637883445</v>
      </c>
      <c r="AE540" s="50">
        <f>Data_Entry!AK529</f>
        <v>0</v>
      </c>
      <c r="AF540" s="50">
        <f>Data_Entry!AL529</f>
        <v>0</v>
      </c>
      <c r="AG540" s="153">
        <f>(Data_Entry!O529-Data_Entry!Q529)/Data_Entry!O529</f>
        <v>4.3098063710181135E-2</v>
      </c>
      <c r="AH540" s="79" t="str">
        <f t="shared" si="16"/>
        <v>CAT1</v>
      </c>
      <c r="AI540" s="51">
        <f>SUBTOTAL(3,Tableau1[[#This Row],[ZS]])</f>
        <v>0</v>
      </c>
      <c r="AJ540" s="51" t="e">
        <f t="shared" ca="1" si="17"/>
        <v>#NAME?</v>
      </c>
      <c r="AK540" s="50" t="str">
        <f>IFERROR(IF((Data_Entry!O529-Data_Entry!Q529)/Data_Entry!O529&lt;=10%,"&lt;=10%","&gt;10%"),"&lt;=10%")</f>
        <v>&lt;=10%</v>
      </c>
    </row>
    <row r="541" spans="1:37" s="48" customFormat="1" ht="13" hidden="1" x14ac:dyDescent="0.3">
      <c r="A541" s="31" t="s">
        <v>16</v>
      </c>
      <c r="B541" s="48" t="str">
        <f>Data_Entry!B530</f>
        <v>Goma</v>
      </c>
      <c r="C541" s="48" t="str">
        <f>Data_Entry!C530</f>
        <v xml:space="preserve"> Mweso</v>
      </c>
      <c r="D541" s="48" t="str">
        <f>Data_Entry!D530</f>
        <v xml:space="preserve"> Katuna</v>
      </c>
      <c r="E541" s="49">
        <f>IFERROR(IF(Data_Entry!J530/Data_Entry!$I530&lt;0,0,Data_Entry!J530/Data_Entry!$I530),0)</f>
        <v>1.0519975908452117</v>
      </c>
      <c r="F541" s="49">
        <f>IFERROR(IF(Data_Entry!K530/Data_Entry!$H530&lt;0,0,Data_Entry!K530/Data_Entry!$H530),0)</f>
        <v>1.1620087564838075</v>
      </c>
      <c r="G541" s="49">
        <f>IFERROR(IF(Data_Entry!L530/Data_Entry!$H530&lt;0,0,Data_Entry!L530/Data_Entry!$H530),0)</f>
        <v>1.0285503250460633</v>
      </c>
      <c r="H541" s="49">
        <f>IFERROR(IF(Data_Entry!M530/Data_Entry!$H530&lt;0,0,Data_Entry!M530/Data_Entry!$H530),0)</f>
        <v>1.0216473027303179</v>
      </c>
      <c r="I541" s="49">
        <f>IFERROR(IF(Data_Entry!N530/Data_Entry!$H530&lt;0,0,Data_Entry!N530/Data_Entry!$H530),0)</f>
        <v>1.0101422655374088</v>
      </c>
      <c r="J541" s="49">
        <f>IFERROR(IF(Data_Entry!O530/Data_Entry!$H530&lt;0,0,Data_Entry!O530/Data_Entry!$H530),0)</f>
        <v>1.0055402506602453</v>
      </c>
      <c r="K541" s="49">
        <f>IFERROR(IF(Data_Entry!P530/Data_Entry!$H530&lt;0,0,Data_Entry!P530/Data_Entry!$H530),0)</f>
        <v>1.0216473027303179</v>
      </c>
      <c r="L541" s="49">
        <f>IFERROR(IF(Data_Entry!Q530/Data_Entry!$H530&lt;0,0,Data_Entry!Q530/Data_Entry!$H530),0)</f>
        <v>1.0101422655374088</v>
      </c>
      <c r="M541" s="49">
        <f>IFERROR(IF(Data_Entry!R530/Data_Entry!$H530&lt;0,0,Data_Entry!R530/Data_Entry!$H530),0)</f>
        <v>1.0285503250460633</v>
      </c>
      <c r="N541" s="49">
        <f>IFERROR(IF(Data_Entry!S530/Data_Entry!$H530&lt;0,0,Data_Entry!S530/Data_Entry!$H530),0)</f>
        <v>1.0216473027303179</v>
      </c>
      <c r="O541" s="49">
        <f>IFERROR(IF(Data_Entry!T530/Data_Entry!$H530&lt;0,0,Data_Entry!T530/Data_Entry!$H530),0)</f>
        <v>1.0101422655374088</v>
      </c>
      <c r="P541" s="49">
        <f>IFERROR(IF(Data_Entry!U530/Data_Entry!$H530&lt;0,0,Data_Entry!U530/Data_Entry!$H530),0)</f>
        <v>0.92960700518704598</v>
      </c>
      <c r="Q541" s="49">
        <f>IFERROR(IF(Data_Entry!V530/Data_Entry!$H530&lt;0,0,Data_Entry!V530/Data_Entry!$H530),0)</f>
        <v>0.92270398287130051</v>
      </c>
      <c r="R541" s="49">
        <f>IFERROR(IF(Data_Entry!W530/Data_Entry!$H530&lt;0,0,Data_Entry!W530/Data_Entry!$H530),0)</f>
        <v>0.91119894567839155</v>
      </c>
      <c r="S541" s="49">
        <f>IFERROR(IF(Data_Entry!X530/Data_Entry!$H530&lt;0,0,Data_Entry!X530/Data_Entry!$H530),0)</f>
        <v>1.1735137936767164</v>
      </c>
      <c r="T541" s="49">
        <f>IFERROR(IF(Data_Entry!Y530/Data_Entry!$H530&lt;0,0,Data_Entry!Y530/Data_Entry!$H530),0)</f>
        <v>1.2977681953601334</v>
      </c>
      <c r="U541" s="49">
        <f>IFERROR(IF(Data_Entry!Z530/Data_Entry!$H530&lt;0,0,Data_Entry!Z530/Data_Entry!$H530),0)</f>
        <v>1.0906775258877717</v>
      </c>
      <c r="V541" s="49">
        <f>IFERROR(IF(Data_Entry!AA530/Data_Entry!$H530&lt;0,0,Data_Entry!AA530/Data_Entry!$H530),0)</f>
        <v>1.0101422655374088</v>
      </c>
      <c r="W541" s="49">
        <f>IFERROR(IF(Data_Entry!AB530/Data_Entry!$H530&lt;0,0,Data_Entry!AB530/Data_Entry!$H530),0)</f>
        <v>1.0906775258877717</v>
      </c>
      <c r="X541" s="49">
        <f>IFERROR(IF(Data_Entry!AC530/Data_Entry!$I530&lt;0,0,Data_Entry!AC530/Data_Entry!$I530),0)</f>
        <v>0.42963260389480024</v>
      </c>
      <c r="Y541" s="49">
        <f>IFERROR(IF(Data_Entry!AD530/Data_Entry!$I530&lt;0,0,Data_Entry!AD530/Data_Entry!$I530),0)</f>
        <v>0.44770126480626377</v>
      </c>
      <c r="Z541" s="49">
        <f>IFERROR(IF(Data_Entry!AE530/Data_Entry!$I530&lt;0,0,Data_Entry!AE530/Data_Entry!$I530),0)</f>
        <v>0.39951816904236093</v>
      </c>
      <c r="AA541" s="49">
        <f>IFERROR(IF(Data_Entry!AF530/Data_Entry!$I530&lt;0,0,Data_Entry!AF530/Data_Entry!$I530),0)</f>
        <v>0.36739610519975907</v>
      </c>
      <c r="AB541" s="49">
        <f>IFERROR(IF(Data_Entry!AG530/Data_Entry!$I530&lt;0,0,Data_Entry!AG530/Data_Entry!$I530),0)</f>
        <v>0.32122063842601883</v>
      </c>
      <c r="AC541" s="49">
        <f>IFERROR(IF(Data_Entry!AI530/Data_Entry!$I530&lt;0,0,Data_Entry!AI530/Data_Entry!$I530),0)</f>
        <v>0.11704477012648061</v>
      </c>
      <c r="AD541" s="49">
        <f>IFERROR(IF(Data_Entry!AM530/Data_Entry!$H530&lt;0,0,Data_Entry!AM530/Data_Entry!$H530),0)</f>
        <v>1.0906775258877717</v>
      </c>
      <c r="AE541" s="50">
        <f>Data_Entry!AK530</f>
        <v>0</v>
      </c>
      <c r="AF541" s="50">
        <f>Data_Entry!AL530</f>
        <v>0</v>
      </c>
      <c r="AG541" s="153">
        <f>(Data_Entry!O530-Data_Entry!Q530)/Data_Entry!O530</f>
        <v>-4.5766590389016018E-3</v>
      </c>
      <c r="AH541" s="79" t="str">
        <f t="shared" si="16"/>
        <v>CAT1</v>
      </c>
      <c r="AI541" s="51">
        <f>SUBTOTAL(3,Tableau1[[#This Row],[ZS]])</f>
        <v>0</v>
      </c>
      <c r="AJ541" s="51" t="e">
        <f t="shared" ca="1" si="17"/>
        <v>#NAME?</v>
      </c>
      <c r="AK541" s="50" t="str">
        <f>IFERROR(IF((Data_Entry!O530-Data_Entry!Q530)/Data_Entry!O530&lt;=10%,"&lt;=10%","&gt;10%"),"&lt;=10%")</f>
        <v>&lt;=10%</v>
      </c>
    </row>
    <row r="542" spans="1:37" s="48" customFormat="1" ht="13" hidden="1" x14ac:dyDescent="0.3">
      <c r="A542" s="31" t="s">
        <v>16</v>
      </c>
      <c r="B542" s="48" t="str">
        <f>Data_Entry!B531</f>
        <v>Goma</v>
      </c>
      <c r="C542" s="48" t="str">
        <f>Data_Entry!C531</f>
        <v xml:space="preserve"> Mweso</v>
      </c>
      <c r="D542" s="48" t="str">
        <f>Data_Entry!D531</f>
        <v xml:space="preserve"> Kibarizo</v>
      </c>
      <c r="E542" s="49">
        <f>IFERROR(IF(Data_Entry!J531/Data_Entry!$I531&lt;0,0,Data_Entry!J531/Data_Entry!$I531),0)</f>
        <v>1.0055781697572743</v>
      </c>
      <c r="F542" s="49">
        <f>IFERROR(IF(Data_Entry!K531/Data_Entry!$H531&lt;0,0,Data_Entry!K531/Data_Entry!$H531),0)</f>
        <v>0.89852033571830003</v>
      </c>
      <c r="G542" s="49">
        <f>IFERROR(IF(Data_Entry!L531/Data_Entry!$H531&lt;0,0,Data_Entry!L531/Data_Entry!$H531),0)</f>
        <v>1.3961623678084356</v>
      </c>
      <c r="H542" s="49">
        <f>IFERROR(IF(Data_Entry!M531/Data_Entry!$H531&lt;0,0,Data_Entry!M531/Data_Entry!$H531),0)</f>
        <v>1.3909785966408299</v>
      </c>
      <c r="I542" s="49">
        <f>IFERROR(IF(Data_Entry!N531/Data_Entry!$H531&lt;0,0,Data_Entry!N531/Data_Entry!$H531),0)</f>
        <v>1.3875227491957596</v>
      </c>
      <c r="J542" s="49">
        <f>IFERROR(IF(Data_Entry!O531/Data_Entry!$H531&lt;0,0,Data_Entry!O531/Data_Entry!$H531),0)</f>
        <v>1.4791027064901248</v>
      </c>
      <c r="K542" s="49">
        <f>IFERROR(IF(Data_Entry!P531/Data_Entry!$H531&lt;0,0,Data_Entry!P531/Data_Entry!$H531),0)</f>
        <v>1.4635513929873081</v>
      </c>
      <c r="L542" s="49">
        <f>IFERROR(IF(Data_Entry!Q531/Data_Entry!$H531&lt;0,0,Data_Entry!Q531/Data_Entry!$H531),0)</f>
        <v>1.4341766897042096</v>
      </c>
      <c r="M542" s="49">
        <f>IFERROR(IF(Data_Entry!R531/Data_Entry!$H531&lt;0,0,Data_Entry!R531/Data_Entry!$H531),0)</f>
        <v>1.4791027064901248</v>
      </c>
      <c r="N542" s="49">
        <f>IFERROR(IF(Data_Entry!S531/Data_Entry!$H531&lt;0,0,Data_Entry!S531/Data_Entry!$H531),0)</f>
        <v>1.4635513929873081</v>
      </c>
      <c r="O542" s="49">
        <f>IFERROR(IF(Data_Entry!T531/Data_Entry!$H531&lt;0,0,Data_Entry!T531/Data_Entry!$H531),0)</f>
        <v>1.4341766897042096</v>
      </c>
      <c r="P542" s="49">
        <f>IFERROR(IF(Data_Entry!U531/Data_Entry!$H531&lt;0,0,Data_Entry!U531/Data_Entry!$H531),0)</f>
        <v>1.2907590207337887</v>
      </c>
      <c r="Q542" s="49">
        <f>IFERROR(IF(Data_Entry!V531/Data_Entry!$H531&lt;0,0,Data_Entry!V531/Data_Entry!$H531),0)</f>
        <v>1.2803914783985777</v>
      </c>
      <c r="R542" s="49">
        <f>IFERROR(IF(Data_Entry!W531/Data_Entry!$H531&lt;0,0,Data_Entry!W531/Data_Entry!$H531),0)</f>
        <v>1.2544726225605498</v>
      </c>
      <c r="S542" s="49">
        <f>IFERROR(IF(Data_Entry!X531/Data_Entry!$H531&lt;0,0,Data_Entry!X531/Data_Entry!$H531),0)</f>
        <v>1.2441050802253386</v>
      </c>
      <c r="T542" s="49">
        <f>IFERROR(IF(Data_Entry!Y531/Data_Entry!$H531&lt;0,0,Data_Entry!Y531/Data_Entry!$H531),0)</f>
        <v>1.2371933853351977</v>
      </c>
      <c r="U542" s="49">
        <f>IFERROR(IF(Data_Entry!Z531/Data_Entry!$H531&lt;0,0,Data_Entry!Z531/Data_Entry!$H531),0)</f>
        <v>1.4013461389760411</v>
      </c>
      <c r="V542" s="49">
        <f>IFERROR(IF(Data_Entry!AA531/Data_Entry!$H531&lt;0,0,Data_Entry!AA531/Data_Entry!$H531),0)</f>
        <v>1.256200546283085</v>
      </c>
      <c r="W542" s="49">
        <f>IFERROR(IF(Data_Entry!AB531/Data_Entry!$H531&lt;0,0,Data_Entry!AB531/Data_Entry!$H531),0)</f>
        <v>0.55984728610140233</v>
      </c>
      <c r="X542" s="49">
        <f>IFERROR(IF(Data_Entry!AC531/Data_Entry!$I531&lt;0,0,Data_Entry!AC531/Data_Entry!$I531),0)</f>
        <v>0.42062415196743558</v>
      </c>
      <c r="Y542" s="49">
        <f>IFERROR(IF(Data_Entry!AD531/Data_Entry!$I531&lt;0,0,Data_Entry!AD531/Data_Entry!$I531),0)</f>
        <v>0.33167495854063023</v>
      </c>
      <c r="Z542" s="49">
        <f>IFERROR(IF(Data_Entry!AE531/Data_Entry!$I531&lt;0,0,Data_Entry!AE531/Data_Entry!$I531),0)</f>
        <v>0.35730438715513346</v>
      </c>
      <c r="AA542" s="49">
        <f>IFERROR(IF(Data_Entry!AF531/Data_Entry!$I531&lt;0,0,Data_Entry!AF531/Data_Entry!$I531),0)</f>
        <v>0.21408110960349769</v>
      </c>
      <c r="AB542" s="49">
        <f>IFERROR(IF(Data_Entry!AG531/Data_Entry!$I531&lt;0,0,Data_Entry!AG531/Data_Entry!$I531),0)</f>
        <v>0.15980702547866729</v>
      </c>
      <c r="AC542" s="49">
        <f>IFERROR(IF(Data_Entry!AI531/Data_Entry!$I531&lt;0,0,Data_Entry!AI531/Data_Entry!$I531),0)</f>
        <v>8.7893864013267001E-2</v>
      </c>
      <c r="AD542" s="49">
        <f>IFERROR(IF(Data_Entry!AM531/Data_Entry!$H531&lt;0,0,Data_Entry!AM531/Data_Entry!$H531),0)</f>
        <v>1.2441050802253386</v>
      </c>
      <c r="AE542" s="50">
        <f>Data_Entry!AK531</f>
        <v>0</v>
      </c>
      <c r="AF542" s="50">
        <f>Data_Entry!AL531</f>
        <v>136</v>
      </c>
      <c r="AG542" s="153">
        <f>(Data_Entry!O531-Data_Entry!Q531)/Data_Entry!O531</f>
        <v>3.0373831775700934E-2</v>
      </c>
      <c r="AH542" s="79" t="str">
        <f t="shared" si="16"/>
        <v>CAT1</v>
      </c>
      <c r="AI542" s="51">
        <f>SUBTOTAL(3,Tableau1[[#This Row],[ZS]])</f>
        <v>0</v>
      </c>
      <c r="AJ542" s="51" t="e">
        <f t="shared" ca="1" si="17"/>
        <v>#NAME?</v>
      </c>
      <c r="AK542" s="50" t="str">
        <f>IFERROR(IF((Data_Entry!O531-Data_Entry!Q531)/Data_Entry!O531&lt;=10%,"&lt;=10%","&gt;10%"),"&lt;=10%")</f>
        <v>&lt;=10%</v>
      </c>
    </row>
    <row r="543" spans="1:37" s="48" customFormat="1" ht="13" hidden="1" x14ac:dyDescent="0.3">
      <c r="A543" s="31" t="s">
        <v>16</v>
      </c>
      <c r="B543" s="48" t="str">
        <f>Data_Entry!B532</f>
        <v>Goma</v>
      </c>
      <c r="C543" s="48" t="str">
        <f>Data_Entry!C532</f>
        <v xml:space="preserve"> Mweso</v>
      </c>
      <c r="D543" s="48" t="str">
        <f>Data_Entry!D532</f>
        <v xml:space="preserve"> Kichanga</v>
      </c>
      <c r="E543" s="49">
        <f>IFERROR(IF(Data_Entry!J532/Data_Entry!$I532&lt;0,0,Data_Entry!J532/Data_Entry!$I532),0)</f>
        <v>0.85801172978060969</v>
      </c>
      <c r="F543" s="49">
        <f>IFERROR(IF(Data_Entry!K532/Data_Entry!$H532&lt;0,0,Data_Entry!K532/Data_Entry!$H532),0)</f>
        <v>1.0954268212352638</v>
      </c>
      <c r="G543" s="49">
        <f>IFERROR(IF(Data_Entry!L532/Data_Entry!$H532&lt;0,0,Data_Entry!L532/Data_Entry!$H532),0)</f>
        <v>0.85517980248707537</v>
      </c>
      <c r="H543" s="49">
        <f>IFERROR(IF(Data_Entry!M532/Data_Entry!$H532&lt;0,0,Data_Entry!M532/Data_Entry!$H532),0)</f>
        <v>0.81908050951454958</v>
      </c>
      <c r="I543" s="49">
        <f>IFERROR(IF(Data_Entry!N532/Data_Entry!$H532&lt;0,0,Data_Entry!N532/Data_Entry!$H532),0)</f>
        <v>0.79667405180746464</v>
      </c>
      <c r="J543" s="49">
        <f>IFERROR(IF(Data_Entry!O532/Data_Entry!$H532&lt;0,0,Data_Entry!O532/Data_Entry!$H532),0)</f>
        <v>0.85642460569302448</v>
      </c>
      <c r="K543" s="49">
        <f>IFERROR(IF(Data_Entry!P532/Data_Entry!$H532&lt;0,0,Data_Entry!P532/Data_Entry!$H532),0)</f>
        <v>0.81908050951454958</v>
      </c>
      <c r="L543" s="49">
        <f>IFERROR(IF(Data_Entry!Q532/Data_Entry!$H532&lt;0,0,Data_Entry!Q532/Data_Entry!$H532),0)</f>
        <v>0.79667405180746464</v>
      </c>
      <c r="M543" s="49">
        <f>IFERROR(IF(Data_Entry!R532/Data_Entry!$H532&lt;0,0,Data_Entry!R532/Data_Entry!$H532),0)</f>
        <v>0.85642460569302448</v>
      </c>
      <c r="N543" s="49">
        <f>IFERROR(IF(Data_Entry!S532/Data_Entry!$H532&lt;0,0,Data_Entry!S532/Data_Entry!$H532),0)</f>
        <v>0.81908050951454958</v>
      </c>
      <c r="O543" s="49">
        <f>IFERROR(IF(Data_Entry!T532/Data_Entry!$H532&lt;0,0,Data_Entry!T532/Data_Entry!$H532),0)</f>
        <v>0.79667405180746464</v>
      </c>
      <c r="P543" s="49">
        <f>IFERROR(IF(Data_Entry!U532/Data_Entry!$H532&lt;0,0,Data_Entry!U532/Data_Entry!$H532),0)</f>
        <v>0.85642460569302448</v>
      </c>
      <c r="Q543" s="49">
        <f>IFERROR(IF(Data_Entry!V532/Data_Entry!$H532&lt;0,0,Data_Entry!V532/Data_Entry!$H532),0)</f>
        <v>0.81908050951454958</v>
      </c>
      <c r="R543" s="49">
        <f>IFERROR(IF(Data_Entry!W532/Data_Entry!$H532&lt;0,0,Data_Entry!W532/Data_Entry!$H532),0)</f>
        <v>0.79667405180746464</v>
      </c>
      <c r="S543" s="49">
        <f>IFERROR(IF(Data_Entry!X532/Data_Entry!$H532&lt;0,0,Data_Entry!X532/Data_Entry!$H532),0)</f>
        <v>0.58879191641395434</v>
      </c>
      <c r="T543" s="49">
        <f>IFERROR(IF(Data_Entry!Y532/Data_Entry!$H532&lt;0,0,Data_Entry!Y532/Data_Entry!$H532),0)</f>
        <v>0.10705307571162806</v>
      </c>
      <c r="U543" s="49">
        <f>IFERROR(IF(Data_Entry!Z532/Data_Entry!$H532&lt;0,0,Data_Entry!Z532/Data_Entry!$H532),0)</f>
        <v>0.53899978817598782</v>
      </c>
      <c r="V543" s="49">
        <f>IFERROR(IF(Data_Entry!AA532/Data_Entry!$H532&lt;0,0,Data_Entry!AA532/Data_Entry!$H532),0)</f>
        <v>0.89127909545960105</v>
      </c>
      <c r="W543" s="49">
        <f>IFERROR(IF(Data_Entry!AB532/Data_Entry!$H532&lt;0,0,Data_Entry!AB532/Data_Entry!$H532),0)</f>
        <v>0.47178041505473295</v>
      </c>
      <c r="X543" s="49">
        <f>IFERROR(IF(Data_Entry!AC532/Data_Entry!$I532&lt;0,0,Data_Entry!AC532/Data_Entry!$I532),0)</f>
        <v>0.28781406125552095</v>
      </c>
      <c r="Y543" s="49">
        <f>IFERROR(IF(Data_Entry!AD532/Data_Entry!$I532&lt;0,0,Data_Entry!AD532/Data_Entry!$I532),0)</f>
        <v>0.25305915574542032</v>
      </c>
      <c r="Z543" s="49">
        <f>IFERROR(IF(Data_Entry!AE532/Data_Entry!$I532&lt;0,0,Data_Entry!AE532/Data_Entry!$I532),0)</f>
        <v>0.34754905510100642</v>
      </c>
      <c r="AA543" s="49">
        <f>IFERROR(IF(Data_Entry!AF532/Data_Entry!$I532&lt;0,0,Data_Entry!AF532/Data_Entry!$I532),0)</f>
        <v>0.27695315328361453</v>
      </c>
      <c r="AB543" s="49">
        <f>IFERROR(IF(Data_Entry!AG532/Data_Entry!$I532&lt;0,0,Data_Entry!AG532/Data_Entry!$I532),0)</f>
        <v>0.40837013974368258</v>
      </c>
      <c r="AC543" s="49">
        <f>IFERROR(IF(Data_Entry!AI532/Data_Entry!$I532&lt;0,0,Data_Entry!AI532/Data_Entry!$I532),0)</f>
        <v>6.038664832379987E-2</v>
      </c>
      <c r="AD543" s="49">
        <f>IFERROR(IF(Data_Entry!AM532/Data_Entry!$H532&lt;0,0,Data_Entry!AM532/Data_Entry!$H532),0)</f>
        <v>0.53899978817598782</v>
      </c>
      <c r="AE543" s="50">
        <f>Data_Entry!AK532</f>
        <v>115.33983333333333</v>
      </c>
      <c r="AF543" s="50">
        <f>Data_Entry!AL532</f>
        <v>215</v>
      </c>
      <c r="AG543" s="153">
        <f>(Data_Entry!O532-Data_Entry!Q532)/Data_Entry!O532</f>
        <v>6.9767441860465115E-2</v>
      </c>
      <c r="AH543" s="79" t="str">
        <f t="shared" si="16"/>
        <v>CAT3</v>
      </c>
      <c r="AI543" s="51">
        <f>SUBTOTAL(3,Tableau1[[#This Row],[ZS]])</f>
        <v>0</v>
      </c>
      <c r="AJ543" s="51" t="e">
        <f t="shared" ca="1" si="17"/>
        <v>#NAME?</v>
      </c>
      <c r="AK543" s="50" t="str">
        <f>IFERROR(IF((Data_Entry!O532-Data_Entry!Q532)/Data_Entry!O532&lt;=10%,"&lt;=10%","&gt;10%"),"&lt;=10%")</f>
        <v>&lt;=10%</v>
      </c>
    </row>
    <row r="544" spans="1:37" s="48" customFormat="1" ht="13" hidden="1" x14ac:dyDescent="0.3">
      <c r="A544" s="31" t="s">
        <v>16</v>
      </c>
      <c r="B544" s="48" t="str">
        <f>Data_Entry!B533</f>
        <v>Goma</v>
      </c>
      <c r="C544" s="48" t="str">
        <f>Data_Entry!C533</f>
        <v xml:space="preserve"> Mweso</v>
      </c>
      <c r="D544" s="48" t="str">
        <f>Data_Entry!D533</f>
        <v xml:space="preserve"> Kinyana</v>
      </c>
      <c r="E544" s="49">
        <f>IFERROR(IF(Data_Entry!J533/Data_Entry!$I533&lt;0,0,Data_Entry!J533/Data_Entry!$I533),0)</f>
        <v>0.77278979617356514</v>
      </c>
      <c r="F544" s="49">
        <f>IFERROR(IF(Data_Entry!K533/Data_Entry!$H533&lt;0,0,Data_Entry!K533/Data_Entry!$H533),0)</f>
        <v>1.195290640867116</v>
      </c>
      <c r="G544" s="49">
        <f>IFERROR(IF(Data_Entry!L533/Data_Entry!$H533&lt;0,0,Data_Entry!L533/Data_Entry!$H533),0)</f>
        <v>1.6639477626459491</v>
      </c>
      <c r="H544" s="49">
        <f>IFERROR(IF(Data_Entry!M533/Data_Entry!$H533&lt;0,0,Data_Entry!M533/Data_Entry!$H533),0)</f>
        <v>1.6639477626459491</v>
      </c>
      <c r="I544" s="49">
        <f>IFERROR(IF(Data_Entry!N533/Data_Entry!$H533&lt;0,0,Data_Entry!N533/Data_Entry!$H533),0)</f>
        <v>1.6682473692677733</v>
      </c>
      <c r="J544" s="49">
        <f>IFERROR(IF(Data_Entry!O533/Data_Entry!$H533&lt;0,0,Data_Entry!O533/Data_Entry!$H533),0)</f>
        <v>1.6510489427804766</v>
      </c>
      <c r="K544" s="49">
        <f>IFERROR(IF(Data_Entry!P533/Data_Entry!$H533&lt;0,0,Data_Entry!P533/Data_Entry!$H533),0)</f>
        <v>1.6768465825114216</v>
      </c>
      <c r="L544" s="49">
        <f>IFERROR(IF(Data_Entry!Q533/Data_Entry!$H533&lt;0,0,Data_Entry!Q533/Data_Entry!$H533),0)</f>
        <v>1.6682473692677733</v>
      </c>
      <c r="M544" s="49">
        <f>IFERROR(IF(Data_Entry!R533/Data_Entry!$H533&lt;0,0,Data_Entry!R533/Data_Entry!$H533),0)</f>
        <v>1.6510489427804766</v>
      </c>
      <c r="N544" s="49">
        <f>IFERROR(IF(Data_Entry!S533/Data_Entry!$H533&lt;0,0,Data_Entry!S533/Data_Entry!$H533),0)</f>
        <v>1.6768465825114216</v>
      </c>
      <c r="O544" s="49">
        <f>IFERROR(IF(Data_Entry!T533/Data_Entry!$H533&lt;0,0,Data_Entry!T533/Data_Entry!$H533),0)</f>
        <v>1.6682473692677733</v>
      </c>
      <c r="P544" s="49">
        <f>IFERROR(IF(Data_Entry!U533/Data_Entry!$H533&lt;0,0,Data_Entry!U533/Data_Entry!$H533),0)</f>
        <v>1.1737926077579952</v>
      </c>
      <c r="Q544" s="49">
        <f>IFERROR(IF(Data_Entry!V533/Data_Entry!$H533&lt;0,0,Data_Entry!V533/Data_Entry!$H533),0)</f>
        <v>1.2425863137071818</v>
      </c>
      <c r="R544" s="49">
        <f>IFERROR(IF(Data_Entry!W533/Data_Entry!$H533&lt;0,0,Data_Entry!W533/Data_Entry!$H533),0)</f>
        <v>1.1651933945143469</v>
      </c>
      <c r="S544" s="49">
        <f>IFERROR(IF(Data_Entry!X533/Data_Entry!$H533&lt;0,0,Data_Entry!X533/Data_Entry!$H533),0)</f>
        <v>0.65783981313909623</v>
      </c>
      <c r="T544" s="49">
        <f>IFERROR(IF(Data_Entry!Y533/Data_Entry!$H533&lt;0,0,Data_Entry!Y533/Data_Entry!$H533),0)</f>
        <v>0.45575830191336075</v>
      </c>
      <c r="U544" s="49">
        <f>IFERROR(IF(Data_Entry!Z533/Data_Entry!$H533&lt;0,0,Data_Entry!Z533/Data_Entry!$H533),0)</f>
        <v>0.92441542369219398</v>
      </c>
      <c r="V544" s="49">
        <f>IFERROR(IF(Data_Entry!AA533/Data_Entry!$H533&lt;0,0,Data_Entry!AA533/Data_Entry!$H533),0)</f>
        <v>1.5908544500749384</v>
      </c>
      <c r="W544" s="49">
        <f>IFERROR(IF(Data_Entry!AB533/Data_Entry!$H533&lt;0,0,Data_Entry!AB533/Data_Entry!$H533),0)</f>
        <v>0.70943509260098614</v>
      </c>
      <c r="X544" s="49">
        <f>IFERROR(IF(Data_Entry!AC533/Data_Entry!$I533&lt;0,0,Data_Entry!AC533/Data_Entry!$I533),0)</f>
        <v>0.64524196573715142</v>
      </c>
      <c r="Y544" s="49">
        <f>IFERROR(IF(Data_Entry!AD533/Data_Entry!$I533&lt;0,0,Data_Entry!AD533/Data_Entry!$I533),0)</f>
        <v>0.66024759284731771</v>
      </c>
      <c r="Z544" s="49">
        <f>IFERROR(IF(Data_Entry!AE533/Data_Entry!$I533&lt;0,0,Data_Entry!AE533/Data_Entry!$I533),0)</f>
        <v>0.45767162686007251</v>
      </c>
      <c r="AA544" s="49">
        <f>IFERROR(IF(Data_Entry!AF533/Data_Entry!$I533&lt;0,0,Data_Entry!AF533/Data_Entry!$I533),0)</f>
        <v>0.22883581343003626</v>
      </c>
      <c r="AB544" s="49">
        <f>IFERROR(IF(Data_Entry!AG533/Data_Entry!$I533&lt;0,0,Data_Entry!AG533/Data_Entry!$I533),0)</f>
        <v>0.14255345754657997</v>
      </c>
      <c r="AC544" s="49">
        <f>IFERROR(IF(Data_Entry!AI533/Data_Entry!$I533&lt;0,0,Data_Entry!AI533/Data_Entry!$I533),0)</f>
        <v>0.218707015130674</v>
      </c>
      <c r="AD544" s="49">
        <f>IFERROR(IF(Data_Entry!AM533/Data_Entry!$H533&lt;0,0,Data_Entry!AM533/Data_Entry!$H533),0)</f>
        <v>0.65783981313909623</v>
      </c>
      <c r="AE544" s="50">
        <f>Data_Entry!AK533</f>
        <v>0</v>
      </c>
      <c r="AF544" s="50">
        <f>Data_Entry!AL533</f>
        <v>231</v>
      </c>
      <c r="AG544" s="153">
        <f>(Data_Entry!O533-Data_Entry!Q533)/Data_Entry!O533</f>
        <v>-1.0416666666666666E-2</v>
      </c>
      <c r="AH544" s="79" t="str">
        <f t="shared" si="16"/>
        <v>CAT1</v>
      </c>
      <c r="AI544" s="51">
        <f>SUBTOTAL(3,Tableau1[[#This Row],[ZS]])</f>
        <v>0</v>
      </c>
      <c r="AJ544" s="51" t="e">
        <f t="shared" ca="1" si="17"/>
        <v>#NAME?</v>
      </c>
      <c r="AK544" s="50" t="str">
        <f>IFERROR(IF((Data_Entry!O533-Data_Entry!Q533)/Data_Entry!O533&lt;=10%,"&lt;=10%","&gt;10%"),"&lt;=10%")</f>
        <v>&lt;=10%</v>
      </c>
    </row>
    <row r="545" spans="1:37" s="48" customFormat="1" ht="13" hidden="1" x14ac:dyDescent="0.3">
      <c r="A545" s="31" t="s">
        <v>16</v>
      </c>
      <c r="B545" s="48" t="str">
        <f>Data_Entry!B534</f>
        <v>Goma</v>
      </c>
      <c r="C545" s="48" t="str">
        <f>Data_Entry!C534</f>
        <v xml:space="preserve"> Mweso</v>
      </c>
      <c r="D545" s="48" t="str">
        <f>Data_Entry!D534</f>
        <v xml:space="preserve"> Kirumbu</v>
      </c>
      <c r="E545" s="49">
        <f>IFERROR(IF(Data_Entry!J534/Data_Entry!$I534&lt;0,0,Data_Entry!J534/Data_Entry!$I534),0)</f>
        <v>0.90247610773240661</v>
      </c>
      <c r="F545" s="49">
        <f>IFERROR(IF(Data_Entry!K534/Data_Entry!$H534&lt;0,0,Data_Entry!K534/Data_Entry!$H534),0)</f>
        <v>0.77856803228287852</v>
      </c>
      <c r="G545" s="49">
        <f>IFERROR(IF(Data_Entry!L534/Data_Entry!$H534&lt;0,0,Data_Entry!L534/Data_Entry!$H534),0)</f>
        <v>1.3816315201182976</v>
      </c>
      <c r="H545" s="49">
        <f>IFERROR(IF(Data_Entry!M534/Data_Entry!$H534&lt;0,0,Data_Entry!M534/Data_Entry!$H534),0)</f>
        <v>1.3480242669262308</v>
      </c>
      <c r="I545" s="49">
        <f>IFERROR(IF(Data_Entry!N534/Data_Entry!$H534&lt;0,0,Data_Entry!N534/Data_Entry!$H534),0)</f>
        <v>1.3209517574103993</v>
      </c>
      <c r="J545" s="49">
        <f>IFERROR(IF(Data_Entry!O534/Data_Entry!$H534&lt;0,0,Data_Entry!O534/Data_Entry!$H534),0)</f>
        <v>1.3816315201182976</v>
      </c>
      <c r="K545" s="49">
        <f>IFERROR(IF(Data_Entry!P534/Data_Entry!$H534&lt;0,0,Data_Entry!P534/Data_Entry!$H534),0)</f>
        <v>1.3480242669262308</v>
      </c>
      <c r="L545" s="49">
        <f>IFERROR(IF(Data_Entry!Q534/Data_Entry!$H534&lt;0,0,Data_Entry!Q534/Data_Entry!$H534),0)</f>
        <v>1.3209517574103993</v>
      </c>
      <c r="M545" s="49">
        <f>IFERROR(IF(Data_Entry!R534/Data_Entry!$H534&lt;0,0,Data_Entry!R534/Data_Entry!$H534),0)</f>
        <v>1.3816315201182976</v>
      </c>
      <c r="N545" s="49">
        <f>IFERROR(IF(Data_Entry!S534/Data_Entry!$H534&lt;0,0,Data_Entry!S534/Data_Entry!$H534),0)</f>
        <v>1.9865620775754982</v>
      </c>
      <c r="O545" s="49">
        <f>IFERROR(IF(Data_Entry!T534/Data_Entry!$H534&lt;0,0,Data_Entry!T534/Data_Entry!$H534),0)</f>
        <v>1.3209517574103993</v>
      </c>
      <c r="P545" s="49">
        <f>IFERROR(IF(Data_Entry!U534/Data_Entry!$H534&lt;0,0,Data_Entry!U534/Data_Entry!$H534),0)</f>
        <v>1.3816315201182976</v>
      </c>
      <c r="Q545" s="49">
        <f>IFERROR(IF(Data_Entry!V534/Data_Entry!$H534&lt;0,0,Data_Entry!V534/Data_Entry!$H534),0)</f>
        <v>1.3452236624935587</v>
      </c>
      <c r="R545" s="49">
        <f>IFERROR(IF(Data_Entry!W534/Data_Entry!$H534&lt;0,0,Data_Entry!W534/Data_Entry!$H534),0)</f>
        <v>1.3209517574103993</v>
      </c>
      <c r="S545" s="49">
        <f>IFERROR(IF(Data_Entry!X534/Data_Entry!$H534&lt;0,0,Data_Entry!X534/Data_Entry!$H534),0)</f>
        <v>0.65067376319084691</v>
      </c>
      <c r="T545" s="49">
        <f>IFERROR(IF(Data_Entry!Y534/Data_Entry!$H534&lt;0,0,Data_Entry!Y534/Data_Entry!$H534),0)</f>
        <v>1.2313324155648881</v>
      </c>
      <c r="U545" s="49">
        <f>IFERROR(IF(Data_Entry!Z534/Data_Entry!$H534&lt;0,0,Data_Entry!Z534/Data_Entry!$H534),0)</f>
        <v>1.1902568838856955</v>
      </c>
      <c r="V545" s="49">
        <f>IFERROR(IF(Data_Entry!AA534/Data_Entry!$H534&lt;0,0,Data_Entry!AA534/Data_Entry!$H534),0)</f>
        <v>1.3209517574103993</v>
      </c>
      <c r="W545" s="49">
        <f>IFERROR(IF(Data_Entry!AB534/Data_Entry!$H534&lt;0,0,Data_Entry!AB534/Data_Entry!$H534),0)</f>
        <v>0.97554387738082493</v>
      </c>
      <c r="X545" s="49">
        <f>IFERROR(IF(Data_Entry!AC534/Data_Entry!$I534&lt;0,0,Data_Entry!AC534/Data_Entry!$I534),0)</f>
        <v>0.35675499565595137</v>
      </c>
      <c r="Y545" s="49">
        <f>IFERROR(IF(Data_Entry!AD534/Data_Entry!$I534&lt;0,0,Data_Entry!AD534/Data_Entry!$I534),0)</f>
        <v>0.32743266724587317</v>
      </c>
      <c r="Z545" s="49">
        <f>IFERROR(IF(Data_Entry!AE534/Data_Entry!$I534&lt;0,0,Data_Entry!AE534/Data_Entry!$I534),0)</f>
        <v>0.31928757602085145</v>
      </c>
      <c r="AA545" s="49">
        <f>IFERROR(IF(Data_Entry!AF534/Data_Entry!$I534&lt;0,0,Data_Entry!AF534/Data_Entry!$I534),0)</f>
        <v>0.21910295395308427</v>
      </c>
      <c r="AB545" s="49">
        <f>IFERROR(IF(Data_Entry!AG534/Data_Entry!$I534&lt;0,0,Data_Entry!AG534/Data_Entry!$I534),0)</f>
        <v>0.14905516941789748</v>
      </c>
      <c r="AC545" s="49">
        <f>IFERROR(IF(Data_Entry!AI534/Data_Entry!$I534&lt;0,0,Data_Entry!AI534/Data_Entry!$I534),0)</f>
        <v>3.6164205039096439E-2</v>
      </c>
      <c r="AD545" s="49">
        <f>IFERROR(IF(Data_Entry!AM534/Data_Entry!$H534&lt;0,0,Data_Entry!AM534/Data_Entry!$H534),0)</f>
        <v>0.65067376319084691</v>
      </c>
      <c r="AE545" s="50">
        <f>Data_Entry!AK534</f>
        <v>0</v>
      </c>
      <c r="AF545" s="50">
        <f>Data_Entry!AL534</f>
        <v>783</v>
      </c>
      <c r="AG545" s="153">
        <f>(Data_Entry!O534-Data_Entry!Q534)/Data_Entry!O534</f>
        <v>4.3918918918918921E-2</v>
      </c>
      <c r="AH545" s="79" t="str">
        <f t="shared" si="16"/>
        <v>CAT1</v>
      </c>
      <c r="AI545" s="51">
        <f>SUBTOTAL(3,Tableau1[[#This Row],[ZS]])</f>
        <v>0</v>
      </c>
      <c r="AJ545" s="51" t="e">
        <f t="shared" ca="1" si="17"/>
        <v>#NAME?</v>
      </c>
      <c r="AK545" s="50" t="str">
        <f>IFERROR(IF((Data_Entry!O534-Data_Entry!Q534)/Data_Entry!O534&lt;=10%,"&lt;=10%","&gt;10%"),"&lt;=10%")</f>
        <v>&lt;=10%</v>
      </c>
    </row>
    <row r="546" spans="1:37" s="48" customFormat="1" ht="13" hidden="1" x14ac:dyDescent="0.3">
      <c r="A546" s="31" t="s">
        <v>16</v>
      </c>
      <c r="B546" s="48" t="str">
        <f>Data_Entry!B535</f>
        <v>Goma</v>
      </c>
      <c r="C546" s="48" t="str">
        <f>Data_Entry!C535</f>
        <v xml:space="preserve"> Mweso</v>
      </c>
      <c r="D546" s="48" t="str">
        <f>Data_Entry!D535</f>
        <v xml:space="preserve"> Kivuye</v>
      </c>
      <c r="E546" s="49">
        <f>IFERROR(IF(Data_Entry!J535/Data_Entry!$I535&lt;0,0,Data_Entry!J535/Data_Entry!$I535),0)</f>
        <v>0.82679346320746017</v>
      </c>
      <c r="F546" s="49">
        <f>IFERROR(IF(Data_Entry!K535/Data_Entry!$H535&lt;0,0,Data_Entry!K535/Data_Entry!$H535),0)</f>
        <v>1.0777723604034795</v>
      </c>
      <c r="G546" s="49">
        <f>IFERROR(IF(Data_Entry!L535/Data_Entry!$H535&lt;0,0,Data_Entry!L535/Data_Entry!$H535),0)</f>
        <v>1.0269789649205467</v>
      </c>
      <c r="H546" s="49">
        <f>IFERROR(IF(Data_Entry!M535/Data_Entry!$H535&lt;0,0,Data_Entry!M535/Data_Entry!$H535),0)</f>
        <v>0.99682038635255543</v>
      </c>
      <c r="I546" s="49">
        <f>IFERROR(IF(Data_Entry!N535/Data_Entry!$H535&lt;0,0,Data_Entry!N535/Data_Entry!$H535),0)</f>
        <v>0.99364579913487217</v>
      </c>
      <c r="J546" s="49">
        <f>IFERROR(IF(Data_Entry!O535/Data_Entry!$H535&lt;0,0,Data_Entry!O535/Data_Entry!$H535),0)</f>
        <v>1.0190424968763385</v>
      </c>
      <c r="K546" s="49">
        <f>IFERROR(IF(Data_Entry!P535/Data_Entry!$H535&lt;0,0,Data_Entry!P535/Data_Entry!$H535),0)</f>
        <v>0.94443969726078103</v>
      </c>
      <c r="L546" s="49">
        <f>IFERROR(IF(Data_Entry!Q535/Data_Entry!$H535&lt;0,0,Data_Entry!Q535/Data_Entry!$H535),0)</f>
        <v>0.98729662469950552</v>
      </c>
      <c r="M546" s="49">
        <f>IFERROR(IF(Data_Entry!R535/Data_Entry!$H535&lt;0,0,Data_Entry!R535/Data_Entry!$H535),0)</f>
        <v>1.0158679096586551</v>
      </c>
      <c r="N546" s="49">
        <f>IFERROR(IF(Data_Entry!S535/Data_Entry!$H535&lt;0,0,Data_Entry!S535/Data_Entry!$H535),0)</f>
        <v>0.99364579913487217</v>
      </c>
      <c r="O546" s="49">
        <f>IFERROR(IF(Data_Entry!T535/Data_Entry!$H535&lt;0,0,Data_Entry!T535/Data_Entry!$H535),0)</f>
        <v>0.98570933109066394</v>
      </c>
      <c r="P546" s="49">
        <f>IFERROR(IF(Data_Entry!U535/Data_Entry!$H535&lt;0,0,Data_Entry!U535/Data_Entry!$H535),0)</f>
        <v>0.82380538298881567</v>
      </c>
      <c r="Q546" s="49">
        <f>IFERROR(IF(Data_Entry!V535/Data_Entry!$H535&lt;0,0,Data_Entry!V535/Data_Entry!$H535),0)</f>
        <v>0.80951974050924091</v>
      </c>
      <c r="R546" s="49">
        <f>IFERROR(IF(Data_Entry!W535/Data_Entry!$H535&lt;0,0,Data_Entry!W535/Data_Entry!$H535),0)</f>
        <v>0.8206307957711324</v>
      </c>
      <c r="S546" s="49">
        <f>IFERROR(IF(Data_Entry!X535/Data_Entry!$H535&lt;0,0,Data_Entry!X535/Data_Entry!$H535),0)</f>
        <v>1.1317403431040955</v>
      </c>
      <c r="T546" s="49">
        <f>IFERROR(IF(Data_Entry!Y535/Data_Entry!$H535&lt;0,0,Data_Entry!Y535/Data_Entry!$H535),0)</f>
        <v>1.1428513983659871</v>
      </c>
      <c r="U546" s="49">
        <f>IFERROR(IF(Data_Entry!Z535/Data_Entry!$H535&lt;0,0,Data_Entry!Z535/Data_Entry!$H535),0)</f>
        <v>1.0015822671790804</v>
      </c>
      <c r="V546" s="49">
        <f>IFERROR(IF(Data_Entry!AA535/Data_Entry!$H535&lt;0,0,Data_Entry!AA535/Data_Entry!$H535),0)</f>
        <v>0.9999949735702387</v>
      </c>
      <c r="W546" s="49">
        <f>IFERROR(IF(Data_Entry!AB535/Data_Entry!$H535&lt;0,0,Data_Entry!AB535/Data_Entry!$H535),0)</f>
        <v>0.89364630177784821</v>
      </c>
      <c r="X546" s="49">
        <f>IFERROR(IF(Data_Entry!AC535/Data_Entry!$I535&lt;0,0,Data_Entry!AC535/Data_Entry!$I535),0)</f>
        <v>0.25620902963715264</v>
      </c>
      <c r="Y546" s="49">
        <f>IFERROR(IF(Data_Entry!AD535/Data_Entry!$I535&lt;0,0,Data_Entry!AD535/Data_Entry!$I535),0)</f>
        <v>0.20219739636229345</v>
      </c>
      <c r="Z546" s="49">
        <f>IFERROR(IF(Data_Entry!AE535/Data_Entry!$I535&lt;0,0,Data_Entry!AE535/Data_Entry!$I535),0)</f>
        <v>0.14818576308743422</v>
      </c>
      <c r="AA546" s="49">
        <f>IFERROR(IF(Data_Entry!AF535/Data_Entry!$I535&lt;0,0,Data_Entry!AF535/Data_Entry!$I535),0)</f>
        <v>0.16757455451943498</v>
      </c>
      <c r="AB546" s="49">
        <f>IFERROR(IF(Data_Entry!AG535/Data_Entry!$I535&lt;0,0,Data_Entry!AG535/Data_Entry!$I535),0)</f>
        <v>0.15788015880343459</v>
      </c>
      <c r="AC546" s="49">
        <f>IFERROR(IF(Data_Entry!AI535/Data_Entry!$I535&lt;0,0,Data_Entry!AI535/Data_Entry!$I535),0)</f>
        <v>8.0740467177545933E-2</v>
      </c>
      <c r="AD546" s="49">
        <f>IFERROR(IF(Data_Entry!AM535/Data_Entry!$H535&lt;0,0,Data_Entry!AM535/Data_Entry!$H535),0)</f>
        <v>1.0015822671790804</v>
      </c>
      <c r="AE546" s="50">
        <f>Data_Entry!AK535</f>
        <v>0</v>
      </c>
      <c r="AF546" s="50">
        <f>Data_Entry!AL535</f>
        <v>0</v>
      </c>
      <c r="AG546" s="153">
        <f>(Data_Entry!O535-Data_Entry!Q535)/Data_Entry!O535</f>
        <v>3.1152647975077882E-2</v>
      </c>
      <c r="AH546" s="79" t="str">
        <f t="shared" si="16"/>
        <v>CAT1</v>
      </c>
      <c r="AI546" s="51">
        <f>SUBTOTAL(3,Tableau1[[#This Row],[ZS]])</f>
        <v>0</v>
      </c>
      <c r="AJ546" s="51" t="e">
        <f t="shared" ca="1" si="17"/>
        <v>#NAME?</v>
      </c>
      <c r="AK546" s="50" t="str">
        <f>IFERROR(IF((Data_Entry!O535-Data_Entry!Q535)/Data_Entry!O535&lt;=10%,"&lt;=10%","&gt;10%"),"&lt;=10%")</f>
        <v>&lt;=10%</v>
      </c>
    </row>
    <row r="547" spans="1:37" s="48" customFormat="1" ht="13" hidden="1" x14ac:dyDescent="0.3">
      <c r="A547" s="31" t="s">
        <v>16</v>
      </c>
      <c r="B547" s="48" t="str">
        <f>Data_Entry!B536</f>
        <v>Goma</v>
      </c>
      <c r="C547" s="48" t="str">
        <f>Data_Entry!C536</f>
        <v xml:space="preserve"> Mweso</v>
      </c>
      <c r="D547" s="48" t="str">
        <f>Data_Entry!D536</f>
        <v xml:space="preserve"> Luhanga</v>
      </c>
      <c r="E547" s="49">
        <f>IFERROR(IF(Data_Entry!J536/Data_Entry!$I536&lt;0,0,Data_Entry!J536/Data_Entry!$I536),0)</f>
        <v>0.8269930532583526</v>
      </c>
      <c r="F547" s="49">
        <f>IFERROR(IF(Data_Entry!K536/Data_Entry!$H536&lt;0,0,Data_Entry!K536/Data_Entry!$H536),0)</f>
        <v>0.94784304098378525</v>
      </c>
      <c r="G547" s="49">
        <f>IFERROR(IF(Data_Entry!L536/Data_Entry!$H536&lt;0,0,Data_Entry!L536/Data_Entry!$H536),0)</f>
        <v>1.2701096749182721</v>
      </c>
      <c r="H547" s="49">
        <f>IFERROR(IF(Data_Entry!M536/Data_Entry!$H536&lt;0,0,Data_Entry!M536/Data_Entry!$H536),0)</f>
        <v>1.6340814026560457</v>
      </c>
      <c r="I547" s="49">
        <f>IFERROR(IF(Data_Entry!N536/Data_Entry!$H536&lt;0,0,Data_Entry!N536/Data_Entry!$H536),0)</f>
        <v>1.2321959532789208</v>
      </c>
      <c r="J547" s="49">
        <f>IFERROR(IF(Data_Entry!O536/Data_Entry!$H536&lt;0,0,Data_Entry!O536/Data_Entry!$H536),0)</f>
        <v>1.3080233965576236</v>
      </c>
      <c r="K547" s="49">
        <f>IFERROR(IF(Data_Entry!P536/Data_Entry!$H536&lt;0,0,Data_Entry!P536/Data_Entry!$H536),0)</f>
        <v>1.6264986583281755</v>
      </c>
      <c r="L547" s="49">
        <f>IFERROR(IF(Data_Entry!Q536/Data_Entry!$H536&lt;0,0,Data_Entry!Q536/Data_Entry!$H536),0)</f>
        <v>1.2359873254428559</v>
      </c>
      <c r="M547" s="49">
        <f>IFERROR(IF(Data_Entry!R536/Data_Entry!$H536&lt;0,0,Data_Entry!R536/Data_Entry!$H536),0)</f>
        <v>1.3080233965576236</v>
      </c>
      <c r="N547" s="49">
        <f>IFERROR(IF(Data_Entry!S536/Data_Entry!$H536&lt;0,0,Data_Entry!S536/Data_Entry!$H536),0)</f>
        <v>1.6264986583281755</v>
      </c>
      <c r="O547" s="49">
        <f>IFERROR(IF(Data_Entry!T536/Data_Entry!$H536&lt;0,0,Data_Entry!T536/Data_Entry!$H536),0)</f>
        <v>1.2359873254428559</v>
      </c>
      <c r="P547" s="49">
        <f>IFERROR(IF(Data_Entry!U536/Data_Entry!$H536&lt;0,0,Data_Entry!U536/Data_Entry!$H536),0)</f>
        <v>1.0843324388854503</v>
      </c>
      <c r="Q547" s="49">
        <f>IFERROR(IF(Data_Entry!V536/Data_Entry!$H536&lt;0,0,Data_Entry!V536/Data_Entry!$H536),0)</f>
        <v>1.3611026068527157</v>
      </c>
      <c r="R547" s="49">
        <f>IFERROR(IF(Data_Entry!W536/Data_Entry!$H536&lt;0,0,Data_Entry!W536/Data_Entry!$H536),0)</f>
        <v>1.0198791120985529</v>
      </c>
      <c r="S547" s="49">
        <f>IFERROR(IF(Data_Entry!X536/Data_Entry!$H536&lt;0,0,Data_Entry!X536/Data_Entry!$H536),0)</f>
        <v>1.5810021923609536</v>
      </c>
      <c r="T547" s="49">
        <f>IFERROR(IF(Data_Entry!Y536/Data_Entry!$H536&lt;0,0,Data_Entry!Y536/Data_Entry!$H536),0)</f>
        <v>1.6075417975084998</v>
      </c>
      <c r="U547" s="49">
        <f>IFERROR(IF(Data_Entry!Z536/Data_Entry!$H536&lt;0,0,Data_Entry!Z536/Data_Entry!$H536),0)</f>
        <v>1.3042320243936885</v>
      </c>
      <c r="V547" s="49">
        <f>IFERROR(IF(Data_Entry!AA536/Data_Entry!$H536&lt;0,0,Data_Entry!AA536/Data_Entry!$H536),0)</f>
        <v>1.2359873254428559</v>
      </c>
      <c r="W547" s="49">
        <f>IFERROR(IF(Data_Entry!AB536/Data_Entry!$H536&lt;0,0,Data_Entry!AB536/Data_Entry!$H536),0)</f>
        <v>1.2511528140985966</v>
      </c>
      <c r="X547" s="49">
        <f>IFERROR(IF(Data_Entry!AC536/Data_Entry!$I536&lt;0,0,Data_Entry!AC536/Data_Entry!$I536),0)</f>
        <v>0.27125372146873966</v>
      </c>
      <c r="Y547" s="49">
        <f>IFERROR(IF(Data_Entry!AD536/Data_Entry!$I536&lt;0,0,Data_Entry!AD536/Data_Entry!$I536),0)</f>
        <v>0.23486602712537213</v>
      </c>
      <c r="Z547" s="49">
        <f>IFERROR(IF(Data_Entry!AE536/Data_Entry!$I536&lt;0,0,Data_Entry!AE536/Data_Entry!$I536),0)</f>
        <v>0.18193847171683758</v>
      </c>
      <c r="AA547" s="49">
        <f>IFERROR(IF(Data_Entry!AF536/Data_Entry!$I536&lt;0,0,Data_Entry!AF536/Data_Entry!$I536),0)</f>
        <v>0.11247105524313596</v>
      </c>
      <c r="AB547" s="49">
        <f>IFERROR(IF(Data_Entry!AG536/Data_Entry!$I536&lt;0,0,Data_Entry!AG536/Data_Entry!$I536),0)</f>
        <v>1.9847833278200461E-2</v>
      </c>
      <c r="AC547" s="49">
        <f>IFERROR(IF(Data_Entry!AI536/Data_Entry!$I536&lt;0,0,Data_Entry!AI536/Data_Entry!$I536),0)</f>
        <v>0.16539861065167052</v>
      </c>
      <c r="AD547" s="49">
        <f>IFERROR(IF(Data_Entry!AM536/Data_Entry!$H536&lt;0,0,Data_Entry!AM536/Data_Entry!$H536),0)</f>
        <v>1.3042320243936885</v>
      </c>
      <c r="AE547" s="50">
        <f>Data_Entry!AK536</f>
        <v>0</v>
      </c>
      <c r="AF547" s="50">
        <f>Data_Entry!AL536</f>
        <v>0</v>
      </c>
      <c r="AG547" s="153">
        <f>(Data_Entry!O536-Data_Entry!Q536)/Data_Entry!O536</f>
        <v>5.5072463768115941E-2</v>
      </c>
      <c r="AH547" s="79" t="str">
        <f t="shared" si="16"/>
        <v>CAT1</v>
      </c>
      <c r="AI547" s="51">
        <f>SUBTOTAL(3,Tableau1[[#This Row],[ZS]])</f>
        <v>0</v>
      </c>
      <c r="AJ547" s="51" t="e">
        <f t="shared" ca="1" si="17"/>
        <v>#NAME?</v>
      </c>
      <c r="AK547" s="50" t="str">
        <f>IFERROR(IF((Data_Entry!O536-Data_Entry!Q536)/Data_Entry!O536&lt;=10%,"&lt;=10%","&gt;10%"),"&lt;=10%")</f>
        <v>&lt;=10%</v>
      </c>
    </row>
    <row r="548" spans="1:37" s="48" customFormat="1" ht="13" hidden="1" x14ac:dyDescent="0.3">
      <c r="A548" s="31" t="s">
        <v>16</v>
      </c>
      <c r="B548" s="48" t="str">
        <f>Data_Entry!B537</f>
        <v>Goma</v>
      </c>
      <c r="C548" s="48" t="str">
        <f>Data_Entry!C537</f>
        <v xml:space="preserve"> Mweso</v>
      </c>
      <c r="D548" s="48" t="str">
        <f>Data_Entry!D537</f>
        <v xml:space="preserve"> Lwama</v>
      </c>
      <c r="E548" s="49">
        <f>IFERROR(IF(Data_Entry!J537/Data_Entry!$I537&lt;0,0,Data_Entry!J537/Data_Entry!$I537),0)</f>
        <v>0.84553098723139208</v>
      </c>
      <c r="F548" s="49">
        <f>IFERROR(IF(Data_Entry!K537/Data_Entry!$H537&lt;0,0,Data_Entry!K537/Data_Entry!$H537),0)</f>
        <v>0.66122988759091905</v>
      </c>
      <c r="G548" s="49">
        <f>IFERROR(IF(Data_Entry!L537/Data_Entry!$H537&lt;0,0,Data_Entry!L537/Data_Entry!$H537),0)</f>
        <v>1.1056192047572857</v>
      </c>
      <c r="H548" s="49">
        <f>IFERROR(IF(Data_Entry!M537/Data_Entry!$H537&lt;0,0,Data_Entry!M537/Data_Entry!$H537),0)</f>
        <v>1.0922339843607085</v>
      </c>
      <c r="I548" s="49">
        <f>IFERROR(IF(Data_Entry!N537/Data_Entry!$H537&lt;0,0,Data_Entry!N537/Data_Entry!$H537),0)</f>
        <v>1.0788487639641311</v>
      </c>
      <c r="J548" s="49">
        <f>IFERROR(IF(Data_Entry!O537/Data_Entry!$H537&lt;0,0,Data_Entry!O537/Data_Entry!$H537),0)</f>
        <v>1.1029421606779704</v>
      </c>
      <c r="K548" s="49">
        <f>IFERROR(IF(Data_Entry!P537/Data_Entry!$H537&lt;0,0,Data_Entry!P537/Data_Entry!$H537),0)</f>
        <v>1.0922339843607085</v>
      </c>
      <c r="L548" s="49">
        <f>IFERROR(IF(Data_Entry!Q537/Data_Entry!$H537&lt;0,0,Data_Entry!Q537/Data_Entry!$H537),0)</f>
        <v>1.0788487639641311</v>
      </c>
      <c r="M548" s="49">
        <f>IFERROR(IF(Data_Entry!R537/Data_Entry!$H537&lt;0,0,Data_Entry!R537/Data_Entry!$H537),0)</f>
        <v>1.1029421606779704</v>
      </c>
      <c r="N548" s="49">
        <f>IFERROR(IF(Data_Entry!S537/Data_Entry!$H537&lt;0,0,Data_Entry!S537/Data_Entry!$H537),0)</f>
        <v>1.0922339843607085</v>
      </c>
      <c r="O548" s="49">
        <f>IFERROR(IF(Data_Entry!T537/Data_Entry!$H537&lt;0,0,Data_Entry!T537/Data_Entry!$H537),0)</f>
        <v>1.0788487639641311</v>
      </c>
      <c r="P548" s="49">
        <f>IFERROR(IF(Data_Entry!U537/Data_Entry!$H537&lt;0,0,Data_Entry!U537/Data_Entry!$H537),0)</f>
        <v>0.97979813302945906</v>
      </c>
      <c r="Q548" s="49">
        <f>IFERROR(IF(Data_Entry!V537/Data_Entry!$H537&lt;0,0,Data_Entry!V537/Data_Entry!$H537),0)</f>
        <v>0.97979813302945906</v>
      </c>
      <c r="R548" s="49">
        <f>IFERROR(IF(Data_Entry!W537/Data_Entry!$H537&lt;0,0,Data_Entry!W537/Data_Entry!$H537),0)</f>
        <v>0.96641291263288176</v>
      </c>
      <c r="S548" s="49">
        <f>IFERROR(IF(Data_Entry!X537/Data_Entry!$H537&lt;0,0,Data_Entry!X537/Data_Entry!$H537),0)</f>
        <v>1.0038915297432982</v>
      </c>
      <c r="T548" s="49">
        <f>IFERROR(IF(Data_Entry!Y537/Data_Entry!$H537&lt;0,0,Data_Entry!Y537/Data_Entry!$H537),0)</f>
        <v>1.0788487639641311</v>
      </c>
      <c r="U548" s="49">
        <f>IFERROR(IF(Data_Entry!Z537/Data_Entry!$H537&lt;0,0,Data_Entry!Z537/Data_Entry!$H537),0)</f>
        <v>0.90484089880862617</v>
      </c>
      <c r="V548" s="49">
        <f>IFERROR(IF(Data_Entry!AA537/Data_Entry!$H537&lt;0,0,Data_Entry!AA537/Data_Entry!$H537),0)</f>
        <v>1.3010434225473144</v>
      </c>
      <c r="W548" s="49">
        <f>IFERROR(IF(Data_Entry!AB537/Data_Entry!$H537&lt;0,0,Data_Entry!AB537/Data_Entry!$H537),0)</f>
        <v>0.92893429552246531</v>
      </c>
      <c r="X548" s="49">
        <f>IFERROR(IF(Data_Entry!AC537/Data_Entry!$I537&lt;0,0,Data_Entry!AC537/Data_Entry!$I537),0)</f>
        <v>0.2639364683899097</v>
      </c>
      <c r="Y548" s="49">
        <f>IFERROR(IF(Data_Entry!AD537/Data_Entry!$I537&lt;0,0,Data_Entry!AD537/Data_Entry!$I537),0)</f>
        <v>0.29430084085954533</v>
      </c>
      <c r="Z548" s="49">
        <f>IFERROR(IF(Data_Entry!AE537/Data_Entry!$I537&lt;0,0,Data_Entry!AE537/Data_Entry!$I537),0)</f>
        <v>0.24291497975708504</v>
      </c>
      <c r="AA548" s="49">
        <f>IFERROR(IF(Data_Entry!AF537/Data_Entry!$I537&lt;0,0,Data_Entry!AF537/Data_Entry!$I537),0)</f>
        <v>0.24057925879788228</v>
      </c>
      <c r="AB548" s="49">
        <f>IFERROR(IF(Data_Entry!AG537/Data_Entry!$I537&lt;0,0,Data_Entry!AG537/Data_Entry!$I537),0)</f>
        <v>0.22656493304266584</v>
      </c>
      <c r="AC548" s="49">
        <f>IFERROR(IF(Data_Entry!AI537/Data_Entry!$I537&lt;0,0,Data_Entry!AI537/Data_Entry!$I537),0)</f>
        <v>0.11678604796013703</v>
      </c>
      <c r="AD548" s="49">
        <f>IFERROR(IF(Data_Entry!AM537/Data_Entry!$H537&lt;0,0,Data_Entry!AM537/Data_Entry!$H537),0)</f>
        <v>0.90484089880862617</v>
      </c>
      <c r="AE548" s="50">
        <f>Data_Entry!AK537</f>
        <v>0</v>
      </c>
      <c r="AF548" s="50">
        <f>Data_Entry!AL537</f>
        <v>37</v>
      </c>
      <c r="AG548" s="153">
        <f>(Data_Entry!O537-Data_Entry!Q537)/Data_Entry!O537</f>
        <v>2.1844660194174758E-2</v>
      </c>
      <c r="AH548" s="79" t="str">
        <f t="shared" si="16"/>
        <v>CAT1</v>
      </c>
      <c r="AI548" s="51">
        <f>SUBTOTAL(3,Tableau1[[#This Row],[ZS]])</f>
        <v>0</v>
      </c>
      <c r="AJ548" s="51" t="e">
        <f t="shared" ca="1" si="17"/>
        <v>#NAME?</v>
      </c>
      <c r="AK548" s="50" t="str">
        <f>IFERROR(IF((Data_Entry!O537-Data_Entry!Q537)/Data_Entry!O537&lt;=10%,"&lt;=10%","&gt;10%"),"&lt;=10%")</f>
        <v>&lt;=10%</v>
      </c>
    </row>
    <row r="549" spans="1:37" s="48" customFormat="1" ht="13" hidden="1" x14ac:dyDescent="0.3">
      <c r="A549" s="31" t="s">
        <v>16</v>
      </c>
      <c r="B549" s="48" t="str">
        <f>Data_Entry!B538</f>
        <v>Goma</v>
      </c>
      <c r="C549" s="48" t="str">
        <f>Data_Entry!C538</f>
        <v xml:space="preserve"> Mweso</v>
      </c>
      <c r="D549" s="48" t="str">
        <f>Data_Entry!D538</f>
        <v xml:space="preserve"> Mokoto</v>
      </c>
      <c r="E549" s="49">
        <f>IFERROR(IF(Data_Entry!J538/Data_Entry!$I538&lt;0,0,Data_Entry!J538/Data_Entry!$I538),0)</f>
        <v>0.7207207207207208</v>
      </c>
      <c r="F549" s="49">
        <f>IFERROR(IF(Data_Entry!K538/Data_Entry!$H538&lt;0,0,Data_Entry!K538/Data_Entry!$H538),0)</f>
        <v>0.73239095028926438</v>
      </c>
      <c r="G549" s="49">
        <f>IFERROR(IF(Data_Entry!L538/Data_Entry!$H538&lt;0,0,Data_Entry!L538/Data_Entry!$H538),0)</f>
        <v>0.71558197765967468</v>
      </c>
      <c r="H549" s="49">
        <f>IFERROR(IF(Data_Entry!M538/Data_Entry!$H538&lt;0,0,Data_Entry!M538/Data_Entry!$H538),0)</f>
        <v>0.56910378760182179</v>
      </c>
      <c r="I549" s="49">
        <f>IFERROR(IF(Data_Entry!N538/Data_Entry!$H538&lt;0,0,Data_Entry!N538/Data_Entry!$H538),0)</f>
        <v>0.68676659600894951</v>
      </c>
      <c r="J549" s="49">
        <f>IFERROR(IF(Data_Entry!O538/Data_Entry!$H538&lt;0,0,Data_Entry!O538/Data_Entry!$H538),0)</f>
        <v>0.71558197765967468</v>
      </c>
      <c r="K549" s="49">
        <f>IFERROR(IF(Data_Entry!P538/Data_Entry!$H538&lt;0,0,Data_Entry!P538/Data_Entry!$H538),0)</f>
        <v>0.56910378760182179</v>
      </c>
      <c r="L549" s="49">
        <f>IFERROR(IF(Data_Entry!Q538/Data_Entry!$H538&lt;0,0,Data_Entry!Q538/Data_Entry!$H538),0)</f>
        <v>0.68676659600894951</v>
      </c>
      <c r="M549" s="49">
        <f>IFERROR(IF(Data_Entry!R538/Data_Entry!$H538&lt;0,0,Data_Entry!R538/Data_Entry!$H538),0)</f>
        <v>0.71798325946390185</v>
      </c>
      <c r="N549" s="49">
        <f>IFERROR(IF(Data_Entry!S538/Data_Entry!$H538&lt;0,0,Data_Entry!S538/Data_Entry!$H538),0)</f>
        <v>0.56910378760182179</v>
      </c>
      <c r="O549" s="49">
        <f>IFERROR(IF(Data_Entry!T538/Data_Entry!$H538&lt;0,0,Data_Entry!T538/Data_Entry!$H538),0)</f>
        <v>0.68676659600894951</v>
      </c>
      <c r="P549" s="49">
        <f>IFERROR(IF(Data_Entry!U538/Data_Entry!$H538&lt;0,0,Data_Entry!U538/Data_Entry!$H538),0)</f>
        <v>0.48746020625810055</v>
      </c>
      <c r="Q549" s="49">
        <f>IFERROR(IF(Data_Entry!V538/Data_Entry!$H538&lt;0,0,Data_Entry!V538/Data_Entry!$H538),0)</f>
        <v>0.44423713378201285</v>
      </c>
      <c r="R549" s="49">
        <f>IFERROR(IF(Data_Entry!W538/Data_Entry!$H538&lt;0,0,Data_Entry!W538/Data_Entry!$H538),0)</f>
        <v>0.46824995182428381</v>
      </c>
      <c r="S549" s="49">
        <f>IFERROR(IF(Data_Entry!X538/Data_Entry!$H538&lt;0,0,Data_Entry!X538/Data_Entry!$H538),0)</f>
        <v>0.9533088762781573</v>
      </c>
      <c r="T549" s="49">
        <f>IFERROR(IF(Data_Entry!Y538/Data_Entry!$H538&lt;0,0,Data_Entry!Y538/Data_Entry!$H538),0)</f>
        <v>0.75880505013576249</v>
      </c>
      <c r="U549" s="49">
        <f>IFERROR(IF(Data_Entry!Z538/Data_Entry!$H538&lt;0,0,Data_Entry!Z538/Data_Entry!$H538),0)</f>
        <v>0.99413066695001784</v>
      </c>
      <c r="V549" s="49">
        <f>IFERROR(IF(Data_Entry!AA538/Data_Entry!$H538&lt;0,0,Data_Entry!AA538/Data_Entry!$H538),0)</f>
        <v>0.55949866038491347</v>
      </c>
      <c r="W549" s="49">
        <f>IFERROR(IF(Data_Entry!AB538/Data_Entry!$H538&lt;0,0,Data_Entry!AB538/Data_Entry!$H538),0)</f>
        <v>0.79962684080762314</v>
      </c>
      <c r="X549" s="49">
        <f>IFERROR(IF(Data_Entry!AC538/Data_Entry!$I538&lt;0,0,Data_Entry!AC538/Data_Entry!$I538),0)</f>
        <v>0.18856065367693275</v>
      </c>
      <c r="Y549" s="49">
        <f>IFERROR(IF(Data_Entry!AD538/Data_Entry!$I538&lt;0,0,Data_Entry!AD538/Data_Entry!$I538),0)</f>
        <v>0.1801801801801802</v>
      </c>
      <c r="Z549" s="49">
        <f>IFERROR(IF(Data_Entry!AE538/Data_Entry!$I538&lt;0,0,Data_Entry!AE538/Data_Entry!$I538),0)</f>
        <v>0.15294364131573435</v>
      </c>
      <c r="AA549" s="49">
        <f>IFERROR(IF(Data_Entry!AF538/Data_Entry!$I538&lt;0,0,Data_Entry!AF538/Data_Entry!$I538),0)</f>
        <v>0.15713387806411064</v>
      </c>
      <c r="AB549" s="49">
        <f>IFERROR(IF(Data_Entry!AG538/Data_Entry!$I538&lt;0,0,Data_Entry!AG538/Data_Entry!$I538),0)</f>
        <v>0.32683846637335012</v>
      </c>
      <c r="AC549" s="49">
        <f>IFERROR(IF(Data_Entry!AI538/Data_Entry!$I538&lt;0,0,Data_Entry!AI538/Data_Entry!$I538),0)</f>
        <v>0.12214540121516866</v>
      </c>
      <c r="AD549" s="49">
        <f>IFERROR(IF(Data_Entry!AM538/Data_Entry!$H538&lt;0,0,Data_Entry!AM538/Data_Entry!$H538),0)</f>
        <v>0.9533088762781573</v>
      </c>
      <c r="AE549" s="50">
        <f>Data_Entry!AK538</f>
        <v>118.44425000000001</v>
      </c>
      <c r="AF549" s="50">
        <f>Data_Entry!AL538</f>
        <v>0</v>
      </c>
      <c r="AG549" s="153">
        <f>(Data_Entry!O538-Data_Entry!Q538)/Data_Entry!O538</f>
        <v>4.0268456375838924E-2</v>
      </c>
      <c r="AH549" s="79" t="str">
        <f t="shared" si="16"/>
        <v>CAT3</v>
      </c>
      <c r="AI549" s="51">
        <f>SUBTOTAL(3,Tableau1[[#This Row],[ZS]])</f>
        <v>0</v>
      </c>
      <c r="AJ549" s="51" t="e">
        <f t="shared" ca="1" si="17"/>
        <v>#NAME?</v>
      </c>
      <c r="AK549" s="50" t="str">
        <f>IFERROR(IF((Data_Entry!O538-Data_Entry!Q538)/Data_Entry!O538&lt;=10%,"&lt;=10%","&gt;10%"),"&lt;=10%")</f>
        <v>&lt;=10%</v>
      </c>
    </row>
    <row r="550" spans="1:37" s="48" customFormat="1" ht="13" hidden="1" x14ac:dyDescent="0.3">
      <c r="A550" s="31" t="s">
        <v>16</v>
      </c>
      <c r="B550" s="48" t="str">
        <f>Data_Entry!B539</f>
        <v>Goma</v>
      </c>
      <c r="C550" s="48" t="str">
        <f>Data_Entry!C539</f>
        <v xml:space="preserve"> Mweso</v>
      </c>
      <c r="D550" s="48" t="str">
        <f>Data_Entry!D539</f>
        <v xml:space="preserve"> Mpati</v>
      </c>
      <c r="E550" s="49">
        <f>IFERROR(IF(Data_Entry!J539/Data_Entry!$I539&lt;0,0,Data_Entry!J539/Data_Entry!$I539),0)</f>
        <v>0.6923451974646514</v>
      </c>
      <c r="F550" s="49">
        <f>IFERROR(IF(Data_Entry!K539/Data_Entry!$H539&lt;0,0,Data_Entry!K539/Data_Entry!$H539),0)</f>
        <v>1.0822404986129719</v>
      </c>
      <c r="G550" s="49">
        <f>IFERROR(IF(Data_Entry!L539/Data_Entry!$H539&lt;0,0,Data_Entry!L539/Data_Entry!$H539),0)</f>
        <v>1.0561624143090449</v>
      </c>
      <c r="H550" s="49">
        <f>IFERROR(IF(Data_Entry!M539/Data_Entry!$H539&lt;0,0,Data_Entry!M539/Data_Entry!$H539),0)</f>
        <v>1.0151825675457309</v>
      </c>
      <c r="I550" s="49">
        <f>IFERROR(IF(Data_Entry!N539/Data_Entry!$H539&lt;0,0,Data_Entry!N539/Data_Entry!$H539),0)</f>
        <v>1.0319470503125412</v>
      </c>
      <c r="J550" s="49">
        <f>IFERROR(IF(Data_Entry!O539/Data_Entry!$H539&lt;0,0,Data_Entry!O539/Data_Entry!$H539),0)</f>
        <v>1.0561624143090449</v>
      </c>
      <c r="K550" s="49">
        <f>IFERROR(IF(Data_Entry!P539/Data_Entry!$H539&lt;0,0,Data_Entry!P539/Data_Entry!$H539),0)</f>
        <v>1.0151825675457309</v>
      </c>
      <c r="L550" s="49">
        <f>IFERROR(IF(Data_Entry!Q539/Data_Entry!$H539&lt;0,0,Data_Entry!Q539/Data_Entry!$H539),0)</f>
        <v>1.0319470503125412</v>
      </c>
      <c r="M550" s="49">
        <f>IFERROR(IF(Data_Entry!R539/Data_Entry!$H539&lt;0,0,Data_Entry!R539/Data_Entry!$H539),0)</f>
        <v>1.0561624143090449</v>
      </c>
      <c r="N550" s="49">
        <f>IFERROR(IF(Data_Entry!S539/Data_Entry!$H539&lt;0,0,Data_Entry!S539/Data_Entry!$H539),0)</f>
        <v>1.0151825675457309</v>
      </c>
      <c r="O550" s="49">
        <f>IFERROR(IF(Data_Entry!T539/Data_Entry!$H539&lt;0,0,Data_Entry!T539/Data_Entry!$H539),0)</f>
        <v>1.0319470503125412</v>
      </c>
      <c r="P550" s="49">
        <f>IFERROR(IF(Data_Entry!U539/Data_Entry!$H539&lt;0,0,Data_Entry!U539/Data_Entry!$H539),0)</f>
        <v>0.7991070118846213</v>
      </c>
      <c r="Q550" s="49">
        <f>IFERROR(IF(Data_Entry!V539/Data_Entry!$H539&lt;0,0,Data_Entry!V539/Data_Entry!$H539),0)</f>
        <v>0.75998988542873069</v>
      </c>
      <c r="R550" s="49">
        <f>IFERROR(IF(Data_Entry!W539/Data_Entry!$H539&lt;0,0,Data_Entry!W539/Data_Entry!$H539),0)</f>
        <v>0.7860679697326578</v>
      </c>
      <c r="S550" s="49">
        <f>IFERROR(IF(Data_Entry!X539/Data_Entry!$H539&lt;0,0,Data_Entry!X539/Data_Entry!$H539),0)</f>
        <v>0.98910448324180389</v>
      </c>
      <c r="T550" s="49">
        <f>IFERROR(IF(Data_Entry!Y539/Data_Entry!$H539&lt;0,0,Data_Entry!Y539/Data_Entry!$H539),0)</f>
        <v>0.9090075100225995</v>
      </c>
      <c r="U550" s="49">
        <f>IFERROR(IF(Data_Entry!Z539/Data_Entry!$H539&lt;0,0,Data_Entry!Z539/Data_Entry!$H539),0)</f>
        <v>0.9965553644714974</v>
      </c>
      <c r="V550" s="49">
        <f>IFERROR(IF(Data_Entry!AA539/Data_Entry!$H539&lt;0,0,Data_Entry!AA539/Data_Entry!$H539),0)</f>
        <v>1.0319470503125412</v>
      </c>
      <c r="W550" s="49">
        <f>IFERROR(IF(Data_Entry!AB539/Data_Entry!$H539&lt;0,0,Data_Entry!AB539/Data_Entry!$H539),0)</f>
        <v>1.0189080081605777</v>
      </c>
      <c r="X550" s="49">
        <f>IFERROR(IF(Data_Entry!AC539/Data_Entry!$I539&lt;0,0,Data_Entry!AC539/Data_Entry!$I539),0)</f>
        <v>0.70372176174223966</v>
      </c>
      <c r="Y550" s="49">
        <f>IFERROR(IF(Data_Entry!AD539/Data_Entry!$I539&lt;0,0,Data_Entry!AD539/Data_Entry!$I539),0)</f>
        <v>0.56395254347472779</v>
      </c>
      <c r="Z550" s="49">
        <f>IFERROR(IF(Data_Entry!AE539/Data_Entry!$I539&lt;0,0,Data_Entry!AE539/Data_Entry!$I539),0)</f>
        <v>0.44693645376239238</v>
      </c>
      <c r="AA550" s="49">
        <f>IFERROR(IF(Data_Entry!AF539/Data_Entry!$I539&lt;0,0,Data_Entry!AF539/Data_Entry!$I539),0)</f>
        <v>0.37542662116040959</v>
      </c>
      <c r="AB550" s="49">
        <f>IFERROR(IF(Data_Entry!AG539/Data_Entry!$I539&lt;0,0,Data_Entry!AG539/Data_Entry!$I539),0)</f>
        <v>0.29741589468551927</v>
      </c>
      <c r="AC550" s="49">
        <f>IFERROR(IF(Data_Entry!AI539/Data_Entry!$I539&lt;0,0,Data_Entry!AI539/Data_Entry!$I539),0)</f>
        <v>9.4750528197627179E-2</v>
      </c>
      <c r="AD550" s="49">
        <f>IFERROR(IF(Data_Entry!AM539/Data_Entry!$H539&lt;0,0,Data_Entry!AM539/Data_Entry!$H539),0)</f>
        <v>0.98910448324180389</v>
      </c>
      <c r="AE550" s="50">
        <f>Data_Entry!AK539</f>
        <v>0</v>
      </c>
      <c r="AF550" s="50">
        <f>Data_Entry!AL539</f>
        <v>36</v>
      </c>
      <c r="AG550" s="153">
        <f>(Data_Entry!O539-Data_Entry!Q539)/Data_Entry!O539</f>
        <v>2.292768959435626E-2</v>
      </c>
      <c r="AH550" s="79" t="str">
        <f t="shared" si="16"/>
        <v>CAT1</v>
      </c>
      <c r="AI550" s="51">
        <f>SUBTOTAL(3,Tableau1[[#This Row],[ZS]])</f>
        <v>0</v>
      </c>
      <c r="AJ550" s="51" t="e">
        <f t="shared" ca="1" si="17"/>
        <v>#NAME?</v>
      </c>
      <c r="AK550" s="50" t="str">
        <f>IFERROR(IF((Data_Entry!O539-Data_Entry!Q539)/Data_Entry!O539&lt;=10%,"&lt;=10%","&gt;10%"),"&lt;=10%")</f>
        <v>&lt;=10%</v>
      </c>
    </row>
    <row r="551" spans="1:37" s="48" customFormat="1" ht="13" hidden="1" x14ac:dyDescent="0.3">
      <c r="A551" s="31" t="s">
        <v>16</v>
      </c>
      <c r="B551" s="48" t="str">
        <f>Data_Entry!B540</f>
        <v>Goma</v>
      </c>
      <c r="C551" s="48" t="str">
        <f>Data_Entry!C540</f>
        <v xml:space="preserve"> Mweso</v>
      </c>
      <c r="D551" s="48" t="str">
        <f>Data_Entry!D540</f>
        <v xml:space="preserve"> Mwanja</v>
      </c>
      <c r="E551" s="49">
        <f>IFERROR(IF(Data_Entry!J540/Data_Entry!$I540&lt;0,0,Data_Entry!J540/Data_Entry!$I540),0)</f>
        <v>0.73299002958255721</v>
      </c>
      <c r="F551" s="49">
        <f>IFERROR(IF(Data_Entry!K540/Data_Entry!$H540&lt;0,0,Data_Entry!K540/Data_Entry!$H540),0)</f>
        <v>0.49351353065293535</v>
      </c>
      <c r="G551" s="49">
        <f>IFERROR(IF(Data_Entry!L540/Data_Entry!$H540&lt;0,0,Data_Entry!L540/Data_Entry!$H540),0)</f>
        <v>1.0209325710453854</v>
      </c>
      <c r="H551" s="49">
        <f>IFERROR(IF(Data_Entry!M540/Data_Entry!$H540&lt;0,0,Data_Entry!M540/Data_Entry!$H540),0)</f>
        <v>0.96819066700614043</v>
      </c>
      <c r="I551" s="49">
        <f>IFERROR(IF(Data_Entry!N540/Data_Entry!$H540&lt;0,0,Data_Entry!N540/Data_Entry!$H540),0)</f>
        <v>0.97572522472603251</v>
      </c>
      <c r="J551" s="49">
        <f>IFERROR(IF(Data_Entry!O540/Data_Entry!$H540&lt;0,0,Data_Entry!O540/Data_Entry!$H540),0)</f>
        <v>1.0209325710453854</v>
      </c>
      <c r="K551" s="49">
        <f>IFERROR(IF(Data_Entry!P540/Data_Entry!$H540&lt;0,0,Data_Entry!P540/Data_Entry!$H540),0)</f>
        <v>0.96819066700614043</v>
      </c>
      <c r="L551" s="49">
        <f>IFERROR(IF(Data_Entry!Q540/Data_Entry!$H540&lt;0,0,Data_Entry!Q540/Data_Entry!$H540),0)</f>
        <v>0.97949250358597861</v>
      </c>
      <c r="M551" s="49">
        <f>IFERROR(IF(Data_Entry!R540/Data_Entry!$H540&lt;0,0,Data_Entry!R540/Data_Entry!$H540),0)</f>
        <v>1.0209325710453854</v>
      </c>
      <c r="N551" s="49">
        <f>IFERROR(IF(Data_Entry!S540/Data_Entry!$H540&lt;0,0,Data_Entry!S540/Data_Entry!$H540),0)</f>
        <v>0.96819066700614043</v>
      </c>
      <c r="O551" s="49">
        <f>IFERROR(IF(Data_Entry!T540/Data_Entry!$H540&lt;0,0,Data_Entry!T540/Data_Entry!$H540),0)</f>
        <v>0.97949250358597861</v>
      </c>
      <c r="P551" s="49">
        <f>IFERROR(IF(Data_Entry!U540/Data_Entry!$H540&lt;0,0,Data_Entry!U540/Data_Entry!$H540),0)</f>
        <v>1.0209325710453854</v>
      </c>
      <c r="Q551" s="49">
        <f>IFERROR(IF(Data_Entry!V540/Data_Entry!$H540&lt;0,0,Data_Entry!V540/Data_Entry!$H540),0)</f>
        <v>0.96819066700614043</v>
      </c>
      <c r="R551" s="49">
        <f>IFERROR(IF(Data_Entry!W540/Data_Entry!$H540&lt;0,0,Data_Entry!W540/Data_Entry!$H540),0)</f>
        <v>0.97949250358597861</v>
      </c>
      <c r="S551" s="49">
        <f>IFERROR(IF(Data_Entry!X540/Data_Entry!$H540&lt;0,0,Data_Entry!X540/Data_Entry!$H540),0)</f>
        <v>0.73461937768948393</v>
      </c>
      <c r="T551" s="49">
        <f>IFERROR(IF(Data_Entry!Y540/Data_Entry!$H540&lt;0,0,Data_Entry!Y540/Data_Entry!$H540),0)</f>
        <v>0.6630410793505086</v>
      </c>
      <c r="U551" s="49">
        <f>IFERROR(IF(Data_Entry!Z540/Data_Entry!$H540&lt;0,0,Data_Entry!Z540/Data_Entry!$H540),0)</f>
        <v>0.70824842566986146</v>
      </c>
      <c r="V551" s="49">
        <f>IFERROR(IF(Data_Entry!AA540/Data_Entry!$H540&lt;0,0,Data_Entry!AA540/Data_Entry!$H540),0)</f>
        <v>0.97572522472603251</v>
      </c>
      <c r="W551" s="49">
        <f>IFERROR(IF(Data_Entry!AB540/Data_Entry!$H540&lt;0,0,Data_Entry!AB540/Data_Entry!$H540),0)</f>
        <v>0.83256862804808185</v>
      </c>
      <c r="X551" s="49">
        <f>IFERROR(IF(Data_Entry!AC540/Data_Entry!$I540&lt;0,0,Data_Entry!AC540/Data_Entry!$I540),0)</f>
        <v>0.12161717979620905</v>
      </c>
      <c r="Y551" s="49">
        <f>IFERROR(IF(Data_Entry!AD540/Data_Entry!$I540&lt;0,0,Data_Entry!AD540/Data_Entry!$I540),0)</f>
        <v>6.9025966911361897E-2</v>
      </c>
      <c r="Z551" s="49">
        <f>IFERROR(IF(Data_Entry!AE540/Data_Entry!$I540&lt;0,0,Data_Entry!AE540/Data_Entry!$I540),0)</f>
        <v>3.2869508053029468E-2</v>
      </c>
      <c r="AA551" s="49">
        <f>IFERROR(IF(Data_Entry!AF540/Data_Entry!$I540&lt;0,0,Data_Entry!AF540/Data_Entry!$I540),0)</f>
        <v>1.9721704831817684E-2</v>
      </c>
      <c r="AB551" s="49">
        <f>IFERROR(IF(Data_Entry!AG540/Data_Entry!$I540&lt;0,0,Data_Entry!AG540/Data_Entry!$I540),0)</f>
        <v>0</v>
      </c>
      <c r="AC551" s="49">
        <f>IFERROR(IF(Data_Entry!AI540/Data_Entry!$I540&lt;0,0,Data_Entry!AI540/Data_Entry!$I540),0)</f>
        <v>0.19162923194916182</v>
      </c>
      <c r="AD551" s="49">
        <f>IFERROR(IF(Data_Entry!AM540/Data_Entry!$H540&lt;0,0,Data_Entry!AM540/Data_Entry!$H540),0)</f>
        <v>0.70824842566986146</v>
      </c>
      <c r="AE551" s="50">
        <f>Data_Entry!AK540</f>
        <v>0</v>
      </c>
      <c r="AF551" s="50">
        <f>Data_Entry!AL540</f>
        <v>76</v>
      </c>
      <c r="AG551" s="153">
        <f>(Data_Entry!O540-Data_Entry!Q540)/Data_Entry!O540</f>
        <v>4.0590405904059039E-2</v>
      </c>
      <c r="AH551" s="79" t="str">
        <f t="shared" si="16"/>
        <v>CAT1</v>
      </c>
      <c r="AI551" s="51">
        <f>SUBTOTAL(3,Tableau1[[#This Row],[ZS]])</f>
        <v>0</v>
      </c>
      <c r="AJ551" s="51" t="e">
        <f t="shared" ca="1" si="17"/>
        <v>#NAME?</v>
      </c>
      <c r="AK551" s="50" t="str">
        <f>IFERROR(IF((Data_Entry!O540-Data_Entry!Q540)/Data_Entry!O540&lt;=10%,"&lt;=10%","&gt;10%"),"&lt;=10%")</f>
        <v>&lt;=10%</v>
      </c>
    </row>
    <row r="552" spans="1:37" s="48" customFormat="1" ht="13" hidden="1" x14ac:dyDescent="0.3">
      <c r="A552" s="31" t="s">
        <v>16</v>
      </c>
      <c r="B552" s="48" t="str">
        <f>Data_Entry!B541</f>
        <v>Goma</v>
      </c>
      <c r="C552" s="48" t="str">
        <f>Data_Entry!C541</f>
        <v xml:space="preserve"> Mweso</v>
      </c>
      <c r="D552" s="48" t="str">
        <f>Data_Entry!D541</f>
        <v xml:space="preserve"> Rugarama</v>
      </c>
      <c r="E552" s="49">
        <f>IFERROR(IF(Data_Entry!J541/Data_Entry!$I541&lt;0,0,Data_Entry!J541/Data_Entry!$I541),0)</f>
        <v>0.97749719987781269</v>
      </c>
      <c r="F552" s="49">
        <f>IFERROR(IF(Data_Entry!K541/Data_Entry!$H541&lt;0,0,Data_Entry!K541/Data_Entry!$H541),0)</f>
        <v>1.3829204654431806</v>
      </c>
      <c r="G552" s="49">
        <f>IFERROR(IF(Data_Entry!L541/Data_Entry!$H541&lt;0,0,Data_Entry!L541/Data_Entry!$H541),0)</f>
        <v>1.4249332390768974</v>
      </c>
      <c r="H552" s="49">
        <f>IFERROR(IF(Data_Entry!M541/Data_Entry!$H541&lt;0,0,Data_Entry!M541/Data_Entry!$H541),0)</f>
        <v>1.3829204654431806</v>
      </c>
      <c r="I552" s="49">
        <f>IFERROR(IF(Data_Entry!N541/Data_Entry!$H541&lt;0,0,Data_Entry!N541/Data_Entry!$H541),0)</f>
        <v>1.3479098207484166</v>
      </c>
      <c r="J552" s="49">
        <f>IFERROR(IF(Data_Entry!O541/Data_Entry!$H541&lt;0,0,Data_Entry!O541/Data_Entry!$H541),0)</f>
        <v>1.4249332390768974</v>
      </c>
      <c r="K552" s="49">
        <f>IFERROR(IF(Data_Entry!P541/Data_Entry!$H541&lt;0,0,Data_Entry!P541/Data_Entry!$H541),0)</f>
        <v>1.3829204654431806</v>
      </c>
      <c r="L552" s="49">
        <f>IFERROR(IF(Data_Entry!Q541/Data_Entry!$H541&lt;0,0,Data_Entry!Q541/Data_Entry!$H541),0)</f>
        <v>1.3479098207484166</v>
      </c>
      <c r="M552" s="49">
        <f>IFERROR(IF(Data_Entry!R541/Data_Entry!$H541&lt;0,0,Data_Entry!R541/Data_Entry!$H541),0)</f>
        <v>1.4249332390768974</v>
      </c>
      <c r="N552" s="49">
        <f>IFERROR(IF(Data_Entry!S541/Data_Entry!$H541&lt;0,0,Data_Entry!S541/Data_Entry!$H541),0)</f>
        <v>1.3829204654431806</v>
      </c>
      <c r="O552" s="49">
        <f>IFERROR(IF(Data_Entry!T541/Data_Entry!$H541&lt;0,0,Data_Entry!T541/Data_Entry!$H541),0)</f>
        <v>1.3479098207484166</v>
      </c>
      <c r="P552" s="49">
        <f>IFERROR(IF(Data_Entry!U541/Data_Entry!$H541&lt;0,0,Data_Entry!U541/Data_Entry!$H541),0)</f>
        <v>1.4144300456684682</v>
      </c>
      <c r="Q552" s="49">
        <f>IFERROR(IF(Data_Entry!V541/Data_Entry!$H541&lt;0,0,Data_Entry!V541/Data_Entry!$H541),0)</f>
        <v>1.3829204654431806</v>
      </c>
      <c r="R552" s="49">
        <f>IFERROR(IF(Data_Entry!W541/Data_Entry!$H541&lt;0,0,Data_Entry!W541/Data_Entry!$H541),0)</f>
        <v>1.3479098207484166</v>
      </c>
      <c r="S552" s="49">
        <f>IFERROR(IF(Data_Entry!X541/Data_Entry!$H541&lt;0,0,Data_Entry!X541/Data_Entry!$H541),0)</f>
        <v>1.4074279167295154</v>
      </c>
      <c r="T552" s="49">
        <f>IFERROR(IF(Data_Entry!Y541/Data_Entry!$H541&lt;0,0,Data_Entry!Y541/Data_Entry!$H541),0)</f>
        <v>1.0958331789461153</v>
      </c>
      <c r="U552" s="49">
        <f>IFERROR(IF(Data_Entry!Z541/Data_Entry!$H541&lt;0,0,Data_Entry!Z541/Data_Entry!$H541),0)</f>
        <v>1.1763576617440725</v>
      </c>
      <c r="V552" s="49">
        <f>IFERROR(IF(Data_Entry!AA541/Data_Entry!$H541&lt;0,0,Data_Entry!AA541/Data_Entry!$H541),0)</f>
        <v>1.3128991760536526</v>
      </c>
      <c r="W552" s="49">
        <f>IFERROR(IF(Data_Entry!AB541/Data_Entry!$H541&lt;0,0,Data_Entry!AB541/Data_Entry!$H541),0)</f>
        <v>1.2988949181757468</v>
      </c>
      <c r="X552" s="49">
        <f>IFERROR(IF(Data_Entry!AC541/Data_Entry!$I541&lt;0,0,Data_Entry!AC541/Data_Entry!$I541),0)</f>
        <v>0.65675593116790543</v>
      </c>
      <c r="Y552" s="49">
        <f>IFERROR(IF(Data_Entry!AD541/Data_Entry!$I541&lt;0,0,Data_Entry!AD541/Data_Entry!$I541),0)</f>
        <v>0.52235006618470614</v>
      </c>
      <c r="Z552" s="49">
        <f>IFERROR(IF(Data_Entry!AE541/Data_Entry!$I541&lt;0,0,Data_Entry!AE541/Data_Entry!$I541),0)</f>
        <v>0.58344364117706948</v>
      </c>
      <c r="AA552" s="49">
        <f>IFERROR(IF(Data_Entry!AF541/Data_Entry!$I541&lt;0,0,Data_Entry!AF541/Data_Entry!$I541),0)</f>
        <v>0.64148253741981454</v>
      </c>
      <c r="AB552" s="49">
        <f>IFERROR(IF(Data_Entry!AG541/Data_Entry!$I541&lt;0,0,Data_Entry!AG541/Data_Entry!$I541),0)</f>
        <v>0.43376438244577936</v>
      </c>
      <c r="AC552" s="49">
        <f>IFERROR(IF(Data_Entry!AI541/Data_Entry!$I541&lt;0,0,Data_Entry!AI541/Data_Entry!$I541),0)</f>
        <v>0.17808777110273899</v>
      </c>
      <c r="AD552" s="49">
        <f>IFERROR(IF(Data_Entry!AM541/Data_Entry!$H541&lt;0,0,Data_Entry!AM541/Data_Entry!$H541),0)</f>
        <v>1.1763576617440725</v>
      </c>
      <c r="AE552" s="50">
        <f>Data_Entry!AK541</f>
        <v>0</v>
      </c>
      <c r="AF552" s="50">
        <f>Data_Entry!AL541</f>
        <v>5</v>
      </c>
      <c r="AG552" s="153">
        <f>(Data_Entry!O541-Data_Entry!Q541)/Data_Entry!O541</f>
        <v>5.4054054054054057E-2</v>
      </c>
      <c r="AH552" s="79" t="str">
        <f t="shared" si="16"/>
        <v>CAT1</v>
      </c>
      <c r="AI552" s="51">
        <f>SUBTOTAL(3,Tableau1[[#This Row],[ZS]])</f>
        <v>0</v>
      </c>
      <c r="AJ552" s="51" t="e">
        <f t="shared" ca="1" si="17"/>
        <v>#NAME?</v>
      </c>
      <c r="AK552" s="50" t="str">
        <f>IFERROR(IF((Data_Entry!O541-Data_Entry!Q541)/Data_Entry!O541&lt;=10%,"&lt;=10%","&gt;10%"),"&lt;=10%")</f>
        <v>&lt;=10%</v>
      </c>
    </row>
    <row r="553" spans="1:37" s="48" customFormat="1" ht="13" hidden="1" x14ac:dyDescent="0.3">
      <c r="A553" s="31" t="s">
        <v>16</v>
      </c>
      <c r="B553" s="48" t="str">
        <f>Data_Entry!B542</f>
        <v>Goma</v>
      </c>
      <c r="C553" s="48" t="str">
        <f>Data_Entry!C542</f>
        <v xml:space="preserve"> Mweso</v>
      </c>
      <c r="D553" s="48" t="str">
        <f>Data_Entry!D542</f>
        <v xml:space="preserve"> St Benoit</v>
      </c>
      <c r="E553" s="49">
        <f>IFERROR(IF(Data_Entry!J542/Data_Entry!$I542&lt;0,0,Data_Entry!J542/Data_Entry!$I542),0)</f>
        <v>0.38233569986321891</v>
      </c>
      <c r="F553" s="49">
        <f>IFERROR(IF(Data_Entry!K542/Data_Entry!$H542&lt;0,0,Data_Entry!K542/Data_Entry!$H542),0)</f>
        <v>0.36056904962620823</v>
      </c>
      <c r="G553" s="49">
        <f>IFERROR(IF(Data_Entry!L542/Data_Entry!$H542&lt;0,0,Data_Entry!L542/Data_Entry!$H542),0)</f>
        <v>0.55391767044026186</v>
      </c>
      <c r="H553" s="49">
        <f>IFERROR(IF(Data_Entry!M542/Data_Entry!$H542&lt;0,0,Data_Entry!M542/Data_Entry!$H542),0)</f>
        <v>0.5039008457509121</v>
      </c>
      <c r="I553" s="49">
        <f>IFERROR(IF(Data_Entry!N542/Data_Entry!$H542&lt;0,0,Data_Entry!N542/Data_Entry!$H542),0)</f>
        <v>0.47404005489159878</v>
      </c>
      <c r="J553" s="49">
        <f>IFERROR(IF(Data_Entry!O542/Data_Entry!$H542&lt;0,0,Data_Entry!O542/Data_Entry!$H542),0)</f>
        <v>0.58228542175660958</v>
      </c>
      <c r="K553" s="49">
        <f>IFERROR(IF(Data_Entry!P542/Data_Entry!$H542&lt;0,0,Data_Entry!P542/Data_Entry!$H542),0)</f>
        <v>0.47105397580566744</v>
      </c>
      <c r="L553" s="49">
        <f>IFERROR(IF(Data_Entry!Q542/Data_Entry!$H542&lt;0,0,Data_Entry!Q542/Data_Entry!$H542),0)</f>
        <v>0.7427871726254186</v>
      </c>
      <c r="M553" s="49">
        <f>IFERROR(IF(Data_Entry!R542/Data_Entry!$H542&lt;0,0,Data_Entry!R542/Data_Entry!$H542),0)</f>
        <v>0.51659168186612026</v>
      </c>
      <c r="N553" s="49">
        <f>IFERROR(IF(Data_Entry!S542/Data_Entry!$H542&lt;0,0,Data_Entry!S542/Data_Entry!$H542),0)</f>
        <v>0.48598437123532412</v>
      </c>
      <c r="O553" s="49">
        <f>IFERROR(IF(Data_Entry!T542/Data_Entry!$H542&lt;0,0,Data_Entry!T542/Data_Entry!$H542),0)</f>
        <v>0.46508181763380479</v>
      </c>
      <c r="P553" s="49">
        <f>IFERROR(IF(Data_Entry!U542/Data_Entry!$H542&lt;0,0,Data_Entry!U542/Data_Entry!$H542),0)</f>
        <v>0.48822393054977259</v>
      </c>
      <c r="Q553" s="49">
        <f>IFERROR(IF(Data_Entry!V542/Data_Entry!$H542&lt;0,0,Data_Entry!V542/Data_Entry!$H542),0)</f>
        <v>0.46358877809083915</v>
      </c>
      <c r="R553" s="49">
        <f>IFERROR(IF(Data_Entry!W542/Data_Entry!$H542&lt;0,0,Data_Entry!W542/Data_Entry!$H542),0)</f>
        <v>0.446418823346734</v>
      </c>
      <c r="S553" s="49">
        <f>IFERROR(IF(Data_Entry!X542/Data_Entry!$H542&lt;0,0,Data_Entry!X542/Data_Entry!$H542),0)</f>
        <v>0.196334699899985</v>
      </c>
      <c r="T553" s="49">
        <f>IFERROR(IF(Data_Entry!Y542/Data_Entry!$H542&lt;0,0,Data_Entry!Y542/Data_Entry!$H542),0)</f>
        <v>0.18513690332774252</v>
      </c>
      <c r="U553" s="49">
        <f>IFERROR(IF(Data_Entry!Z542/Data_Entry!$H542&lt;0,0,Data_Entry!Z542/Data_Entry!$H542),0)</f>
        <v>0.3583294903117597</v>
      </c>
      <c r="V553" s="49">
        <f>IFERROR(IF(Data_Entry!AA542/Data_Entry!$H542&lt;0,0,Data_Entry!AA542/Data_Entry!$H542),0)</f>
        <v>0.46956093626270179</v>
      </c>
      <c r="W553" s="49">
        <f>IFERROR(IF(Data_Entry!AB542/Data_Entry!$H542&lt;0,0,Data_Entry!AB542/Data_Entry!$H542),0)</f>
        <v>0.27845187476309663</v>
      </c>
      <c r="X553" s="49">
        <f>IFERROR(IF(Data_Entry!AC542/Data_Entry!$I542&lt;0,0,Data_Entry!AC542/Data_Entry!$I542),0)</f>
        <v>9.7700775092815745E-2</v>
      </c>
      <c r="Y553" s="49">
        <f>IFERROR(IF(Data_Entry!AD542/Data_Entry!$I542&lt;0,0,Data_Entry!AD542/Data_Entry!$I542),0)</f>
        <v>0.12440565361818537</v>
      </c>
      <c r="Z553" s="49">
        <f>IFERROR(IF(Data_Entry!AE542/Data_Entry!$I542&lt;0,0,Data_Entry!AE542/Data_Entry!$I542),0)</f>
        <v>9.4444082589721881E-2</v>
      </c>
      <c r="AA553" s="49">
        <f>IFERROR(IF(Data_Entry!AF542/Data_Entry!$I542&lt;0,0,Data_Entry!AF542/Data_Entry!$I542),0)</f>
        <v>8.2719989578583994E-2</v>
      </c>
      <c r="AB553" s="49">
        <f>IFERROR(IF(Data_Entry!AG542/Data_Entry!$I542&lt;0,0,Data_Entry!AG542/Data_Entry!$I542),0)</f>
        <v>0.12049762261447275</v>
      </c>
      <c r="AC553" s="49">
        <f>IFERROR(IF(Data_Entry!AI542/Data_Entry!$I542&lt;0,0,Data_Entry!AI542/Data_Entry!$I542),0)</f>
        <v>3.5302546733537422E-2</v>
      </c>
      <c r="AD553" s="49">
        <f>IFERROR(IF(Data_Entry!AM542/Data_Entry!$H542&lt;0,0,Data_Entry!AM542/Data_Entry!$H542),0)</f>
        <v>0.196334699899985</v>
      </c>
      <c r="AE553" s="50">
        <f>Data_Entry!AK542</f>
        <v>559.54925000000003</v>
      </c>
      <c r="AF553" s="50">
        <f>Data_Entry!AL542</f>
        <v>517</v>
      </c>
      <c r="AG553" s="153">
        <f>(Data_Entry!O542-Data_Entry!Q542)/Data_Entry!O542</f>
        <v>-0.27564102564102566</v>
      </c>
      <c r="AH553" s="79" t="str">
        <f t="shared" si="16"/>
        <v>CAT3</v>
      </c>
      <c r="AI553" s="51">
        <f>SUBTOTAL(3,Tableau1[[#This Row],[ZS]])</f>
        <v>0</v>
      </c>
      <c r="AJ553" s="51" t="e">
        <f t="shared" ca="1" si="17"/>
        <v>#NAME?</v>
      </c>
      <c r="AK553" s="50" t="str">
        <f>IFERROR(IF((Data_Entry!O542-Data_Entry!Q542)/Data_Entry!O542&lt;=10%,"&lt;=10%","&gt;10%"),"&lt;=10%")</f>
        <v>&lt;=10%</v>
      </c>
    </row>
    <row r="554" spans="1:37" s="48" customFormat="1" ht="13" hidden="1" x14ac:dyDescent="0.3">
      <c r="A554" s="31" t="s">
        <v>16</v>
      </c>
      <c r="B554" s="48" t="str">
        <f>Data_Entry!B543</f>
        <v>Goma</v>
      </c>
      <c r="C554" s="48" t="str">
        <f>Data_Entry!C543</f>
        <v xml:space="preserve"> Mweso</v>
      </c>
      <c r="D554" s="48" t="str">
        <f>Data_Entry!D543</f>
        <v xml:space="preserve"> Tambi</v>
      </c>
      <c r="E554" s="49">
        <f>IFERROR(IF(Data_Entry!J543/Data_Entry!$I543&lt;0,0,Data_Entry!J543/Data_Entry!$I543),0)</f>
        <v>0.45986800085160739</v>
      </c>
      <c r="F554" s="49">
        <f>IFERROR(IF(Data_Entry!K543/Data_Entry!$H543&lt;0,0,Data_Entry!K543/Data_Entry!$H543),0)</f>
        <v>4.2092343280750441E-2</v>
      </c>
      <c r="G554" s="49">
        <f>IFERROR(IF(Data_Entry!L543/Data_Entry!$H543&lt;0,0,Data_Entry!L543/Data_Entry!$H543),0)</f>
        <v>0.83086625432437833</v>
      </c>
      <c r="H554" s="49">
        <f>IFERROR(IF(Data_Entry!M543/Data_Entry!$H543&lt;0,0,Data_Entry!M543/Data_Entry!$H543),0)</f>
        <v>0.80524482797957375</v>
      </c>
      <c r="I554" s="49">
        <f>IFERROR(IF(Data_Entry!N543/Data_Entry!$H543&lt;0,0,Data_Entry!N543/Data_Entry!$H543),0)</f>
        <v>0.8162254392702043</v>
      </c>
      <c r="J554" s="49">
        <f>IFERROR(IF(Data_Entry!O543/Data_Entry!$H543&lt;0,0,Data_Entry!O543/Data_Entry!$H543),0)</f>
        <v>0.87661880136867232</v>
      </c>
      <c r="K554" s="49">
        <f>IFERROR(IF(Data_Entry!P543/Data_Entry!$H543&lt;0,0,Data_Entry!P543/Data_Entry!$H543),0)</f>
        <v>0.84367696749678067</v>
      </c>
      <c r="L554" s="49">
        <f>IFERROR(IF(Data_Entry!Q543/Data_Entry!$H543&lt;0,0,Data_Entry!Q543/Data_Entry!$H543),0)</f>
        <v>0.85465757878741122</v>
      </c>
      <c r="M554" s="49">
        <f>IFERROR(IF(Data_Entry!R543/Data_Entry!$H543&lt;0,0,Data_Entry!R543/Data_Entry!$H543),0)</f>
        <v>0.87661880136867232</v>
      </c>
      <c r="N554" s="49">
        <f>IFERROR(IF(Data_Entry!S543/Data_Entry!$H543&lt;0,0,Data_Entry!S543/Data_Entry!$H543),0)</f>
        <v>0.84367696749678067</v>
      </c>
      <c r="O554" s="49">
        <f>IFERROR(IF(Data_Entry!T543/Data_Entry!$H543&lt;0,0,Data_Entry!T543/Data_Entry!$H543),0)</f>
        <v>0.85465757878741122</v>
      </c>
      <c r="P554" s="49">
        <f>IFERROR(IF(Data_Entry!U543/Data_Entry!$H543&lt;0,0,Data_Entry!U543/Data_Entry!$H543),0)</f>
        <v>0.62406474168416959</v>
      </c>
      <c r="Q554" s="49">
        <f>IFERROR(IF(Data_Entry!V543/Data_Entry!$H543&lt;0,0,Data_Entry!V543/Data_Entry!$H543),0)</f>
        <v>0.59295300969404974</v>
      </c>
      <c r="R554" s="49">
        <f>IFERROR(IF(Data_Entry!W543/Data_Entry!$H543&lt;0,0,Data_Entry!W543/Data_Entry!$H543),0)</f>
        <v>0.60210351910290849</v>
      </c>
      <c r="S554" s="49">
        <f>IFERROR(IF(Data_Entry!X543/Data_Entry!$H543&lt;0,0,Data_Entry!X543/Data_Entry!$H543),0)</f>
        <v>0.84184686561500888</v>
      </c>
      <c r="T554" s="49">
        <f>IFERROR(IF(Data_Entry!Y543/Data_Entry!$H543&lt;0,0,Data_Entry!Y543/Data_Entry!$H543),0)</f>
        <v>0.73204075270870339</v>
      </c>
      <c r="U554" s="49">
        <f>IFERROR(IF(Data_Entry!Z543/Data_Entry!$H543&lt;0,0,Data_Entry!Z543/Data_Entry!$H543),0)</f>
        <v>0.90590043147702037</v>
      </c>
      <c r="V554" s="49">
        <f>IFERROR(IF(Data_Entry!AA543/Data_Entry!$H543&lt;0,0,Data_Entry!AA543/Data_Entry!$H543),0)</f>
        <v>0.82171574491551957</v>
      </c>
      <c r="W554" s="49">
        <f>IFERROR(IF(Data_Entry!AB543/Data_Entry!$H543&lt;0,0,Data_Entry!AB543/Data_Entry!$H543),0)</f>
        <v>0.68445810378263761</v>
      </c>
      <c r="X554" s="49">
        <f>IFERROR(IF(Data_Entry!AC543/Data_Entry!$I543&lt;0,0,Data_Entry!AC543/Data_Entry!$I543),0)</f>
        <v>0.11177347242921014</v>
      </c>
      <c r="Y554" s="49">
        <f>IFERROR(IF(Data_Entry!AD543/Data_Entry!$I543&lt;0,0,Data_Entry!AD543/Data_Entry!$I543),0)</f>
        <v>0.29061102831594637</v>
      </c>
      <c r="Z554" s="49">
        <f>IFERROR(IF(Data_Entry!AE543/Data_Entry!$I543&lt;0,0,Data_Entry!AE543/Data_Entry!$I543),0)</f>
        <v>0.63551202895465198</v>
      </c>
      <c r="AA554" s="49">
        <f>IFERROR(IF(Data_Entry!AF543/Data_Entry!$I543&lt;0,0,Data_Entry!AF543/Data_Entry!$I543),0)</f>
        <v>0.60836704279327236</v>
      </c>
      <c r="AB554" s="49">
        <f>IFERROR(IF(Data_Entry!AG543/Data_Entry!$I543&lt;0,0,Data_Entry!AG543/Data_Entry!$I543),0)</f>
        <v>0.14690227804981904</v>
      </c>
      <c r="AC554" s="49">
        <f>IFERROR(IF(Data_Entry!AI543/Data_Entry!$I543&lt;0,0,Data_Entry!AI543/Data_Entry!$I543),0)</f>
        <v>9.3091334894613575E-2</v>
      </c>
      <c r="AD554" s="49">
        <f>IFERROR(IF(Data_Entry!AM543/Data_Entry!$H543&lt;0,0,Data_Entry!AM543/Data_Entry!$H543),0)</f>
        <v>0.84184686561500888</v>
      </c>
      <c r="AE554" s="50">
        <f>Data_Entry!AK543</f>
        <v>67.417666666666605</v>
      </c>
      <c r="AF554" s="50">
        <f>Data_Entry!AL543</f>
        <v>19</v>
      </c>
      <c r="AG554" s="153">
        <f>(Data_Entry!O543-Data_Entry!Q543)/Data_Entry!O543</f>
        <v>2.5052192066805846E-2</v>
      </c>
      <c r="AH554" s="79" t="str">
        <f t="shared" si="16"/>
        <v>CAT3</v>
      </c>
      <c r="AI554" s="51">
        <f>SUBTOTAL(3,Tableau1[[#This Row],[ZS]])</f>
        <v>0</v>
      </c>
      <c r="AJ554" s="51" t="e">
        <f t="shared" ca="1" si="17"/>
        <v>#NAME?</v>
      </c>
      <c r="AK554" s="50" t="str">
        <f>IFERROR(IF((Data_Entry!O543-Data_Entry!Q543)/Data_Entry!O543&lt;=10%,"&lt;=10%","&gt;10%"),"&lt;=10%")</f>
        <v>&lt;=10%</v>
      </c>
    </row>
    <row r="555" spans="1:37" s="48" customFormat="1" ht="13" hidden="1" x14ac:dyDescent="0.3">
      <c r="A555" s="31" t="s">
        <v>16</v>
      </c>
      <c r="B555" s="48" t="str">
        <f>Data_Entry!B544</f>
        <v>Goma</v>
      </c>
      <c r="C555" s="48" t="str">
        <f>Data_Entry!C544</f>
        <v xml:space="preserve"> Mweso</v>
      </c>
      <c r="D555" s="48" t="str">
        <f>Data_Entry!D544</f>
        <v xml:space="preserve"> Yopa</v>
      </c>
      <c r="E555" s="49">
        <f>IFERROR(IF(Data_Entry!J544/Data_Entry!$I544&lt;0,0,Data_Entry!J544/Data_Entry!$I544),0)</f>
        <v>0.7566982408660351</v>
      </c>
      <c r="F555" s="49">
        <f>IFERROR(IF(Data_Entry!K544/Data_Entry!$H544&lt;0,0,Data_Entry!K544/Data_Entry!$H544),0)</f>
        <v>0.52855442381286566</v>
      </c>
      <c r="G555" s="49">
        <f>IFERROR(IF(Data_Entry!L544/Data_Entry!$H544&lt;0,0,Data_Entry!L544/Data_Entry!$H544),0)</f>
        <v>1.178080810822338</v>
      </c>
      <c r="H555" s="49">
        <f>IFERROR(IF(Data_Entry!M544/Data_Entry!$H544&lt;0,0,Data_Entry!M544/Data_Entry!$H544),0)</f>
        <v>0.86541481363726247</v>
      </c>
      <c r="I555" s="49">
        <f>IFERROR(IF(Data_Entry!N544/Data_Entry!$H544&lt;0,0,Data_Entry!N544/Data_Entry!$H544),0)</f>
        <v>1.1296920255436953</v>
      </c>
      <c r="J555" s="49">
        <f>IFERROR(IF(Data_Entry!O544/Data_Entry!$H544&lt;0,0,Data_Entry!O544/Data_Entry!$H544),0)</f>
        <v>1.178080810822338</v>
      </c>
      <c r="K555" s="49">
        <f>IFERROR(IF(Data_Entry!P544/Data_Entry!$H544&lt;0,0,Data_Entry!P544/Data_Entry!$H544),0)</f>
        <v>0.86541481363726247</v>
      </c>
      <c r="L555" s="49">
        <f>IFERROR(IF(Data_Entry!Q544/Data_Entry!$H544&lt;0,0,Data_Entry!Q544/Data_Entry!$H544),0)</f>
        <v>1.0943309901477642</v>
      </c>
      <c r="M555" s="49">
        <f>IFERROR(IF(Data_Entry!R544/Data_Entry!$H544&lt;0,0,Data_Entry!R544/Data_Entry!$H544),0)</f>
        <v>1.178080810822338</v>
      </c>
      <c r="N555" s="49">
        <f>IFERROR(IF(Data_Entry!S544/Data_Entry!$H544&lt;0,0,Data_Entry!S544/Data_Entry!$H544),0)</f>
        <v>0.86727592076336413</v>
      </c>
      <c r="O555" s="49">
        <f>IFERROR(IF(Data_Entry!T544/Data_Entry!$H544&lt;0,0,Data_Entry!T544/Data_Entry!$H544),0)</f>
        <v>1.0943309901477642</v>
      </c>
      <c r="P555" s="49">
        <f>IFERROR(IF(Data_Entry!U544/Data_Entry!$H544&lt;0,0,Data_Entry!U544/Data_Entry!$H544),0)</f>
        <v>1.0664143832562396</v>
      </c>
      <c r="Q555" s="49">
        <f>IFERROR(IF(Data_Entry!V544/Data_Entry!$H544&lt;0,0,Data_Entry!V544/Data_Entry!$H544),0)</f>
        <v>0.76863724307997727</v>
      </c>
      <c r="R555" s="49">
        <f>IFERROR(IF(Data_Entry!W544/Data_Entry!$H544&lt;0,0,Data_Entry!W544/Data_Entry!$H544),0)</f>
        <v>0.98824788395997076</v>
      </c>
      <c r="S555" s="49">
        <f>IFERROR(IF(Data_Entry!X544/Data_Entry!$H544&lt;0,0,Data_Entry!X544/Data_Entry!$H544),0)</f>
        <v>0.45038792451659682</v>
      </c>
      <c r="T555" s="49">
        <f>IFERROR(IF(Data_Entry!Y544/Data_Entry!$H544&lt;0,0,Data_Entry!Y544/Data_Entry!$H544),0)</f>
        <v>0.66441524401828544</v>
      </c>
      <c r="U555" s="49">
        <f>IFERROR(IF(Data_Entry!Z544/Data_Entry!$H544&lt;0,0,Data_Entry!Z544/Data_Entry!$H544),0)</f>
        <v>0.65324860126167561</v>
      </c>
      <c r="V555" s="49">
        <f>IFERROR(IF(Data_Entry!AA544/Data_Entry!$H544&lt;0,0,Data_Entry!AA544/Data_Entry!$H544),0)</f>
        <v>1.1296920255436953</v>
      </c>
      <c r="W555" s="49">
        <f>IFERROR(IF(Data_Entry!AB544/Data_Entry!$H544&lt;0,0,Data_Entry!AB544/Data_Entry!$H544),0)</f>
        <v>0.48202674566032472</v>
      </c>
      <c r="X555" s="49">
        <f>IFERROR(IF(Data_Entry!AC544/Data_Entry!$I544&lt;0,0,Data_Entry!AC544/Data_Entry!$I544),0)</f>
        <v>0.18998646820027063</v>
      </c>
      <c r="Y555" s="49">
        <f>IFERROR(IF(Data_Entry!AD544/Data_Entry!$I544&lt;0,0,Data_Entry!AD544/Data_Entry!$I544),0)</f>
        <v>0.11204330175913396</v>
      </c>
      <c r="Z555" s="49">
        <f>IFERROR(IF(Data_Entry!AE544/Data_Entry!$I544&lt;0,0,Data_Entry!AE544/Data_Entry!$I544),0)</f>
        <v>8.1190798376184023E-2</v>
      </c>
      <c r="AA555" s="49">
        <f>IFERROR(IF(Data_Entry!AF544/Data_Entry!$I544&lt;0,0,Data_Entry!AF544/Data_Entry!$I544),0)</f>
        <v>5.1962110960757778E-2</v>
      </c>
      <c r="AB555" s="49">
        <f>IFERROR(IF(Data_Entry!AG544/Data_Entry!$I544&lt;0,0,Data_Entry!AG544/Data_Entry!$I544),0)</f>
        <v>3.4100135317997292E-2</v>
      </c>
      <c r="AC555" s="49">
        <f>IFERROR(IF(Data_Entry!AI544/Data_Entry!$I544&lt;0,0,Data_Entry!AI544/Data_Entry!$I544),0)</f>
        <v>9.4668470906630567E-2</v>
      </c>
      <c r="AD555" s="49">
        <f>IFERROR(IF(Data_Entry!AM544/Data_Entry!$H544&lt;0,0,Data_Entry!AM544/Data_Entry!$H544),0)</f>
        <v>0.45038792451659682</v>
      </c>
      <c r="AE555" s="50">
        <f>Data_Entry!AK544</f>
        <v>0</v>
      </c>
      <c r="AF555" s="50">
        <f>Data_Entry!AL544</f>
        <v>391</v>
      </c>
      <c r="AG555" s="153">
        <f>(Data_Entry!O544-Data_Entry!Q544)/Data_Entry!O544</f>
        <v>7.1090047393364927E-2</v>
      </c>
      <c r="AH555" s="79" t="str">
        <f t="shared" si="16"/>
        <v>CAT1</v>
      </c>
      <c r="AI555" s="51">
        <f>SUBTOTAL(3,Tableau1[[#This Row],[ZS]])</f>
        <v>0</v>
      </c>
      <c r="AJ555" s="51" t="e">
        <f t="shared" ca="1" si="17"/>
        <v>#NAME?</v>
      </c>
      <c r="AK555" s="50" t="str">
        <f>IFERROR(IF((Data_Entry!O544-Data_Entry!Q544)/Data_Entry!O544&lt;=10%,"&lt;=10%","&gt;10%"),"&lt;=10%")</f>
        <v>&lt;=10%</v>
      </c>
    </row>
    <row r="556" spans="1:37" s="48" customFormat="1" ht="13" hidden="1" x14ac:dyDescent="0.3">
      <c r="A556" s="31" t="s">
        <v>16</v>
      </c>
      <c r="B556" s="48" t="str">
        <f>Data_Entry!B545</f>
        <v>Goma</v>
      </c>
      <c r="C556" s="48" t="str">
        <f>Data_Entry!C545</f>
        <v xml:space="preserve"> Nyiragongo</v>
      </c>
      <c r="D556" s="48" t="str">
        <f>Data_Entry!D545</f>
        <v xml:space="preserve"> Buhumba</v>
      </c>
      <c r="E556" s="49">
        <f>IFERROR(IF(Data_Entry!J545/Data_Entry!$I545&lt;0,0,Data_Entry!J545/Data_Entry!$I545),0)</f>
        <v>0</v>
      </c>
      <c r="F556" s="49">
        <f>IFERROR(IF(Data_Entry!K545/Data_Entry!$H545&lt;0,0,Data_Entry!K545/Data_Entry!$H545),0)</f>
        <v>0</v>
      </c>
      <c r="G556" s="49">
        <f>IFERROR(IF(Data_Entry!L545/Data_Entry!$H545&lt;0,0,Data_Entry!L545/Data_Entry!$H545),0)</f>
        <v>0</v>
      </c>
      <c r="H556" s="49">
        <f>IFERROR(IF(Data_Entry!M545/Data_Entry!$H545&lt;0,0,Data_Entry!M545/Data_Entry!$H545),0)</f>
        <v>0</v>
      </c>
      <c r="I556" s="49">
        <f>IFERROR(IF(Data_Entry!N545/Data_Entry!$H545&lt;0,0,Data_Entry!N545/Data_Entry!$H545),0)</f>
        <v>0</v>
      </c>
      <c r="J556" s="49">
        <f>IFERROR(IF(Data_Entry!O545/Data_Entry!$H545&lt;0,0,Data_Entry!O545/Data_Entry!$H545),0)</f>
        <v>0</v>
      </c>
      <c r="K556" s="49">
        <f>IFERROR(IF(Data_Entry!P545/Data_Entry!$H545&lt;0,0,Data_Entry!P545/Data_Entry!$H545),0)</f>
        <v>0</v>
      </c>
      <c r="L556" s="49">
        <f>IFERROR(IF(Data_Entry!Q545/Data_Entry!$H545&lt;0,0,Data_Entry!Q545/Data_Entry!$H545),0)</f>
        <v>0</v>
      </c>
      <c r="M556" s="49">
        <f>IFERROR(IF(Data_Entry!R545/Data_Entry!$H545&lt;0,0,Data_Entry!R545/Data_Entry!$H545),0)</f>
        <v>0</v>
      </c>
      <c r="N556" s="49">
        <f>IFERROR(IF(Data_Entry!S545/Data_Entry!$H545&lt;0,0,Data_Entry!S545/Data_Entry!$H545),0)</f>
        <v>0</v>
      </c>
      <c r="O556" s="49">
        <f>IFERROR(IF(Data_Entry!T545/Data_Entry!$H545&lt;0,0,Data_Entry!T545/Data_Entry!$H545),0)</f>
        <v>0</v>
      </c>
      <c r="P556" s="49">
        <f>IFERROR(IF(Data_Entry!U545/Data_Entry!$H545&lt;0,0,Data_Entry!U545/Data_Entry!$H545),0)</f>
        <v>0</v>
      </c>
      <c r="Q556" s="49">
        <f>IFERROR(IF(Data_Entry!V545/Data_Entry!$H545&lt;0,0,Data_Entry!V545/Data_Entry!$H545),0)</f>
        <v>0</v>
      </c>
      <c r="R556" s="49">
        <f>IFERROR(IF(Data_Entry!W545/Data_Entry!$H545&lt;0,0,Data_Entry!W545/Data_Entry!$H545),0)</f>
        <v>0</v>
      </c>
      <c r="S556" s="49">
        <f>IFERROR(IF(Data_Entry!X545/Data_Entry!$H545&lt;0,0,Data_Entry!X545/Data_Entry!$H545),0)</f>
        <v>0</v>
      </c>
      <c r="T556" s="49">
        <f>IFERROR(IF(Data_Entry!Y545/Data_Entry!$H545&lt;0,0,Data_Entry!Y545/Data_Entry!$H545),0)</f>
        <v>0</v>
      </c>
      <c r="U556" s="49">
        <f>IFERROR(IF(Data_Entry!Z545/Data_Entry!$H545&lt;0,0,Data_Entry!Z545/Data_Entry!$H545),0)</f>
        <v>0</v>
      </c>
      <c r="V556" s="49">
        <f>IFERROR(IF(Data_Entry!AA545/Data_Entry!$H545&lt;0,0,Data_Entry!AA545/Data_Entry!$H545),0)</f>
        <v>0</v>
      </c>
      <c r="W556" s="49">
        <f>IFERROR(IF(Data_Entry!AB545/Data_Entry!$H545&lt;0,0,Data_Entry!AB545/Data_Entry!$H545),0)</f>
        <v>0</v>
      </c>
      <c r="X556" s="49">
        <f>IFERROR(IF(Data_Entry!AC545/Data_Entry!$I545&lt;0,0,Data_Entry!AC545/Data_Entry!$I545),0)</f>
        <v>0</v>
      </c>
      <c r="Y556" s="49">
        <f>IFERROR(IF(Data_Entry!AD545/Data_Entry!$I545&lt;0,0,Data_Entry!AD545/Data_Entry!$I545),0)</f>
        <v>0</v>
      </c>
      <c r="Z556" s="49">
        <f>IFERROR(IF(Data_Entry!AE545/Data_Entry!$I545&lt;0,0,Data_Entry!AE545/Data_Entry!$I545),0)</f>
        <v>0</v>
      </c>
      <c r="AA556" s="49">
        <f>IFERROR(IF(Data_Entry!AF545/Data_Entry!$I545&lt;0,0,Data_Entry!AF545/Data_Entry!$I545),0)</f>
        <v>0</v>
      </c>
      <c r="AB556" s="49">
        <f>IFERROR(IF(Data_Entry!AG545/Data_Entry!$I545&lt;0,0,Data_Entry!AG545/Data_Entry!$I545),0)</f>
        <v>0</v>
      </c>
      <c r="AC556" s="49">
        <f>IFERROR(IF(Data_Entry!AI545/Data_Entry!$I545&lt;0,0,Data_Entry!AI545/Data_Entry!$I545),0)</f>
        <v>1.2986335662876814E-2</v>
      </c>
      <c r="AD556" s="49">
        <f>IFERROR(IF(Data_Entry!AM545/Data_Entry!$H545&lt;0,0,Data_Entry!AM545/Data_Entry!$H545),0)</f>
        <v>0</v>
      </c>
      <c r="AE556" s="50">
        <f>Data_Entry!AK545</f>
        <v>0</v>
      </c>
      <c r="AF556" s="50">
        <f>Data_Entry!AL545</f>
        <v>0</v>
      </c>
      <c r="AG556" s="153" t="e">
        <f>(Data_Entry!O545-Data_Entry!Q545)/Data_Entry!O545</f>
        <v>#VALUE!</v>
      </c>
      <c r="AH556" s="79" t="str">
        <f t="shared" si="16"/>
        <v>ND</v>
      </c>
      <c r="AI556" s="51">
        <f>SUBTOTAL(3,Tableau1[[#This Row],[ZS]])</f>
        <v>0</v>
      </c>
      <c r="AJ556" s="51" t="e">
        <f t="shared" ca="1" si="17"/>
        <v>#NAME?</v>
      </c>
      <c r="AK556" s="50" t="str">
        <f>IFERROR(IF((Data_Entry!O545-Data_Entry!Q545)/Data_Entry!O545&lt;=10%,"&lt;=10%","&gt;10%"),"&lt;=10%")</f>
        <v>&lt;=10%</v>
      </c>
    </row>
    <row r="557" spans="1:37" s="48" customFormat="1" ht="13" hidden="1" x14ac:dyDescent="0.3">
      <c r="A557" s="31" t="s">
        <v>16</v>
      </c>
      <c r="B557" s="48" t="str">
        <f>Data_Entry!B546</f>
        <v>Goma</v>
      </c>
      <c r="C557" s="48" t="str">
        <f>Data_Entry!C546</f>
        <v xml:space="preserve"> Nyiragongo</v>
      </c>
      <c r="D557" s="48" t="str">
        <f>Data_Entry!D546</f>
        <v xml:space="preserve"> Kanyaruchinya</v>
      </c>
      <c r="E557" s="49">
        <f>IFERROR(IF(Data_Entry!J546/Data_Entry!$I546&lt;0,0,Data_Entry!J546/Data_Entry!$I546),0)</f>
        <v>3.8360944429950434</v>
      </c>
      <c r="F557" s="49">
        <f>IFERROR(IF(Data_Entry!K546/Data_Entry!$H546&lt;0,0,Data_Entry!K546/Data_Entry!$H546),0)</f>
        <v>2.9120509046382757</v>
      </c>
      <c r="G557" s="49">
        <f>IFERROR(IF(Data_Entry!L546/Data_Entry!$H546&lt;0,0,Data_Entry!L546/Data_Entry!$H546),0)</f>
        <v>3.061185587086058</v>
      </c>
      <c r="H557" s="49">
        <f>IFERROR(IF(Data_Entry!M546/Data_Entry!$H546&lt;0,0,Data_Entry!M546/Data_Entry!$H546),0)</f>
        <v>2.9613886943202488</v>
      </c>
      <c r="I557" s="49">
        <f>IFERROR(IF(Data_Entry!N546/Data_Entry!$H546&lt;0,0,Data_Entry!N546/Data_Entry!$H546),0)</f>
        <v>2.8885033231991519</v>
      </c>
      <c r="J557" s="49">
        <f>IFERROR(IF(Data_Entry!O546/Data_Entry!$H546&lt;0,0,Data_Entry!O546/Data_Entry!$H546),0)</f>
        <v>3.0376380056469343</v>
      </c>
      <c r="K557" s="49">
        <f>IFERROR(IF(Data_Entry!P546/Data_Entry!$H546&lt;0,0,Data_Entry!P546/Data_Entry!$H546),0)</f>
        <v>2.8885033231991519</v>
      </c>
      <c r="L557" s="49">
        <f>IFERROR(IF(Data_Entry!Q546/Data_Entry!$H546&lt;0,0,Data_Entry!Q546/Data_Entry!$H546),0)</f>
        <v>2.851499980937672</v>
      </c>
      <c r="M557" s="49">
        <f>IFERROR(IF(Data_Entry!R546/Data_Entry!$H546&lt;0,0,Data_Entry!R546/Data_Entry!$H546),0)</f>
        <v>2.9636313211239749</v>
      </c>
      <c r="N557" s="49">
        <f>IFERROR(IF(Data_Entry!S546/Data_Entry!$H546&lt;0,0,Data_Entry!S546/Data_Entry!$H546),0)</f>
        <v>2.7617949087886302</v>
      </c>
      <c r="O557" s="49">
        <f>IFERROR(IF(Data_Entry!T546/Data_Entry!$H546&lt;0,0,Data_Entry!T546/Data_Entry!$H546),0)</f>
        <v>2.7999195644519732</v>
      </c>
      <c r="P557" s="49">
        <f>IFERROR(IF(Data_Entry!U546/Data_Entry!$H546&lt;0,0,Data_Entry!U546/Data_Entry!$H546),0)</f>
        <v>2.8212245190873704</v>
      </c>
      <c r="Q557" s="49">
        <f>IFERROR(IF(Data_Entry!V546/Data_Entry!$H546&lt;0,0,Data_Entry!V546/Data_Entry!$H546),0)</f>
        <v>2.7393686407513695</v>
      </c>
      <c r="R557" s="49">
        <f>IFERROR(IF(Data_Entry!W546/Data_Entry!$H546&lt;0,0,Data_Entry!W546/Data_Entry!$H546),0)</f>
        <v>2.7517030881718632</v>
      </c>
      <c r="S557" s="49">
        <f>IFERROR(IF(Data_Entry!X546/Data_Entry!$H546&lt;0,0,Data_Entry!X546/Data_Entry!$H546),0)</f>
        <v>2.9468116200960295</v>
      </c>
      <c r="T557" s="49">
        <f>IFERROR(IF(Data_Entry!Y546/Data_Entry!$H546&lt;0,0,Data_Entry!Y546/Data_Entry!$H546),0)</f>
        <v>1.6797274759908112</v>
      </c>
      <c r="U557" s="49">
        <f>IFERROR(IF(Data_Entry!Z546/Data_Entry!$H546&lt;0,0,Data_Entry!Z546/Data_Entry!$H546),0)</f>
        <v>2.7393686407513695</v>
      </c>
      <c r="V557" s="49">
        <f>IFERROR(IF(Data_Entry!AA546/Data_Entry!$H546&lt;0,0,Data_Entry!AA546/Data_Entry!$H546),0)</f>
        <v>2.6216307335557523</v>
      </c>
      <c r="W557" s="49">
        <f>IFERROR(IF(Data_Entry!AB546/Data_Entry!$H546&lt;0,0,Data_Entry!AB546/Data_Entry!$H546),0)</f>
        <v>1.6842127295982634</v>
      </c>
      <c r="X557" s="49">
        <f>IFERROR(IF(Data_Entry!AC546/Data_Entry!$I546&lt;0,0,Data_Entry!AC546/Data_Entry!$I546),0)</f>
        <v>0.96758413775110885</v>
      </c>
      <c r="Y557" s="49">
        <f>IFERROR(IF(Data_Entry!AD546/Data_Entry!$I546&lt;0,0,Data_Entry!AD546/Data_Entry!$I546),0)</f>
        <v>0.60266110096530146</v>
      </c>
      <c r="Z557" s="49">
        <f>IFERROR(IF(Data_Entry!AE546/Data_Entry!$I546&lt;0,0,Data_Entry!AE546/Data_Entry!$I546),0)</f>
        <v>0.66234020349595624</v>
      </c>
      <c r="AA557" s="49">
        <f>IFERROR(IF(Data_Entry!AF546/Data_Entry!$I546&lt;0,0,Data_Entry!AF546/Data_Entry!$I546),0)</f>
        <v>0.5889642577615446</v>
      </c>
      <c r="AB557" s="49">
        <f>IFERROR(IF(Data_Entry!AG546/Data_Entry!$I546&lt;0,0,Data_Entry!AG546/Data_Entry!$I546),0)</f>
        <v>0.58994260370467</v>
      </c>
      <c r="AC557" s="49">
        <f>IFERROR(IF(Data_Entry!AI546/Data_Entry!$I546&lt;0,0,Data_Entry!AI546/Data_Entry!$I546),0)</f>
        <v>5.7037568484216025E-2</v>
      </c>
      <c r="AD557" s="49">
        <f>IFERROR(IF(Data_Entry!AM546/Data_Entry!$H546&lt;0,0,Data_Entry!AM546/Data_Entry!$H546),0)</f>
        <v>2.7393686407513695</v>
      </c>
      <c r="AE557" s="50">
        <f>Data_Entry!AK546</f>
        <v>0</v>
      </c>
      <c r="AF557" s="50">
        <f>Data_Entry!AL546</f>
        <v>81</v>
      </c>
      <c r="AG557" s="153">
        <f>(Data_Entry!O546-Data_Entry!Q546)/Data_Entry!O546</f>
        <v>6.1277224067921743E-2</v>
      </c>
      <c r="AH557" s="79" t="str">
        <f t="shared" si="16"/>
        <v>CAT1</v>
      </c>
      <c r="AI557" s="51">
        <f>SUBTOTAL(3,Tableau1[[#This Row],[ZS]])</f>
        <v>0</v>
      </c>
      <c r="AJ557" s="51" t="e">
        <f t="shared" ca="1" si="17"/>
        <v>#NAME?</v>
      </c>
      <c r="AK557" s="50" t="str">
        <f>IFERROR(IF((Data_Entry!O546-Data_Entry!Q546)/Data_Entry!O546&lt;=10%,"&lt;=10%","&gt;10%"),"&lt;=10%")</f>
        <v>&lt;=10%</v>
      </c>
    </row>
    <row r="558" spans="1:37" s="48" customFormat="1" ht="13" hidden="1" x14ac:dyDescent="0.3">
      <c r="A558" s="31" t="s">
        <v>16</v>
      </c>
      <c r="B558" s="48" t="str">
        <f>Data_Entry!B547</f>
        <v>Goma</v>
      </c>
      <c r="C558" s="48" t="str">
        <f>Data_Entry!C547</f>
        <v xml:space="preserve"> Nyiragongo</v>
      </c>
      <c r="D558" s="48" t="str">
        <f>Data_Entry!D547</f>
        <v xml:space="preserve"> Kasizi</v>
      </c>
      <c r="E558" s="49">
        <f>IFERROR(IF(Data_Entry!J547/Data_Entry!$I547&lt;0,0,Data_Entry!J547/Data_Entry!$I547),0)</f>
        <v>0</v>
      </c>
      <c r="F558" s="49">
        <f>IFERROR(IF(Data_Entry!K547/Data_Entry!$H547&lt;0,0,Data_Entry!K547/Data_Entry!$H547),0)</f>
        <v>0</v>
      </c>
      <c r="G558" s="49">
        <f>IFERROR(IF(Data_Entry!L547/Data_Entry!$H547&lt;0,0,Data_Entry!L547/Data_Entry!$H547),0)</f>
        <v>0</v>
      </c>
      <c r="H558" s="49">
        <f>IFERROR(IF(Data_Entry!M547/Data_Entry!$H547&lt;0,0,Data_Entry!M547/Data_Entry!$H547),0)</f>
        <v>0</v>
      </c>
      <c r="I558" s="49">
        <f>IFERROR(IF(Data_Entry!N547/Data_Entry!$H547&lt;0,0,Data_Entry!N547/Data_Entry!$H547),0)</f>
        <v>0</v>
      </c>
      <c r="J558" s="49">
        <f>IFERROR(IF(Data_Entry!O547/Data_Entry!$H547&lt;0,0,Data_Entry!O547/Data_Entry!$H547),0)</f>
        <v>0</v>
      </c>
      <c r="K558" s="49">
        <f>IFERROR(IF(Data_Entry!P547/Data_Entry!$H547&lt;0,0,Data_Entry!P547/Data_Entry!$H547),0)</f>
        <v>0</v>
      </c>
      <c r="L558" s="49">
        <f>IFERROR(IF(Data_Entry!Q547/Data_Entry!$H547&lt;0,0,Data_Entry!Q547/Data_Entry!$H547),0)</f>
        <v>0</v>
      </c>
      <c r="M558" s="49">
        <f>IFERROR(IF(Data_Entry!R547/Data_Entry!$H547&lt;0,0,Data_Entry!R547/Data_Entry!$H547),0)</f>
        <v>0</v>
      </c>
      <c r="N558" s="49">
        <f>IFERROR(IF(Data_Entry!S547/Data_Entry!$H547&lt;0,0,Data_Entry!S547/Data_Entry!$H547),0)</f>
        <v>0</v>
      </c>
      <c r="O558" s="49">
        <f>IFERROR(IF(Data_Entry!T547/Data_Entry!$H547&lt;0,0,Data_Entry!T547/Data_Entry!$H547),0)</f>
        <v>0</v>
      </c>
      <c r="P558" s="49">
        <f>IFERROR(IF(Data_Entry!U547/Data_Entry!$H547&lt;0,0,Data_Entry!U547/Data_Entry!$H547),0)</f>
        <v>0</v>
      </c>
      <c r="Q558" s="49">
        <f>IFERROR(IF(Data_Entry!V547/Data_Entry!$H547&lt;0,0,Data_Entry!V547/Data_Entry!$H547),0)</f>
        <v>0</v>
      </c>
      <c r="R558" s="49">
        <f>IFERROR(IF(Data_Entry!W547/Data_Entry!$H547&lt;0,0,Data_Entry!W547/Data_Entry!$H547),0)</f>
        <v>0</v>
      </c>
      <c r="S558" s="49">
        <f>IFERROR(IF(Data_Entry!X547/Data_Entry!$H547&lt;0,0,Data_Entry!X547/Data_Entry!$H547),0)</f>
        <v>0</v>
      </c>
      <c r="T558" s="49">
        <f>IFERROR(IF(Data_Entry!Y547/Data_Entry!$H547&lt;0,0,Data_Entry!Y547/Data_Entry!$H547),0)</f>
        <v>0</v>
      </c>
      <c r="U558" s="49">
        <f>IFERROR(IF(Data_Entry!Z547/Data_Entry!$H547&lt;0,0,Data_Entry!Z547/Data_Entry!$H547),0)</f>
        <v>0</v>
      </c>
      <c r="V558" s="49">
        <f>IFERROR(IF(Data_Entry!AA547/Data_Entry!$H547&lt;0,0,Data_Entry!AA547/Data_Entry!$H547),0)</f>
        <v>0</v>
      </c>
      <c r="W558" s="49">
        <f>IFERROR(IF(Data_Entry!AB547/Data_Entry!$H547&lt;0,0,Data_Entry!AB547/Data_Entry!$H547),0)</f>
        <v>0</v>
      </c>
      <c r="X558" s="49">
        <f>IFERROR(IF(Data_Entry!AC547/Data_Entry!$I547&lt;0,0,Data_Entry!AC547/Data_Entry!$I547),0)</f>
        <v>0</v>
      </c>
      <c r="Y558" s="49">
        <f>IFERROR(IF(Data_Entry!AD547/Data_Entry!$I547&lt;0,0,Data_Entry!AD547/Data_Entry!$I547),0)</f>
        <v>0</v>
      </c>
      <c r="Z558" s="49">
        <f>IFERROR(IF(Data_Entry!AE547/Data_Entry!$I547&lt;0,0,Data_Entry!AE547/Data_Entry!$I547),0)</f>
        <v>0</v>
      </c>
      <c r="AA558" s="49">
        <f>IFERROR(IF(Data_Entry!AF547/Data_Entry!$I547&lt;0,0,Data_Entry!AF547/Data_Entry!$I547),0)</f>
        <v>0</v>
      </c>
      <c r="AB558" s="49">
        <f>IFERROR(IF(Data_Entry!AG547/Data_Entry!$I547&lt;0,0,Data_Entry!AG547/Data_Entry!$I547),0)</f>
        <v>0</v>
      </c>
      <c r="AC558" s="49">
        <f>IFERROR(IF(Data_Entry!AI547/Data_Entry!$I547&lt;0,0,Data_Entry!AI547/Data_Entry!$I547),0)</f>
        <v>5.2609471805103433E-2</v>
      </c>
      <c r="AD558" s="49">
        <f>IFERROR(IF(Data_Entry!AM547/Data_Entry!$H547&lt;0,0,Data_Entry!AM547/Data_Entry!$H547),0)</f>
        <v>0</v>
      </c>
      <c r="AE558" s="50">
        <f>Data_Entry!AK547</f>
        <v>0</v>
      </c>
      <c r="AF558" s="50">
        <f>Data_Entry!AL547</f>
        <v>0</v>
      </c>
      <c r="AG558" s="153" t="e">
        <f>(Data_Entry!O547-Data_Entry!Q547)/Data_Entry!O547</f>
        <v>#VALUE!</v>
      </c>
      <c r="AH558" s="79" t="str">
        <f t="shared" si="16"/>
        <v>ND</v>
      </c>
      <c r="AI558" s="51">
        <f>SUBTOTAL(3,Tableau1[[#This Row],[ZS]])</f>
        <v>0</v>
      </c>
      <c r="AJ558" s="51" t="e">
        <f t="shared" ca="1" si="17"/>
        <v>#NAME?</v>
      </c>
      <c r="AK558" s="50" t="str">
        <f>IFERROR(IF((Data_Entry!O547-Data_Entry!Q547)/Data_Entry!O547&lt;=10%,"&lt;=10%","&gt;10%"),"&lt;=10%")</f>
        <v>&lt;=10%</v>
      </c>
    </row>
    <row r="559" spans="1:37" s="48" customFormat="1" ht="13" hidden="1" x14ac:dyDescent="0.3">
      <c r="A559" s="31" t="s">
        <v>16</v>
      </c>
      <c r="B559" s="48" t="str">
        <f>Data_Entry!B548</f>
        <v>Goma</v>
      </c>
      <c r="C559" s="48" t="str">
        <f>Data_Entry!C548</f>
        <v xml:space="preserve"> Nyiragongo</v>
      </c>
      <c r="D559" s="48" t="str">
        <f>Data_Entry!D548</f>
        <v xml:space="preserve"> Kibati</v>
      </c>
      <c r="E559" s="49">
        <f>IFERROR(IF(Data_Entry!J548/Data_Entry!$I548&lt;0,0,Data_Entry!J548/Data_Entry!$I548),0)</f>
        <v>2.0154876517371285</v>
      </c>
      <c r="F559" s="49">
        <f>IFERROR(IF(Data_Entry!K548/Data_Entry!$H548&lt;0,0,Data_Entry!K548/Data_Entry!$H548),0)</f>
        <v>1.4176724504984042</v>
      </c>
      <c r="G559" s="49">
        <f>IFERROR(IF(Data_Entry!L548/Data_Entry!$H548&lt;0,0,Data_Entry!L548/Data_Entry!$H548),0)</f>
        <v>2.3028181937029912</v>
      </c>
      <c r="H559" s="49">
        <f>IFERROR(IF(Data_Entry!M548/Data_Entry!$H548&lt;0,0,Data_Entry!M548/Data_Entry!$H548),0)</f>
        <v>1.7163191849942607</v>
      </c>
      <c r="I559" s="49">
        <f>IFERROR(IF(Data_Entry!N548/Data_Entry!$H548&lt;0,0,Data_Entry!N548/Data_Entry!$H548),0)</f>
        <v>2.0797326811880139</v>
      </c>
      <c r="J559" s="49">
        <f>IFERROR(IF(Data_Entry!O548/Data_Entry!$H548&lt;0,0,Data_Entry!O548/Data_Entry!$H548),0)</f>
        <v>2.3028181937029912</v>
      </c>
      <c r="K559" s="49">
        <f>IFERROR(IF(Data_Entry!P548/Data_Entry!$H548&lt;0,0,Data_Entry!P548/Data_Entry!$H548),0)</f>
        <v>1.7163191849942607</v>
      </c>
      <c r="L559" s="49">
        <f>IFERROR(IF(Data_Entry!Q548/Data_Entry!$H548&lt;0,0,Data_Entry!Q548/Data_Entry!$H548),0)</f>
        <v>2.0797326811880139</v>
      </c>
      <c r="M559" s="49">
        <f>IFERROR(IF(Data_Entry!R548/Data_Entry!$H548&lt;0,0,Data_Entry!R548/Data_Entry!$H548),0)</f>
        <v>2.3028181937029912</v>
      </c>
      <c r="N559" s="49">
        <f>IFERROR(IF(Data_Entry!S548/Data_Entry!$H548&lt;0,0,Data_Entry!S548/Data_Entry!$H548),0)</f>
        <v>1.7523007192708699</v>
      </c>
      <c r="O559" s="49">
        <f>IFERROR(IF(Data_Entry!T548/Data_Entry!$H548&lt;0,0,Data_Entry!T548/Data_Entry!$H548),0)</f>
        <v>2.0797326811880139</v>
      </c>
      <c r="P559" s="49">
        <f>IFERROR(IF(Data_Entry!U548/Data_Entry!$H548&lt;0,0,Data_Entry!U548/Data_Entry!$H548),0)</f>
        <v>2.270434812854043</v>
      </c>
      <c r="Q559" s="49">
        <f>IFERROR(IF(Data_Entry!V548/Data_Entry!$H548&lt;0,0,Data_Entry!V548/Data_Entry!$H548),0)</f>
        <v>1.7163191849942607</v>
      </c>
      <c r="R559" s="49">
        <f>IFERROR(IF(Data_Entry!W548/Data_Entry!$H548&lt;0,0,Data_Entry!W548/Data_Entry!$H548),0)</f>
        <v>2.1121160620369626</v>
      </c>
      <c r="S559" s="49">
        <f>IFERROR(IF(Data_Entry!X548/Data_Entry!$H548&lt;0,0,Data_Entry!X548/Data_Entry!$H548),0)</f>
        <v>1.3672983025111511</v>
      </c>
      <c r="T559" s="49">
        <f>IFERROR(IF(Data_Entry!Y548/Data_Entry!$H548&lt;0,0,Data_Entry!Y548/Data_Entry!$H548),0)</f>
        <v>0.53252670729381679</v>
      </c>
      <c r="U559" s="49">
        <f>IFERROR(IF(Data_Entry!Z548/Data_Entry!$H548&lt;0,0,Data_Entry!Z548/Data_Entry!$H548),0)</f>
        <v>1.3672983025111511</v>
      </c>
      <c r="V559" s="49">
        <f>IFERROR(IF(Data_Entry!AA548/Data_Entry!$H548&lt;0,0,Data_Entry!AA548/Data_Entry!$H548),0)</f>
        <v>2.0797326811880139</v>
      </c>
      <c r="W559" s="49">
        <f>IFERROR(IF(Data_Entry!AB548/Data_Entry!$H548&lt;0,0,Data_Entry!AB548/Data_Entry!$H548),0)</f>
        <v>1.4968318259069444</v>
      </c>
      <c r="X559" s="49">
        <f>IFERROR(IF(Data_Entry!AC548/Data_Entry!$I548&lt;0,0,Data_Entry!AC548/Data_Entry!$I548),0)</f>
        <v>7.0416492256174124</v>
      </c>
      <c r="Y559" s="49">
        <f>IFERROR(IF(Data_Entry!AD548/Data_Entry!$I548&lt;0,0,Data_Entry!AD548/Data_Entry!$I548),0)</f>
        <v>0.80682293846797815</v>
      </c>
      <c r="Z559" s="49">
        <f>IFERROR(IF(Data_Entry!AE548/Data_Entry!$I548&lt;0,0,Data_Entry!AE548/Data_Entry!$I548),0)</f>
        <v>0.43951444118878186</v>
      </c>
      <c r="AA559" s="49">
        <f>IFERROR(IF(Data_Entry!AF548/Data_Entry!$I548&lt;0,0,Data_Entry!AF548/Data_Entry!$I548),0)</f>
        <v>0.21347844286312262</v>
      </c>
      <c r="AB559" s="49">
        <f>IFERROR(IF(Data_Entry!AG548/Data_Entry!$I548&lt;0,0,Data_Entry!AG548/Data_Entry!$I548),0)</f>
        <v>0.26684805357890329</v>
      </c>
      <c r="AC559" s="49">
        <f>IFERROR(IF(Data_Entry!AI548/Data_Entry!$I548&lt;0,0,Data_Entry!AI548/Data_Entry!$I548),0)</f>
        <v>0.15696944328170781</v>
      </c>
      <c r="AD559" s="49">
        <f>IFERROR(IF(Data_Entry!AM548/Data_Entry!$H548&lt;0,0,Data_Entry!AM548/Data_Entry!$H548),0)</f>
        <v>1.3672983025111511</v>
      </c>
      <c r="AE559" s="50">
        <f>Data_Entry!AK548</f>
        <v>0</v>
      </c>
      <c r="AF559" s="50">
        <f>Data_Entry!AL548</f>
        <v>260</v>
      </c>
      <c r="AG559" s="153">
        <f>(Data_Entry!O548-Data_Entry!Q548)/Data_Entry!O548</f>
        <v>9.6875000000000003E-2</v>
      </c>
      <c r="AH559" s="79" t="str">
        <f t="shared" si="16"/>
        <v>CAT1</v>
      </c>
      <c r="AI559" s="51">
        <f>SUBTOTAL(3,Tableau1[[#This Row],[ZS]])</f>
        <v>0</v>
      </c>
      <c r="AJ559" s="51" t="e">
        <f t="shared" ca="1" si="17"/>
        <v>#NAME?</v>
      </c>
      <c r="AK559" s="50" t="str">
        <f>IFERROR(IF((Data_Entry!O548-Data_Entry!Q548)/Data_Entry!O548&lt;=10%,"&lt;=10%","&gt;10%"),"&lt;=10%")</f>
        <v>&lt;=10%</v>
      </c>
    </row>
    <row r="560" spans="1:37" s="48" customFormat="1" ht="13" hidden="1" x14ac:dyDescent="0.3">
      <c r="A560" s="31" t="s">
        <v>16</v>
      </c>
      <c r="B560" s="48" t="str">
        <f>Data_Entry!B549</f>
        <v>Goma</v>
      </c>
      <c r="C560" s="48" t="str">
        <f>Data_Entry!C549</f>
        <v xml:space="preserve"> Nyiragongo</v>
      </c>
      <c r="D560" s="48" t="str">
        <f>Data_Entry!D549</f>
        <v xml:space="preserve"> Kingarame</v>
      </c>
      <c r="E560" s="49">
        <f>IFERROR(IF(Data_Entry!J549/Data_Entry!$I549&lt;0,0,Data_Entry!J549/Data_Entry!$I549),0)</f>
        <v>0</v>
      </c>
      <c r="F560" s="49">
        <f>IFERROR(IF(Data_Entry!K549/Data_Entry!$H549&lt;0,0,Data_Entry!K549/Data_Entry!$H549),0)</f>
        <v>0</v>
      </c>
      <c r="G560" s="49">
        <f>IFERROR(IF(Data_Entry!L549/Data_Entry!$H549&lt;0,0,Data_Entry!L549/Data_Entry!$H549),0)</f>
        <v>0</v>
      </c>
      <c r="H560" s="49">
        <f>IFERROR(IF(Data_Entry!M549/Data_Entry!$H549&lt;0,0,Data_Entry!M549/Data_Entry!$H549),0)</f>
        <v>0</v>
      </c>
      <c r="I560" s="49">
        <f>IFERROR(IF(Data_Entry!N549/Data_Entry!$H549&lt;0,0,Data_Entry!N549/Data_Entry!$H549),0)</f>
        <v>0</v>
      </c>
      <c r="J560" s="49">
        <f>IFERROR(IF(Data_Entry!O549/Data_Entry!$H549&lt;0,0,Data_Entry!O549/Data_Entry!$H549),0)</f>
        <v>0</v>
      </c>
      <c r="K560" s="49">
        <f>IFERROR(IF(Data_Entry!P549/Data_Entry!$H549&lt;0,0,Data_Entry!P549/Data_Entry!$H549),0)</f>
        <v>0</v>
      </c>
      <c r="L560" s="49">
        <f>IFERROR(IF(Data_Entry!Q549/Data_Entry!$H549&lt;0,0,Data_Entry!Q549/Data_Entry!$H549),0)</f>
        <v>0</v>
      </c>
      <c r="M560" s="49">
        <f>IFERROR(IF(Data_Entry!R549/Data_Entry!$H549&lt;0,0,Data_Entry!R549/Data_Entry!$H549),0)</f>
        <v>0</v>
      </c>
      <c r="N560" s="49">
        <f>IFERROR(IF(Data_Entry!S549/Data_Entry!$H549&lt;0,0,Data_Entry!S549/Data_Entry!$H549),0)</f>
        <v>0</v>
      </c>
      <c r="O560" s="49">
        <f>IFERROR(IF(Data_Entry!T549/Data_Entry!$H549&lt;0,0,Data_Entry!T549/Data_Entry!$H549),0)</f>
        <v>0</v>
      </c>
      <c r="P560" s="49">
        <f>IFERROR(IF(Data_Entry!U549/Data_Entry!$H549&lt;0,0,Data_Entry!U549/Data_Entry!$H549),0)</f>
        <v>0</v>
      </c>
      <c r="Q560" s="49">
        <f>IFERROR(IF(Data_Entry!V549/Data_Entry!$H549&lt;0,0,Data_Entry!V549/Data_Entry!$H549),0)</f>
        <v>0</v>
      </c>
      <c r="R560" s="49">
        <f>IFERROR(IF(Data_Entry!W549/Data_Entry!$H549&lt;0,0,Data_Entry!W549/Data_Entry!$H549),0)</f>
        <v>0</v>
      </c>
      <c r="S560" s="49">
        <f>IFERROR(IF(Data_Entry!X549/Data_Entry!$H549&lt;0,0,Data_Entry!X549/Data_Entry!$H549),0)</f>
        <v>0</v>
      </c>
      <c r="T560" s="49">
        <f>IFERROR(IF(Data_Entry!Y549/Data_Entry!$H549&lt;0,0,Data_Entry!Y549/Data_Entry!$H549),0)</f>
        <v>0</v>
      </c>
      <c r="U560" s="49">
        <f>IFERROR(IF(Data_Entry!Z549/Data_Entry!$H549&lt;0,0,Data_Entry!Z549/Data_Entry!$H549),0)</f>
        <v>0</v>
      </c>
      <c r="V560" s="49">
        <f>IFERROR(IF(Data_Entry!AA549/Data_Entry!$H549&lt;0,0,Data_Entry!AA549/Data_Entry!$H549),0)</f>
        <v>0</v>
      </c>
      <c r="W560" s="49">
        <f>IFERROR(IF(Data_Entry!AB549/Data_Entry!$H549&lt;0,0,Data_Entry!AB549/Data_Entry!$H549),0)</f>
        <v>0</v>
      </c>
      <c r="X560" s="49">
        <f>IFERROR(IF(Data_Entry!AC549/Data_Entry!$I549&lt;0,0,Data_Entry!AC549/Data_Entry!$I549),0)</f>
        <v>0</v>
      </c>
      <c r="Y560" s="49">
        <f>IFERROR(IF(Data_Entry!AD549/Data_Entry!$I549&lt;0,0,Data_Entry!AD549/Data_Entry!$I549),0)</f>
        <v>0</v>
      </c>
      <c r="Z560" s="49">
        <f>IFERROR(IF(Data_Entry!AE549/Data_Entry!$I549&lt;0,0,Data_Entry!AE549/Data_Entry!$I549),0)</f>
        <v>0</v>
      </c>
      <c r="AA560" s="49">
        <f>IFERROR(IF(Data_Entry!AF549/Data_Entry!$I549&lt;0,0,Data_Entry!AF549/Data_Entry!$I549),0)</f>
        <v>0</v>
      </c>
      <c r="AB560" s="49">
        <f>IFERROR(IF(Data_Entry!AG549/Data_Entry!$I549&lt;0,0,Data_Entry!AG549/Data_Entry!$I549),0)</f>
        <v>0</v>
      </c>
      <c r="AC560" s="49">
        <f>IFERROR(IF(Data_Entry!AI549/Data_Entry!$I549&lt;0,0,Data_Entry!AI549/Data_Entry!$I549),0)</f>
        <v>3.6936007077558237E-2</v>
      </c>
      <c r="AD560" s="49">
        <f>IFERROR(IF(Data_Entry!AM549/Data_Entry!$H549&lt;0,0,Data_Entry!AM549/Data_Entry!$H549),0)</f>
        <v>0</v>
      </c>
      <c r="AE560" s="50">
        <f>Data_Entry!AK549</f>
        <v>0</v>
      </c>
      <c r="AF560" s="50">
        <f>Data_Entry!AL549</f>
        <v>0</v>
      </c>
      <c r="AG560" s="153" t="e">
        <f>(Data_Entry!O549-Data_Entry!Q549)/Data_Entry!O549</f>
        <v>#VALUE!</v>
      </c>
      <c r="AH560" s="79" t="str">
        <f t="shared" si="16"/>
        <v>ND</v>
      </c>
      <c r="AI560" s="51">
        <f>SUBTOTAL(3,Tableau1[[#This Row],[ZS]])</f>
        <v>0</v>
      </c>
      <c r="AJ560" s="51" t="e">
        <f t="shared" ca="1" si="17"/>
        <v>#NAME?</v>
      </c>
      <c r="AK560" s="50" t="str">
        <f>IFERROR(IF((Data_Entry!O549-Data_Entry!Q549)/Data_Entry!O549&lt;=10%,"&lt;=10%","&gt;10%"),"&lt;=10%")</f>
        <v>&lt;=10%</v>
      </c>
    </row>
    <row r="561" spans="1:37" s="48" customFormat="1" ht="13" hidden="1" x14ac:dyDescent="0.3">
      <c r="A561" s="31" t="s">
        <v>16</v>
      </c>
      <c r="B561" s="48" t="str">
        <f>Data_Entry!B550</f>
        <v>Goma</v>
      </c>
      <c r="C561" s="48" t="str">
        <f>Data_Entry!C550</f>
        <v xml:space="preserve"> Nyiragongo</v>
      </c>
      <c r="D561" s="48" t="str">
        <f>Data_Entry!D550</f>
        <v xml:space="preserve"> Kiziba</v>
      </c>
      <c r="E561" s="49">
        <f>IFERROR(IF(Data_Entry!J550/Data_Entry!$I550&lt;0,0,Data_Entry!J550/Data_Entry!$I550),0)</f>
        <v>1.5852176027230731</v>
      </c>
      <c r="F561" s="49">
        <f>IFERROR(IF(Data_Entry!K550/Data_Entry!$H550&lt;0,0,Data_Entry!K550/Data_Entry!$H550),0)</f>
        <v>0.74750755344888009</v>
      </c>
      <c r="G561" s="49">
        <f>IFERROR(IF(Data_Entry!L550/Data_Entry!$H550&lt;0,0,Data_Entry!L550/Data_Entry!$H550),0)</f>
        <v>1.4465977956538671</v>
      </c>
      <c r="H561" s="49">
        <f>IFERROR(IF(Data_Entry!M550/Data_Entry!$H550&lt;0,0,Data_Entry!M550/Data_Entry!$H550),0)</f>
        <v>1.1710719453379006</v>
      </c>
      <c r="I561" s="49">
        <f>IFERROR(IF(Data_Entry!N550/Data_Entry!$H550&lt;0,0,Data_Entry!N550/Data_Entry!$H550),0)</f>
        <v>1.3173688570100952</v>
      </c>
      <c r="J561" s="49">
        <f>IFERROR(IF(Data_Entry!O550/Data_Entry!$H550&lt;0,0,Data_Entry!O550/Data_Entry!$H550),0)</f>
        <v>1.4396312760504293</v>
      </c>
      <c r="K561" s="49">
        <f>IFERROR(IF(Data_Entry!P550/Data_Entry!$H550&lt;0,0,Data_Entry!P550/Data_Entry!$H550),0)</f>
        <v>1.1710719453379006</v>
      </c>
      <c r="L561" s="49">
        <f>IFERROR(IF(Data_Entry!Q550/Data_Entry!$H550&lt;0,0,Data_Entry!Q550/Data_Entry!$H550),0)</f>
        <v>1.2511869207774358</v>
      </c>
      <c r="M561" s="49">
        <f>IFERROR(IF(Data_Entry!R550/Data_Entry!$H550&lt;0,0,Data_Entry!R550/Data_Entry!$H550),0)</f>
        <v>1.4375413201693981</v>
      </c>
      <c r="N561" s="49">
        <f>IFERROR(IF(Data_Entry!S550/Data_Entry!$H550&lt;0,0,Data_Entry!S550/Data_Entry!$H550),0)</f>
        <v>1.1045416831250694</v>
      </c>
      <c r="O561" s="49">
        <f>IFERROR(IF(Data_Entry!T550/Data_Entry!$H550&lt;0,0,Data_Entry!T550/Data_Entry!$H550),0)</f>
        <v>1.3131889452480325</v>
      </c>
      <c r="P561" s="49">
        <f>IFERROR(IF(Data_Entry!U550/Data_Entry!$H550&lt;0,0,Data_Entry!U550/Data_Entry!$H550),0)</f>
        <v>1.4375413201693981</v>
      </c>
      <c r="Q561" s="49">
        <f>IFERROR(IF(Data_Entry!V550/Data_Entry!$H550&lt;0,0,Data_Entry!V550/Data_Entry!$H550),0)</f>
        <v>1.2055562173749179</v>
      </c>
      <c r="R561" s="49">
        <f>IFERROR(IF(Data_Entry!W550/Data_Entry!$H550&lt;0,0,Data_Entry!W550/Data_Entry!$H550),0)</f>
        <v>1.3173688570100952</v>
      </c>
      <c r="S561" s="49">
        <f>IFERROR(IF(Data_Entry!X550/Data_Entry!$H550&lt;0,0,Data_Entry!X550/Data_Entry!$H550),0)</f>
        <v>1.5584104352890444</v>
      </c>
      <c r="T561" s="49">
        <f>IFERROR(IF(Data_Entry!Y550/Data_Entry!$H550&lt;0,0,Data_Entry!Y550/Data_Entry!$H550),0)</f>
        <v>0.18356779155058706</v>
      </c>
      <c r="U561" s="49">
        <f>IFERROR(IF(Data_Entry!Z550/Data_Entry!$H550&lt;0,0,Data_Entry!Z550/Data_Entry!$H550),0)</f>
        <v>1.5584104352890444</v>
      </c>
      <c r="V561" s="49">
        <f>IFERROR(IF(Data_Entry!AA550/Data_Entry!$H550&lt;0,0,Data_Entry!AA550/Data_Entry!$H550),0)</f>
        <v>1.3173688570100952</v>
      </c>
      <c r="W561" s="49">
        <f>IFERROR(IF(Data_Entry!AB550/Data_Entry!$H550&lt;0,0,Data_Entry!AB550/Data_Entry!$H550),0)</f>
        <v>1.5507472637252628</v>
      </c>
      <c r="X561" s="49">
        <f>IFERROR(IF(Data_Entry!AC550/Data_Entry!$I550&lt;0,0,Data_Entry!AC550/Data_Entry!$I550),0)</f>
        <v>0.43763676148796499</v>
      </c>
      <c r="Y561" s="49">
        <f>IFERROR(IF(Data_Entry!AD550/Data_Entry!$I550&lt;0,0,Data_Entry!AD550/Data_Entry!$I550),0)</f>
        <v>0.27078774617067836</v>
      </c>
      <c r="Z561" s="49">
        <f>IFERROR(IF(Data_Entry!AE550/Data_Entry!$I550&lt;0,0,Data_Entry!AE550/Data_Entry!$I550),0)</f>
        <v>0.27747386336007779</v>
      </c>
      <c r="AA561" s="49">
        <f>IFERROR(IF(Data_Entry!AF550/Data_Entry!$I550&lt;0,0,Data_Entry!AF550/Data_Entry!$I550),0)</f>
        <v>0.20666180403598347</v>
      </c>
      <c r="AB561" s="49">
        <f>IFERROR(IF(Data_Entry!AG550/Data_Entry!$I550&lt;0,0,Data_Entry!AG550/Data_Entry!$I550),0)</f>
        <v>0.18721128130318501</v>
      </c>
      <c r="AC561" s="49">
        <f>IFERROR(IF(Data_Entry!AI550/Data_Entry!$I550&lt;0,0,Data_Entry!AI550/Data_Entry!$I550),0)</f>
        <v>1.2673231218088986E-2</v>
      </c>
      <c r="AD561" s="49">
        <f>IFERROR(IF(Data_Entry!AM550/Data_Entry!$H550&lt;0,0,Data_Entry!AM550/Data_Entry!$H550),0)</f>
        <v>1.5584104352890444</v>
      </c>
      <c r="AE561" s="50">
        <f>Data_Entry!AK550</f>
        <v>0</v>
      </c>
      <c r="AF561" s="50">
        <f>Data_Entry!AL550</f>
        <v>0</v>
      </c>
      <c r="AG561" s="153">
        <f>(Data_Entry!O550-Data_Entry!Q550)/Data_Entry!O550</f>
        <v>0.13089765303653519</v>
      </c>
      <c r="AH561" s="79" t="str">
        <f t="shared" si="16"/>
        <v>CAT2</v>
      </c>
      <c r="AI561" s="51">
        <f>SUBTOTAL(3,Tableau1[[#This Row],[ZS]])</f>
        <v>0</v>
      </c>
      <c r="AJ561" s="51" t="e">
        <f t="shared" ca="1" si="17"/>
        <v>#NAME?</v>
      </c>
      <c r="AK561" s="50" t="str">
        <f>IFERROR(IF((Data_Entry!O550-Data_Entry!Q550)/Data_Entry!O550&lt;=10%,"&lt;=10%","&gt;10%"),"&lt;=10%")</f>
        <v>&gt;10%</v>
      </c>
    </row>
    <row r="562" spans="1:37" s="48" customFormat="1" ht="13" hidden="1" x14ac:dyDescent="0.3">
      <c r="A562" s="31" t="s">
        <v>16</v>
      </c>
      <c r="B562" s="48" t="str">
        <f>Data_Entry!B551</f>
        <v>Goma</v>
      </c>
      <c r="C562" s="48" t="str">
        <f>Data_Entry!C551</f>
        <v xml:space="preserve"> Nyiragongo</v>
      </c>
      <c r="D562" s="48" t="str">
        <f>Data_Entry!D551</f>
        <v xml:space="preserve"> Mudja</v>
      </c>
      <c r="E562" s="49">
        <f>IFERROR(IF(Data_Entry!J551/Data_Entry!$I551&lt;0,0,Data_Entry!J551/Data_Entry!$I551),0)</f>
        <v>1.3953488372093024</v>
      </c>
      <c r="F562" s="49">
        <f>IFERROR(IF(Data_Entry!K551/Data_Entry!$H551&lt;0,0,Data_Entry!K551/Data_Entry!$H551),0)</f>
        <v>0.57548227586488565</v>
      </c>
      <c r="G562" s="49">
        <f>IFERROR(IF(Data_Entry!L551/Data_Entry!$H551&lt;0,0,Data_Entry!L551/Data_Entry!$H551),0)</f>
        <v>1.2843839356242579</v>
      </c>
      <c r="H562" s="49">
        <f>IFERROR(IF(Data_Entry!M551/Data_Entry!$H551&lt;0,0,Data_Entry!M551/Data_Entry!$H551),0)</f>
        <v>1.2443581204559118</v>
      </c>
      <c r="I562" s="49">
        <f>IFERROR(IF(Data_Entry!N551/Data_Entry!$H551&lt;0,0,Data_Entry!N551/Data_Entry!$H551),0)</f>
        <v>1.2879417858614441</v>
      </c>
      <c r="J562" s="49">
        <f>IFERROR(IF(Data_Entry!O551/Data_Entry!$H551&lt;0,0,Data_Entry!O551/Data_Entry!$H551),0)</f>
        <v>1.2221215564734975</v>
      </c>
      <c r="K562" s="49">
        <f>IFERROR(IF(Data_Entry!P551/Data_Entry!$H551&lt;0,0,Data_Entry!P551/Data_Entry!$H551),0)</f>
        <v>1.2443581204559118</v>
      </c>
      <c r="L562" s="49">
        <f>IFERROR(IF(Data_Entry!Q551/Data_Entry!$H551&lt;0,0,Data_Entry!Q551/Data_Entry!$H551),0)</f>
        <v>1.2790471602684783</v>
      </c>
      <c r="M562" s="49">
        <f>IFERROR(IF(Data_Entry!R551/Data_Entry!$H551&lt;0,0,Data_Entry!R551/Data_Entry!$H551),0)</f>
        <v>1.2843839356242579</v>
      </c>
      <c r="N562" s="49">
        <f>IFERROR(IF(Data_Entry!S551/Data_Entry!$H551&lt;0,0,Data_Entry!S551/Data_Entry!$H551),0)</f>
        <v>1.2443581204559118</v>
      </c>
      <c r="O562" s="49">
        <f>IFERROR(IF(Data_Entry!T551/Data_Entry!$H551&lt;0,0,Data_Entry!T551/Data_Entry!$H551),0)</f>
        <v>1.2701525346755127</v>
      </c>
      <c r="P562" s="49">
        <f>IFERROR(IF(Data_Entry!U551/Data_Entry!$H551&lt;0,0,Data_Entry!U551/Data_Entry!$H551),0)</f>
        <v>1.1189438995950944</v>
      </c>
      <c r="Q562" s="49">
        <f>IFERROR(IF(Data_Entry!V551/Data_Entry!$H551&lt;0,0,Data_Entry!V551/Data_Entry!$H551),0)</f>
        <v>1.0762496967488586</v>
      </c>
      <c r="R562" s="49">
        <f>IFERROR(IF(Data_Entry!W551/Data_Entry!$H551&lt;0,0,Data_Entry!W551/Data_Entry!$H551),0)</f>
        <v>1.1216122872729841</v>
      </c>
      <c r="S562" s="49">
        <f>IFERROR(IF(Data_Entry!X551/Data_Entry!$H551&lt;0,0,Data_Entry!X551/Data_Entry!$H551),0)</f>
        <v>1.9025604143353791</v>
      </c>
      <c r="T562" s="49">
        <f>IFERROR(IF(Data_Entry!Y551/Data_Entry!$H551&lt;0,0,Data_Entry!Y551/Data_Entry!$H551),0)</f>
        <v>1.2381318825408358</v>
      </c>
      <c r="U562" s="49">
        <f>IFERROR(IF(Data_Entry!Z551/Data_Entry!$H551&lt;0,0,Data_Entry!Z551/Data_Entry!$H551),0)</f>
        <v>1.8242877091172804</v>
      </c>
      <c r="V562" s="49">
        <f>IFERROR(IF(Data_Entry!AA551/Data_Entry!$H551&lt;0,0,Data_Entry!AA551/Data_Entry!$H551),0)</f>
        <v>1.3662144910795431</v>
      </c>
      <c r="W562" s="49">
        <f>IFERROR(IF(Data_Entry!AB551/Data_Entry!$H551&lt;0,0,Data_Entry!AB551/Data_Entry!$H551),0)</f>
        <v>1.2265688692699803</v>
      </c>
      <c r="X562" s="49">
        <f>IFERROR(IF(Data_Entry!AC551/Data_Entry!$I551&lt;0,0,Data_Entry!AC551/Data_Entry!$I551),0)</f>
        <v>0.30110976019867036</v>
      </c>
      <c r="Y562" s="49">
        <f>IFERROR(IF(Data_Entry!AD551/Data_Entry!$I551&lt;0,0,Data_Entry!AD551/Data_Entry!$I551),0)</f>
        <v>0.2902449750368627</v>
      </c>
      <c r="Z562" s="49">
        <f>IFERROR(IF(Data_Entry!AE551/Data_Entry!$I551&lt;0,0,Data_Entry!AE551/Data_Entry!$I551),0)</f>
        <v>0.23359288097886541</v>
      </c>
      <c r="AA562" s="49">
        <f>IFERROR(IF(Data_Entry!AF551/Data_Entry!$I551&lt;0,0,Data_Entry!AF551/Data_Entry!$I551),0)</f>
        <v>0.2165196471531676</v>
      </c>
      <c r="AB562" s="49">
        <f>IFERROR(IF(Data_Entry!AG551/Data_Entry!$I551&lt;0,0,Data_Entry!AG551/Data_Entry!$I551),0)</f>
        <v>0.15521121659725276</v>
      </c>
      <c r="AC562" s="49">
        <f>IFERROR(IF(Data_Entry!AI551/Data_Entry!$I551&lt;0,0,Data_Entry!AI551/Data_Entry!$I551),0)</f>
        <v>4.5244069638099182E-2</v>
      </c>
      <c r="AD562" s="49">
        <f>IFERROR(IF(Data_Entry!AM551/Data_Entry!$H551&lt;0,0,Data_Entry!AM551/Data_Entry!$H551),0)</f>
        <v>1.8242877091172804</v>
      </c>
      <c r="AE562" s="50">
        <f>Data_Entry!AK551</f>
        <v>0</v>
      </c>
      <c r="AF562" s="50">
        <f>Data_Entry!AL551</f>
        <v>0</v>
      </c>
      <c r="AG562" s="153">
        <f>(Data_Entry!O551-Data_Entry!Q551)/Data_Entry!O551</f>
        <v>-4.6579330422125184E-2</v>
      </c>
      <c r="AH562" s="79" t="str">
        <f t="shared" si="16"/>
        <v>CAT1</v>
      </c>
      <c r="AI562" s="51">
        <f>SUBTOTAL(3,Tableau1[[#This Row],[ZS]])</f>
        <v>0</v>
      </c>
      <c r="AJ562" s="51" t="e">
        <f t="shared" ca="1" si="17"/>
        <v>#NAME?</v>
      </c>
      <c r="AK562" s="50" t="str">
        <f>IFERROR(IF((Data_Entry!O551-Data_Entry!Q551)/Data_Entry!O551&lt;=10%,"&lt;=10%","&gt;10%"),"&lt;=10%")</f>
        <v>&lt;=10%</v>
      </c>
    </row>
    <row r="563" spans="1:37" s="48" customFormat="1" ht="13" hidden="1" x14ac:dyDescent="0.3">
      <c r="A563" s="31" t="s">
        <v>16</v>
      </c>
      <c r="B563" s="48" t="str">
        <f>Data_Entry!B552</f>
        <v>Goma</v>
      </c>
      <c r="C563" s="48" t="str">
        <f>Data_Entry!C552</f>
        <v xml:space="preserve"> Nyiragongo</v>
      </c>
      <c r="D563" s="48" t="str">
        <f>Data_Entry!D552</f>
        <v xml:space="preserve"> Munigi</v>
      </c>
      <c r="E563" s="49">
        <f>IFERROR(IF(Data_Entry!J552/Data_Entry!$I552&lt;0,0,Data_Entry!J552/Data_Entry!$I552),0)</f>
        <v>1.6582163477037604</v>
      </c>
      <c r="F563" s="49">
        <f>IFERROR(IF(Data_Entry!K552/Data_Entry!$H552&lt;0,0,Data_Entry!K552/Data_Entry!$H552),0)</f>
        <v>0.78903420483432074</v>
      </c>
      <c r="G563" s="49">
        <f>IFERROR(IF(Data_Entry!L552/Data_Entry!$H552&lt;0,0,Data_Entry!L552/Data_Entry!$H552),0)</f>
        <v>1.7423245723608436</v>
      </c>
      <c r="H563" s="49">
        <f>IFERROR(IF(Data_Entry!M552/Data_Entry!$H552&lt;0,0,Data_Entry!M552/Data_Entry!$H552),0)</f>
        <v>1.6989931920187289</v>
      </c>
      <c r="I563" s="49">
        <f>IFERROR(IF(Data_Entry!N552/Data_Entry!$H552&lt;0,0,Data_Entry!N552/Data_Entry!$H552),0)</f>
        <v>1.6607003442745345</v>
      </c>
      <c r="J563" s="49">
        <f>IFERROR(IF(Data_Entry!O552/Data_Entry!$H552&lt;0,0,Data_Entry!O552/Data_Entry!$H552),0)</f>
        <v>1.7423245723608436</v>
      </c>
      <c r="K563" s="49">
        <f>IFERROR(IF(Data_Entry!P552/Data_Entry!$H552&lt;0,0,Data_Entry!P552/Data_Entry!$H552),0)</f>
        <v>1.6989931920187289</v>
      </c>
      <c r="L563" s="49">
        <f>IFERROR(IF(Data_Entry!Q552/Data_Entry!$H552&lt;0,0,Data_Entry!Q552/Data_Entry!$H552),0)</f>
        <v>1.6607003442745345</v>
      </c>
      <c r="M563" s="49">
        <f>IFERROR(IF(Data_Entry!R552/Data_Entry!$H552&lt;0,0,Data_Entry!R552/Data_Entry!$H552),0)</f>
        <v>1.7423245723608436</v>
      </c>
      <c r="N563" s="49">
        <f>IFERROR(IF(Data_Entry!S552/Data_Entry!$H552&lt;0,0,Data_Entry!S552/Data_Entry!$H552),0)</f>
        <v>1.6989931920187289</v>
      </c>
      <c r="O563" s="49">
        <f>IFERROR(IF(Data_Entry!T552/Data_Entry!$H552&lt;0,0,Data_Entry!T552/Data_Entry!$H552),0)</f>
        <v>1.6677542899116231</v>
      </c>
      <c r="P563" s="49">
        <f>IFERROR(IF(Data_Entry!U552/Data_Entry!$H552&lt;0,0,Data_Entry!U552/Data_Entry!$H552),0)</f>
        <v>1.7443399854000117</v>
      </c>
      <c r="Q563" s="49">
        <f>IFERROR(IF(Data_Entry!V552/Data_Entry!$H552&lt;0,0,Data_Entry!V552/Data_Entry!$H552),0)</f>
        <v>1.7030240180970653</v>
      </c>
      <c r="R563" s="49">
        <f>IFERROR(IF(Data_Entry!W552/Data_Entry!$H552&lt;0,0,Data_Entry!W552/Data_Entry!$H552),0)</f>
        <v>1.6768236485878796</v>
      </c>
      <c r="S563" s="49">
        <f>IFERROR(IF(Data_Entry!X552/Data_Entry!$H552&lt;0,0,Data_Entry!X552/Data_Entry!$H552),0)</f>
        <v>1.4772977577102353</v>
      </c>
      <c r="T563" s="49">
        <f>IFERROR(IF(Data_Entry!Y552/Data_Entry!$H552&lt;0,0,Data_Entry!Y552/Data_Entry!$H552),0)</f>
        <v>0.83236558517643544</v>
      </c>
      <c r="U563" s="49">
        <f>IFERROR(IF(Data_Entry!Z552/Data_Entry!$H552&lt;0,0,Data_Entry!Z552/Data_Entry!$H552),0)</f>
        <v>1.4772977577102353</v>
      </c>
      <c r="V563" s="49">
        <f>IFERROR(IF(Data_Entry!AA552/Data_Entry!$H552&lt;0,0,Data_Entry!AA552/Data_Entry!$H552),0)</f>
        <v>1.6607003442745345</v>
      </c>
      <c r="W563" s="49">
        <f>IFERROR(IF(Data_Entry!AB552/Data_Entry!$H552&lt;0,0,Data_Entry!AB552/Data_Entry!$H552),0)</f>
        <v>1.4772977577102353</v>
      </c>
      <c r="X563" s="49">
        <f>IFERROR(IF(Data_Entry!AC552/Data_Entry!$I552&lt;0,0,Data_Entry!AC552/Data_Entry!$I552),0)</f>
        <v>0.5169836757422116</v>
      </c>
      <c r="Y563" s="49">
        <f>IFERROR(IF(Data_Entry!AD552/Data_Entry!$I552&lt;0,0,Data_Entry!AD552/Data_Entry!$I552),0)</f>
        <v>0.42730283403182795</v>
      </c>
      <c r="Z563" s="49">
        <f>IFERROR(IF(Data_Entry!AE552/Data_Entry!$I552&lt;0,0,Data_Entry!AE552/Data_Entry!$I552),0)</f>
        <v>0.36927405410157971</v>
      </c>
      <c r="AA563" s="49">
        <f>IFERROR(IF(Data_Entry!AF552/Data_Entry!$I552&lt;0,0,Data_Entry!AF552/Data_Entry!$I552),0)</f>
        <v>0.23475279153600423</v>
      </c>
      <c r="AB563" s="49">
        <f>IFERROR(IF(Data_Entry!AG552/Data_Entry!$I552&lt;0,0,Data_Entry!AG552/Data_Entry!$I552),0)</f>
        <v>0.24530347879604938</v>
      </c>
      <c r="AC563" s="49">
        <f>IFERROR(IF(Data_Entry!AI552/Data_Entry!$I552&lt;0,0,Data_Entry!AI552/Data_Entry!$I552),0)</f>
        <v>3.6663638228656842E-2</v>
      </c>
      <c r="AD563" s="49">
        <f>IFERROR(IF(Data_Entry!AM552/Data_Entry!$H552&lt;0,0,Data_Entry!AM552/Data_Entry!$H552),0)</f>
        <v>1.4772977577102353</v>
      </c>
      <c r="AE563" s="50">
        <f>Data_Entry!AK552</f>
        <v>0</v>
      </c>
      <c r="AF563" s="50">
        <f>Data_Entry!AL552</f>
        <v>263</v>
      </c>
      <c r="AG563" s="153">
        <f>(Data_Entry!O552-Data_Entry!Q552)/Data_Entry!O552</f>
        <v>4.684788895315211E-2</v>
      </c>
      <c r="AH563" s="79" t="str">
        <f t="shared" si="16"/>
        <v>CAT1</v>
      </c>
      <c r="AI563" s="51">
        <f>SUBTOTAL(3,Tableau1[[#This Row],[ZS]])</f>
        <v>0</v>
      </c>
      <c r="AJ563" s="51" t="e">
        <f t="shared" ca="1" si="17"/>
        <v>#NAME?</v>
      </c>
      <c r="AK563" s="50" t="str">
        <f>IFERROR(IF((Data_Entry!O552-Data_Entry!Q552)/Data_Entry!O552&lt;=10%,"&lt;=10%","&gt;10%"),"&lt;=10%")</f>
        <v>&lt;=10%</v>
      </c>
    </row>
    <row r="564" spans="1:37" s="48" customFormat="1" ht="13" hidden="1" x14ac:dyDescent="0.3">
      <c r="A564" s="31" t="s">
        <v>16</v>
      </c>
      <c r="B564" s="48" t="str">
        <f>Data_Entry!B553</f>
        <v>Goma</v>
      </c>
      <c r="C564" s="48" t="str">
        <f>Data_Entry!C553</f>
        <v xml:space="preserve"> Nyiragongo</v>
      </c>
      <c r="D564" s="48" t="str">
        <f>Data_Entry!D553</f>
        <v xml:space="preserve"> Ngangi III</v>
      </c>
      <c r="E564" s="49">
        <f>IFERROR(IF(Data_Entry!J553/Data_Entry!$I553&lt;0,0,Data_Entry!J553/Data_Entry!$I553),0)</f>
        <v>1.0302453797173474</v>
      </c>
      <c r="F564" s="49">
        <f>IFERROR(IF(Data_Entry!K553/Data_Entry!$H553&lt;0,0,Data_Entry!K553/Data_Entry!$H553),0)</f>
        <v>0.28234998849685233</v>
      </c>
      <c r="G564" s="49">
        <f>IFERROR(IF(Data_Entry!L553/Data_Entry!$H553&lt;0,0,Data_Entry!L553/Data_Entry!$H553),0)</f>
        <v>1.019930927714398</v>
      </c>
      <c r="H564" s="49">
        <f>IFERROR(IF(Data_Entry!M553/Data_Entry!$H553&lt;0,0,Data_Entry!M553/Data_Entry!$H553),0)</f>
        <v>1.0139234811506352</v>
      </c>
      <c r="I564" s="49">
        <f>IFERROR(IF(Data_Entry!N553/Data_Entry!$H553&lt;0,0,Data_Entry!N553/Data_Entry!$H553),0)</f>
        <v>1.0085835286495126</v>
      </c>
      <c r="J564" s="49">
        <f>IFERROR(IF(Data_Entry!O553/Data_Entry!$H553&lt;0,0,Data_Entry!O553/Data_Entry!$H553),0)</f>
        <v>1.019930927714398</v>
      </c>
      <c r="K564" s="49">
        <f>IFERROR(IF(Data_Entry!P553/Data_Entry!$H553&lt;0,0,Data_Entry!P553/Data_Entry!$H553),0)</f>
        <v>1.0205984217770383</v>
      </c>
      <c r="L564" s="49">
        <f>IFERROR(IF(Data_Entry!Q553/Data_Entry!$H553&lt;0,0,Data_Entry!Q553/Data_Entry!$H553),0)</f>
        <v>1.0112535049000739</v>
      </c>
      <c r="M564" s="49">
        <f>IFERROR(IF(Data_Entry!R553/Data_Entry!$H553&lt;0,0,Data_Entry!R553/Data_Entry!$H553),0)</f>
        <v>1.019930927714398</v>
      </c>
      <c r="N564" s="49">
        <f>IFERROR(IF(Data_Entry!S553/Data_Entry!$H553&lt;0,0,Data_Entry!S553/Data_Entry!$H553),0)</f>
        <v>1.0205984217770383</v>
      </c>
      <c r="O564" s="49">
        <f>IFERROR(IF(Data_Entry!T553/Data_Entry!$H553&lt;0,0,Data_Entry!T553/Data_Entry!$H553),0)</f>
        <v>1.0085835286495126</v>
      </c>
      <c r="P564" s="49">
        <f>IFERROR(IF(Data_Entry!U553/Data_Entry!$H553&lt;0,0,Data_Entry!U553/Data_Entry!$H553),0)</f>
        <v>0.98255126020654049</v>
      </c>
      <c r="Q564" s="49">
        <f>IFERROR(IF(Data_Entry!V553/Data_Entry!$H553&lt;0,0,Data_Entry!V553/Data_Entry!$H553),0)</f>
        <v>0.96920137895373415</v>
      </c>
      <c r="R564" s="49">
        <f>IFERROR(IF(Data_Entry!W553/Data_Entry!$H553&lt;0,0,Data_Entry!W553/Data_Entry!$H553),0)</f>
        <v>0.90912691331610607</v>
      </c>
      <c r="S564" s="49">
        <f>IFERROR(IF(Data_Entry!X553/Data_Entry!$H553&lt;0,0,Data_Entry!X553/Data_Entry!$H553),0)</f>
        <v>0.72423105796473941</v>
      </c>
      <c r="T564" s="49">
        <f>IFERROR(IF(Data_Entry!Y553/Data_Entry!$H553&lt;0,0,Data_Entry!Y553/Data_Entry!$H553),0)</f>
        <v>0.43921109321732582</v>
      </c>
      <c r="U564" s="49">
        <f>IFERROR(IF(Data_Entry!Z553/Data_Entry!$H553&lt;0,0,Data_Entry!Z553/Data_Entry!$H553),0)</f>
        <v>0.72423105796473941</v>
      </c>
      <c r="V564" s="49">
        <f>IFERROR(IF(Data_Entry!AA553/Data_Entry!$H553&lt;0,0,Data_Entry!AA553/Data_Entry!$H553),0)</f>
        <v>1.0085835286495126</v>
      </c>
      <c r="W564" s="49">
        <f>IFERROR(IF(Data_Entry!AB553/Data_Entry!$H553&lt;0,0,Data_Entry!AB553/Data_Entry!$H553),0)</f>
        <v>0.80166036923101569</v>
      </c>
      <c r="X564" s="49">
        <f>IFERROR(IF(Data_Entry!AC553/Data_Entry!$I553&lt;0,0,Data_Entry!AC553/Data_Entry!$I553),0)</f>
        <v>0.35700419319770149</v>
      </c>
      <c r="Y564" s="49">
        <f>IFERROR(IF(Data_Entry!AD553/Data_Entry!$I553&lt;0,0,Data_Entry!AD553/Data_Entry!$I553),0)</f>
        <v>0.38961795309830716</v>
      </c>
      <c r="Z564" s="49">
        <f>IFERROR(IF(Data_Entry!AE553/Data_Entry!$I553&lt;0,0,Data_Entry!AE553/Data_Entry!$I553),0)</f>
        <v>0.2515918620903867</v>
      </c>
      <c r="AA564" s="49">
        <f>IFERROR(IF(Data_Entry!AF553/Data_Entry!$I553&lt;0,0,Data_Entry!AF553/Data_Entry!$I553),0)</f>
        <v>0.21024227364497591</v>
      </c>
      <c r="AB564" s="49">
        <f>IFERROR(IF(Data_Entry!AG553/Data_Entry!$I553&lt;0,0,Data_Entry!AG553/Data_Entry!$I553),0)</f>
        <v>0.17238701661748718</v>
      </c>
      <c r="AC564" s="49">
        <f>IFERROR(IF(Data_Entry!AI553/Data_Entry!$I553&lt;0,0,Data_Entry!AI553/Data_Entry!$I553),0)</f>
        <v>2.9119428482683642E-2</v>
      </c>
      <c r="AD564" s="49">
        <f>IFERROR(IF(Data_Entry!AM553/Data_Entry!$H553&lt;0,0,Data_Entry!AM553/Data_Entry!$H553),0)</f>
        <v>0.72423105796473941</v>
      </c>
      <c r="AE564" s="50">
        <f>Data_Entry!AK553</f>
        <v>0</v>
      </c>
      <c r="AF564" s="50">
        <f>Data_Entry!AL553</f>
        <v>443</v>
      </c>
      <c r="AG564" s="153">
        <f>(Data_Entry!O553-Data_Entry!Q553)/Data_Entry!O553</f>
        <v>8.5078534031413616E-3</v>
      </c>
      <c r="AH564" s="79" t="str">
        <f t="shared" si="16"/>
        <v>CAT1</v>
      </c>
      <c r="AI564" s="51">
        <f>SUBTOTAL(3,Tableau1[[#This Row],[ZS]])</f>
        <v>0</v>
      </c>
      <c r="AJ564" s="51" t="e">
        <f t="shared" ca="1" si="17"/>
        <v>#NAME?</v>
      </c>
      <c r="AK564" s="50" t="str">
        <f>IFERROR(IF((Data_Entry!O553-Data_Entry!Q553)/Data_Entry!O553&lt;=10%,"&lt;=10%","&gt;10%"),"&lt;=10%")</f>
        <v>&lt;=10%</v>
      </c>
    </row>
    <row r="565" spans="1:37" s="48" customFormat="1" ht="13" hidden="1" x14ac:dyDescent="0.3">
      <c r="A565" s="31" t="s">
        <v>16</v>
      </c>
      <c r="B565" s="48" t="str">
        <f>Data_Entry!B554</f>
        <v>Goma</v>
      </c>
      <c r="C565" s="48" t="str">
        <f>Data_Entry!C554</f>
        <v xml:space="preserve"> Nyiragongo</v>
      </c>
      <c r="D565" s="48" t="str">
        <f>Data_Entry!D554</f>
        <v xml:space="preserve"> Rusayo</v>
      </c>
      <c r="E565" s="49">
        <f>IFERROR(IF(Data_Entry!J554/Data_Entry!$I554&lt;0,0,Data_Entry!J554/Data_Entry!$I554),0)</f>
        <v>4.537856847331402</v>
      </c>
      <c r="F565" s="49">
        <f>IFERROR(IF(Data_Entry!K554/Data_Entry!$H554&lt;0,0,Data_Entry!K554/Data_Entry!$H554),0)</f>
        <v>3.4739601177428745</v>
      </c>
      <c r="G565" s="49">
        <f>IFERROR(IF(Data_Entry!L554/Data_Entry!$H554&lt;0,0,Data_Entry!L554/Data_Entry!$H554),0)</f>
        <v>5.8155401152059252</v>
      </c>
      <c r="H565" s="49">
        <f>IFERROR(IF(Data_Entry!M554/Data_Entry!$H554&lt;0,0,Data_Entry!M554/Data_Entry!$H554),0)</f>
        <v>6.3305170040769001</v>
      </c>
      <c r="I565" s="49">
        <f>IFERROR(IF(Data_Entry!N554/Data_Entry!$H554&lt;0,0,Data_Entry!N554/Data_Entry!$H554),0)</f>
        <v>16.240265644616155</v>
      </c>
      <c r="J565" s="49">
        <f>IFERROR(IF(Data_Entry!O554/Data_Entry!$H554&lt;0,0,Data_Entry!O554/Data_Entry!$H554),0)</f>
        <v>4.4811524860319629</v>
      </c>
      <c r="K565" s="49">
        <f>IFERROR(IF(Data_Entry!P554/Data_Entry!$H554&lt;0,0,Data_Entry!P554/Data_Entry!$H554),0)</f>
        <v>3.8779751355311531</v>
      </c>
      <c r="L565" s="49">
        <f>IFERROR(IF(Data_Entry!Q554/Data_Entry!$H554&lt;0,0,Data_Entry!Q554/Data_Entry!$H554),0)</f>
        <v>11.437608250062535</v>
      </c>
      <c r="M565" s="49">
        <f>IFERROR(IF(Data_Entry!R554/Data_Entry!$H554&lt;0,0,Data_Entry!R554/Data_Entry!$H554),0)</f>
        <v>4.4811524860319629</v>
      </c>
      <c r="N565" s="49">
        <f>IFERROR(IF(Data_Entry!S554/Data_Entry!$H554&lt;0,0,Data_Entry!S554/Data_Entry!$H554),0)</f>
        <v>4.4299393147630264</v>
      </c>
      <c r="O565" s="49">
        <f>IFERROR(IF(Data_Entry!T554/Data_Entry!$H554&lt;0,0,Data_Entry!T554/Data_Entry!$H554),0)</f>
        <v>11.861539501122067</v>
      </c>
      <c r="P565" s="49">
        <f>IFERROR(IF(Data_Entry!U554/Data_Entry!$H554&lt;0,0,Data_Entry!U554/Data_Entry!$H554),0)</f>
        <v>4.1624927536919127</v>
      </c>
      <c r="Q565" s="49">
        <f>IFERROR(IF(Data_Entry!V554/Data_Entry!$H554&lt;0,0,Data_Entry!V554/Data_Entry!$H554),0)</f>
        <v>3.5906123411887858</v>
      </c>
      <c r="R565" s="49">
        <f>IFERROR(IF(Data_Entry!W554/Data_Entry!$H554&lt;0,0,Data_Entry!W554/Data_Entry!$H554),0)</f>
        <v>12.370826037629826</v>
      </c>
      <c r="S565" s="49">
        <f>IFERROR(IF(Data_Entry!X554/Data_Entry!$H554&lt;0,0,Data_Entry!X554/Data_Entry!$H554),0)</f>
        <v>3.7072645646346971</v>
      </c>
      <c r="T565" s="49">
        <f>IFERROR(IF(Data_Entry!Y554/Data_Entry!$H554&lt;0,0,Data_Entry!Y554/Data_Entry!$H554),0)</f>
        <v>18.23757932410469</v>
      </c>
      <c r="U565" s="49">
        <f>IFERROR(IF(Data_Entry!Z554/Data_Entry!$H554&lt;0,0,Data_Entry!Z554/Data_Entry!$H554),0)</f>
        <v>3.7357163264507731</v>
      </c>
      <c r="V565" s="49">
        <f>IFERROR(IF(Data_Entry!AA554/Data_Entry!$H554&lt;0,0,Data_Entry!AA554/Data_Entry!$H554),0)</f>
        <v>4.2990612104090768</v>
      </c>
      <c r="W565" s="49">
        <f>IFERROR(IF(Data_Entry!AB554/Data_Entry!$H554&lt;0,0,Data_Entry!AB554/Data_Entry!$H554),0)</f>
        <v>3.257726727940697</v>
      </c>
      <c r="X565" s="49">
        <f>IFERROR(IF(Data_Entry!AC554/Data_Entry!$I554&lt;0,0,Data_Entry!AC554/Data_Entry!$I554),0)</f>
        <v>2.7505171700455109</v>
      </c>
      <c r="Y565" s="49">
        <f>IFERROR(IF(Data_Entry!AD554/Data_Entry!$I554&lt;0,0,Data_Entry!AD554/Data_Entry!$I554),0)</f>
        <v>2.0281340504757961</v>
      </c>
      <c r="Z565" s="49">
        <f>IFERROR(IF(Data_Entry!AE554/Data_Entry!$I554&lt;0,0,Data_Entry!AE554/Data_Entry!$I554),0)</f>
        <v>0.91601158460901932</v>
      </c>
      <c r="AA565" s="49">
        <f>IFERROR(IF(Data_Entry!AF554/Data_Entry!$I554&lt;0,0,Data_Entry!AF554/Data_Entry!$I554),0)</f>
        <v>0.45428216797683074</v>
      </c>
      <c r="AB565" s="49">
        <f>IFERROR(IF(Data_Entry!AG554/Data_Entry!$I554&lt;0,0,Data_Entry!AG554/Data_Entry!$I554),0)</f>
        <v>0.30533719486967315</v>
      </c>
      <c r="AC565" s="49">
        <f>IFERROR(IF(Data_Entry!AI554/Data_Entry!$I554&lt;0,0,Data_Entry!AI554/Data_Entry!$I554),0)</f>
        <v>0.14472486553578814</v>
      </c>
      <c r="AD565" s="49">
        <f>IFERROR(IF(Data_Entry!AM554/Data_Entry!$H554&lt;0,0,Data_Entry!AM554/Data_Entry!$H554),0)</f>
        <v>3.7072645646346971</v>
      </c>
      <c r="AE565" s="50">
        <f>Data_Entry!AK554</f>
        <v>0</v>
      </c>
      <c r="AF565" s="50">
        <f>Data_Entry!AL554</f>
        <v>272</v>
      </c>
      <c r="AG565" s="153">
        <f>(Data_Entry!O554-Data_Entry!Q554)/Data_Entry!O554</f>
        <v>-1.5523809523809524</v>
      </c>
      <c r="AH565" s="79" t="str">
        <f t="shared" si="16"/>
        <v>CAT1</v>
      </c>
      <c r="AI565" s="51">
        <f>SUBTOTAL(3,Tableau1[[#This Row],[ZS]])</f>
        <v>0</v>
      </c>
      <c r="AJ565" s="51" t="e">
        <f t="shared" ca="1" si="17"/>
        <v>#NAME?</v>
      </c>
      <c r="AK565" s="50" t="str">
        <f>IFERROR(IF((Data_Entry!O554-Data_Entry!Q554)/Data_Entry!O554&lt;=10%,"&lt;=10%","&gt;10%"),"&lt;=10%")</f>
        <v>&lt;=10%</v>
      </c>
    </row>
    <row r="566" spans="1:37" s="48" customFormat="1" ht="13" hidden="1" x14ac:dyDescent="0.3">
      <c r="A566" s="31" t="s">
        <v>16</v>
      </c>
      <c r="B566" s="48" t="str">
        <f>Data_Entry!B555</f>
        <v>Goma</v>
      </c>
      <c r="C566" s="48" t="str">
        <f>Data_Entry!C555</f>
        <v xml:space="preserve"> Nyiragongo</v>
      </c>
      <c r="D566" s="48" t="str">
        <f>Data_Entry!D555</f>
        <v xml:space="preserve"> Turunga</v>
      </c>
      <c r="E566" s="49">
        <f>IFERROR(IF(Data_Entry!J555/Data_Entry!$I555&lt;0,0,Data_Entry!J555/Data_Entry!$I555),0)</f>
        <v>1.019605216896315</v>
      </c>
      <c r="F566" s="49">
        <f>IFERROR(IF(Data_Entry!K555/Data_Entry!$H555&lt;0,0,Data_Entry!K555/Data_Entry!$H555),0)</f>
        <v>1.5140015641804498</v>
      </c>
      <c r="G566" s="49">
        <f>IFERROR(IF(Data_Entry!L555/Data_Entry!$H555&lt;0,0,Data_Entry!L555/Data_Entry!$H555),0)</f>
        <v>2.0954242181052614</v>
      </c>
      <c r="H566" s="49">
        <f>IFERROR(IF(Data_Entry!M555/Data_Entry!$H555&lt;0,0,Data_Entry!M555/Data_Entry!$H555),0)</f>
        <v>1.9992879971097726</v>
      </c>
      <c r="I566" s="49">
        <f>IFERROR(IF(Data_Entry!N555/Data_Entry!$H555&lt;0,0,Data_Entry!N555/Data_Entry!$H555),0)</f>
        <v>2.0240416348511259</v>
      </c>
      <c r="J566" s="49">
        <f>IFERROR(IF(Data_Entry!O555/Data_Entry!$H555&lt;0,0,Data_Entry!O555/Data_Entry!$H555),0)</f>
        <v>2.0390089506947349</v>
      </c>
      <c r="K566" s="49">
        <f>IFERROR(IF(Data_Entry!P555/Data_Entry!$H555&lt;0,0,Data_Entry!P555/Data_Entry!$H555),0)</f>
        <v>2.0079229870195472</v>
      </c>
      <c r="L566" s="49">
        <f>IFERROR(IF(Data_Entry!Q555/Data_Entry!$H555&lt;0,0,Data_Entry!Q555/Data_Entry!$H555),0)</f>
        <v>2.0200119728932311</v>
      </c>
      <c r="M566" s="49">
        <f>IFERROR(IF(Data_Entry!R555/Data_Entry!$H555&lt;0,0,Data_Entry!R555/Data_Entry!$H555),0)</f>
        <v>2.0487952725924794</v>
      </c>
      <c r="N566" s="49">
        <f>IFERROR(IF(Data_Entry!S555/Data_Entry!$H555&lt;0,0,Data_Entry!S555/Data_Entry!$H555),0)</f>
        <v>1.9992879971097726</v>
      </c>
      <c r="O566" s="49">
        <f>IFERROR(IF(Data_Entry!T555/Data_Entry!$H555&lt;0,0,Data_Entry!T555/Data_Entry!$H555),0)</f>
        <v>2.0200119728932311</v>
      </c>
      <c r="P566" s="49">
        <f>IFERROR(IF(Data_Entry!U555/Data_Entry!$H555&lt;0,0,Data_Entry!U555/Data_Entry!$H555),0)</f>
        <v>2.053400600544359</v>
      </c>
      <c r="Q566" s="49">
        <f>IFERROR(IF(Data_Entry!V555/Data_Entry!$H555&lt;0,0,Data_Entry!V555/Data_Entry!$H555),0)</f>
        <v>1.9992879971097726</v>
      </c>
      <c r="R566" s="49">
        <f>IFERROR(IF(Data_Entry!W555/Data_Entry!$H555&lt;0,0,Data_Entry!W555/Data_Entry!$H555),0)</f>
        <v>2.0067716550315771</v>
      </c>
      <c r="S566" s="49">
        <f>IFERROR(IF(Data_Entry!X555/Data_Entry!$H555&lt;0,0,Data_Entry!X555/Data_Entry!$H555),0)</f>
        <v>1.9647480374706749</v>
      </c>
      <c r="T566" s="49">
        <f>IFERROR(IF(Data_Entry!Y555/Data_Entry!$H555&lt;0,0,Data_Entry!Y555/Data_Entry!$H555),0)</f>
        <v>0.5641526741052626</v>
      </c>
      <c r="U566" s="49">
        <f>IFERROR(IF(Data_Entry!Z555/Data_Entry!$H555&lt;0,0,Data_Entry!Z555/Data_Entry!$H555),0)</f>
        <v>1.8237098689443592</v>
      </c>
      <c r="V566" s="49">
        <f>IFERROR(IF(Data_Entry!AA555/Data_Entry!$H555&lt;0,0,Data_Entry!AA555/Data_Entry!$H555),0)</f>
        <v>2.0240416348511259</v>
      </c>
      <c r="W566" s="49">
        <f>IFERROR(IF(Data_Entry!AB555/Data_Entry!$H555&lt;0,0,Data_Entry!AB555/Data_Entry!$H555),0)</f>
        <v>0.68561819883608965</v>
      </c>
      <c r="X566" s="49">
        <f>IFERROR(IF(Data_Entry!AC555/Data_Entry!$I555&lt;0,0,Data_Entry!AC555/Data_Entry!$I555),0)</f>
        <v>0.32396323393996218</v>
      </c>
      <c r="Y566" s="49">
        <f>IFERROR(IF(Data_Entry!AD555/Data_Entry!$I555&lt;0,0,Data_Entry!AD555/Data_Entry!$I555),0)</f>
        <v>0.28528855329906744</v>
      </c>
      <c r="Z566" s="49">
        <f>IFERROR(IF(Data_Entry!AE555/Data_Entry!$I555&lt;0,0,Data_Entry!AE555/Data_Entry!$I555),0)</f>
        <v>0.25615697567345846</v>
      </c>
      <c r="AA566" s="49">
        <f>IFERROR(IF(Data_Entry!AF555/Data_Entry!$I555&lt;0,0,Data_Entry!AF555/Data_Entry!$I555),0)</f>
        <v>0.21949136935157126</v>
      </c>
      <c r="AB566" s="49">
        <f>IFERROR(IF(Data_Entry!AG555/Data_Entry!$I555&lt;0,0,Data_Entry!AG555/Data_Entry!$I555),0)</f>
        <v>0.19889835758174421</v>
      </c>
      <c r="AC566" s="49">
        <f>IFERROR(IF(Data_Entry!AI555/Data_Entry!$I555&lt;0,0,Data_Entry!AI555/Data_Entry!$I555),0)</f>
        <v>2.9282258199534561E-2</v>
      </c>
      <c r="AD566" s="49">
        <f>IFERROR(IF(Data_Entry!AM555/Data_Entry!$H555&lt;0,0,Data_Entry!AM555/Data_Entry!$H555),0)</f>
        <v>1.8237098689443592</v>
      </c>
      <c r="AE566" s="50">
        <f>Data_Entry!AK555</f>
        <v>0</v>
      </c>
      <c r="AF566" s="50">
        <f>Data_Entry!AL555</f>
        <v>129</v>
      </c>
      <c r="AG566" s="153">
        <f>(Data_Entry!O555-Data_Entry!Q555)/Data_Entry!O555</f>
        <v>9.316770186335404E-3</v>
      </c>
      <c r="AH566" s="79" t="str">
        <f t="shared" si="16"/>
        <v>CAT1</v>
      </c>
      <c r="AI566" s="51">
        <f>SUBTOTAL(3,Tableau1[[#This Row],[ZS]])</f>
        <v>0</v>
      </c>
      <c r="AJ566" s="51" t="e">
        <f t="shared" ca="1" si="17"/>
        <v>#NAME?</v>
      </c>
      <c r="AK566" s="50" t="str">
        <f>IFERROR(IF((Data_Entry!O555-Data_Entry!Q555)/Data_Entry!O555&lt;=10%,"&lt;=10%","&gt;10%"),"&lt;=10%")</f>
        <v>&lt;=10%</v>
      </c>
    </row>
    <row r="567" spans="1:37" s="48" customFormat="1" ht="13" hidden="1" x14ac:dyDescent="0.3">
      <c r="A567" s="31" t="s">
        <v>16</v>
      </c>
      <c r="B567" s="48" t="str">
        <f>Data_Entry!B556</f>
        <v>Butembo</v>
      </c>
      <c r="C567" s="48" t="str">
        <f>Data_Entry!C556</f>
        <v xml:space="preserve"> Oicha</v>
      </c>
      <c r="D567" s="48" t="str">
        <f>Data_Entry!D556</f>
        <v xml:space="preserve"> Apetina</v>
      </c>
      <c r="E567" s="49">
        <f>IFERROR(IF(Data_Entry!J556/Data_Entry!$I556&lt;0,0,Data_Entry!J556/Data_Entry!$I556),0)</f>
        <v>0</v>
      </c>
      <c r="F567" s="49">
        <f>IFERROR(IF(Data_Entry!K556/Data_Entry!$H556&lt;0,0,Data_Entry!K556/Data_Entry!$H556),0)</f>
        <v>0</v>
      </c>
      <c r="G567" s="49">
        <f>IFERROR(IF(Data_Entry!L556/Data_Entry!$H556&lt;0,0,Data_Entry!L556/Data_Entry!$H556),0)</f>
        <v>0</v>
      </c>
      <c r="H567" s="49">
        <f>IFERROR(IF(Data_Entry!M556/Data_Entry!$H556&lt;0,0,Data_Entry!M556/Data_Entry!$H556),0)</f>
        <v>0</v>
      </c>
      <c r="I567" s="49">
        <f>IFERROR(IF(Data_Entry!N556/Data_Entry!$H556&lt;0,0,Data_Entry!N556/Data_Entry!$H556),0)</f>
        <v>0</v>
      </c>
      <c r="J567" s="49">
        <f>IFERROR(IF(Data_Entry!O556/Data_Entry!$H556&lt;0,0,Data_Entry!O556/Data_Entry!$H556),0)</f>
        <v>0</v>
      </c>
      <c r="K567" s="49">
        <f>IFERROR(IF(Data_Entry!P556/Data_Entry!$H556&lt;0,0,Data_Entry!P556/Data_Entry!$H556),0)</f>
        <v>0</v>
      </c>
      <c r="L567" s="49">
        <f>IFERROR(IF(Data_Entry!Q556/Data_Entry!$H556&lt;0,0,Data_Entry!Q556/Data_Entry!$H556),0)</f>
        <v>0</v>
      </c>
      <c r="M567" s="49">
        <f>IFERROR(IF(Data_Entry!R556/Data_Entry!$H556&lt;0,0,Data_Entry!R556/Data_Entry!$H556),0)</f>
        <v>0</v>
      </c>
      <c r="N567" s="49">
        <f>IFERROR(IF(Data_Entry!S556/Data_Entry!$H556&lt;0,0,Data_Entry!S556/Data_Entry!$H556),0)</f>
        <v>0</v>
      </c>
      <c r="O567" s="49">
        <f>IFERROR(IF(Data_Entry!T556/Data_Entry!$H556&lt;0,0,Data_Entry!T556/Data_Entry!$H556),0)</f>
        <v>0</v>
      </c>
      <c r="P567" s="49">
        <f>IFERROR(IF(Data_Entry!U556/Data_Entry!$H556&lt;0,0,Data_Entry!U556/Data_Entry!$H556),0)</f>
        <v>0</v>
      </c>
      <c r="Q567" s="49">
        <f>IFERROR(IF(Data_Entry!V556/Data_Entry!$H556&lt;0,0,Data_Entry!V556/Data_Entry!$H556),0)</f>
        <v>0</v>
      </c>
      <c r="R567" s="49">
        <f>IFERROR(IF(Data_Entry!W556/Data_Entry!$H556&lt;0,0,Data_Entry!W556/Data_Entry!$H556),0)</f>
        <v>0</v>
      </c>
      <c r="S567" s="49">
        <f>IFERROR(IF(Data_Entry!X556/Data_Entry!$H556&lt;0,0,Data_Entry!X556/Data_Entry!$H556),0)</f>
        <v>0</v>
      </c>
      <c r="T567" s="49">
        <f>IFERROR(IF(Data_Entry!Y556/Data_Entry!$H556&lt;0,0,Data_Entry!Y556/Data_Entry!$H556),0)</f>
        <v>0</v>
      </c>
      <c r="U567" s="49">
        <f>IFERROR(IF(Data_Entry!Z556/Data_Entry!$H556&lt;0,0,Data_Entry!Z556/Data_Entry!$H556),0)</f>
        <v>0</v>
      </c>
      <c r="V567" s="49">
        <f>IFERROR(IF(Data_Entry!AA556/Data_Entry!$H556&lt;0,0,Data_Entry!AA556/Data_Entry!$H556),0)</f>
        <v>0</v>
      </c>
      <c r="W567" s="49">
        <f>IFERROR(IF(Data_Entry!AB556/Data_Entry!$H556&lt;0,0,Data_Entry!AB556/Data_Entry!$H556),0)</f>
        <v>0</v>
      </c>
      <c r="X567" s="49">
        <f>IFERROR(IF(Data_Entry!AC556/Data_Entry!$I556&lt;0,0,Data_Entry!AC556/Data_Entry!$I556),0)</f>
        <v>0</v>
      </c>
      <c r="Y567" s="49">
        <f>IFERROR(IF(Data_Entry!AD556/Data_Entry!$I556&lt;0,0,Data_Entry!AD556/Data_Entry!$I556),0)</f>
        <v>0</v>
      </c>
      <c r="Z567" s="49">
        <f>IFERROR(IF(Data_Entry!AE556/Data_Entry!$I556&lt;0,0,Data_Entry!AE556/Data_Entry!$I556),0)</f>
        <v>0</v>
      </c>
      <c r="AA567" s="49">
        <f>IFERROR(IF(Data_Entry!AF556/Data_Entry!$I556&lt;0,0,Data_Entry!AF556/Data_Entry!$I556),0)</f>
        <v>0</v>
      </c>
      <c r="AB567" s="49">
        <f>IFERROR(IF(Data_Entry!AG556/Data_Entry!$I556&lt;0,0,Data_Entry!AG556/Data_Entry!$I556),0)</f>
        <v>0</v>
      </c>
      <c r="AC567" s="49">
        <f>IFERROR(IF(Data_Entry!AI556/Data_Entry!$I556&lt;0,0,Data_Entry!AI556/Data_Entry!$I556),0)</f>
        <v>0</v>
      </c>
      <c r="AD567" s="49">
        <f>IFERROR(IF(Data_Entry!AM556/Data_Entry!$H556&lt;0,0,Data_Entry!AM556/Data_Entry!$H556),0)</f>
        <v>0</v>
      </c>
      <c r="AE567" s="50">
        <f>Data_Entry!AK556</f>
        <v>0</v>
      </c>
      <c r="AF567" s="50">
        <f>Data_Entry!AL556</f>
        <v>0</v>
      </c>
      <c r="AG567" s="153" t="e">
        <f>(Data_Entry!O556-Data_Entry!Q556)/Data_Entry!O556</f>
        <v>#VALUE!</v>
      </c>
      <c r="AH567" s="79" t="str">
        <f t="shared" si="16"/>
        <v>ND</v>
      </c>
      <c r="AI567" s="51">
        <f>SUBTOTAL(3,Tableau1[[#This Row],[ZS]])</f>
        <v>0</v>
      </c>
      <c r="AJ567" s="51" t="e">
        <f t="shared" ca="1" si="17"/>
        <v>#NAME?</v>
      </c>
      <c r="AK567" s="50" t="str">
        <f>IFERROR(IF((Data_Entry!O556-Data_Entry!Q556)/Data_Entry!O556&lt;=10%,"&lt;=10%","&gt;10%"),"&lt;=10%")</f>
        <v>&lt;=10%</v>
      </c>
    </row>
    <row r="568" spans="1:37" s="48" customFormat="1" ht="13" hidden="1" x14ac:dyDescent="0.3">
      <c r="A568" s="31" t="s">
        <v>16</v>
      </c>
      <c r="B568" s="48" t="str">
        <f>Data_Entry!B557</f>
        <v>Butembo</v>
      </c>
      <c r="C568" s="48" t="str">
        <f>Data_Entry!C557</f>
        <v xml:space="preserve"> Oicha</v>
      </c>
      <c r="D568" s="48" t="str">
        <f>Data_Entry!D557</f>
        <v xml:space="preserve"> Bayeti</v>
      </c>
      <c r="E568" s="49">
        <f>IFERROR(IF(Data_Entry!J557/Data_Entry!$I557&lt;0,0,Data_Entry!J557/Data_Entry!$I557),0)</f>
        <v>0</v>
      </c>
      <c r="F568" s="49">
        <f>IFERROR(IF(Data_Entry!K557/Data_Entry!$H557&lt;0,0,Data_Entry!K557/Data_Entry!$H557),0)</f>
        <v>0</v>
      </c>
      <c r="G568" s="49">
        <f>IFERROR(IF(Data_Entry!L557/Data_Entry!$H557&lt;0,0,Data_Entry!L557/Data_Entry!$H557),0)</f>
        <v>0</v>
      </c>
      <c r="H568" s="49">
        <f>IFERROR(IF(Data_Entry!M557/Data_Entry!$H557&lt;0,0,Data_Entry!M557/Data_Entry!$H557),0)</f>
        <v>0</v>
      </c>
      <c r="I568" s="49">
        <f>IFERROR(IF(Data_Entry!N557/Data_Entry!$H557&lt;0,0,Data_Entry!N557/Data_Entry!$H557),0)</f>
        <v>0</v>
      </c>
      <c r="J568" s="49">
        <f>IFERROR(IF(Data_Entry!O557/Data_Entry!$H557&lt;0,0,Data_Entry!O557/Data_Entry!$H557),0)</f>
        <v>0</v>
      </c>
      <c r="K568" s="49">
        <f>IFERROR(IF(Data_Entry!P557/Data_Entry!$H557&lt;0,0,Data_Entry!P557/Data_Entry!$H557),0)</f>
        <v>0</v>
      </c>
      <c r="L568" s="49">
        <f>IFERROR(IF(Data_Entry!Q557/Data_Entry!$H557&lt;0,0,Data_Entry!Q557/Data_Entry!$H557),0)</f>
        <v>0</v>
      </c>
      <c r="M568" s="49">
        <f>IFERROR(IF(Data_Entry!R557/Data_Entry!$H557&lt;0,0,Data_Entry!R557/Data_Entry!$H557),0)</f>
        <v>0</v>
      </c>
      <c r="N568" s="49">
        <f>IFERROR(IF(Data_Entry!S557/Data_Entry!$H557&lt;0,0,Data_Entry!S557/Data_Entry!$H557),0)</f>
        <v>0</v>
      </c>
      <c r="O568" s="49">
        <f>IFERROR(IF(Data_Entry!T557/Data_Entry!$H557&lt;0,0,Data_Entry!T557/Data_Entry!$H557),0)</f>
        <v>0</v>
      </c>
      <c r="P568" s="49">
        <f>IFERROR(IF(Data_Entry!U557/Data_Entry!$H557&lt;0,0,Data_Entry!U557/Data_Entry!$H557),0)</f>
        <v>0</v>
      </c>
      <c r="Q568" s="49">
        <f>IFERROR(IF(Data_Entry!V557/Data_Entry!$H557&lt;0,0,Data_Entry!V557/Data_Entry!$H557),0)</f>
        <v>0</v>
      </c>
      <c r="R568" s="49">
        <f>IFERROR(IF(Data_Entry!W557/Data_Entry!$H557&lt;0,0,Data_Entry!W557/Data_Entry!$H557),0)</f>
        <v>0</v>
      </c>
      <c r="S568" s="49">
        <f>IFERROR(IF(Data_Entry!X557/Data_Entry!$H557&lt;0,0,Data_Entry!X557/Data_Entry!$H557),0)</f>
        <v>0</v>
      </c>
      <c r="T568" s="49">
        <f>IFERROR(IF(Data_Entry!Y557/Data_Entry!$H557&lt;0,0,Data_Entry!Y557/Data_Entry!$H557),0)</f>
        <v>0</v>
      </c>
      <c r="U568" s="49">
        <f>IFERROR(IF(Data_Entry!Z557/Data_Entry!$H557&lt;0,0,Data_Entry!Z557/Data_Entry!$H557),0)</f>
        <v>0</v>
      </c>
      <c r="V568" s="49">
        <f>IFERROR(IF(Data_Entry!AA557/Data_Entry!$H557&lt;0,0,Data_Entry!AA557/Data_Entry!$H557),0)</f>
        <v>0</v>
      </c>
      <c r="W568" s="49">
        <f>IFERROR(IF(Data_Entry!AB557/Data_Entry!$H557&lt;0,0,Data_Entry!AB557/Data_Entry!$H557),0)</f>
        <v>0</v>
      </c>
      <c r="X568" s="49">
        <f>IFERROR(IF(Data_Entry!AC557/Data_Entry!$I557&lt;0,0,Data_Entry!AC557/Data_Entry!$I557),0)</f>
        <v>0</v>
      </c>
      <c r="Y568" s="49">
        <f>IFERROR(IF(Data_Entry!AD557/Data_Entry!$I557&lt;0,0,Data_Entry!AD557/Data_Entry!$I557),0)</f>
        <v>0</v>
      </c>
      <c r="Z568" s="49">
        <f>IFERROR(IF(Data_Entry!AE557/Data_Entry!$I557&lt;0,0,Data_Entry!AE557/Data_Entry!$I557),0)</f>
        <v>0</v>
      </c>
      <c r="AA568" s="49">
        <f>IFERROR(IF(Data_Entry!AF557/Data_Entry!$I557&lt;0,0,Data_Entry!AF557/Data_Entry!$I557),0)</f>
        <v>0</v>
      </c>
      <c r="AB568" s="49">
        <f>IFERROR(IF(Data_Entry!AG557/Data_Entry!$I557&lt;0,0,Data_Entry!AG557/Data_Entry!$I557),0)</f>
        <v>0</v>
      </c>
      <c r="AC568" s="49">
        <f>IFERROR(IF(Data_Entry!AI557/Data_Entry!$I557&lt;0,0,Data_Entry!AI557/Data_Entry!$I557),0)</f>
        <v>0</v>
      </c>
      <c r="AD568" s="49">
        <f>IFERROR(IF(Data_Entry!AM557/Data_Entry!$H557&lt;0,0,Data_Entry!AM557/Data_Entry!$H557),0)</f>
        <v>0</v>
      </c>
      <c r="AE568" s="50">
        <f>Data_Entry!AK557</f>
        <v>0</v>
      </c>
      <c r="AF568" s="50">
        <f>Data_Entry!AL557</f>
        <v>0</v>
      </c>
      <c r="AG568" s="153" t="e">
        <f>(Data_Entry!O557-Data_Entry!Q557)/Data_Entry!O557</f>
        <v>#VALUE!</v>
      </c>
      <c r="AH568" s="79" t="str">
        <f t="shared" si="16"/>
        <v>ND</v>
      </c>
      <c r="AI568" s="51">
        <f>SUBTOTAL(3,Tableau1[[#This Row],[ZS]])</f>
        <v>0</v>
      </c>
      <c r="AJ568" s="51" t="e">
        <f t="shared" ca="1" si="17"/>
        <v>#NAME?</v>
      </c>
      <c r="AK568" s="50" t="str">
        <f>IFERROR(IF((Data_Entry!O557-Data_Entry!Q557)/Data_Entry!O557&lt;=10%,"&lt;=10%","&gt;10%"),"&lt;=10%")</f>
        <v>&lt;=10%</v>
      </c>
    </row>
    <row r="569" spans="1:37" s="48" customFormat="1" ht="13" hidden="1" x14ac:dyDescent="0.3">
      <c r="A569" s="31" t="s">
        <v>16</v>
      </c>
      <c r="B569" s="48" t="str">
        <f>Data_Entry!B558</f>
        <v>Butembo</v>
      </c>
      <c r="C569" s="48" t="str">
        <f>Data_Entry!C558</f>
        <v xml:space="preserve"> Oicha</v>
      </c>
      <c r="D569" s="48" t="str">
        <f>Data_Entry!D558</f>
        <v xml:space="preserve"> Bunzumu</v>
      </c>
      <c r="E569" s="49">
        <f>IFERROR(IF(Data_Entry!J558/Data_Entry!$I558&lt;0,0,Data_Entry!J558/Data_Entry!$I558),0)</f>
        <v>0</v>
      </c>
      <c r="F569" s="49">
        <f>IFERROR(IF(Data_Entry!K558/Data_Entry!$H558&lt;0,0,Data_Entry!K558/Data_Entry!$H558),0)</f>
        <v>0</v>
      </c>
      <c r="G569" s="49">
        <f>IFERROR(IF(Data_Entry!L558/Data_Entry!$H558&lt;0,0,Data_Entry!L558/Data_Entry!$H558),0)</f>
        <v>0</v>
      </c>
      <c r="H569" s="49">
        <f>IFERROR(IF(Data_Entry!M558/Data_Entry!$H558&lt;0,0,Data_Entry!M558/Data_Entry!$H558),0)</f>
        <v>0</v>
      </c>
      <c r="I569" s="49">
        <f>IFERROR(IF(Data_Entry!N558/Data_Entry!$H558&lt;0,0,Data_Entry!N558/Data_Entry!$H558),0)</f>
        <v>0</v>
      </c>
      <c r="J569" s="49">
        <f>IFERROR(IF(Data_Entry!O558/Data_Entry!$H558&lt;0,0,Data_Entry!O558/Data_Entry!$H558),0)</f>
        <v>0</v>
      </c>
      <c r="K569" s="49">
        <f>IFERROR(IF(Data_Entry!P558/Data_Entry!$H558&lt;0,0,Data_Entry!P558/Data_Entry!$H558),0)</f>
        <v>0</v>
      </c>
      <c r="L569" s="49">
        <f>IFERROR(IF(Data_Entry!Q558/Data_Entry!$H558&lt;0,0,Data_Entry!Q558/Data_Entry!$H558),0)</f>
        <v>0</v>
      </c>
      <c r="M569" s="49">
        <f>IFERROR(IF(Data_Entry!R558/Data_Entry!$H558&lt;0,0,Data_Entry!R558/Data_Entry!$H558),0)</f>
        <v>0</v>
      </c>
      <c r="N569" s="49">
        <f>IFERROR(IF(Data_Entry!S558/Data_Entry!$H558&lt;0,0,Data_Entry!S558/Data_Entry!$H558),0)</f>
        <v>0</v>
      </c>
      <c r="O569" s="49">
        <f>IFERROR(IF(Data_Entry!T558/Data_Entry!$H558&lt;0,0,Data_Entry!T558/Data_Entry!$H558),0)</f>
        <v>0</v>
      </c>
      <c r="P569" s="49">
        <f>IFERROR(IF(Data_Entry!U558/Data_Entry!$H558&lt;0,0,Data_Entry!U558/Data_Entry!$H558),0)</f>
        <v>0</v>
      </c>
      <c r="Q569" s="49">
        <f>IFERROR(IF(Data_Entry!V558/Data_Entry!$H558&lt;0,0,Data_Entry!V558/Data_Entry!$H558),0)</f>
        <v>0</v>
      </c>
      <c r="R569" s="49">
        <f>IFERROR(IF(Data_Entry!W558/Data_Entry!$H558&lt;0,0,Data_Entry!W558/Data_Entry!$H558),0)</f>
        <v>0</v>
      </c>
      <c r="S569" s="49">
        <f>IFERROR(IF(Data_Entry!X558/Data_Entry!$H558&lt;0,0,Data_Entry!X558/Data_Entry!$H558),0)</f>
        <v>0</v>
      </c>
      <c r="T569" s="49">
        <f>IFERROR(IF(Data_Entry!Y558/Data_Entry!$H558&lt;0,0,Data_Entry!Y558/Data_Entry!$H558),0)</f>
        <v>0</v>
      </c>
      <c r="U569" s="49">
        <f>IFERROR(IF(Data_Entry!Z558/Data_Entry!$H558&lt;0,0,Data_Entry!Z558/Data_Entry!$H558),0)</f>
        <v>0</v>
      </c>
      <c r="V569" s="49">
        <f>IFERROR(IF(Data_Entry!AA558/Data_Entry!$H558&lt;0,0,Data_Entry!AA558/Data_Entry!$H558),0)</f>
        <v>0</v>
      </c>
      <c r="W569" s="49">
        <f>IFERROR(IF(Data_Entry!AB558/Data_Entry!$H558&lt;0,0,Data_Entry!AB558/Data_Entry!$H558),0)</f>
        <v>0</v>
      </c>
      <c r="X569" s="49">
        <f>IFERROR(IF(Data_Entry!AC558/Data_Entry!$I558&lt;0,0,Data_Entry!AC558/Data_Entry!$I558),0)</f>
        <v>0</v>
      </c>
      <c r="Y569" s="49">
        <f>IFERROR(IF(Data_Entry!AD558/Data_Entry!$I558&lt;0,0,Data_Entry!AD558/Data_Entry!$I558),0)</f>
        <v>0</v>
      </c>
      <c r="Z569" s="49">
        <f>IFERROR(IF(Data_Entry!AE558/Data_Entry!$I558&lt;0,0,Data_Entry!AE558/Data_Entry!$I558),0)</f>
        <v>0</v>
      </c>
      <c r="AA569" s="49">
        <f>IFERROR(IF(Data_Entry!AF558/Data_Entry!$I558&lt;0,0,Data_Entry!AF558/Data_Entry!$I558),0)</f>
        <v>0</v>
      </c>
      <c r="AB569" s="49">
        <f>IFERROR(IF(Data_Entry!AG558/Data_Entry!$I558&lt;0,0,Data_Entry!AG558/Data_Entry!$I558),0)</f>
        <v>0</v>
      </c>
      <c r="AC569" s="49">
        <f>IFERROR(IF(Data_Entry!AI558/Data_Entry!$I558&lt;0,0,Data_Entry!AI558/Data_Entry!$I558),0)</f>
        <v>0</v>
      </c>
      <c r="AD569" s="49">
        <f>IFERROR(IF(Data_Entry!AM558/Data_Entry!$H558&lt;0,0,Data_Entry!AM558/Data_Entry!$H558),0)</f>
        <v>0</v>
      </c>
      <c r="AE569" s="50">
        <f>Data_Entry!AK558</f>
        <v>0</v>
      </c>
      <c r="AF569" s="50">
        <f>Data_Entry!AL558</f>
        <v>0</v>
      </c>
      <c r="AG569" s="153" t="e">
        <f>(Data_Entry!O558-Data_Entry!Q558)/Data_Entry!O558</f>
        <v>#VALUE!</v>
      </c>
      <c r="AH569" s="79" t="str">
        <f t="shared" si="16"/>
        <v>ND</v>
      </c>
      <c r="AI569" s="51">
        <f>SUBTOTAL(3,Tableau1[[#This Row],[ZS]])</f>
        <v>0</v>
      </c>
      <c r="AJ569" s="51" t="e">
        <f t="shared" ca="1" si="17"/>
        <v>#NAME?</v>
      </c>
      <c r="AK569" s="50" t="str">
        <f>IFERROR(IF((Data_Entry!O558-Data_Entry!Q558)/Data_Entry!O558&lt;=10%,"&lt;=10%","&gt;10%"),"&lt;=10%")</f>
        <v>&lt;=10%</v>
      </c>
    </row>
    <row r="570" spans="1:37" s="48" customFormat="1" ht="13" hidden="1" x14ac:dyDescent="0.3">
      <c r="A570" s="31" t="s">
        <v>16</v>
      </c>
      <c r="B570" s="48" t="str">
        <f>Data_Entry!B559</f>
        <v>Butembo</v>
      </c>
      <c r="C570" s="48" t="str">
        <f>Data_Entry!C559</f>
        <v xml:space="preserve"> Oicha</v>
      </c>
      <c r="D570" s="48" t="str">
        <f>Data_Entry!D559</f>
        <v xml:space="preserve"> Eringeti</v>
      </c>
      <c r="E570" s="49">
        <f>IFERROR(IF(Data_Entry!J559/Data_Entry!$I559&lt;0,0,Data_Entry!J559/Data_Entry!$I559),0)</f>
        <v>0.6585670489383445</v>
      </c>
      <c r="F570" s="49">
        <f>IFERROR(IF(Data_Entry!K559/Data_Entry!$H559&lt;0,0,Data_Entry!K559/Data_Entry!$H559),0)</f>
        <v>1.0970695035174871</v>
      </c>
      <c r="G570" s="49">
        <f>IFERROR(IF(Data_Entry!L559/Data_Entry!$H559&lt;0,0,Data_Entry!L559/Data_Entry!$H559),0)</f>
        <v>1.086658405026218</v>
      </c>
      <c r="H570" s="49">
        <f>IFERROR(IF(Data_Entry!M559/Data_Entry!$H559&lt;0,0,Data_Entry!M559/Data_Entry!$H559),0)</f>
        <v>0.99425990591620428</v>
      </c>
      <c r="I570" s="49">
        <f>IFERROR(IF(Data_Entry!N559/Data_Entry!$H559&lt;0,0,Data_Entry!N559/Data_Entry!$H559),0)</f>
        <v>0.96953354699944005</v>
      </c>
      <c r="J570" s="49">
        <f>IFERROR(IF(Data_Entry!O559/Data_Entry!$H559&lt;0,0,Data_Entry!O559/Data_Entry!$H559),0)</f>
        <v>1.2779623398032889</v>
      </c>
      <c r="K570" s="49">
        <f>IFERROR(IF(Data_Entry!P559/Data_Entry!$H559&lt;0,0,Data_Entry!P559/Data_Entry!$H559),0)</f>
        <v>1.1517277705966502</v>
      </c>
      <c r="L570" s="49">
        <f>IFERROR(IF(Data_Entry!Q559/Data_Entry!$H559&lt;0,0,Data_Entry!Q559/Data_Entry!$H559),0)</f>
        <v>1.2987845367858271</v>
      </c>
      <c r="M570" s="49">
        <f>IFERROR(IF(Data_Entry!R559/Data_Entry!$H559&lt;0,0,Data_Entry!R559/Data_Entry!$H559),0)</f>
        <v>1.1582347071536936</v>
      </c>
      <c r="N570" s="49">
        <f>IFERROR(IF(Data_Entry!S559/Data_Entry!$H559&lt;0,0,Data_Entry!S559/Data_Entry!$H559),0)</f>
        <v>0.88494337175787818</v>
      </c>
      <c r="O570" s="49">
        <f>IFERROR(IF(Data_Entry!T559/Data_Entry!$H559&lt;0,0,Data_Entry!T559/Data_Entry!$H559),0)</f>
        <v>0.85761423821829663</v>
      </c>
      <c r="P570" s="49">
        <f>IFERROR(IF(Data_Entry!U559/Data_Entry!$H559&lt;0,0,Data_Entry!U559/Data_Entry!$H559),0)</f>
        <v>1.0853570177148095</v>
      </c>
      <c r="Q570" s="49">
        <f>IFERROR(IF(Data_Entry!V559/Data_Entry!$H559&lt;0,0,Data_Entry!V559/Data_Entry!$H559),0)</f>
        <v>0.82507955543308054</v>
      </c>
      <c r="R570" s="49">
        <f>IFERROR(IF(Data_Entry!W559/Data_Entry!$H559&lt;0,0,Data_Entry!W559/Data_Entry!$H559),0)</f>
        <v>0.81987400618744599</v>
      </c>
      <c r="S570" s="49">
        <f>IFERROR(IF(Data_Entry!X559/Data_Entry!$H559&lt;0,0,Data_Entry!X559/Data_Entry!$H559),0)</f>
        <v>0.97604048355648332</v>
      </c>
      <c r="T570" s="49">
        <f>IFERROR(IF(Data_Entry!Y559/Data_Entry!$H559&lt;0,0,Data_Entry!Y559/Data_Entry!$H559),0)</f>
        <v>0.18089283628580158</v>
      </c>
      <c r="U570" s="49">
        <f>IFERROR(IF(Data_Entry!Z559/Data_Entry!$H559&lt;0,0,Data_Entry!Z559/Data_Entry!$H559),0)</f>
        <v>1.0619320461094539</v>
      </c>
      <c r="V570" s="49">
        <f>IFERROR(IF(Data_Entry!AA559/Data_Entry!$H559&lt;0,0,Data_Entry!AA559/Data_Entry!$H559),0)</f>
        <v>1.3898816485844323</v>
      </c>
      <c r="W570" s="49">
        <f>IFERROR(IF(Data_Entry!AB559/Data_Entry!$H559&lt;0,0,Data_Entry!AB559/Data_Entry!$H559),0)</f>
        <v>0.78083238684518663</v>
      </c>
      <c r="X570" s="49">
        <f>IFERROR(IF(Data_Entry!AC559/Data_Entry!$I559&lt;0,0,Data_Entry!AC559/Data_Entry!$I559),0)</f>
        <v>0.3440445100488248</v>
      </c>
      <c r="Y570" s="49">
        <f>IFERROR(IF(Data_Entry!AD559/Data_Entry!$I559&lt;0,0,Data_Entry!AD559/Data_Entry!$I559),0)</f>
        <v>0.29181333030543888</v>
      </c>
      <c r="Z570" s="49">
        <f>IFERROR(IF(Data_Entry!AE559/Data_Entry!$I559&lt;0,0,Data_Entry!AE559/Data_Entry!$I559),0)</f>
        <v>0.33041898489837634</v>
      </c>
      <c r="AA570" s="49">
        <f>IFERROR(IF(Data_Entry!AF559/Data_Entry!$I559&lt;0,0,Data_Entry!AF559/Data_Entry!$I559),0)</f>
        <v>0.17145452480981038</v>
      </c>
      <c r="AB570" s="49">
        <f>IFERROR(IF(Data_Entry!AG559/Data_Entry!$I559&lt;0,0,Data_Entry!AG559/Data_Entry!$I559),0)</f>
        <v>0.18621551038946293</v>
      </c>
      <c r="AC570" s="49">
        <f>IFERROR(IF(Data_Entry!AI559/Data_Entry!$I559&lt;0,0,Data_Entry!AI559/Data_Entry!$I559),0)</f>
        <v>8.5159532190303172E-2</v>
      </c>
      <c r="AD570" s="49">
        <f>IFERROR(IF(Data_Entry!AM559/Data_Entry!$H559&lt;0,0,Data_Entry!AM559/Data_Entry!$H559),0)</f>
        <v>0.97604048355648332</v>
      </c>
      <c r="AE570" s="50">
        <f>Data_Entry!AK559</f>
        <v>0</v>
      </c>
      <c r="AF570" s="50">
        <f>Data_Entry!AL559</f>
        <v>232</v>
      </c>
      <c r="AG570" s="153">
        <f>(Data_Entry!O559-Data_Entry!Q559)/Data_Entry!O559</f>
        <v>-1.6293279022403257E-2</v>
      </c>
      <c r="AH570" s="79" t="str">
        <f t="shared" si="16"/>
        <v>CAT1</v>
      </c>
      <c r="AI570" s="51">
        <f>SUBTOTAL(3,Tableau1[[#This Row],[ZS]])</f>
        <v>0</v>
      </c>
      <c r="AJ570" s="51" t="e">
        <f t="shared" ca="1" si="17"/>
        <v>#NAME?</v>
      </c>
      <c r="AK570" s="50" t="str">
        <f>IFERROR(IF((Data_Entry!O559-Data_Entry!Q559)/Data_Entry!O559&lt;=10%,"&lt;=10%","&gt;10%"),"&lt;=10%")</f>
        <v>&lt;=10%</v>
      </c>
    </row>
    <row r="571" spans="1:37" s="48" customFormat="1" ht="13" hidden="1" x14ac:dyDescent="0.3">
      <c r="A571" s="31" t="s">
        <v>16</v>
      </c>
      <c r="B571" s="48" t="str">
        <f>Data_Entry!B560</f>
        <v>Butembo</v>
      </c>
      <c r="C571" s="48" t="str">
        <f>Data_Entry!C560</f>
        <v xml:space="preserve"> Oicha</v>
      </c>
      <c r="D571" s="48" t="str">
        <f>Data_Entry!D560</f>
        <v xml:space="preserve"> Kainama</v>
      </c>
      <c r="E571" s="49">
        <f>IFERROR(IF(Data_Entry!J560/Data_Entry!$I560&lt;0,0,Data_Entry!J560/Data_Entry!$I560),0)</f>
        <v>0.55973813420621921</v>
      </c>
      <c r="F571" s="49">
        <f>IFERROR(IF(Data_Entry!K560/Data_Entry!$H560&lt;0,0,Data_Entry!K560/Data_Entry!$H560),0)</f>
        <v>4.501990724023279E-2</v>
      </c>
      <c r="G571" s="49">
        <f>IFERROR(IF(Data_Entry!L560/Data_Entry!$H560&lt;0,0,Data_Entry!L560/Data_Entry!$H560),0)</f>
        <v>0.20258958258104756</v>
      </c>
      <c r="H571" s="49">
        <f>IFERROR(IF(Data_Entry!M560/Data_Entry!$H560&lt;0,0,Data_Entry!M560/Data_Entry!$H560),0)</f>
        <v>0.19133460577098937</v>
      </c>
      <c r="I571" s="49">
        <f>IFERROR(IF(Data_Entry!N560/Data_Entry!$H560&lt;0,0,Data_Entry!N560/Data_Entry!$H560),0)</f>
        <v>0.11536351230309654</v>
      </c>
      <c r="J571" s="49">
        <f>IFERROR(IF(Data_Entry!O560/Data_Entry!$H560&lt;0,0,Data_Entry!O560/Data_Entry!$H560),0)</f>
        <v>0.52898391007273526</v>
      </c>
      <c r="K571" s="49">
        <f>IFERROR(IF(Data_Entry!P560/Data_Entry!$H560&lt;0,0,Data_Entry!P560/Data_Entry!$H560),0)</f>
        <v>0.39673793255455148</v>
      </c>
      <c r="L571" s="49">
        <f>IFERROR(IF(Data_Entry!Q560/Data_Entry!$H560&lt;0,0,Data_Entry!Q560/Data_Entry!$H560),0)</f>
        <v>0.32076683908665865</v>
      </c>
      <c r="M571" s="49">
        <f>IFERROR(IF(Data_Entry!R560/Data_Entry!$H560&lt;0,0,Data_Entry!R560/Data_Entry!$H560),0)</f>
        <v>0.57400381731296812</v>
      </c>
      <c r="N571" s="49">
        <f>IFERROR(IF(Data_Entry!S560/Data_Entry!$H560&lt;0,0,Data_Entry!S560/Data_Entry!$H560),0)</f>
        <v>0.44175783979478428</v>
      </c>
      <c r="O571" s="49">
        <f>IFERROR(IF(Data_Entry!T560/Data_Entry!$H560&lt;0,0,Data_Entry!T560/Data_Entry!$H560),0)</f>
        <v>0.33202181589671687</v>
      </c>
      <c r="P571" s="49">
        <f>IFERROR(IF(Data_Entry!U560/Data_Entry!$H560&lt;0,0,Data_Entry!U560/Data_Entry!$H560),0)</f>
        <v>0.26449195503636763</v>
      </c>
      <c r="Q571" s="49">
        <f>IFERROR(IF(Data_Entry!V560/Data_Entry!$H560&lt;0,0,Data_Entry!V560/Data_Entry!$H560),0)</f>
        <v>0.27574693184642585</v>
      </c>
      <c r="R571" s="49">
        <f>IFERROR(IF(Data_Entry!W560/Data_Entry!$H560&lt;0,0,Data_Entry!W560/Data_Entry!$H560),0)</f>
        <v>0.26449195503636763</v>
      </c>
      <c r="S571" s="49">
        <f>IFERROR(IF(Data_Entry!X560/Data_Entry!$H560&lt;0,0,Data_Entry!X560/Data_Entry!$H560),0)</f>
        <v>0.34046304850426051</v>
      </c>
      <c r="T571" s="49">
        <f>IFERROR(IF(Data_Entry!Y560/Data_Entry!$H560&lt;0,0,Data_Entry!Y560/Data_Entry!$H560),0)</f>
        <v>5.9088628252805538E-2</v>
      </c>
      <c r="U571" s="49">
        <f>IFERROR(IF(Data_Entry!Z560/Data_Entry!$H560&lt;0,0,Data_Entry!Z560/Data_Entry!$H560),0)</f>
        <v>0.27293318764391133</v>
      </c>
      <c r="V571" s="49">
        <f>IFERROR(IF(Data_Entry!AA560/Data_Entry!$H560&lt;0,0,Data_Entry!AA560/Data_Entry!$H560),0)</f>
        <v>0.30107062966905679</v>
      </c>
      <c r="W571" s="49">
        <f>IFERROR(IF(Data_Entry!AB560/Data_Entry!$H560&lt;0,0,Data_Entry!AB560/Data_Entry!$H560),0)</f>
        <v>0.14631469853075657</v>
      </c>
      <c r="X571" s="49">
        <f>IFERROR(IF(Data_Entry!AC560/Data_Entry!$I560&lt;0,0,Data_Entry!AC560/Data_Entry!$I560),0)</f>
        <v>4.6644844517184939E-2</v>
      </c>
      <c r="Y571" s="49">
        <f>IFERROR(IF(Data_Entry!AD560/Data_Entry!$I560&lt;0,0,Data_Entry!AD560/Data_Entry!$I560),0)</f>
        <v>2.2094926350245497E-2</v>
      </c>
      <c r="Z571" s="49">
        <f>IFERROR(IF(Data_Entry!AE560/Data_Entry!$I560&lt;0,0,Data_Entry!AE560/Data_Entry!$I560),0)</f>
        <v>7.3649754500818322E-3</v>
      </c>
      <c r="AA571" s="49">
        <f>IFERROR(IF(Data_Entry!AF560/Data_Entry!$I560&lt;0,0,Data_Entry!AF560/Data_Entry!$I560),0)</f>
        <v>1.2274959083469721E-2</v>
      </c>
      <c r="AB571" s="49">
        <f>IFERROR(IF(Data_Entry!AG560/Data_Entry!$I560&lt;0,0,Data_Entry!AG560/Data_Entry!$I560),0)</f>
        <v>7.3649754500818322E-3</v>
      </c>
      <c r="AC571" s="49">
        <f>IFERROR(IF(Data_Entry!AI560/Data_Entry!$I560&lt;0,0,Data_Entry!AI560/Data_Entry!$I560),0)</f>
        <v>0.10237315875613748</v>
      </c>
      <c r="AD571" s="49">
        <f>IFERROR(IF(Data_Entry!AM560/Data_Entry!$H560&lt;0,0,Data_Entry!AM560/Data_Entry!$H560),0)</f>
        <v>0.27293318764391133</v>
      </c>
      <c r="AE571" s="50">
        <f>Data_Entry!AK560</f>
        <v>167.39833333333331</v>
      </c>
      <c r="AF571" s="50">
        <f>Data_Entry!AL560</f>
        <v>67</v>
      </c>
      <c r="AG571" s="153">
        <f>(Data_Entry!O560-Data_Entry!Q560)/Data_Entry!O560</f>
        <v>0.39361702127659576</v>
      </c>
      <c r="AH571" s="79" t="str">
        <f t="shared" si="16"/>
        <v>CAT4</v>
      </c>
      <c r="AI571" s="51">
        <f>SUBTOTAL(3,Tableau1[[#This Row],[ZS]])</f>
        <v>0</v>
      </c>
      <c r="AJ571" s="51" t="e">
        <f t="shared" ca="1" si="17"/>
        <v>#NAME?</v>
      </c>
      <c r="AK571" s="50" t="str">
        <f>IFERROR(IF((Data_Entry!O560-Data_Entry!Q560)/Data_Entry!O560&lt;=10%,"&lt;=10%","&gt;10%"),"&lt;=10%")</f>
        <v>&gt;10%</v>
      </c>
    </row>
    <row r="572" spans="1:37" s="48" customFormat="1" ht="13" hidden="1" x14ac:dyDescent="0.3">
      <c r="A572" s="31" t="s">
        <v>16</v>
      </c>
      <c r="B572" s="48" t="str">
        <f>Data_Entry!B561</f>
        <v>Butembo</v>
      </c>
      <c r="C572" s="48" t="str">
        <f>Data_Entry!C561</f>
        <v xml:space="preserve"> Oicha</v>
      </c>
      <c r="D572" s="48" t="str">
        <f>Data_Entry!D561</f>
        <v xml:space="preserve"> Kithevya</v>
      </c>
      <c r="E572" s="49">
        <f>IFERROR(IF(Data_Entry!J561/Data_Entry!$I561&lt;0,0,Data_Entry!J561/Data_Entry!$I561),0)</f>
        <v>0</v>
      </c>
      <c r="F572" s="49">
        <f>IFERROR(IF(Data_Entry!K561/Data_Entry!$H561&lt;0,0,Data_Entry!K561/Data_Entry!$H561),0)</f>
        <v>0</v>
      </c>
      <c r="G572" s="49">
        <f>IFERROR(IF(Data_Entry!L561/Data_Entry!$H561&lt;0,0,Data_Entry!L561/Data_Entry!$H561),0)</f>
        <v>0</v>
      </c>
      <c r="H572" s="49">
        <f>IFERROR(IF(Data_Entry!M561/Data_Entry!$H561&lt;0,0,Data_Entry!M561/Data_Entry!$H561),0)</f>
        <v>0</v>
      </c>
      <c r="I572" s="49">
        <f>IFERROR(IF(Data_Entry!N561/Data_Entry!$H561&lt;0,0,Data_Entry!N561/Data_Entry!$H561),0)</f>
        <v>0</v>
      </c>
      <c r="J572" s="49">
        <f>IFERROR(IF(Data_Entry!O561/Data_Entry!$H561&lt;0,0,Data_Entry!O561/Data_Entry!$H561),0)</f>
        <v>0</v>
      </c>
      <c r="K572" s="49">
        <f>IFERROR(IF(Data_Entry!P561/Data_Entry!$H561&lt;0,0,Data_Entry!P561/Data_Entry!$H561),0)</f>
        <v>0</v>
      </c>
      <c r="L572" s="49">
        <f>IFERROR(IF(Data_Entry!Q561/Data_Entry!$H561&lt;0,0,Data_Entry!Q561/Data_Entry!$H561),0)</f>
        <v>0</v>
      </c>
      <c r="M572" s="49">
        <f>IFERROR(IF(Data_Entry!R561/Data_Entry!$H561&lt;0,0,Data_Entry!R561/Data_Entry!$H561),0)</f>
        <v>0</v>
      </c>
      <c r="N572" s="49">
        <f>IFERROR(IF(Data_Entry!S561/Data_Entry!$H561&lt;0,0,Data_Entry!S561/Data_Entry!$H561),0)</f>
        <v>0</v>
      </c>
      <c r="O572" s="49">
        <f>IFERROR(IF(Data_Entry!T561/Data_Entry!$H561&lt;0,0,Data_Entry!T561/Data_Entry!$H561),0)</f>
        <v>0</v>
      </c>
      <c r="P572" s="49">
        <f>IFERROR(IF(Data_Entry!U561/Data_Entry!$H561&lt;0,0,Data_Entry!U561/Data_Entry!$H561),0)</f>
        <v>0</v>
      </c>
      <c r="Q572" s="49">
        <f>IFERROR(IF(Data_Entry!V561/Data_Entry!$H561&lt;0,0,Data_Entry!V561/Data_Entry!$H561),0)</f>
        <v>0</v>
      </c>
      <c r="R572" s="49">
        <f>IFERROR(IF(Data_Entry!W561/Data_Entry!$H561&lt;0,0,Data_Entry!W561/Data_Entry!$H561),0)</f>
        <v>0</v>
      </c>
      <c r="S572" s="49">
        <f>IFERROR(IF(Data_Entry!X561/Data_Entry!$H561&lt;0,0,Data_Entry!X561/Data_Entry!$H561),0)</f>
        <v>0</v>
      </c>
      <c r="T572" s="49">
        <f>IFERROR(IF(Data_Entry!Y561/Data_Entry!$H561&lt;0,0,Data_Entry!Y561/Data_Entry!$H561),0)</f>
        <v>0</v>
      </c>
      <c r="U572" s="49">
        <f>IFERROR(IF(Data_Entry!Z561/Data_Entry!$H561&lt;0,0,Data_Entry!Z561/Data_Entry!$H561),0)</f>
        <v>0</v>
      </c>
      <c r="V572" s="49">
        <f>IFERROR(IF(Data_Entry!AA561/Data_Entry!$H561&lt;0,0,Data_Entry!AA561/Data_Entry!$H561),0)</f>
        <v>0</v>
      </c>
      <c r="W572" s="49">
        <f>IFERROR(IF(Data_Entry!AB561/Data_Entry!$H561&lt;0,0,Data_Entry!AB561/Data_Entry!$H561),0)</f>
        <v>0</v>
      </c>
      <c r="X572" s="49">
        <f>IFERROR(IF(Data_Entry!AC561/Data_Entry!$I561&lt;0,0,Data_Entry!AC561/Data_Entry!$I561),0)</f>
        <v>0</v>
      </c>
      <c r="Y572" s="49">
        <f>IFERROR(IF(Data_Entry!AD561/Data_Entry!$I561&lt;0,0,Data_Entry!AD561/Data_Entry!$I561),0)</f>
        <v>0</v>
      </c>
      <c r="Z572" s="49">
        <f>IFERROR(IF(Data_Entry!AE561/Data_Entry!$I561&lt;0,0,Data_Entry!AE561/Data_Entry!$I561),0)</f>
        <v>0</v>
      </c>
      <c r="AA572" s="49">
        <f>IFERROR(IF(Data_Entry!AF561/Data_Entry!$I561&lt;0,0,Data_Entry!AF561/Data_Entry!$I561),0)</f>
        <v>0</v>
      </c>
      <c r="AB572" s="49">
        <f>IFERROR(IF(Data_Entry!AG561/Data_Entry!$I561&lt;0,0,Data_Entry!AG561/Data_Entry!$I561),0)</f>
        <v>0</v>
      </c>
      <c r="AC572" s="49">
        <f>IFERROR(IF(Data_Entry!AI561/Data_Entry!$I561&lt;0,0,Data_Entry!AI561/Data_Entry!$I561),0)</f>
        <v>0</v>
      </c>
      <c r="AD572" s="49">
        <f>IFERROR(IF(Data_Entry!AM561/Data_Entry!$H561&lt;0,0,Data_Entry!AM561/Data_Entry!$H561),0)</f>
        <v>0</v>
      </c>
      <c r="AE572" s="50">
        <f>Data_Entry!AK561</f>
        <v>0</v>
      </c>
      <c r="AF572" s="50">
        <f>Data_Entry!AL561</f>
        <v>0</v>
      </c>
      <c r="AG572" s="153" t="e">
        <f>(Data_Entry!O561-Data_Entry!Q561)/Data_Entry!O561</f>
        <v>#VALUE!</v>
      </c>
      <c r="AH572" s="79" t="str">
        <f t="shared" si="16"/>
        <v>ND</v>
      </c>
      <c r="AI572" s="51">
        <f>SUBTOTAL(3,Tableau1[[#This Row],[ZS]])</f>
        <v>0</v>
      </c>
      <c r="AJ572" s="51" t="e">
        <f t="shared" ca="1" si="17"/>
        <v>#NAME?</v>
      </c>
      <c r="AK572" s="50" t="str">
        <f>IFERROR(IF((Data_Entry!O561-Data_Entry!Q561)/Data_Entry!O561&lt;=10%,"&lt;=10%","&gt;10%"),"&lt;=10%")</f>
        <v>&lt;=10%</v>
      </c>
    </row>
    <row r="573" spans="1:37" s="48" customFormat="1" ht="13" hidden="1" x14ac:dyDescent="0.3">
      <c r="A573" s="31" t="s">
        <v>16</v>
      </c>
      <c r="B573" s="48" t="str">
        <f>Data_Entry!B562</f>
        <v>Butembo</v>
      </c>
      <c r="C573" s="48" t="str">
        <f>Data_Entry!C562</f>
        <v xml:space="preserve"> Oicha</v>
      </c>
      <c r="D573" s="48" t="str">
        <f>Data_Entry!D562</f>
        <v xml:space="preserve"> Kokola</v>
      </c>
      <c r="E573" s="49">
        <f>IFERROR(IF(Data_Entry!J562/Data_Entry!$I562&lt;0,0,Data_Entry!J562/Data_Entry!$I562),0)</f>
        <v>0.1597784405624201</v>
      </c>
      <c r="F573" s="49">
        <f>IFERROR(IF(Data_Entry!K562/Data_Entry!$H562&lt;0,0,Data_Entry!K562/Data_Entry!$H562),0)</f>
        <v>0</v>
      </c>
      <c r="G573" s="49">
        <f>IFERROR(IF(Data_Entry!L562/Data_Entry!$H562&lt;0,0,Data_Entry!L562/Data_Entry!$H562),0)</f>
        <v>0.14650172200565742</v>
      </c>
      <c r="H573" s="49">
        <f>IFERROR(IF(Data_Entry!M562/Data_Entry!$H562&lt;0,0,Data_Entry!M562/Data_Entry!$H562),0)</f>
        <v>0.19045223860735463</v>
      </c>
      <c r="I573" s="49">
        <f>IFERROR(IF(Data_Entry!N562/Data_Entry!$H562&lt;0,0,Data_Entry!N562/Data_Entry!$H562),0)</f>
        <v>0.14650172200565742</v>
      </c>
      <c r="J573" s="49">
        <f>IFERROR(IF(Data_Entry!O562/Data_Entry!$H562&lt;0,0,Data_Entry!O562/Data_Entry!$H562),0)</f>
        <v>0.2197525830084861</v>
      </c>
      <c r="K573" s="49">
        <f>IFERROR(IF(Data_Entry!P562/Data_Entry!$H562&lt;0,0,Data_Entry!P562/Data_Entry!$H562),0)</f>
        <v>0.2490529274096176</v>
      </c>
      <c r="L573" s="49">
        <f>IFERROR(IF(Data_Entry!Q562/Data_Entry!$H562&lt;0,0,Data_Entry!Q562/Data_Entry!$H562),0)</f>
        <v>0.23440275520905185</v>
      </c>
      <c r="M573" s="49">
        <f>IFERROR(IF(Data_Entry!R562/Data_Entry!$H562&lt;0,0,Data_Entry!R562/Data_Entry!$H562),0)</f>
        <v>0.2197525830084861</v>
      </c>
      <c r="N573" s="49">
        <f>IFERROR(IF(Data_Entry!S562/Data_Entry!$H562&lt;0,0,Data_Entry!S562/Data_Entry!$H562),0)</f>
        <v>0.2490529274096176</v>
      </c>
      <c r="O573" s="49">
        <f>IFERROR(IF(Data_Entry!T562/Data_Entry!$H562&lt;0,0,Data_Entry!T562/Data_Entry!$H562),0)</f>
        <v>0.23440275520905185</v>
      </c>
      <c r="P573" s="49">
        <f>IFERROR(IF(Data_Entry!U562/Data_Entry!$H562&lt;0,0,Data_Entry!U562/Data_Entry!$H562),0)</f>
        <v>0.18312715250707176</v>
      </c>
      <c r="Q573" s="49">
        <f>IFERROR(IF(Data_Entry!V562/Data_Entry!$H562&lt;0,0,Data_Entry!V562/Data_Entry!$H562),0)</f>
        <v>0.20510241080792038</v>
      </c>
      <c r="R573" s="49">
        <f>IFERROR(IF(Data_Entry!W562/Data_Entry!$H562&lt;0,0,Data_Entry!W562/Data_Entry!$H562),0)</f>
        <v>0.19045223860735463</v>
      </c>
      <c r="S573" s="49">
        <f>IFERROR(IF(Data_Entry!X562/Data_Entry!$H562&lt;0,0,Data_Entry!X562/Data_Entry!$H562),0)</f>
        <v>0.14650172200565742</v>
      </c>
      <c r="T573" s="49">
        <f>IFERROR(IF(Data_Entry!Y562/Data_Entry!$H562&lt;0,0,Data_Entry!Y562/Data_Entry!$H562),0)</f>
        <v>5.8600688802262962E-2</v>
      </c>
      <c r="U573" s="49">
        <f>IFERROR(IF(Data_Entry!Z562/Data_Entry!$H562&lt;0,0,Data_Entry!Z562/Data_Entry!$H562),0)</f>
        <v>0.10987629150424305</v>
      </c>
      <c r="V573" s="49">
        <f>IFERROR(IF(Data_Entry!AA562/Data_Entry!$H562&lt;0,0,Data_Entry!AA562/Data_Entry!$H562),0)</f>
        <v>0.19045223860735463</v>
      </c>
      <c r="W573" s="49">
        <f>IFERROR(IF(Data_Entry!AB562/Data_Entry!$H562&lt;0,0,Data_Entry!AB562/Data_Entry!$H562),0)</f>
        <v>0.1245264637048088</v>
      </c>
      <c r="X573" s="49">
        <f>IFERROR(IF(Data_Entry!AC562/Data_Entry!$I562&lt;0,0,Data_Entry!AC562/Data_Entry!$I562),0)</f>
        <v>0</v>
      </c>
      <c r="Y573" s="49">
        <f>IFERROR(IF(Data_Entry!AD562/Data_Entry!$I562&lt;0,0,Data_Entry!AD562/Data_Entry!$I562),0)</f>
        <v>0</v>
      </c>
      <c r="Z573" s="49">
        <f>IFERROR(IF(Data_Entry!AE562/Data_Entry!$I562&lt;0,0,Data_Entry!AE562/Data_Entry!$I562),0)</f>
        <v>0</v>
      </c>
      <c r="AA573" s="49">
        <f>IFERROR(IF(Data_Entry!AF562/Data_Entry!$I562&lt;0,0,Data_Entry!AF562/Data_Entry!$I562),0)</f>
        <v>0</v>
      </c>
      <c r="AB573" s="49">
        <f>IFERROR(IF(Data_Entry!AG562/Data_Entry!$I562&lt;0,0,Data_Entry!AG562/Data_Entry!$I562),0)</f>
        <v>0</v>
      </c>
      <c r="AC573" s="49">
        <f>IFERROR(IF(Data_Entry!AI562/Data_Entry!$I562&lt;0,0,Data_Entry!AI562/Data_Entry!$I562),0)</f>
        <v>0.1597784405624201</v>
      </c>
      <c r="AD573" s="49">
        <f>IFERROR(IF(Data_Entry!AM562/Data_Entry!$H562&lt;0,0,Data_Entry!AM562/Data_Entry!$H562),0)</f>
        <v>0.10987629150424305</v>
      </c>
      <c r="AE573" s="50">
        <f>Data_Entry!AK562</f>
        <v>106.51716666666667</v>
      </c>
      <c r="AF573" s="50">
        <f>Data_Entry!AL562</f>
        <v>10</v>
      </c>
      <c r="AG573" s="153">
        <f>(Data_Entry!O562-Data_Entry!Q562)/Data_Entry!O562</f>
        <v>-6.6666666666666666E-2</v>
      </c>
      <c r="AH573" s="79" t="str">
        <f t="shared" si="16"/>
        <v>CAT3</v>
      </c>
      <c r="AI573" s="51">
        <f>SUBTOTAL(3,Tableau1[[#This Row],[ZS]])</f>
        <v>0</v>
      </c>
      <c r="AJ573" s="51" t="e">
        <f t="shared" ca="1" si="17"/>
        <v>#NAME?</v>
      </c>
      <c r="AK573" s="50" t="str">
        <f>IFERROR(IF((Data_Entry!O562-Data_Entry!Q562)/Data_Entry!O562&lt;=10%,"&lt;=10%","&gt;10%"),"&lt;=10%")</f>
        <v>&lt;=10%</v>
      </c>
    </row>
    <row r="574" spans="1:37" s="48" customFormat="1" ht="13" hidden="1" x14ac:dyDescent="0.3">
      <c r="A574" s="31" t="s">
        <v>16</v>
      </c>
      <c r="B574" s="48" t="str">
        <f>Data_Entry!B563</f>
        <v>Butembo</v>
      </c>
      <c r="C574" s="48" t="str">
        <f>Data_Entry!C563</f>
        <v xml:space="preserve"> Oicha</v>
      </c>
      <c r="D574" s="48" t="str">
        <f>Data_Entry!D563</f>
        <v xml:space="preserve"> Kukutama</v>
      </c>
      <c r="E574" s="49">
        <f>IFERROR(IF(Data_Entry!J563/Data_Entry!$I563&lt;0,0,Data_Entry!J563/Data_Entry!$I563),0)</f>
        <v>0</v>
      </c>
      <c r="F574" s="49">
        <f>IFERROR(IF(Data_Entry!K563/Data_Entry!$H563&lt;0,0,Data_Entry!K563/Data_Entry!$H563),0)</f>
        <v>0</v>
      </c>
      <c r="G574" s="49">
        <f>IFERROR(IF(Data_Entry!L563/Data_Entry!$H563&lt;0,0,Data_Entry!L563/Data_Entry!$H563),0)</f>
        <v>0</v>
      </c>
      <c r="H574" s="49">
        <f>IFERROR(IF(Data_Entry!M563/Data_Entry!$H563&lt;0,0,Data_Entry!M563/Data_Entry!$H563),0)</f>
        <v>0</v>
      </c>
      <c r="I574" s="49">
        <f>IFERROR(IF(Data_Entry!N563/Data_Entry!$H563&lt;0,0,Data_Entry!N563/Data_Entry!$H563),0)</f>
        <v>0</v>
      </c>
      <c r="J574" s="49">
        <f>IFERROR(IF(Data_Entry!O563/Data_Entry!$H563&lt;0,0,Data_Entry!O563/Data_Entry!$H563),0)</f>
        <v>0</v>
      </c>
      <c r="K574" s="49">
        <f>IFERROR(IF(Data_Entry!P563/Data_Entry!$H563&lt;0,0,Data_Entry!P563/Data_Entry!$H563),0)</f>
        <v>0</v>
      </c>
      <c r="L574" s="49">
        <f>IFERROR(IF(Data_Entry!Q563/Data_Entry!$H563&lt;0,0,Data_Entry!Q563/Data_Entry!$H563),0)</f>
        <v>0</v>
      </c>
      <c r="M574" s="49">
        <f>IFERROR(IF(Data_Entry!R563/Data_Entry!$H563&lt;0,0,Data_Entry!R563/Data_Entry!$H563),0)</f>
        <v>0</v>
      </c>
      <c r="N574" s="49">
        <f>IFERROR(IF(Data_Entry!S563/Data_Entry!$H563&lt;0,0,Data_Entry!S563/Data_Entry!$H563),0)</f>
        <v>0</v>
      </c>
      <c r="O574" s="49">
        <f>IFERROR(IF(Data_Entry!T563/Data_Entry!$H563&lt;0,0,Data_Entry!T563/Data_Entry!$H563),0)</f>
        <v>0</v>
      </c>
      <c r="P574" s="49">
        <f>IFERROR(IF(Data_Entry!U563/Data_Entry!$H563&lt;0,0,Data_Entry!U563/Data_Entry!$H563),0)</f>
        <v>0</v>
      </c>
      <c r="Q574" s="49">
        <f>IFERROR(IF(Data_Entry!V563/Data_Entry!$H563&lt;0,0,Data_Entry!V563/Data_Entry!$H563),0)</f>
        <v>0</v>
      </c>
      <c r="R574" s="49">
        <f>IFERROR(IF(Data_Entry!W563/Data_Entry!$H563&lt;0,0,Data_Entry!W563/Data_Entry!$H563),0)</f>
        <v>0</v>
      </c>
      <c r="S574" s="49">
        <f>IFERROR(IF(Data_Entry!X563/Data_Entry!$H563&lt;0,0,Data_Entry!X563/Data_Entry!$H563),0)</f>
        <v>0</v>
      </c>
      <c r="T574" s="49">
        <f>IFERROR(IF(Data_Entry!Y563/Data_Entry!$H563&lt;0,0,Data_Entry!Y563/Data_Entry!$H563),0)</f>
        <v>0</v>
      </c>
      <c r="U574" s="49">
        <f>IFERROR(IF(Data_Entry!Z563/Data_Entry!$H563&lt;0,0,Data_Entry!Z563/Data_Entry!$H563),0)</f>
        <v>0</v>
      </c>
      <c r="V574" s="49">
        <f>IFERROR(IF(Data_Entry!AA563/Data_Entry!$H563&lt;0,0,Data_Entry!AA563/Data_Entry!$H563),0)</f>
        <v>0</v>
      </c>
      <c r="W574" s="49">
        <f>IFERROR(IF(Data_Entry!AB563/Data_Entry!$H563&lt;0,0,Data_Entry!AB563/Data_Entry!$H563),0)</f>
        <v>0</v>
      </c>
      <c r="X574" s="49">
        <f>IFERROR(IF(Data_Entry!AC563/Data_Entry!$I563&lt;0,0,Data_Entry!AC563/Data_Entry!$I563),0)</f>
        <v>0</v>
      </c>
      <c r="Y574" s="49">
        <f>IFERROR(IF(Data_Entry!AD563/Data_Entry!$I563&lt;0,0,Data_Entry!AD563/Data_Entry!$I563),0)</f>
        <v>0</v>
      </c>
      <c r="Z574" s="49">
        <f>IFERROR(IF(Data_Entry!AE563/Data_Entry!$I563&lt;0,0,Data_Entry!AE563/Data_Entry!$I563),0)</f>
        <v>0</v>
      </c>
      <c r="AA574" s="49">
        <f>IFERROR(IF(Data_Entry!AF563/Data_Entry!$I563&lt;0,0,Data_Entry!AF563/Data_Entry!$I563),0)</f>
        <v>0</v>
      </c>
      <c r="AB574" s="49">
        <f>IFERROR(IF(Data_Entry!AG563/Data_Entry!$I563&lt;0,0,Data_Entry!AG563/Data_Entry!$I563),0)</f>
        <v>0</v>
      </c>
      <c r="AC574" s="49">
        <f>IFERROR(IF(Data_Entry!AI563/Data_Entry!$I563&lt;0,0,Data_Entry!AI563/Data_Entry!$I563),0)</f>
        <v>0</v>
      </c>
      <c r="AD574" s="49">
        <f>IFERROR(IF(Data_Entry!AM563/Data_Entry!$H563&lt;0,0,Data_Entry!AM563/Data_Entry!$H563),0)</f>
        <v>0</v>
      </c>
      <c r="AE574" s="50">
        <f>Data_Entry!AK563</f>
        <v>0</v>
      </c>
      <c r="AF574" s="50">
        <f>Data_Entry!AL563</f>
        <v>0</v>
      </c>
      <c r="AG574" s="153" t="e">
        <f>(Data_Entry!O563-Data_Entry!Q563)/Data_Entry!O563</f>
        <v>#VALUE!</v>
      </c>
      <c r="AH574" s="79" t="str">
        <f t="shared" si="16"/>
        <v>ND</v>
      </c>
      <c r="AI574" s="51">
        <f>SUBTOTAL(3,Tableau1[[#This Row],[ZS]])</f>
        <v>0</v>
      </c>
      <c r="AJ574" s="51" t="e">
        <f t="shared" ca="1" si="17"/>
        <v>#NAME?</v>
      </c>
      <c r="AK574" s="50" t="str">
        <f>IFERROR(IF((Data_Entry!O563-Data_Entry!Q563)/Data_Entry!O563&lt;=10%,"&lt;=10%","&gt;10%"),"&lt;=10%")</f>
        <v>&lt;=10%</v>
      </c>
    </row>
    <row r="575" spans="1:37" s="48" customFormat="1" ht="13" hidden="1" x14ac:dyDescent="0.3">
      <c r="A575" s="31" t="s">
        <v>16</v>
      </c>
      <c r="B575" s="48" t="str">
        <f>Data_Entry!B564</f>
        <v>Butembo</v>
      </c>
      <c r="C575" s="48" t="str">
        <f>Data_Entry!C564</f>
        <v xml:space="preserve"> Oicha</v>
      </c>
      <c r="D575" s="48" t="str">
        <f>Data_Entry!D564</f>
        <v xml:space="preserve"> Liva</v>
      </c>
      <c r="E575" s="49">
        <f>IFERROR(IF(Data_Entry!J564/Data_Entry!$I564&lt;0,0,Data_Entry!J564/Data_Entry!$I564),0)</f>
        <v>0.41679319769207412</v>
      </c>
      <c r="F575" s="49">
        <f>IFERROR(IF(Data_Entry!K564/Data_Entry!$H564&lt;0,0,Data_Entry!K564/Data_Entry!$H564),0)</f>
        <v>0</v>
      </c>
      <c r="G575" s="49">
        <f>IFERROR(IF(Data_Entry!L564/Data_Entry!$H564&lt;0,0,Data_Entry!L564/Data_Entry!$H564),0)</f>
        <v>0.61082943153707125</v>
      </c>
      <c r="H575" s="49">
        <f>IFERROR(IF(Data_Entry!M564/Data_Entry!$H564&lt;0,0,Data_Entry!M564/Data_Entry!$H564),0)</f>
        <v>0.64215401776974157</v>
      </c>
      <c r="I575" s="49">
        <f>IFERROR(IF(Data_Entry!N564/Data_Entry!$H564&lt;0,0,Data_Entry!N564/Data_Entry!$H564),0)</f>
        <v>0.68130975056057952</v>
      </c>
      <c r="J575" s="49">
        <f>IFERROR(IF(Data_Entry!O564/Data_Entry!$H564&lt;0,0,Data_Entry!O564/Data_Entry!$H564),0)</f>
        <v>0.55862178781595406</v>
      </c>
      <c r="K575" s="49">
        <f>IFERROR(IF(Data_Entry!P564/Data_Entry!$H564&lt;0,0,Data_Entry!P564/Data_Entry!$H564),0)</f>
        <v>0.71002395460719392</v>
      </c>
      <c r="L575" s="49">
        <f>IFERROR(IF(Data_Entry!Q564/Data_Entry!$H564&lt;0,0,Data_Entry!Q564/Data_Entry!$H564),0)</f>
        <v>0.66042669307213264</v>
      </c>
      <c r="M575" s="49">
        <f>IFERROR(IF(Data_Entry!R564/Data_Entry!$H564&lt;0,0,Data_Entry!R564/Data_Entry!$H564),0)</f>
        <v>0.5690633165601775</v>
      </c>
      <c r="N575" s="49">
        <f>IFERROR(IF(Data_Entry!S564/Data_Entry!$H564&lt;0,0,Data_Entry!S564/Data_Entry!$H564),0)</f>
        <v>0.58994637404862438</v>
      </c>
      <c r="O575" s="49">
        <f>IFERROR(IF(Data_Entry!T564/Data_Entry!$H564&lt;0,0,Data_Entry!T564/Data_Entry!$H564),0)</f>
        <v>0.58733599186256846</v>
      </c>
      <c r="P575" s="49">
        <f>IFERROR(IF(Data_Entry!U564/Data_Entry!$H564&lt;0,0,Data_Entry!U564/Data_Entry!$H564),0)</f>
        <v>0.55079064125778643</v>
      </c>
      <c r="Q575" s="49">
        <f>IFERROR(IF(Data_Entry!V564/Data_Entry!$H564&lt;0,0,Data_Entry!V564/Data_Entry!$H564),0)</f>
        <v>0.5977775206067919</v>
      </c>
      <c r="R575" s="49">
        <f>IFERROR(IF(Data_Entry!W564/Data_Entry!$H564&lt;0,0,Data_Entry!W564/Data_Entry!$H564),0)</f>
        <v>0.54295949469961891</v>
      </c>
      <c r="S575" s="49">
        <f>IFERROR(IF(Data_Entry!X564/Data_Entry!$H564&lt;0,0,Data_Entry!X564/Data_Entry!$H564),0)</f>
        <v>0.6499851643279092</v>
      </c>
      <c r="T575" s="49">
        <f>IFERROR(IF(Data_Entry!Y564/Data_Entry!$H564&lt;0,0,Data_Entry!Y564/Data_Entry!$H564),0)</f>
        <v>0.27147974734980945</v>
      </c>
      <c r="U575" s="49">
        <f>IFERROR(IF(Data_Entry!Z564/Data_Entry!$H564&lt;0,0,Data_Entry!Z564/Data_Entry!$H564),0)</f>
        <v>0.55079064125778643</v>
      </c>
      <c r="V575" s="49">
        <f>IFERROR(IF(Data_Entry!AA564/Data_Entry!$H564&lt;0,0,Data_Entry!AA564/Data_Entry!$H564),0)</f>
        <v>0.57950484530440094</v>
      </c>
      <c r="W575" s="49">
        <f>IFERROR(IF(Data_Entry!AB564/Data_Entry!$H564&lt;0,0,Data_Entry!AB564/Data_Entry!$H564),0)</f>
        <v>0.58211522749045674</v>
      </c>
      <c r="X575" s="49">
        <f>IFERROR(IF(Data_Entry!AC564/Data_Entry!$I564&lt;0,0,Data_Entry!AC564/Data_Entry!$I564),0)</f>
        <v>0.22547828727604008</v>
      </c>
      <c r="Y575" s="49">
        <f>IFERROR(IF(Data_Entry!AD564/Data_Entry!$I564&lt;0,0,Data_Entry!AD564/Data_Entry!$I564),0)</f>
        <v>0.18903735195870028</v>
      </c>
      <c r="Z575" s="49">
        <f>IFERROR(IF(Data_Entry!AE564/Data_Entry!$I564&lt;0,0,Data_Entry!AE564/Data_Entry!$I564),0)</f>
        <v>0.15942909201336167</v>
      </c>
      <c r="AA575" s="49">
        <f>IFERROR(IF(Data_Entry!AF564/Data_Entry!$I564&lt;0,0,Data_Entry!AF564/Data_Entry!$I564),0)</f>
        <v>0.14348618281202552</v>
      </c>
      <c r="AB575" s="49">
        <f>IFERROR(IF(Data_Entry!AG564/Data_Entry!$I564&lt;0,0,Data_Entry!AG564/Data_Entry!$I564),0)</f>
        <v>8.1992104464014573E-2</v>
      </c>
      <c r="AC575" s="49">
        <f>IFERROR(IF(Data_Entry!AI564/Data_Entry!$I564&lt;0,0,Data_Entry!AI564/Data_Entry!$I564),0)</f>
        <v>0.11387792286668691</v>
      </c>
      <c r="AD575" s="49">
        <f>IFERROR(IF(Data_Entry!AM564/Data_Entry!$H564&lt;0,0,Data_Entry!AM564/Data_Entry!$H564),0)</f>
        <v>0.55079064125778643</v>
      </c>
      <c r="AE575" s="50">
        <f>Data_Entry!AK564</f>
        <v>169.08566666666673</v>
      </c>
      <c r="AF575" s="50">
        <f>Data_Entry!AL564</f>
        <v>0</v>
      </c>
      <c r="AG575" s="153">
        <f>(Data_Entry!O564-Data_Entry!Q564)/Data_Entry!O564</f>
        <v>-0.1822429906542056</v>
      </c>
      <c r="AH575" s="79" t="str">
        <f t="shared" si="16"/>
        <v>CAT3</v>
      </c>
      <c r="AI575" s="51">
        <f>SUBTOTAL(3,Tableau1[[#This Row],[ZS]])</f>
        <v>0</v>
      </c>
      <c r="AJ575" s="51" t="e">
        <f t="shared" ca="1" si="17"/>
        <v>#NAME?</v>
      </c>
      <c r="AK575" s="50" t="str">
        <f>IFERROR(IF((Data_Entry!O564-Data_Entry!Q564)/Data_Entry!O564&lt;=10%,"&lt;=10%","&gt;10%"),"&lt;=10%")</f>
        <v>&lt;=10%</v>
      </c>
    </row>
    <row r="576" spans="1:37" s="48" customFormat="1" ht="13" hidden="1" x14ac:dyDescent="0.3">
      <c r="A576" s="31" t="s">
        <v>16</v>
      </c>
      <c r="B576" s="48" t="str">
        <f>Data_Entry!B565</f>
        <v>Butembo</v>
      </c>
      <c r="C576" s="48" t="str">
        <f>Data_Entry!C565</f>
        <v xml:space="preserve"> Oicha</v>
      </c>
      <c r="D576" s="48" t="str">
        <f>Data_Entry!D565</f>
        <v xml:space="preserve"> Mabasele</v>
      </c>
      <c r="E576" s="49">
        <f>IFERROR(IF(Data_Entry!J565/Data_Entry!$I565&lt;0,0,Data_Entry!J565/Data_Entry!$I565),0)</f>
        <v>0.67970307999113666</v>
      </c>
      <c r="F576" s="49">
        <f>IFERROR(IF(Data_Entry!K565/Data_Entry!$H565&lt;0,0,Data_Entry!K565/Data_Entry!$H565),0)</f>
        <v>2.2856605908305645E-2</v>
      </c>
      <c r="G576" s="49">
        <f>IFERROR(IF(Data_Entry!L565/Data_Entry!$H565&lt;0,0,Data_Entry!L565/Data_Entry!$H565),0)</f>
        <v>0.7428396920199335</v>
      </c>
      <c r="H576" s="49">
        <f>IFERROR(IF(Data_Entry!M565/Data_Entry!$H565&lt;0,0,Data_Entry!M565/Data_Entry!$H565),0)</f>
        <v>0.80569535826777405</v>
      </c>
      <c r="I576" s="49">
        <f>IFERROR(IF(Data_Entry!N565/Data_Entry!$H565&lt;0,0,Data_Entry!N565/Data_Entry!$H565),0)</f>
        <v>0.68188874293111845</v>
      </c>
      <c r="J576" s="49">
        <f>IFERROR(IF(Data_Entry!O565/Data_Entry!$H565&lt;0,0,Data_Entry!O565/Data_Entry!$H565),0)</f>
        <v>0.94473971087663333</v>
      </c>
      <c r="K576" s="49">
        <f>IFERROR(IF(Data_Entry!P565/Data_Entry!$H565&lt;0,0,Data_Entry!P565/Data_Entry!$H565),0)</f>
        <v>0.94283499371760793</v>
      </c>
      <c r="L576" s="49">
        <f>IFERROR(IF(Data_Entry!Q565/Data_Entry!$H565&lt;0,0,Data_Entry!Q565/Data_Entry!$H565),0)</f>
        <v>0.87807461031074185</v>
      </c>
      <c r="M576" s="49">
        <f>IFERROR(IF(Data_Entry!R565/Data_Entry!$H565&lt;0,0,Data_Entry!R565/Data_Entry!$H565),0)</f>
        <v>0.85140857008438531</v>
      </c>
      <c r="N576" s="49">
        <f>IFERROR(IF(Data_Entry!S565/Data_Entry!$H565&lt;0,0,Data_Entry!S565/Data_Entry!$H565),0)</f>
        <v>0.89331234758294564</v>
      </c>
      <c r="O576" s="49">
        <f>IFERROR(IF(Data_Entry!T565/Data_Entry!$H565&lt;0,0,Data_Entry!T565/Data_Entry!$H565),0)</f>
        <v>0.83045668133510508</v>
      </c>
      <c r="P576" s="49">
        <f>IFERROR(IF(Data_Entry!U565/Data_Entry!$H565&lt;0,0,Data_Entry!U565/Data_Entry!$H565),0)</f>
        <v>0.74093497486090798</v>
      </c>
      <c r="Q576" s="49">
        <f>IFERROR(IF(Data_Entry!V565/Data_Entry!$H565&lt;0,0,Data_Entry!V565/Data_Entry!$H565),0)</f>
        <v>0.75617271213311177</v>
      </c>
      <c r="R576" s="49">
        <f>IFERROR(IF(Data_Entry!W565/Data_Entry!$H565&lt;0,0,Data_Entry!W565/Data_Entry!$H565),0)</f>
        <v>0.63427081395548168</v>
      </c>
      <c r="S576" s="49">
        <f>IFERROR(IF(Data_Entry!X565/Data_Entry!$H565&lt;0,0,Data_Entry!X565/Data_Entry!$H565),0)</f>
        <v>0.84569441860730887</v>
      </c>
      <c r="T576" s="49">
        <f>IFERROR(IF(Data_Entry!Y565/Data_Entry!$H565&lt;0,0,Data_Entry!Y565/Data_Entry!$H565),0)</f>
        <v>0.16380567567619045</v>
      </c>
      <c r="U576" s="49">
        <f>IFERROR(IF(Data_Entry!Z565/Data_Entry!$H565&lt;0,0,Data_Entry!Z565/Data_Entry!$H565),0)</f>
        <v>0.85902743872048715</v>
      </c>
      <c r="V576" s="49">
        <f>IFERROR(IF(Data_Entry!AA565/Data_Entry!$H565&lt;0,0,Data_Entry!AA565/Data_Entry!$H565),0)</f>
        <v>0.8666463073565891</v>
      </c>
      <c r="W576" s="49">
        <f>IFERROR(IF(Data_Entry!AB565/Data_Entry!$H565&lt;0,0,Data_Entry!AB565/Data_Entry!$H565),0)</f>
        <v>0.7980764896316721</v>
      </c>
      <c r="X576" s="49">
        <f>IFERROR(IF(Data_Entry!AC565/Data_Entry!$I565&lt;0,0,Data_Entry!AC565/Data_Entry!$I565),0)</f>
        <v>0.57832927099490361</v>
      </c>
      <c r="Y576" s="49">
        <f>IFERROR(IF(Data_Entry!AD565/Data_Entry!$I565&lt;0,0,Data_Entry!AD565/Data_Entry!$I565),0)</f>
        <v>0.21438067804121427</v>
      </c>
      <c r="Z576" s="49">
        <f>IFERROR(IF(Data_Entry!AE565/Data_Entry!$I565&lt;0,0,Data_Entry!AE565/Data_Entry!$I565),0)</f>
        <v>3.4899180146244185E-2</v>
      </c>
      <c r="AA576" s="49">
        <f>IFERROR(IF(Data_Entry!AF565/Data_Entry!$I565&lt;0,0,Data_Entry!AF565/Data_Entry!$I565),0)</f>
        <v>2.326612009749612E-2</v>
      </c>
      <c r="AB576" s="49">
        <f>IFERROR(IF(Data_Entry!AG565/Data_Entry!$I565&lt;0,0,Data_Entry!AG565/Data_Entry!$I565),0)</f>
        <v>2.8251717261245292E-2</v>
      </c>
      <c r="AC576" s="49">
        <f>IFERROR(IF(Data_Entry!AI565/Data_Entry!$I565&lt;0,0,Data_Entry!AI565/Data_Entry!$I565),0)</f>
        <v>8.3093286062486144E-2</v>
      </c>
      <c r="AD576" s="49">
        <f>IFERROR(IF(Data_Entry!AM565/Data_Entry!$H565&lt;0,0,Data_Entry!AM565/Data_Entry!$H565),0)</f>
        <v>0.84569441860730887</v>
      </c>
      <c r="AE576" s="50">
        <f>Data_Entry!AK565</f>
        <v>29.012333333333345</v>
      </c>
      <c r="AF576" s="50">
        <f>Data_Entry!AL565</f>
        <v>52</v>
      </c>
      <c r="AG576" s="153">
        <f>(Data_Entry!O565-Data_Entry!Q565)/Data_Entry!O565</f>
        <v>7.0564516129032265E-2</v>
      </c>
      <c r="AH576" s="79" t="str">
        <f t="shared" si="16"/>
        <v>CAT1</v>
      </c>
      <c r="AI576" s="51">
        <f>SUBTOTAL(3,Tableau1[[#This Row],[ZS]])</f>
        <v>0</v>
      </c>
      <c r="AJ576" s="51" t="e">
        <f t="shared" ca="1" si="17"/>
        <v>#NAME?</v>
      </c>
      <c r="AK576" s="50" t="str">
        <f>IFERROR(IF((Data_Entry!O565-Data_Entry!Q565)/Data_Entry!O565&lt;=10%,"&lt;=10%","&gt;10%"),"&lt;=10%")</f>
        <v>&lt;=10%</v>
      </c>
    </row>
    <row r="577" spans="1:37" s="48" customFormat="1" ht="13" hidden="1" x14ac:dyDescent="0.3">
      <c r="A577" s="31" t="s">
        <v>16</v>
      </c>
      <c r="B577" s="48" t="str">
        <f>Data_Entry!B566</f>
        <v>Butembo</v>
      </c>
      <c r="C577" s="48" t="str">
        <f>Data_Entry!C566</f>
        <v xml:space="preserve"> Oicha</v>
      </c>
      <c r="D577" s="48" t="str">
        <f>Data_Entry!D566</f>
        <v xml:space="preserve"> Maleki</v>
      </c>
      <c r="E577" s="49">
        <f>IFERROR(IF(Data_Entry!J566/Data_Entry!$I566&lt;0,0,Data_Entry!J566/Data_Entry!$I566),0)</f>
        <v>0</v>
      </c>
      <c r="F577" s="49">
        <f>IFERROR(IF(Data_Entry!K566/Data_Entry!$H566&lt;0,0,Data_Entry!K566/Data_Entry!$H566),0)</f>
        <v>0</v>
      </c>
      <c r="G577" s="49">
        <f>IFERROR(IF(Data_Entry!L566/Data_Entry!$H566&lt;0,0,Data_Entry!L566/Data_Entry!$H566),0)</f>
        <v>0</v>
      </c>
      <c r="H577" s="49">
        <f>IFERROR(IF(Data_Entry!M566/Data_Entry!$H566&lt;0,0,Data_Entry!M566/Data_Entry!$H566),0)</f>
        <v>0</v>
      </c>
      <c r="I577" s="49">
        <f>IFERROR(IF(Data_Entry!N566/Data_Entry!$H566&lt;0,0,Data_Entry!N566/Data_Entry!$H566),0)</f>
        <v>0</v>
      </c>
      <c r="J577" s="49">
        <f>IFERROR(IF(Data_Entry!O566/Data_Entry!$H566&lt;0,0,Data_Entry!O566/Data_Entry!$H566),0)</f>
        <v>0</v>
      </c>
      <c r="K577" s="49">
        <f>IFERROR(IF(Data_Entry!P566/Data_Entry!$H566&lt;0,0,Data_Entry!P566/Data_Entry!$H566),0)</f>
        <v>0</v>
      </c>
      <c r="L577" s="49">
        <f>IFERROR(IF(Data_Entry!Q566/Data_Entry!$H566&lt;0,0,Data_Entry!Q566/Data_Entry!$H566),0)</f>
        <v>0</v>
      </c>
      <c r="M577" s="49">
        <f>IFERROR(IF(Data_Entry!R566/Data_Entry!$H566&lt;0,0,Data_Entry!R566/Data_Entry!$H566),0)</f>
        <v>0</v>
      </c>
      <c r="N577" s="49">
        <f>IFERROR(IF(Data_Entry!S566/Data_Entry!$H566&lt;0,0,Data_Entry!S566/Data_Entry!$H566),0)</f>
        <v>0</v>
      </c>
      <c r="O577" s="49">
        <f>IFERROR(IF(Data_Entry!T566/Data_Entry!$H566&lt;0,0,Data_Entry!T566/Data_Entry!$H566),0)</f>
        <v>0</v>
      </c>
      <c r="P577" s="49">
        <f>IFERROR(IF(Data_Entry!U566/Data_Entry!$H566&lt;0,0,Data_Entry!U566/Data_Entry!$H566),0)</f>
        <v>0</v>
      </c>
      <c r="Q577" s="49">
        <f>IFERROR(IF(Data_Entry!V566/Data_Entry!$H566&lt;0,0,Data_Entry!V566/Data_Entry!$H566),0)</f>
        <v>0</v>
      </c>
      <c r="R577" s="49">
        <f>IFERROR(IF(Data_Entry!W566/Data_Entry!$H566&lt;0,0,Data_Entry!W566/Data_Entry!$H566),0)</f>
        <v>0</v>
      </c>
      <c r="S577" s="49">
        <f>IFERROR(IF(Data_Entry!X566/Data_Entry!$H566&lt;0,0,Data_Entry!X566/Data_Entry!$H566),0)</f>
        <v>0</v>
      </c>
      <c r="T577" s="49">
        <f>IFERROR(IF(Data_Entry!Y566/Data_Entry!$H566&lt;0,0,Data_Entry!Y566/Data_Entry!$H566),0)</f>
        <v>0</v>
      </c>
      <c r="U577" s="49">
        <f>IFERROR(IF(Data_Entry!Z566/Data_Entry!$H566&lt;0,0,Data_Entry!Z566/Data_Entry!$H566),0)</f>
        <v>0</v>
      </c>
      <c r="V577" s="49">
        <f>IFERROR(IF(Data_Entry!AA566/Data_Entry!$H566&lt;0,0,Data_Entry!AA566/Data_Entry!$H566),0)</f>
        <v>0</v>
      </c>
      <c r="W577" s="49">
        <f>IFERROR(IF(Data_Entry!AB566/Data_Entry!$H566&lt;0,0,Data_Entry!AB566/Data_Entry!$H566),0)</f>
        <v>0</v>
      </c>
      <c r="X577" s="49">
        <f>IFERROR(IF(Data_Entry!AC566/Data_Entry!$I566&lt;0,0,Data_Entry!AC566/Data_Entry!$I566),0)</f>
        <v>0</v>
      </c>
      <c r="Y577" s="49">
        <f>IFERROR(IF(Data_Entry!AD566/Data_Entry!$I566&lt;0,0,Data_Entry!AD566/Data_Entry!$I566),0)</f>
        <v>0</v>
      </c>
      <c r="Z577" s="49">
        <f>IFERROR(IF(Data_Entry!AE566/Data_Entry!$I566&lt;0,0,Data_Entry!AE566/Data_Entry!$I566),0)</f>
        <v>0</v>
      </c>
      <c r="AA577" s="49">
        <f>IFERROR(IF(Data_Entry!AF566/Data_Entry!$I566&lt;0,0,Data_Entry!AF566/Data_Entry!$I566),0)</f>
        <v>0</v>
      </c>
      <c r="AB577" s="49">
        <f>IFERROR(IF(Data_Entry!AG566/Data_Entry!$I566&lt;0,0,Data_Entry!AG566/Data_Entry!$I566),0)</f>
        <v>0</v>
      </c>
      <c r="AC577" s="49">
        <f>IFERROR(IF(Data_Entry!AI566/Data_Entry!$I566&lt;0,0,Data_Entry!AI566/Data_Entry!$I566),0)</f>
        <v>0</v>
      </c>
      <c r="AD577" s="49">
        <f>IFERROR(IF(Data_Entry!AM566/Data_Entry!$H566&lt;0,0,Data_Entry!AM566/Data_Entry!$H566),0)</f>
        <v>0</v>
      </c>
      <c r="AE577" s="50">
        <f>Data_Entry!AK566</f>
        <v>0</v>
      </c>
      <c r="AF577" s="50">
        <f>Data_Entry!AL566</f>
        <v>0</v>
      </c>
      <c r="AG577" s="153" t="e">
        <f>(Data_Entry!O566-Data_Entry!Q566)/Data_Entry!O566</f>
        <v>#VALUE!</v>
      </c>
      <c r="AH577" s="79" t="str">
        <f t="shared" si="16"/>
        <v>ND</v>
      </c>
      <c r="AI577" s="51">
        <f>SUBTOTAL(3,Tableau1[[#This Row],[ZS]])</f>
        <v>0</v>
      </c>
      <c r="AJ577" s="51" t="e">
        <f t="shared" ca="1" si="17"/>
        <v>#NAME?</v>
      </c>
      <c r="AK577" s="50" t="str">
        <f>IFERROR(IF((Data_Entry!O566-Data_Entry!Q566)/Data_Entry!O566&lt;=10%,"&lt;=10%","&gt;10%"),"&lt;=10%")</f>
        <v>&lt;=10%</v>
      </c>
    </row>
    <row r="578" spans="1:37" s="48" customFormat="1" ht="13" hidden="1" x14ac:dyDescent="0.3">
      <c r="A578" s="31" t="s">
        <v>16</v>
      </c>
      <c r="B578" s="48" t="str">
        <f>Data_Entry!B567</f>
        <v>Butembo</v>
      </c>
      <c r="C578" s="48" t="str">
        <f>Data_Entry!C567</f>
        <v xml:space="preserve"> Oicha</v>
      </c>
      <c r="D578" s="48" t="str">
        <f>Data_Entry!D567</f>
        <v xml:space="preserve"> Mambabeka</v>
      </c>
      <c r="E578" s="49">
        <f>IFERROR(IF(Data_Entry!J567/Data_Entry!$I567&lt;0,0,Data_Entry!J567/Data_Entry!$I567),0)</f>
        <v>0.70476115773786174</v>
      </c>
      <c r="F578" s="49">
        <f>IFERROR(IF(Data_Entry!K567/Data_Entry!$H567&lt;0,0,Data_Entry!K567/Data_Entry!$H567),0)</f>
        <v>7.2818790664181537E-2</v>
      </c>
      <c r="G578" s="49">
        <f>IFERROR(IF(Data_Entry!L567/Data_Entry!$H567&lt;0,0,Data_Entry!L567/Data_Entry!$H567),0)</f>
        <v>0.7672942942207277</v>
      </c>
      <c r="H578" s="49">
        <f>IFERROR(IF(Data_Entry!M567/Data_Entry!$H567&lt;0,0,Data_Entry!M567/Data_Entry!$H567),0)</f>
        <v>0.89540142594475081</v>
      </c>
      <c r="I578" s="49">
        <f>IFERROR(IF(Data_Entry!N567/Data_Entry!$H567&lt;0,0,Data_Entry!N567/Data_Entry!$H567),0)</f>
        <v>0.86438601510630308</v>
      </c>
      <c r="J578" s="49">
        <f>IFERROR(IF(Data_Entry!O567/Data_Entry!$H567&lt;0,0,Data_Entry!O567/Data_Entry!$H567),0)</f>
        <v>0.96687172048552161</v>
      </c>
      <c r="K578" s="49">
        <f>IFERROR(IF(Data_Entry!P567/Data_Entry!$H567&lt;0,0,Data_Entry!P567/Data_Entry!$H567),0)</f>
        <v>0.93990179801730622</v>
      </c>
      <c r="L578" s="49">
        <f>IFERROR(IF(Data_Entry!Q567/Data_Entry!$H567&lt;0,0,Data_Entry!Q567/Data_Entry!$H567),0)</f>
        <v>0.92911382903002004</v>
      </c>
      <c r="M578" s="49">
        <f>IFERROR(IF(Data_Entry!R567/Data_Entry!$H567&lt;0,0,Data_Entry!R567/Data_Entry!$H567),0)</f>
        <v>0.93046232515343075</v>
      </c>
      <c r="N578" s="49">
        <f>IFERROR(IF(Data_Entry!S567/Data_Entry!$H567&lt;0,0,Data_Entry!S567/Data_Entry!$H567),0)</f>
        <v>0.94934127088118159</v>
      </c>
      <c r="O578" s="49">
        <f>IFERROR(IF(Data_Entry!T567/Data_Entry!$H567&lt;0,0,Data_Entry!T567/Data_Entry!$H567),0)</f>
        <v>0.90618939493203698</v>
      </c>
      <c r="P578" s="49">
        <f>IFERROR(IF(Data_Entry!U567/Data_Entry!$H567&lt;0,0,Data_Entry!U567/Data_Entry!$H567),0)</f>
        <v>1.2810713172402308</v>
      </c>
      <c r="Q578" s="49">
        <f>IFERROR(IF(Data_Entry!V567/Data_Entry!$H567&lt;0,0,Data_Entry!V567/Data_Entry!$H567),0)</f>
        <v>0.79156722444212158</v>
      </c>
      <c r="R578" s="49">
        <f>IFERROR(IF(Data_Entry!W567/Data_Entry!$H567&lt;0,0,Data_Entry!W567/Data_Entry!$H567),0)</f>
        <v>0.80505218567622927</v>
      </c>
      <c r="S578" s="49">
        <f>IFERROR(IF(Data_Entry!X567/Data_Entry!$H567&lt;0,0,Data_Entry!X567/Data_Entry!$H567),0)</f>
        <v>1.0315995344092386</v>
      </c>
      <c r="T578" s="49">
        <f>IFERROR(IF(Data_Entry!Y567/Data_Entry!$H567&lt;0,0,Data_Entry!Y567/Data_Entry!$H567),0)</f>
        <v>0.33307854248245999</v>
      </c>
      <c r="U578" s="49">
        <f>IFERROR(IF(Data_Entry!Z567/Data_Entry!$H567&lt;0,0,Data_Entry!Z567/Data_Entry!$H567),0)</f>
        <v>0.91293187554909083</v>
      </c>
      <c r="V578" s="49">
        <f>IFERROR(IF(Data_Entry!AA567/Data_Entry!$H567&lt;0,0,Data_Entry!AA567/Data_Entry!$H567),0)</f>
        <v>0.88596195308087544</v>
      </c>
      <c r="W578" s="49">
        <f>IFERROR(IF(Data_Entry!AB567/Data_Entry!$H567&lt;0,0,Data_Entry!AB567/Data_Entry!$H567),0)</f>
        <v>0.89540142594475081</v>
      </c>
      <c r="X578" s="49">
        <f>IFERROR(IF(Data_Entry!AC567/Data_Entry!$I567&lt;0,0,Data_Entry!AC567/Data_Entry!$I567),0)</f>
        <v>0.20825162757863361</v>
      </c>
      <c r="Y578" s="49">
        <f>IFERROR(IF(Data_Entry!AD567/Data_Entry!$I567&lt;0,0,Data_Entry!AD567/Data_Entry!$I567),0)</f>
        <v>0.12353910110596909</v>
      </c>
      <c r="Z578" s="49">
        <f>IFERROR(IF(Data_Entry!AE567/Data_Entry!$I567&lt;0,0,Data_Entry!AE567/Data_Entry!$I567),0)</f>
        <v>0.18236724448976388</v>
      </c>
      <c r="AA578" s="49">
        <f>IFERROR(IF(Data_Entry!AF567/Data_Entry!$I567&lt;0,0,Data_Entry!AF567/Data_Entry!$I567),0)</f>
        <v>0.14001098125343164</v>
      </c>
      <c r="AB578" s="49">
        <f>IFERROR(IF(Data_Entry!AG567/Data_Entry!$I567&lt;0,0,Data_Entry!AG567/Data_Entry!$I567),0)</f>
        <v>0.10824378382618244</v>
      </c>
      <c r="AC578" s="49">
        <f>IFERROR(IF(Data_Entry!AI567/Data_Entry!$I567&lt;0,0,Data_Entry!AI567/Data_Entry!$I567),0)</f>
        <v>5.8828143383794801E-2</v>
      </c>
      <c r="AD578" s="49">
        <f>IFERROR(IF(Data_Entry!AM567/Data_Entry!$H567&lt;0,0,Data_Entry!AM567/Data_Entry!$H567),0)</f>
        <v>0.91293187554909083</v>
      </c>
      <c r="AE578" s="50">
        <f>Data_Entry!AK567</f>
        <v>24.566833333333307</v>
      </c>
      <c r="AF578" s="50">
        <f>Data_Entry!AL567</f>
        <v>0</v>
      </c>
      <c r="AG578" s="153">
        <f>(Data_Entry!O567-Data_Entry!Q567)/Data_Entry!O567</f>
        <v>3.9051603905160388E-2</v>
      </c>
      <c r="AH578" s="79" t="str">
        <f t="shared" si="16"/>
        <v>CAT1</v>
      </c>
      <c r="AI578" s="51">
        <f>SUBTOTAL(3,Tableau1[[#This Row],[ZS]])</f>
        <v>0</v>
      </c>
      <c r="AJ578" s="51" t="e">
        <f t="shared" ca="1" si="17"/>
        <v>#NAME?</v>
      </c>
      <c r="AK578" s="50" t="str">
        <f>IFERROR(IF((Data_Entry!O567-Data_Entry!Q567)/Data_Entry!O567&lt;=10%,"&lt;=10%","&gt;10%"),"&lt;=10%")</f>
        <v>&lt;=10%</v>
      </c>
    </row>
    <row r="579" spans="1:37" s="48" customFormat="1" ht="13" hidden="1" x14ac:dyDescent="0.3">
      <c r="A579" s="31" t="s">
        <v>16</v>
      </c>
      <c r="B579" s="48" t="str">
        <f>Data_Entry!B568</f>
        <v>Butembo</v>
      </c>
      <c r="C579" s="48" t="str">
        <f>Data_Entry!C568</f>
        <v xml:space="preserve"> Oicha</v>
      </c>
      <c r="D579" s="48" t="str">
        <f>Data_Entry!D568</f>
        <v xml:space="preserve"> Mambabio</v>
      </c>
      <c r="E579" s="49">
        <f>IFERROR(IF(Data_Entry!J568/Data_Entry!$I568&lt;0,0,Data_Entry!J568/Data_Entry!$I568),0)</f>
        <v>0</v>
      </c>
      <c r="F579" s="49">
        <f>IFERROR(IF(Data_Entry!K568/Data_Entry!$H568&lt;0,0,Data_Entry!K568/Data_Entry!$H568),0)</f>
        <v>0</v>
      </c>
      <c r="G579" s="49">
        <f>IFERROR(IF(Data_Entry!L568/Data_Entry!$H568&lt;0,0,Data_Entry!L568/Data_Entry!$H568),0)</f>
        <v>0</v>
      </c>
      <c r="H579" s="49">
        <f>IFERROR(IF(Data_Entry!M568/Data_Entry!$H568&lt;0,0,Data_Entry!M568/Data_Entry!$H568),0)</f>
        <v>0</v>
      </c>
      <c r="I579" s="49">
        <f>IFERROR(IF(Data_Entry!N568/Data_Entry!$H568&lt;0,0,Data_Entry!N568/Data_Entry!$H568),0)</f>
        <v>0</v>
      </c>
      <c r="J579" s="49">
        <f>IFERROR(IF(Data_Entry!O568/Data_Entry!$H568&lt;0,0,Data_Entry!O568/Data_Entry!$H568),0)</f>
        <v>0</v>
      </c>
      <c r="K579" s="49">
        <f>IFERROR(IF(Data_Entry!P568/Data_Entry!$H568&lt;0,0,Data_Entry!P568/Data_Entry!$H568),0)</f>
        <v>0</v>
      </c>
      <c r="L579" s="49">
        <f>IFERROR(IF(Data_Entry!Q568/Data_Entry!$H568&lt;0,0,Data_Entry!Q568/Data_Entry!$H568),0)</f>
        <v>0</v>
      </c>
      <c r="M579" s="49">
        <f>IFERROR(IF(Data_Entry!R568/Data_Entry!$H568&lt;0,0,Data_Entry!R568/Data_Entry!$H568),0)</f>
        <v>0</v>
      </c>
      <c r="N579" s="49">
        <f>IFERROR(IF(Data_Entry!S568/Data_Entry!$H568&lt;0,0,Data_Entry!S568/Data_Entry!$H568),0)</f>
        <v>0</v>
      </c>
      <c r="O579" s="49">
        <f>IFERROR(IF(Data_Entry!T568/Data_Entry!$H568&lt;0,0,Data_Entry!T568/Data_Entry!$H568),0)</f>
        <v>0</v>
      </c>
      <c r="P579" s="49">
        <f>IFERROR(IF(Data_Entry!U568/Data_Entry!$H568&lt;0,0,Data_Entry!U568/Data_Entry!$H568),0)</f>
        <v>0</v>
      </c>
      <c r="Q579" s="49">
        <f>IFERROR(IF(Data_Entry!V568/Data_Entry!$H568&lt;0,0,Data_Entry!V568/Data_Entry!$H568),0)</f>
        <v>0</v>
      </c>
      <c r="R579" s="49">
        <f>IFERROR(IF(Data_Entry!W568/Data_Entry!$H568&lt;0,0,Data_Entry!W568/Data_Entry!$H568),0)</f>
        <v>0</v>
      </c>
      <c r="S579" s="49">
        <f>IFERROR(IF(Data_Entry!X568/Data_Entry!$H568&lt;0,0,Data_Entry!X568/Data_Entry!$H568),0)</f>
        <v>0</v>
      </c>
      <c r="T579" s="49">
        <f>IFERROR(IF(Data_Entry!Y568/Data_Entry!$H568&lt;0,0,Data_Entry!Y568/Data_Entry!$H568),0)</f>
        <v>0</v>
      </c>
      <c r="U579" s="49">
        <f>IFERROR(IF(Data_Entry!Z568/Data_Entry!$H568&lt;0,0,Data_Entry!Z568/Data_Entry!$H568),0)</f>
        <v>0</v>
      </c>
      <c r="V579" s="49">
        <f>IFERROR(IF(Data_Entry!AA568/Data_Entry!$H568&lt;0,0,Data_Entry!AA568/Data_Entry!$H568),0)</f>
        <v>0</v>
      </c>
      <c r="W579" s="49">
        <f>IFERROR(IF(Data_Entry!AB568/Data_Entry!$H568&lt;0,0,Data_Entry!AB568/Data_Entry!$H568),0)</f>
        <v>0</v>
      </c>
      <c r="X579" s="49">
        <f>IFERROR(IF(Data_Entry!AC568/Data_Entry!$I568&lt;0,0,Data_Entry!AC568/Data_Entry!$I568),0)</f>
        <v>0</v>
      </c>
      <c r="Y579" s="49">
        <f>IFERROR(IF(Data_Entry!AD568/Data_Entry!$I568&lt;0,0,Data_Entry!AD568/Data_Entry!$I568),0)</f>
        <v>0</v>
      </c>
      <c r="Z579" s="49">
        <f>IFERROR(IF(Data_Entry!AE568/Data_Entry!$I568&lt;0,0,Data_Entry!AE568/Data_Entry!$I568),0)</f>
        <v>0</v>
      </c>
      <c r="AA579" s="49">
        <f>IFERROR(IF(Data_Entry!AF568/Data_Entry!$I568&lt;0,0,Data_Entry!AF568/Data_Entry!$I568),0)</f>
        <v>0</v>
      </c>
      <c r="AB579" s="49">
        <f>IFERROR(IF(Data_Entry!AG568/Data_Entry!$I568&lt;0,0,Data_Entry!AG568/Data_Entry!$I568),0)</f>
        <v>0</v>
      </c>
      <c r="AC579" s="49">
        <f>IFERROR(IF(Data_Entry!AI568/Data_Entry!$I568&lt;0,0,Data_Entry!AI568/Data_Entry!$I568),0)</f>
        <v>0</v>
      </c>
      <c r="AD579" s="49">
        <f>IFERROR(IF(Data_Entry!AM568/Data_Entry!$H568&lt;0,0,Data_Entry!AM568/Data_Entry!$H568),0)</f>
        <v>0</v>
      </c>
      <c r="AE579" s="50">
        <f>Data_Entry!AK568</f>
        <v>0</v>
      </c>
      <c r="AF579" s="50">
        <f>Data_Entry!AL568</f>
        <v>0</v>
      </c>
      <c r="AG579" s="153" t="e">
        <f>(Data_Entry!O568-Data_Entry!Q568)/Data_Entry!O568</f>
        <v>#VALUE!</v>
      </c>
      <c r="AH579" s="79" t="str">
        <f t="shared" si="16"/>
        <v>ND</v>
      </c>
      <c r="AI579" s="51">
        <f>SUBTOTAL(3,Tableau1[[#This Row],[ZS]])</f>
        <v>0</v>
      </c>
      <c r="AJ579" s="51" t="e">
        <f t="shared" ca="1" si="17"/>
        <v>#NAME?</v>
      </c>
      <c r="AK579" s="50" t="str">
        <f>IFERROR(IF((Data_Entry!O568-Data_Entry!Q568)/Data_Entry!O568&lt;=10%,"&lt;=10%","&gt;10%"),"&lt;=10%")</f>
        <v>&lt;=10%</v>
      </c>
    </row>
    <row r="580" spans="1:37" s="48" customFormat="1" ht="13" hidden="1" x14ac:dyDescent="0.3">
      <c r="A580" s="31" t="s">
        <v>16</v>
      </c>
      <c r="B580" s="48" t="str">
        <f>Data_Entry!B569</f>
        <v>Butembo</v>
      </c>
      <c r="C580" s="48" t="str">
        <f>Data_Entry!C569</f>
        <v xml:space="preserve"> Oicha</v>
      </c>
      <c r="D580" s="48" t="str">
        <f>Data_Entry!D569</f>
        <v xml:space="preserve"> Mambau</v>
      </c>
      <c r="E580" s="49">
        <f>IFERROR(IF(Data_Entry!J569/Data_Entry!$I569&lt;0,0,Data_Entry!J569/Data_Entry!$I569),0)</f>
        <v>0</v>
      </c>
      <c r="F580" s="49">
        <f>IFERROR(IF(Data_Entry!K569/Data_Entry!$H569&lt;0,0,Data_Entry!K569/Data_Entry!$H569),0)</f>
        <v>0</v>
      </c>
      <c r="G580" s="49">
        <f>IFERROR(IF(Data_Entry!L569/Data_Entry!$H569&lt;0,0,Data_Entry!L569/Data_Entry!$H569),0)</f>
        <v>0</v>
      </c>
      <c r="H580" s="49">
        <f>IFERROR(IF(Data_Entry!M569/Data_Entry!$H569&lt;0,0,Data_Entry!M569/Data_Entry!$H569),0)</f>
        <v>0</v>
      </c>
      <c r="I580" s="49">
        <f>IFERROR(IF(Data_Entry!N569/Data_Entry!$H569&lt;0,0,Data_Entry!N569/Data_Entry!$H569),0)</f>
        <v>0</v>
      </c>
      <c r="J580" s="49">
        <f>IFERROR(IF(Data_Entry!O569/Data_Entry!$H569&lt;0,0,Data_Entry!O569/Data_Entry!$H569),0)</f>
        <v>0</v>
      </c>
      <c r="K580" s="49">
        <f>IFERROR(IF(Data_Entry!P569/Data_Entry!$H569&lt;0,0,Data_Entry!P569/Data_Entry!$H569),0)</f>
        <v>0</v>
      </c>
      <c r="L580" s="49">
        <f>IFERROR(IF(Data_Entry!Q569/Data_Entry!$H569&lt;0,0,Data_Entry!Q569/Data_Entry!$H569),0)</f>
        <v>0</v>
      </c>
      <c r="M580" s="49">
        <f>IFERROR(IF(Data_Entry!R569/Data_Entry!$H569&lt;0,0,Data_Entry!R569/Data_Entry!$H569),0)</f>
        <v>0</v>
      </c>
      <c r="N580" s="49">
        <f>IFERROR(IF(Data_Entry!S569/Data_Entry!$H569&lt;0,0,Data_Entry!S569/Data_Entry!$H569),0)</f>
        <v>0</v>
      </c>
      <c r="O580" s="49">
        <f>IFERROR(IF(Data_Entry!T569/Data_Entry!$H569&lt;0,0,Data_Entry!T569/Data_Entry!$H569),0)</f>
        <v>0</v>
      </c>
      <c r="P580" s="49">
        <f>IFERROR(IF(Data_Entry!U569/Data_Entry!$H569&lt;0,0,Data_Entry!U569/Data_Entry!$H569),0)</f>
        <v>0</v>
      </c>
      <c r="Q580" s="49">
        <f>IFERROR(IF(Data_Entry!V569/Data_Entry!$H569&lt;0,0,Data_Entry!V569/Data_Entry!$H569),0)</f>
        <v>0</v>
      </c>
      <c r="R580" s="49">
        <f>IFERROR(IF(Data_Entry!W569/Data_Entry!$H569&lt;0,0,Data_Entry!W569/Data_Entry!$H569),0)</f>
        <v>0</v>
      </c>
      <c r="S580" s="49">
        <f>IFERROR(IF(Data_Entry!X569/Data_Entry!$H569&lt;0,0,Data_Entry!X569/Data_Entry!$H569),0)</f>
        <v>0</v>
      </c>
      <c r="T580" s="49">
        <f>IFERROR(IF(Data_Entry!Y569/Data_Entry!$H569&lt;0,0,Data_Entry!Y569/Data_Entry!$H569),0)</f>
        <v>0</v>
      </c>
      <c r="U580" s="49">
        <f>IFERROR(IF(Data_Entry!Z569/Data_Entry!$H569&lt;0,0,Data_Entry!Z569/Data_Entry!$H569),0)</f>
        <v>0</v>
      </c>
      <c r="V580" s="49">
        <f>IFERROR(IF(Data_Entry!AA569/Data_Entry!$H569&lt;0,0,Data_Entry!AA569/Data_Entry!$H569),0)</f>
        <v>0</v>
      </c>
      <c r="W580" s="49">
        <f>IFERROR(IF(Data_Entry!AB569/Data_Entry!$H569&lt;0,0,Data_Entry!AB569/Data_Entry!$H569),0)</f>
        <v>0</v>
      </c>
      <c r="X580" s="49">
        <f>IFERROR(IF(Data_Entry!AC569/Data_Entry!$I569&lt;0,0,Data_Entry!AC569/Data_Entry!$I569),0)</f>
        <v>0</v>
      </c>
      <c r="Y580" s="49">
        <f>IFERROR(IF(Data_Entry!AD569/Data_Entry!$I569&lt;0,0,Data_Entry!AD569/Data_Entry!$I569),0)</f>
        <v>0</v>
      </c>
      <c r="Z580" s="49">
        <f>IFERROR(IF(Data_Entry!AE569/Data_Entry!$I569&lt;0,0,Data_Entry!AE569/Data_Entry!$I569),0)</f>
        <v>0</v>
      </c>
      <c r="AA580" s="49">
        <f>IFERROR(IF(Data_Entry!AF569/Data_Entry!$I569&lt;0,0,Data_Entry!AF569/Data_Entry!$I569),0)</f>
        <v>0</v>
      </c>
      <c r="AB580" s="49">
        <f>IFERROR(IF(Data_Entry!AG569/Data_Entry!$I569&lt;0,0,Data_Entry!AG569/Data_Entry!$I569),0)</f>
        <v>0</v>
      </c>
      <c r="AC580" s="49">
        <f>IFERROR(IF(Data_Entry!AI569/Data_Entry!$I569&lt;0,0,Data_Entry!AI569/Data_Entry!$I569),0)</f>
        <v>0</v>
      </c>
      <c r="AD580" s="49">
        <f>IFERROR(IF(Data_Entry!AM569/Data_Entry!$H569&lt;0,0,Data_Entry!AM569/Data_Entry!$H569),0)</f>
        <v>0</v>
      </c>
      <c r="AE580" s="50">
        <f>Data_Entry!AK569</f>
        <v>0</v>
      </c>
      <c r="AF580" s="50">
        <f>Data_Entry!AL569</f>
        <v>0</v>
      </c>
      <c r="AG580" s="153" t="e">
        <f>(Data_Entry!O569-Data_Entry!Q569)/Data_Entry!O569</f>
        <v>#VALUE!</v>
      </c>
      <c r="AH580" s="79" t="str">
        <f t="shared" si="16"/>
        <v>ND</v>
      </c>
      <c r="AI580" s="51">
        <f>SUBTOTAL(3,Tableau1[[#This Row],[ZS]])</f>
        <v>0</v>
      </c>
      <c r="AJ580" s="51" t="e">
        <f t="shared" ca="1" si="17"/>
        <v>#NAME?</v>
      </c>
      <c r="AK580" s="50" t="str">
        <f>IFERROR(IF((Data_Entry!O569-Data_Entry!Q569)/Data_Entry!O569&lt;=10%,"&lt;=10%","&gt;10%"),"&lt;=10%")</f>
        <v>&lt;=10%</v>
      </c>
    </row>
    <row r="581" spans="1:37" s="48" customFormat="1" ht="13" hidden="1" x14ac:dyDescent="0.3">
      <c r="A581" s="31" t="s">
        <v>16</v>
      </c>
      <c r="B581" s="48" t="str">
        <f>Data_Entry!B570</f>
        <v>Butembo</v>
      </c>
      <c r="C581" s="48" t="str">
        <f>Data_Entry!C570</f>
        <v xml:space="preserve"> Oicha</v>
      </c>
      <c r="D581" s="48" t="str">
        <f>Data_Entry!D570</f>
        <v xml:space="preserve"> Mamove</v>
      </c>
      <c r="E581" s="49">
        <f>IFERROR(IF(Data_Entry!J570/Data_Entry!$I570&lt;0,0,Data_Entry!J570/Data_Entry!$I570),0)</f>
        <v>9.9554504954995918E-2</v>
      </c>
      <c r="F581" s="49">
        <f>IFERROR(IF(Data_Entry!K570/Data_Entry!$H570&lt;0,0,Data_Entry!K570/Data_Entry!$H570),0)</f>
        <v>3.1260982048120548E-3</v>
      </c>
      <c r="G581" s="49">
        <f>IFERROR(IF(Data_Entry!L570/Data_Entry!$H570&lt;0,0,Data_Entry!L570/Data_Entry!$H570),0)</f>
        <v>0.17193540126466303</v>
      </c>
      <c r="H581" s="49">
        <f>IFERROR(IF(Data_Entry!M570/Data_Entry!$H570&lt;0,0,Data_Entry!M570/Data_Entry!$H570),0)</f>
        <v>0.12817002639729425</v>
      </c>
      <c r="I581" s="49">
        <f>IFERROR(IF(Data_Entry!N570/Data_Entry!$H570&lt;0,0,Data_Entry!N570/Data_Entry!$H570),0)</f>
        <v>0.12660697729488823</v>
      </c>
      <c r="J581" s="49">
        <f>IFERROR(IF(Data_Entry!O570/Data_Entry!$H570&lt;0,0,Data_Entry!O570/Data_Entry!$H570),0)</f>
        <v>0.18600284318631727</v>
      </c>
      <c r="K581" s="49">
        <f>IFERROR(IF(Data_Entry!P570/Data_Entry!$H570&lt;0,0,Data_Entry!P570/Data_Entry!$H570),0)</f>
        <v>0.17818759767428713</v>
      </c>
      <c r="L581" s="49">
        <f>IFERROR(IF(Data_Entry!Q570/Data_Entry!$H570&lt;0,0,Data_Entry!Q570/Data_Entry!$H570),0)</f>
        <v>0.1531788120357907</v>
      </c>
      <c r="M581" s="49">
        <f>IFERROR(IF(Data_Entry!R570/Data_Entry!$H570&lt;0,0,Data_Entry!R570/Data_Entry!$H570),0)</f>
        <v>0.18443979408391126</v>
      </c>
      <c r="N581" s="49">
        <f>IFERROR(IF(Data_Entry!S570/Data_Entry!$H570&lt;0,0,Data_Entry!S570/Data_Entry!$H570),0)</f>
        <v>0.16568320485503893</v>
      </c>
      <c r="O581" s="49">
        <f>IFERROR(IF(Data_Entry!T570/Data_Entry!$H570&lt;0,0,Data_Entry!T570/Data_Entry!$H570),0)</f>
        <v>0.14223746831894851</v>
      </c>
      <c r="P581" s="49">
        <f>IFERROR(IF(Data_Entry!U570/Data_Entry!$H570&lt;0,0,Data_Entry!U570/Data_Entry!$H570),0)</f>
        <v>0.15005271383097865</v>
      </c>
      <c r="Q581" s="49">
        <f>IFERROR(IF(Data_Entry!V570/Data_Entry!$H570&lt;0,0,Data_Entry!V570/Data_Entry!$H570),0)</f>
        <v>0.11566563357804603</v>
      </c>
      <c r="R581" s="49">
        <f>IFERROR(IF(Data_Entry!W570/Data_Entry!$H570&lt;0,0,Data_Entry!W570/Data_Entry!$H570),0)</f>
        <v>8.753074973473754E-2</v>
      </c>
      <c r="S581" s="49">
        <f>IFERROR(IF(Data_Entry!X570/Data_Entry!$H570&lt;0,0,Data_Entry!X570/Data_Entry!$H570),0)</f>
        <v>0.13442222280691837</v>
      </c>
      <c r="T581" s="49">
        <f>IFERROR(IF(Data_Entry!Y570/Data_Entry!$H570&lt;0,0,Data_Entry!Y570/Data_Entry!$H570),0)</f>
        <v>2.9697932945714524E-2</v>
      </c>
      <c r="U581" s="49">
        <f>IFERROR(IF(Data_Entry!Z570/Data_Entry!$H570&lt;0,0,Data_Entry!Z570/Data_Entry!$H570),0)</f>
        <v>0.10785038806601589</v>
      </c>
      <c r="V581" s="49">
        <f>IFERROR(IF(Data_Entry!AA570/Data_Entry!$H570&lt;0,0,Data_Entry!AA570/Data_Entry!$H570),0)</f>
        <v>0.17975064677669317</v>
      </c>
      <c r="W581" s="49">
        <f>IFERROR(IF(Data_Entry!AB570/Data_Entry!$H570&lt;0,0,Data_Entry!AB570/Data_Entry!$H570),0)</f>
        <v>6.7211111403459187E-2</v>
      </c>
      <c r="X581" s="49">
        <f>IFERROR(IF(Data_Entry!AC570/Data_Entry!$I570&lt;0,0,Data_Entry!AC570/Data_Entry!$I570),0)</f>
        <v>3.0002727520683697E-2</v>
      </c>
      <c r="Y581" s="49">
        <f>IFERROR(IF(Data_Entry!AD570/Data_Entry!$I570&lt;0,0,Data_Entry!AD570/Data_Entry!$I570),0)</f>
        <v>2.4547686153286664E-2</v>
      </c>
      <c r="Z581" s="49">
        <f>IFERROR(IF(Data_Entry!AE570/Data_Entry!$I570&lt;0,0,Data_Entry!AE570/Data_Entry!$I570),0)</f>
        <v>2.4547686153286664E-2</v>
      </c>
      <c r="AA581" s="49">
        <f>IFERROR(IF(Data_Entry!AF570/Data_Entry!$I570&lt;0,0,Data_Entry!AF570/Data_Entry!$I570),0)</f>
        <v>2.1820165469588145E-2</v>
      </c>
      <c r="AB581" s="49">
        <f>IFERROR(IF(Data_Entry!AG570/Data_Entry!$I570&lt;0,0,Data_Entry!AG570/Data_Entry!$I570),0)</f>
        <v>2.8638967178834442E-2</v>
      </c>
      <c r="AC581" s="49">
        <f>IFERROR(IF(Data_Entry!AI570/Data_Entry!$I570&lt;0,0,Data_Entry!AI570/Data_Entry!$I570),0)</f>
        <v>6.8188017092462958E-2</v>
      </c>
      <c r="AD581" s="49">
        <f>IFERROR(IF(Data_Entry!AM570/Data_Entry!$H570&lt;0,0,Data_Entry!AM570/Data_Entry!$H570),0)</f>
        <v>0.10785038806601589</v>
      </c>
      <c r="AE581" s="50">
        <f>Data_Entry!AK570</f>
        <v>520.77516666666668</v>
      </c>
      <c r="AF581" s="50">
        <f>Data_Entry!AL570</f>
        <v>33</v>
      </c>
      <c r="AG581" s="153">
        <f>(Data_Entry!O570-Data_Entry!Q570)/Data_Entry!O570</f>
        <v>0.17647058823529413</v>
      </c>
      <c r="AH581" s="79" t="str">
        <f t="shared" si="16"/>
        <v>CAT4</v>
      </c>
      <c r="AI581" s="51">
        <f>SUBTOTAL(3,Tableau1[[#This Row],[ZS]])</f>
        <v>0</v>
      </c>
      <c r="AJ581" s="51" t="e">
        <f t="shared" ca="1" si="17"/>
        <v>#NAME?</v>
      </c>
      <c r="AK581" s="50" t="str">
        <f>IFERROR(IF((Data_Entry!O570-Data_Entry!Q570)/Data_Entry!O570&lt;=10%,"&lt;=10%","&gt;10%"),"&lt;=10%")</f>
        <v>&gt;10%</v>
      </c>
    </row>
    <row r="582" spans="1:37" s="48" customFormat="1" ht="13" hidden="1" x14ac:dyDescent="0.3">
      <c r="A582" s="31" t="s">
        <v>16</v>
      </c>
      <c r="B582" s="48" t="str">
        <f>Data_Entry!B571</f>
        <v>Butembo</v>
      </c>
      <c r="C582" s="48" t="str">
        <f>Data_Entry!C571</f>
        <v xml:space="preserve"> Oicha</v>
      </c>
      <c r="D582" s="48" t="str">
        <f>Data_Entry!D571</f>
        <v xml:space="preserve"> Mangboko</v>
      </c>
      <c r="E582" s="49">
        <f>IFERROR(IF(Data_Entry!J571/Data_Entry!$I571&lt;0,0,Data_Entry!J571/Data_Entry!$I571),0)</f>
        <v>0.33825816485225502</v>
      </c>
      <c r="F582" s="49">
        <f>IFERROR(IF(Data_Entry!K571/Data_Entry!$H571&lt;0,0,Data_Entry!K571/Data_Entry!$H571),0)</f>
        <v>0</v>
      </c>
      <c r="G582" s="49">
        <f>IFERROR(IF(Data_Entry!L571/Data_Entry!$H571&lt;0,0,Data_Entry!L571/Data_Entry!$H571),0)</f>
        <v>0.36897244738354867</v>
      </c>
      <c r="H582" s="49">
        <f>IFERROR(IF(Data_Entry!M571/Data_Entry!$H571&lt;0,0,Data_Entry!M571/Data_Entry!$H571),0)</f>
        <v>0.3021296127126159</v>
      </c>
      <c r="I582" s="49">
        <f>IFERROR(IF(Data_Entry!N571/Data_Entry!$H571&lt;0,0,Data_Entry!N571/Data_Entry!$H571),0)</f>
        <v>0.29410847255210398</v>
      </c>
      <c r="J582" s="49">
        <f>IFERROR(IF(Data_Entry!O571/Data_Entry!$H571&lt;0,0,Data_Entry!O571/Data_Entry!$H571),0)</f>
        <v>0.41977300173345755</v>
      </c>
      <c r="K582" s="49">
        <f>IFERROR(IF(Data_Entry!P571/Data_Entry!$H571&lt;0,0,Data_Entry!P571/Data_Entry!$H571),0)</f>
        <v>0.36362502060987406</v>
      </c>
      <c r="L582" s="49">
        <f>IFERROR(IF(Data_Entry!Q571/Data_Entry!$H571&lt;0,0,Data_Entry!Q571/Data_Entry!$H571),0)</f>
        <v>0.37699358754406059</v>
      </c>
      <c r="M582" s="49">
        <f>IFERROR(IF(Data_Entry!R571/Data_Entry!$H571&lt;0,0,Data_Entry!R571/Data_Entry!$H571),0)</f>
        <v>0.42512042850713216</v>
      </c>
      <c r="N582" s="49">
        <f>IFERROR(IF(Data_Entry!S571/Data_Entry!$H571&lt;0,0,Data_Entry!S571/Data_Entry!$H571),0)</f>
        <v>0.35293016706252478</v>
      </c>
      <c r="O582" s="49">
        <f>IFERROR(IF(Data_Entry!T571/Data_Entry!$H571&lt;0,0,Data_Entry!T571/Data_Entry!$H571),0)</f>
        <v>0.3208456064204771</v>
      </c>
      <c r="P582" s="49">
        <f>IFERROR(IF(Data_Entry!U571/Data_Entry!$H571&lt;0,0,Data_Entry!U571/Data_Entry!$H571),0)</f>
        <v>0.32351931980731441</v>
      </c>
      <c r="Q582" s="49">
        <f>IFERROR(IF(Data_Entry!V571/Data_Entry!$H571&lt;0,0,Data_Entry!V571/Data_Entry!$H571),0)</f>
        <v>0.22191821110749665</v>
      </c>
      <c r="R582" s="49">
        <f>IFERROR(IF(Data_Entry!W571/Data_Entry!$H571&lt;0,0,Data_Entry!W571/Data_Entry!$H571),0)</f>
        <v>0.20854964417331009</v>
      </c>
      <c r="S582" s="49">
        <f>IFERROR(IF(Data_Entry!X571/Data_Entry!$H571&lt;0,0,Data_Entry!X571/Data_Entry!$H571),0)</f>
        <v>0.3796673009308979</v>
      </c>
      <c r="T582" s="49">
        <f>IFERROR(IF(Data_Entry!Y571/Data_Entry!$H571&lt;0,0,Data_Entry!Y571/Data_Entry!$H571),0)</f>
        <v>4.5453127576234258E-2</v>
      </c>
      <c r="U582" s="49">
        <f>IFERROR(IF(Data_Entry!Z571/Data_Entry!$H571&lt;0,0,Data_Entry!Z571/Data_Entry!$H571),0)</f>
        <v>0.35293016706252478</v>
      </c>
      <c r="V582" s="49">
        <f>IFERROR(IF(Data_Entry!AA571/Data_Entry!$H571&lt;0,0,Data_Entry!AA571/Data_Entry!$H571),0)</f>
        <v>0.37699358754406059</v>
      </c>
      <c r="W582" s="49">
        <f>IFERROR(IF(Data_Entry!AB571/Data_Entry!$H571&lt;0,0,Data_Entry!AB571/Data_Entry!$H571),0)</f>
        <v>0.3796673009308979</v>
      </c>
      <c r="X582" s="49">
        <f>IFERROR(IF(Data_Entry!AC571/Data_Entry!$I571&lt;0,0,Data_Entry!AC571/Data_Entry!$I571),0)</f>
        <v>6.2986003110419908E-2</v>
      </c>
      <c r="Y582" s="49">
        <f>IFERROR(IF(Data_Entry!AD571/Data_Entry!$I571&lt;0,0,Data_Entry!AD571/Data_Entry!$I571),0)</f>
        <v>5.1321928460342142E-2</v>
      </c>
      <c r="Z582" s="49">
        <f>IFERROR(IF(Data_Entry!AE571/Data_Entry!$I571&lt;0,0,Data_Entry!AE571/Data_Entry!$I571),0)</f>
        <v>4.1990668740279936E-2</v>
      </c>
      <c r="AA582" s="49">
        <f>IFERROR(IF(Data_Entry!AF571/Data_Entry!$I571&lt;0,0,Data_Entry!AF571/Data_Entry!$I571),0)</f>
        <v>3.2659409020217731E-2</v>
      </c>
      <c r="AB582" s="49">
        <f>IFERROR(IF(Data_Entry!AG571/Data_Entry!$I571&lt;0,0,Data_Entry!AG571/Data_Entry!$I571),0)</f>
        <v>6.9984447900466561E-3</v>
      </c>
      <c r="AC582" s="49">
        <f>IFERROR(IF(Data_Entry!AI571/Data_Entry!$I571&lt;0,0,Data_Entry!AI571/Data_Entry!$I571),0)</f>
        <v>8.7480559875583203E-2</v>
      </c>
      <c r="AD582" s="49">
        <f>IFERROR(IF(Data_Entry!AM571/Data_Entry!$H571&lt;0,0,Data_Entry!AM571/Data_Entry!$H571),0)</f>
        <v>0.35293016706252478</v>
      </c>
      <c r="AE582" s="50">
        <f>Data_Entry!AK571</f>
        <v>217.01166666666666</v>
      </c>
      <c r="AF582" s="50">
        <f>Data_Entry!AL571</f>
        <v>15</v>
      </c>
      <c r="AG582" s="153">
        <f>(Data_Entry!O571-Data_Entry!Q571)/Data_Entry!O571</f>
        <v>0.10191082802547771</v>
      </c>
      <c r="AH582" s="79" t="str">
        <f t="shared" si="16"/>
        <v>CAT4</v>
      </c>
      <c r="AI582" s="51">
        <f>SUBTOTAL(3,Tableau1[[#This Row],[ZS]])</f>
        <v>0</v>
      </c>
      <c r="AJ582" s="51" t="e">
        <f t="shared" ca="1" si="17"/>
        <v>#NAME?</v>
      </c>
      <c r="AK582" s="50" t="str">
        <f>IFERROR(IF((Data_Entry!O571-Data_Entry!Q571)/Data_Entry!O571&lt;=10%,"&lt;=10%","&gt;10%"),"&lt;=10%")</f>
        <v>&gt;10%</v>
      </c>
    </row>
    <row r="583" spans="1:37" s="48" customFormat="1" ht="13" hidden="1" x14ac:dyDescent="0.3">
      <c r="A583" s="31" t="s">
        <v>16</v>
      </c>
      <c r="B583" s="48" t="str">
        <f>Data_Entry!B572</f>
        <v>Butembo</v>
      </c>
      <c r="C583" s="48" t="str">
        <f>Data_Entry!C572</f>
        <v xml:space="preserve"> Oicha</v>
      </c>
      <c r="D583" s="48" t="str">
        <f>Data_Entry!D572</f>
        <v xml:space="preserve"> Masosi</v>
      </c>
      <c r="E583" s="49">
        <f>IFERROR(IF(Data_Entry!J572/Data_Entry!$I572&lt;0,0,Data_Entry!J572/Data_Entry!$I572),0)</f>
        <v>0.93438900855795537</v>
      </c>
      <c r="F583" s="49">
        <f>IFERROR(IF(Data_Entry!K572/Data_Entry!$H572&lt;0,0,Data_Entry!K572/Data_Entry!$H572),0)</f>
        <v>0</v>
      </c>
      <c r="G583" s="49">
        <f>IFERROR(IF(Data_Entry!L572/Data_Entry!$H572&lt;0,0,Data_Entry!L572/Data_Entry!$H572),0)</f>
        <v>0.89477950207622536</v>
      </c>
      <c r="H583" s="49">
        <f>IFERROR(IF(Data_Entry!M572/Data_Entry!$H572&lt;0,0,Data_Entry!M572/Data_Entry!$H572),0)</f>
        <v>0.99686843855472085</v>
      </c>
      <c r="I583" s="49">
        <f>IFERROR(IF(Data_Entry!N572/Data_Entry!$H572&lt;0,0,Data_Entry!N572/Data_Entry!$H572),0)</f>
        <v>0.95283007379929141</v>
      </c>
      <c r="J583" s="49">
        <f>IFERROR(IF(Data_Entry!O572/Data_Entry!$H572&lt;0,0,Data_Entry!O572/Data_Entry!$H572),0)</f>
        <v>1.1850323606915556</v>
      </c>
      <c r="K583" s="49">
        <f>IFERROR(IF(Data_Entry!P572/Data_Entry!$H572&lt;0,0,Data_Entry!P572/Data_Entry!$H572),0)</f>
        <v>1.1950410799541533</v>
      </c>
      <c r="L583" s="49">
        <f>IFERROR(IF(Data_Entry!Q572/Data_Entry!$H572&lt;0,0,Data_Entry!Q572/Data_Entry!$H572),0)</f>
        <v>1.4472608053716127</v>
      </c>
      <c r="M583" s="49">
        <f>IFERROR(IF(Data_Entry!R572/Data_Entry!$H572&lt;0,0,Data_Entry!R572/Data_Entry!$H572),0)</f>
        <v>1.1730218975764386</v>
      </c>
      <c r="N583" s="49">
        <f>IFERROR(IF(Data_Entry!S572/Data_Entry!$H572&lt;0,0,Data_Entry!S572/Data_Entry!$H572),0)</f>
        <v>1.1049626065907749</v>
      </c>
      <c r="O583" s="49">
        <f>IFERROR(IF(Data_Entry!T572/Data_Entry!$H572&lt;0,0,Data_Entry!T572/Data_Entry!$H572),0)</f>
        <v>1.1510027151987239</v>
      </c>
      <c r="P583" s="49">
        <f>IFERROR(IF(Data_Entry!U572/Data_Entry!$H572&lt;0,0,Data_Entry!U572/Data_Entry!$H572),0)</f>
        <v>1.1329870205260482</v>
      </c>
      <c r="Q583" s="49">
        <f>IFERROR(IF(Data_Entry!V572/Data_Entry!$H572&lt;0,0,Data_Entry!V572/Data_Entry!$H572),0)</f>
        <v>1.2070515430692703</v>
      </c>
      <c r="R583" s="49">
        <f>IFERROR(IF(Data_Entry!W572/Data_Entry!$H572&lt;0,0,Data_Entry!W572/Data_Entry!$H572),0)</f>
        <v>1.1770253852814776</v>
      </c>
      <c r="S583" s="49">
        <f>IFERROR(IF(Data_Entry!X572/Data_Entry!$H572&lt;0,0,Data_Entry!X572/Data_Entry!$H572),0)</f>
        <v>1.1790271291339971</v>
      </c>
      <c r="T583" s="49">
        <f>IFERROR(IF(Data_Entry!Y572/Data_Entry!$H572&lt;0,0,Data_Entry!Y572/Data_Entry!$H572),0)</f>
        <v>0.35230691804343545</v>
      </c>
      <c r="U583" s="49">
        <f>IFERROR(IF(Data_Entry!Z572/Data_Entry!$H572&lt;0,0,Data_Entry!Z572/Data_Entry!$H572),0)</f>
        <v>1.1670166660188801</v>
      </c>
      <c r="V583" s="49">
        <f>IFERROR(IF(Data_Entry!AA572/Data_Entry!$H572&lt;0,0,Data_Entry!AA572/Data_Entry!$H572),0)</f>
        <v>1.2530916516772193</v>
      </c>
      <c r="W583" s="49">
        <f>IFERROR(IF(Data_Entry!AB572/Data_Entry!$H572&lt;0,0,Data_Entry!AB572/Data_Entry!$H572),0)</f>
        <v>1.070932961097943</v>
      </c>
      <c r="X583" s="49">
        <f>IFERROR(IF(Data_Entry!AC572/Data_Entry!$I572&lt;0,0,Data_Entry!AC572/Data_Entry!$I572),0)</f>
        <v>0.52570297490830753</v>
      </c>
      <c r="Y583" s="49">
        <f>IFERROR(IF(Data_Entry!AD572/Data_Entry!$I572&lt;0,0,Data_Entry!AD572/Data_Entry!$I572),0)</f>
        <v>0.32135995808348372</v>
      </c>
      <c r="Z583" s="49">
        <f>IFERROR(IF(Data_Entry!AE572/Data_Entry!$I572&lt;0,0,Data_Entry!AE572/Data_Entry!$I572),0)</f>
        <v>7.3353903475577797E-2</v>
      </c>
      <c r="AA583" s="49">
        <f>IFERROR(IF(Data_Entry!AF572/Data_Entry!$I572&lt;0,0,Data_Entry!AF572/Data_Entry!$I572),0)</f>
        <v>5.7635209873668269E-2</v>
      </c>
      <c r="AB583" s="49">
        <f>IFERROR(IF(Data_Entry!AG572/Data_Entry!$I572&lt;0,0,Data_Entry!AG572/Data_Entry!$I572),0)</f>
        <v>5.7635209873668269E-2</v>
      </c>
      <c r="AC583" s="49">
        <f>IFERROR(IF(Data_Entry!AI572/Data_Entry!$I572&lt;0,0,Data_Entry!AI572/Data_Entry!$I572),0)</f>
        <v>7.7545555102753669E-2</v>
      </c>
      <c r="AD583" s="49">
        <f>IFERROR(IF(Data_Entry!AM572/Data_Entry!$H572&lt;0,0,Data_Entry!AM572/Data_Entry!$H572),0)</f>
        <v>1.1670166660188801</v>
      </c>
      <c r="AE583" s="50">
        <f>Data_Entry!AK572</f>
        <v>0</v>
      </c>
      <c r="AF583" s="50">
        <f>Data_Entry!AL572</f>
        <v>3</v>
      </c>
      <c r="AG583" s="153">
        <f>(Data_Entry!O572-Data_Entry!Q572)/Data_Entry!O572</f>
        <v>-0.22128378378378377</v>
      </c>
      <c r="AH583" s="79" t="str">
        <f t="shared" si="16"/>
        <v>CAT1</v>
      </c>
      <c r="AI583" s="51">
        <f>SUBTOTAL(3,Tableau1[[#This Row],[ZS]])</f>
        <v>0</v>
      </c>
      <c r="AJ583" s="51" t="e">
        <f t="shared" ca="1" si="17"/>
        <v>#NAME?</v>
      </c>
      <c r="AK583" s="50" t="str">
        <f>IFERROR(IF((Data_Entry!O572-Data_Entry!Q572)/Data_Entry!O572&lt;=10%,"&lt;=10%","&gt;10%"),"&lt;=10%")</f>
        <v>&lt;=10%</v>
      </c>
    </row>
    <row r="584" spans="1:37" s="48" customFormat="1" ht="13" hidden="1" x14ac:dyDescent="0.3">
      <c r="A584" s="31" t="s">
        <v>16</v>
      </c>
      <c r="B584" s="48" t="str">
        <f>Data_Entry!B573</f>
        <v>Butembo</v>
      </c>
      <c r="C584" s="48" t="str">
        <f>Data_Entry!C573</f>
        <v xml:space="preserve"> Oicha</v>
      </c>
      <c r="D584" s="48" t="str">
        <f>Data_Entry!D573</f>
        <v xml:space="preserve"> Mavivi</v>
      </c>
      <c r="E584" s="49">
        <f>IFERROR(IF(Data_Entry!J573/Data_Entry!$I573&lt;0,0,Data_Entry!J573/Data_Entry!$I573),0)</f>
        <v>0.70384984536632189</v>
      </c>
      <c r="F584" s="49">
        <f>IFERROR(IF(Data_Entry!K573/Data_Entry!$H573&lt;0,0,Data_Entry!K573/Data_Entry!$H573),0)</f>
        <v>0.41618628522572304</v>
      </c>
      <c r="G584" s="49">
        <f>IFERROR(IF(Data_Entry!L573/Data_Entry!$H573&lt;0,0,Data_Entry!L573/Data_Entry!$H573),0)</f>
        <v>1.0120477068044014</v>
      </c>
      <c r="H584" s="49">
        <f>IFERROR(IF(Data_Entry!M573/Data_Entry!$H573&lt;0,0,Data_Entry!M573/Data_Entry!$H573),0)</f>
        <v>0.84520650876237147</v>
      </c>
      <c r="I584" s="49">
        <f>IFERROR(IF(Data_Entry!N573/Data_Entry!$H573&lt;0,0,Data_Entry!N573/Data_Entry!$H573),0)</f>
        <v>0.70219976758348868</v>
      </c>
      <c r="J584" s="49">
        <f>IFERROR(IF(Data_Entry!O573/Data_Entry!$H573&lt;0,0,Data_Entry!O573/Data_Entry!$H573),0)</f>
        <v>0.96071195356069994</v>
      </c>
      <c r="K584" s="49">
        <f>IFERROR(IF(Data_Entry!P573/Data_Entry!$H573&lt;0,0,Data_Entry!P573/Data_Entry!$H573),0)</f>
        <v>0.8397062494862606</v>
      </c>
      <c r="L584" s="49">
        <f>IFERROR(IF(Data_Entry!Q573/Data_Entry!$H573&lt;0,0,Data_Entry!Q573/Data_Entry!$H573),0)</f>
        <v>0.79570417527737358</v>
      </c>
      <c r="M584" s="49">
        <f>IFERROR(IF(Data_Entry!R573/Data_Entry!$H573&lt;0,0,Data_Entry!R573/Data_Entry!$H573),0)</f>
        <v>0.85804044707329685</v>
      </c>
      <c r="N584" s="49">
        <f>IFERROR(IF(Data_Entry!S573/Data_Entry!$H573&lt;0,0,Data_Entry!S573/Data_Entry!$H573),0)</f>
        <v>0.7498686813097829</v>
      </c>
      <c r="O584" s="49">
        <f>IFERROR(IF(Data_Entry!T573/Data_Entry!$H573&lt;0,0,Data_Entry!T573/Data_Entry!$H573),0)</f>
        <v>0.70770002685959954</v>
      </c>
      <c r="P584" s="49">
        <f>IFERROR(IF(Data_Entry!U573/Data_Entry!$H573&lt;0,0,Data_Entry!U573/Data_Entry!$H573),0)</f>
        <v>1.0065474475282905</v>
      </c>
      <c r="Q584" s="49">
        <f>IFERROR(IF(Data_Entry!V573/Data_Entry!$H573&lt;0,0,Data_Entry!V573/Data_Entry!$H573),0)</f>
        <v>0.84153966924496426</v>
      </c>
      <c r="R584" s="49">
        <f>IFERROR(IF(Data_Entry!W573/Data_Entry!$H573&lt;0,0,Data_Entry!W573/Data_Entry!$H573),0)</f>
        <v>0.67103163168552704</v>
      </c>
      <c r="S584" s="49">
        <f>IFERROR(IF(Data_Entry!X573/Data_Entry!$H573&lt;0,0,Data_Entry!X573/Data_Entry!$H573),0)</f>
        <v>0.98271299066514339</v>
      </c>
      <c r="T584" s="49">
        <f>IFERROR(IF(Data_Entry!Y573/Data_Entry!$H573&lt;0,0,Data_Entry!Y573/Data_Entry!$H573),0)</f>
        <v>0.39235182836257593</v>
      </c>
      <c r="U584" s="49">
        <f>IFERROR(IF(Data_Entry!Z573/Data_Entry!$H573&lt;0,0,Data_Entry!Z573/Data_Entry!$H573),0)</f>
        <v>0.90570936079959108</v>
      </c>
      <c r="V584" s="49">
        <f>IFERROR(IF(Data_Entry!AA573/Data_Entry!$H573&lt;0,0,Data_Entry!AA573/Data_Entry!$H573),0)</f>
        <v>1.0138811265631051</v>
      </c>
      <c r="W584" s="49">
        <f>IFERROR(IF(Data_Entry!AB573/Data_Entry!$H573&lt;0,0,Data_Entry!AB573/Data_Entry!$H573),0)</f>
        <v>0.76086919986200474</v>
      </c>
      <c r="X584" s="49">
        <f>IFERROR(IF(Data_Entry!AC573/Data_Entry!$I573&lt;0,0,Data_Entry!AC573/Data_Entry!$I573),0)</f>
        <v>0.24634744587821264</v>
      </c>
      <c r="Y584" s="49">
        <f>IFERROR(IF(Data_Entry!AD573/Data_Entry!$I573&lt;0,0,Data_Entry!AD573/Data_Entry!$I573),0)</f>
        <v>0.15836621520742242</v>
      </c>
      <c r="Z584" s="49">
        <f>IFERROR(IF(Data_Entry!AE573/Data_Entry!$I573&lt;0,0,Data_Entry!AE573/Data_Entry!$I573),0)</f>
        <v>0.15836621520742242</v>
      </c>
      <c r="AA584" s="49">
        <f>IFERROR(IF(Data_Entry!AF573/Data_Entry!$I573&lt;0,0,Data_Entry!AF573/Data_Entry!$I573),0)</f>
        <v>8.3182254452383489E-2</v>
      </c>
      <c r="AB584" s="49">
        <f>IFERROR(IF(Data_Entry!AG573/Data_Entry!$I573&lt;0,0,Data_Entry!AG573/Data_Entry!$I573),0)</f>
        <v>7.5183960755038928E-2</v>
      </c>
      <c r="AC584" s="49">
        <f>IFERROR(IF(Data_Entry!AI573/Data_Entry!$I573&lt;0,0,Data_Entry!AI573/Data_Entry!$I573),0)</f>
        <v>0.13325157299776047</v>
      </c>
      <c r="AD584" s="49">
        <f>IFERROR(IF(Data_Entry!AM573/Data_Entry!$H573&lt;0,0,Data_Entry!AM573/Data_Entry!$H573),0)</f>
        <v>0.90570936079959108</v>
      </c>
      <c r="AE584" s="50">
        <f>Data_Entry!AK573</f>
        <v>21.428833333333273</v>
      </c>
      <c r="AF584" s="50">
        <f>Data_Entry!AL573</f>
        <v>0</v>
      </c>
      <c r="AG584" s="153">
        <f>(Data_Entry!O573-Data_Entry!Q573)/Data_Entry!O573</f>
        <v>0.1717557251908397</v>
      </c>
      <c r="AH584" s="79" t="str">
        <f t="shared" si="16"/>
        <v>CAT2</v>
      </c>
      <c r="AI584" s="51">
        <f>SUBTOTAL(3,Tableau1[[#This Row],[ZS]])</f>
        <v>0</v>
      </c>
      <c r="AJ584" s="51" t="e">
        <f t="shared" ca="1" si="17"/>
        <v>#NAME?</v>
      </c>
      <c r="AK584" s="50" t="str">
        <f>IFERROR(IF((Data_Entry!O573-Data_Entry!Q573)/Data_Entry!O573&lt;=10%,"&lt;=10%","&gt;10%"),"&lt;=10%")</f>
        <v>&gt;10%</v>
      </c>
    </row>
    <row r="585" spans="1:37" s="48" customFormat="1" ht="13" hidden="1" x14ac:dyDescent="0.3">
      <c r="A585" s="31" t="s">
        <v>16</v>
      </c>
      <c r="B585" s="48" t="str">
        <f>Data_Entry!B574</f>
        <v>Butembo</v>
      </c>
      <c r="C585" s="48" t="str">
        <f>Data_Entry!C574</f>
        <v xml:space="preserve"> Oicha</v>
      </c>
      <c r="D585" s="48" t="str">
        <f>Data_Entry!D574</f>
        <v xml:space="preserve"> Mbau</v>
      </c>
      <c r="E585" s="49">
        <f>IFERROR(IF(Data_Entry!J574/Data_Entry!$I574&lt;0,0,Data_Entry!J574/Data_Entry!$I574),0)</f>
        <v>0.53578903306822934</v>
      </c>
      <c r="F585" s="49">
        <f>IFERROR(IF(Data_Entry!K574/Data_Entry!$H574&lt;0,0,Data_Entry!K574/Data_Entry!$H574),0)</f>
        <v>0.11514090968514959</v>
      </c>
      <c r="G585" s="49">
        <f>IFERROR(IF(Data_Entry!L574/Data_Entry!$H574&lt;0,0,Data_Entry!L574/Data_Entry!$H574),0)</f>
        <v>0.80438718849486446</v>
      </c>
      <c r="H585" s="49">
        <f>IFERROR(IF(Data_Entry!M574/Data_Entry!$H574&lt;0,0,Data_Entry!M574/Data_Entry!$H574),0)</f>
        <v>0.73082494064046333</v>
      </c>
      <c r="I585" s="49">
        <f>IFERROR(IF(Data_Entry!N574/Data_Entry!$H574&lt;0,0,Data_Entry!N574/Data_Entry!$H574),0)</f>
        <v>0.78039949897712502</v>
      </c>
      <c r="J585" s="49">
        <f>IFERROR(IF(Data_Entry!O574/Data_Entry!$H574&lt;0,0,Data_Entry!O574/Data_Entry!$H574),0)</f>
        <v>0.9531108635048493</v>
      </c>
      <c r="K585" s="49">
        <f>IFERROR(IF(Data_Entry!P574/Data_Entry!$H574&lt;0,0,Data_Entry!P574/Data_Entry!$H574),0)</f>
        <v>0.77880031967594232</v>
      </c>
      <c r="L585" s="49">
        <f>IFERROR(IF(Data_Entry!Q574/Data_Entry!$H574&lt;0,0,Data_Entry!Q574/Data_Entry!$H574),0)</f>
        <v>0.85396174683152615</v>
      </c>
      <c r="M585" s="49">
        <f>IFERROR(IF(Data_Entry!R574/Data_Entry!$H574&lt;0,0,Data_Entry!R574/Data_Entry!$H574),0)</f>
        <v>0.93871824979420571</v>
      </c>
      <c r="N585" s="49">
        <f>IFERROR(IF(Data_Entry!S574/Data_Entry!$H574&lt;0,0,Data_Entry!S574/Data_Entry!$H574),0)</f>
        <v>0.77400278177239445</v>
      </c>
      <c r="O585" s="49">
        <f>IFERROR(IF(Data_Entry!T574/Data_Entry!$H574&lt;0,0,Data_Entry!T574/Data_Entry!$H574),0)</f>
        <v>0.85396174683152615</v>
      </c>
      <c r="P585" s="49">
        <f>IFERROR(IF(Data_Entry!U574/Data_Entry!$H574&lt;0,0,Data_Entry!U574/Data_Entry!$H574),0)</f>
        <v>0.95151168420366672</v>
      </c>
      <c r="Q585" s="49">
        <f>IFERROR(IF(Data_Entry!V574/Data_Entry!$H574&lt;0,0,Data_Entry!V574/Data_Entry!$H574),0)</f>
        <v>0.78039949897712502</v>
      </c>
      <c r="R585" s="49">
        <f>IFERROR(IF(Data_Entry!W574/Data_Entry!$H574&lt;0,0,Data_Entry!W574/Data_Entry!$H574),0)</f>
        <v>0.8443666710244303</v>
      </c>
      <c r="S585" s="49">
        <f>IFERROR(IF(Data_Entry!X574/Data_Entry!$H574&lt;0,0,Data_Entry!X574/Data_Entry!$H574),0)</f>
        <v>0.76760606456766389</v>
      </c>
      <c r="T585" s="49">
        <f>IFERROR(IF(Data_Entry!Y574/Data_Entry!$H574&lt;0,0,Data_Entry!Y574/Data_Entry!$H574),0)</f>
        <v>0.41738579760866723</v>
      </c>
      <c r="U585" s="49">
        <f>IFERROR(IF(Data_Entry!Z574/Data_Entry!$H574&lt;0,0,Data_Entry!Z574/Data_Entry!$H574),0)</f>
        <v>0.77560196107357704</v>
      </c>
      <c r="V585" s="49">
        <f>IFERROR(IF(Data_Entry!AA574/Data_Entry!$H574&lt;0,0,Data_Entry!AA574/Data_Entry!$H574),0)</f>
        <v>0.94351578769775357</v>
      </c>
      <c r="W585" s="49">
        <f>IFERROR(IF(Data_Entry!AB574/Data_Entry!$H574&lt;0,0,Data_Entry!AB574/Data_Entry!$H574),0)</f>
        <v>0.43497676992167622</v>
      </c>
      <c r="X585" s="49">
        <f>IFERROR(IF(Data_Entry!AC574/Data_Entry!$I574&lt;0,0,Data_Entry!AC574/Data_Entry!$I574),0)</f>
        <v>1.3590065578345192</v>
      </c>
      <c r="Y585" s="49">
        <f>IFERROR(IF(Data_Entry!AD574/Data_Entry!$I574&lt;0,0,Data_Entry!AD574/Data_Entry!$I574),0)</f>
        <v>1.0492535230919491</v>
      </c>
      <c r="Z585" s="49">
        <f>IFERROR(IF(Data_Entry!AE574/Data_Entry!$I574&lt;0,0,Data_Entry!AE574/Data_Entry!$I574),0)</f>
        <v>0.99902330124180261</v>
      </c>
      <c r="AA585" s="49">
        <f>IFERROR(IF(Data_Entry!AF574/Data_Entry!$I574&lt;0,0,Data_Entry!AF574/Data_Entry!$I574),0)</f>
        <v>5.3020789730710199E-2</v>
      </c>
      <c r="AB585" s="49">
        <f>IFERROR(IF(Data_Entry!AG574/Data_Entry!$I574&lt;0,0,Data_Entry!AG574/Data_Entry!$I574),0)</f>
        <v>1.3952839402818474E-3</v>
      </c>
      <c r="AC585" s="49">
        <f>IFERROR(IF(Data_Entry!AI574/Data_Entry!$I574&lt;0,0,Data_Entry!AI574/Data_Entry!$I574),0)</f>
        <v>5.8183340309753036E-2</v>
      </c>
      <c r="AD585" s="49">
        <f>IFERROR(IF(Data_Entry!AM574/Data_Entry!$H574&lt;0,0,Data_Entry!AM574/Data_Entry!$H574),0)</f>
        <v>0.76760606456766389</v>
      </c>
      <c r="AE585" s="50">
        <f>Data_Entry!AK574</f>
        <v>29.320749999999975</v>
      </c>
      <c r="AF585" s="50">
        <f>Data_Entry!AL574</f>
        <v>116</v>
      </c>
      <c r="AG585" s="153">
        <f>(Data_Entry!O574-Data_Entry!Q574)/Data_Entry!O574</f>
        <v>0.1040268456375839</v>
      </c>
      <c r="AH585" s="79" t="str">
        <f t="shared" si="16"/>
        <v>CAT2</v>
      </c>
      <c r="AI585" s="51">
        <f>SUBTOTAL(3,Tableau1[[#This Row],[ZS]])</f>
        <v>0</v>
      </c>
      <c r="AJ585" s="51" t="e">
        <f t="shared" ca="1" si="17"/>
        <v>#NAME?</v>
      </c>
      <c r="AK585" s="50" t="str">
        <f>IFERROR(IF((Data_Entry!O574-Data_Entry!Q574)/Data_Entry!O574&lt;=10%,"&lt;=10%","&gt;10%"),"&lt;=10%")</f>
        <v>&gt;10%</v>
      </c>
    </row>
    <row r="586" spans="1:37" s="48" customFormat="1" ht="13" hidden="1" x14ac:dyDescent="0.3">
      <c r="A586" s="31" t="s">
        <v>16</v>
      </c>
      <c r="B586" s="48" t="str">
        <f>Data_Entry!B575</f>
        <v>Butembo</v>
      </c>
      <c r="C586" s="48" t="str">
        <f>Data_Entry!C575</f>
        <v xml:space="preserve"> Oicha</v>
      </c>
      <c r="D586" s="48" t="str">
        <f>Data_Entry!D575</f>
        <v xml:space="preserve"> Mbimbi</v>
      </c>
      <c r="E586" s="49">
        <f>IFERROR(IF(Data_Entry!J575/Data_Entry!$I575&lt;0,0,Data_Entry!J575/Data_Entry!$I575),0)</f>
        <v>0.82213119483066988</v>
      </c>
      <c r="F586" s="49">
        <f>IFERROR(IF(Data_Entry!K575/Data_Entry!$H575&lt;0,0,Data_Entry!K575/Data_Entry!$H575),0)</f>
        <v>0.29954289951906171</v>
      </c>
      <c r="G586" s="49">
        <f>IFERROR(IF(Data_Entry!L575/Data_Entry!$H575&lt;0,0,Data_Entry!L575/Data_Entry!$H575),0)</f>
        <v>1.1227899412436353</v>
      </c>
      <c r="H586" s="49">
        <f>IFERROR(IF(Data_Entry!M575/Data_Entry!$H575&lt;0,0,Data_Entry!M575/Data_Entry!$H575),0)</f>
        <v>1.1327085803005579</v>
      </c>
      <c r="I586" s="49">
        <f>IFERROR(IF(Data_Entry!N575/Data_Entry!$H575&lt;0,0,Data_Entry!N575/Data_Entry!$H575),0)</f>
        <v>1.0474082844110237</v>
      </c>
      <c r="J586" s="49">
        <f>IFERROR(IF(Data_Entry!O575/Data_Entry!$H575&lt;0,0,Data_Entry!O575/Data_Entry!$H575),0)</f>
        <v>1.0236035506744094</v>
      </c>
      <c r="K586" s="49">
        <f>IFERROR(IF(Data_Entry!P575/Data_Entry!$H575&lt;0,0,Data_Entry!P575/Data_Entry!$H575),0)</f>
        <v>1.083115385015945</v>
      </c>
      <c r="L586" s="49">
        <f>IFERROR(IF(Data_Entry!Q575/Data_Entry!$H575&lt;0,0,Data_Entry!Q575/Data_Entry!$H575),0)</f>
        <v>1.0632781069020998</v>
      </c>
      <c r="M586" s="49">
        <f>IFERROR(IF(Data_Entry!R575/Data_Entry!$H575&lt;0,0,Data_Entry!R575/Data_Entry!$H575),0)</f>
        <v>1.0156686394288714</v>
      </c>
      <c r="N586" s="49">
        <f>IFERROR(IF(Data_Entry!S575/Data_Entry!$H575&lt;0,0,Data_Entry!S575/Data_Entry!$H575),0)</f>
        <v>0.99979881693779538</v>
      </c>
      <c r="O586" s="49">
        <f>IFERROR(IF(Data_Entry!T575/Data_Entry!$H575&lt;0,0,Data_Entry!T575/Data_Entry!$H575),0)</f>
        <v>0.97004289976702762</v>
      </c>
      <c r="P586" s="49">
        <f>IFERROR(IF(Data_Entry!U575/Data_Entry!$H575&lt;0,0,Data_Entry!U575/Data_Entry!$H575),0)</f>
        <v>1.009717455994718</v>
      </c>
      <c r="Q586" s="49">
        <f>IFERROR(IF(Data_Entry!V575/Data_Entry!$H575&lt;0,0,Data_Entry!V575/Data_Entry!$H575),0)</f>
        <v>0.99781508912641081</v>
      </c>
      <c r="R586" s="49">
        <f>IFERROR(IF(Data_Entry!W575/Data_Entry!$H575&lt;0,0,Data_Entry!W575/Data_Entry!$H575),0)</f>
        <v>0.8609378701408793</v>
      </c>
      <c r="S586" s="49">
        <f>IFERROR(IF(Data_Entry!X575/Data_Entry!$H575&lt;0,0,Data_Entry!X575/Data_Entry!$H575),0)</f>
        <v>0.87284023700918645</v>
      </c>
      <c r="T586" s="49">
        <f>IFERROR(IF(Data_Entry!Y575/Data_Entry!$H575&lt;0,0,Data_Entry!Y575/Data_Entry!$H575),0)</f>
        <v>0.20035650894983598</v>
      </c>
      <c r="U586" s="49">
        <f>IFERROR(IF(Data_Entry!Z575/Data_Entry!$H575&lt;0,0,Data_Entry!Z575/Data_Entry!$H575),0)</f>
        <v>0.84903550327257227</v>
      </c>
      <c r="V586" s="49">
        <f>IFERROR(IF(Data_Entry!AA575/Data_Entry!$H575&lt;0,0,Data_Entry!AA575/Data_Entry!$H575),0)</f>
        <v>1.033522189731332</v>
      </c>
      <c r="W586" s="49">
        <f>IFERROR(IF(Data_Entry!AB575/Data_Entry!$H575&lt;0,0,Data_Entry!AB575/Data_Entry!$H575),0)</f>
        <v>0.82721449734734265</v>
      </c>
      <c r="X586" s="49">
        <f>IFERROR(IF(Data_Entry!AC575/Data_Entry!$I575&lt;0,0,Data_Entry!AC575/Data_Entry!$I575),0)</f>
        <v>1.5057981884267007</v>
      </c>
      <c r="Y586" s="49">
        <f>IFERROR(IF(Data_Entry!AD575/Data_Entry!$I575&lt;0,0,Data_Entry!AD575/Data_Entry!$I575),0)</f>
        <v>1.2254081809265562</v>
      </c>
      <c r="Z586" s="49">
        <f>IFERROR(IF(Data_Entry!AE575/Data_Entry!$I575&lt;0,0,Data_Entry!AE575/Data_Entry!$I575),0)</f>
        <v>0.23885074712975249</v>
      </c>
      <c r="AA586" s="49">
        <f>IFERROR(IF(Data_Entry!AF575/Data_Entry!$I575&lt;0,0,Data_Entry!AF575/Data_Entry!$I575),0)</f>
        <v>1.5577222638896902E-2</v>
      </c>
      <c r="AB586" s="49">
        <f>IFERROR(IF(Data_Entry!AG575/Data_Entry!$I575&lt;0,0,Data_Entry!AG575/Data_Entry!$I575),0)</f>
        <v>0</v>
      </c>
      <c r="AC586" s="49">
        <f>IFERROR(IF(Data_Entry!AI575/Data_Entry!$I575&lt;0,0,Data_Entry!AI575/Data_Entry!$I575),0)</f>
        <v>8.6540125771649462E-2</v>
      </c>
      <c r="AD586" s="49">
        <f>IFERROR(IF(Data_Entry!AM575/Data_Entry!$H575&lt;0,0,Data_Entry!AM575/Data_Entry!$H575),0)</f>
        <v>0.84903550327257227</v>
      </c>
      <c r="AE586" s="50">
        <f>Data_Entry!AK575</f>
        <v>0</v>
      </c>
      <c r="AF586" s="50">
        <f>Data_Entry!AL575</f>
        <v>76</v>
      </c>
      <c r="AG586" s="153">
        <f>(Data_Entry!O575-Data_Entry!Q575)/Data_Entry!O575</f>
        <v>-3.875968992248062E-2</v>
      </c>
      <c r="AH586" s="79" t="str">
        <f t="shared" si="16"/>
        <v>CAT1</v>
      </c>
      <c r="AI586" s="51">
        <f>SUBTOTAL(3,Tableau1[[#This Row],[ZS]])</f>
        <v>0</v>
      </c>
      <c r="AJ586" s="51" t="e">
        <f t="shared" ca="1" si="17"/>
        <v>#NAME?</v>
      </c>
      <c r="AK586" s="50" t="str">
        <f>IFERROR(IF((Data_Entry!O575-Data_Entry!Q575)/Data_Entry!O575&lt;=10%,"&lt;=10%","&gt;10%"),"&lt;=10%")</f>
        <v>&lt;=10%</v>
      </c>
    </row>
    <row r="587" spans="1:37" s="48" customFormat="1" ht="13" hidden="1" x14ac:dyDescent="0.3">
      <c r="A587" s="31" t="s">
        <v>16</v>
      </c>
      <c r="B587" s="48" t="str">
        <f>Data_Entry!B576</f>
        <v>Butembo</v>
      </c>
      <c r="C587" s="48" t="str">
        <f>Data_Entry!C576</f>
        <v xml:space="preserve"> Oicha</v>
      </c>
      <c r="D587" s="48" t="str">
        <f>Data_Entry!D576</f>
        <v xml:space="preserve"> Mbutaba</v>
      </c>
      <c r="E587" s="49">
        <f>IFERROR(IF(Data_Entry!J576/Data_Entry!$I576&lt;0,0,Data_Entry!J576/Data_Entry!$I576),0)</f>
        <v>0</v>
      </c>
      <c r="F587" s="49">
        <f>IFERROR(IF(Data_Entry!K576/Data_Entry!$H576&lt;0,0,Data_Entry!K576/Data_Entry!$H576),0)</f>
        <v>0</v>
      </c>
      <c r="G587" s="49">
        <f>IFERROR(IF(Data_Entry!L576/Data_Entry!$H576&lt;0,0,Data_Entry!L576/Data_Entry!$H576),0)</f>
        <v>5.2478562507215797E-2</v>
      </c>
      <c r="H587" s="49">
        <f>IFERROR(IF(Data_Entry!M576/Data_Entry!$H576&lt;0,0,Data_Entry!M576/Data_Entry!$H576),0)</f>
        <v>1.0495712501443159E-2</v>
      </c>
      <c r="I587" s="49">
        <f>IFERROR(IF(Data_Entry!N576/Data_Entry!$H576&lt;0,0,Data_Entry!N576/Data_Entry!$H576),0)</f>
        <v>0</v>
      </c>
      <c r="J587" s="49">
        <f>IFERROR(IF(Data_Entry!O576/Data_Entry!$H576&lt;0,0,Data_Entry!O576/Data_Entry!$H576),0)</f>
        <v>0</v>
      </c>
      <c r="K587" s="49">
        <f>IFERROR(IF(Data_Entry!P576/Data_Entry!$H576&lt;0,0,Data_Entry!P576/Data_Entry!$H576),0)</f>
        <v>0</v>
      </c>
      <c r="L587" s="49">
        <f>IFERROR(IF(Data_Entry!Q576/Data_Entry!$H576&lt;0,0,Data_Entry!Q576/Data_Entry!$H576),0)</f>
        <v>0</v>
      </c>
      <c r="M587" s="49">
        <f>IFERROR(IF(Data_Entry!R576/Data_Entry!$H576&lt;0,0,Data_Entry!R576/Data_Entry!$H576),0)</f>
        <v>5.2478562507215797E-2</v>
      </c>
      <c r="N587" s="49">
        <f>IFERROR(IF(Data_Entry!S576/Data_Entry!$H576&lt;0,0,Data_Entry!S576/Data_Entry!$H576),0)</f>
        <v>1.0495712501443159E-2</v>
      </c>
      <c r="O587" s="49">
        <f>IFERROR(IF(Data_Entry!T576/Data_Entry!$H576&lt;0,0,Data_Entry!T576/Data_Entry!$H576),0)</f>
        <v>0</v>
      </c>
      <c r="P587" s="49">
        <f>IFERROR(IF(Data_Entry!U576/Data_Entry!$H576&lt;0,0,Data_Entry!U576/Data_Entry!$H576),0)</f>
        <v>0</v>
      </c>
      <c r="Q587" s="49">
        <f>IFERROR(IF(Data_Entry!V576/Data_Entry!$H576&lt;0,0,Data_Entry!V576/Data_Entry!$H576),0)</f>
        <v>0</v>
      </c>
      <c r="R587" s="49">
        <f>IFERROR(IF(Data_Entry!W576/Data_Entry!$H576&lt;0,0,Data_Entry!W576/Data_Entry!$H576),0)</f>
        <v>0</v>
      </c>
      <c r="S587" s="49">
        <f>IFERROR(IF(Data_Entry!X576/Data_Entry!$H576&lt;0,0,Data_Entry!X576/Data_Entry!$H576),0)</f>
        <v>0</v>
      </c>
      <c r="T587" s="49">
        <f>IFERROR(IF(Data_Entry!Y576/Data_Entry!$H576&lt;0,0,Data_Entry!Y576/Data_Entry!$H576),0)</f>
        <v>0</v>
      </c>
      <c r="U587" s="49">
        <f>IFERROR(IF(Data_Entry!Z576/Data_Entry!$H576&lt;0,0,Data_Entry!Z576/Data_Entry!$H576),0)</f>
        <v>0</v>
      </c>
      <c r="V587" s="49">
        <f>IFERROR(IF(Data_Entry!AA576/Data_Entry!$H576&lt;0,0,Data_Entry!AA576/Data_Entry!$H576),0)</f>
        <v>1.0495712501443159E-2</v>
      </c>
      <c r="W587" s="49">
        <f>IFERROR(IF(Data_Entry!AB576/Data_Entry!$H576&lt;0,0,Data_Entry!AB576/Data_Entry!$H576),0)</f>
        <v>0</v>
      </c>
      <c r="X587" s="49">
        <f>IFERROR(IF(Data_Entry!AC576/Data_Entry!$I576&lt;0,0,Data_Entry!AC576/Data_Entry!$I576),0)</f>
        <v>2.7472527472527472E-2</v>
      </c>
      <c r="Y587" s="49">
        <f>IFERROR(IF(Data_Entry!AD576/Data_Entry!$I576&lt;0,0,Data_Entry!AD576/Data_Entry!$I576),0)</f>
        <v>0</v>
      </c>
      <c r="Z587" s="49">
        <f>IFERROR(IF(Data_Entry!AE576/Data_Entry!$I576&lt;0,0,Data_Entry!AE576/Data_Entry!$I576),0)</f>
        <v>0</v>
      </c>
      <c r="AA587" s="49">
        <f>IFERROR(IF(Data_Entry!AF576/Data_Entry!$I576&lt;0,0,Data_Entry!AF576/Data_Entry!$I576),0)</f>
        <v>0</v>
      </c>
      <c r="AB587" s="49">
        <f>IFERROR(IF(Data_Entry!AG576/Data_Entry!$I576&lt;0,0,Data_Entry!AG576/Data_Entry!$I576),0)</f>
        <v>0</v>
      </c>
      <c r="AC587" s="49">
        <f>IFERROR(IF(Data_Entry!AI576/Data_Entry!$I576&lt;0,0,Data_Entry!AI576/Data_Entry!$I576),0)</f>
        <v>0.3818681318681319</v>
      </c>
      <c r="AD587" s="49">
        <f>IFERROR(IF(Data_Entry!AM576/Data_Entry!$H576&lt;0,0,Data_Entry!AM576/Data_Entry!$H576),0)</f>
        <v>0</v>
      </c>
      <c r="AE587" s="50">
        <f>Data_Entry!AK576</f>
        <v>0</v>
      </c>
      <c r="AF587" s="50">
        <f>Data_Entry!AL576</f>
        <v>0</v>
      </c>
      <c r="AG587" s="153" t="e">
        <f>(Data_Entry!O576-Data_Entry!Q576)/Data_Entry!O576</f>
        <v>#VALUE!</v>
      </c>
      <c r="AH587" s="79" t="str">
        <f t="shared" si="16"/>
        <v>ND</v>
      </c>
      <c r="AI587" s="51">
        <f>SUBTOTAL(3,Tableau1[[#This Row],[ZS]])</f>
        <v>0</v>
      </c>
      <c r="AJ587" s="51" t="e">
        <f t="shared" ca="1" si="17"/>
        <v>#NAME?</v>
      </c>
      <c r="AK587" s="50" t="str">
        <f>IFERROR(IF((Data_Entry!O576-Data_Entry!Q576)/Data_Entry!O576&lt;=10%,"&lt;=10%","&gt;10%"),"&lt;=10%")</f>
        <v>&lt;=10%</v>
      </c>
    </row>
    <row r="588" spans="1:37" s="48" customFormat="1" ht="13" hidden="1" x14ac:dyDescent="0.3">
      <c r="A588" s="31" t="s">
        <v>16</v>
      </c>
      <c r="B588" s="48" t="str">
        <f>Data_Entry!B577</f>
        <v>Butembo</v>
      </c>
      <c r="C588" s="48" t="str">
        <f>Data_Entry!C577</f>
        <v xml:space="preserve"> Oicha</v>
      </c>
      <c r="D588" s="48" t="str">
        <f>Data_Entry!D577</f>
        <v xml:space="preserve"> Musuku</v>
      </c>
      <c r="E588" s="49">
        <f>IFERROR(IF(Data_Entry!J577/Data_Entry!$I577&lt;0,0,Data_Entry!J577/Data_Entry!$I577),0)</f>
        <v>4.3296985246953176E-2</v>
      </c>
      <c r="F588" s="49">
        <f>IFERROR(IF(Data_Entry!K577/Data_Entry!$H577&lt;0,0,Data_Entry!K577/Data_Entry!$H577),0)</f>
        <v>0</v>
      </c>
      <c r="G588" s="49">
        <f>IFERROR(IF(Data_Entry!L577/Data_Entry!$H577&lt;0,0,Data_Entry!L577/Data_Entry!$H577),0)</f>
        <v>3.3082701239314741E-2</v>
      </c>
      <c r="H588" s="49">
        <f>IFERROR(IF(Data_Entry!M577/Data_Entry!$H577&lt;0,0,Data_Entry!M577/Data_Entry!$H577),0)</f>
        <v>1.654135061965737E-2</v>
      </c>
      <c r="I588" s="49">
        <f>IFERROR(IF(Data_Entry!N577/Data_Entry!$H577&lt;0,0,Data_Entry!N577/Data_Entry!$H577),0)</f>
        <v>5.5137835398857901E-3</v>
      </c>
      <c r="J588" s="49">
        <f>IFERROR(IF(Data_Entry!O577/Data_Entry!$H577&lt;0,0,Data_Entry!O577/Data_Entry!$H577),0)</f>
        <v>3.3082701239314741E-2</v>
      </c>
      <c r="K588" s="49">
        <f>IFERROR(IF(Data_Entry!P577/Data_Entry!$H577&lt;0,0,Data_Entry!P577/Data_Entry!$H577),0)</f>
        <v>3.3082701239314741E-2</v>
      </c>
      <c r="L588" s="49">
        <f>IFERROR(IF(Data_Entry!Q577/Data_Entry!$H577&lt;0,0,Data_Entry!Q577/Data_Entry!$H577),0)</f>
        <v>1.654135061965737E-2</v>
      </c>
      <c r="M588" s="49">
        <f>IFERROR(IF(Data_Entry!R577/Data_Entry!$H577&lt;0,0,Data_Entry!R577/Data_Entry!$H577),0)</f>
        <v>3.3082701239314741E-2</v>
      </c>
      <c r="N588" s="49">
        <f>IFERROR(IF(Data_Entry!S577/Data_Entry!$H577&lt;0,0,Data_Entry!S577/Data_Entry!$H577),0)</f>
        <v>3.3082701239314741E-2</v>
      </c>
      <c r="O588" s="49">
        <f>IFERROR(IF(Data_Entry!T577/Data_Entry!$H577&lt;0,0,Data_Entry!T577/Data_Entry!$H577),0)</f>
        <v>1.102756707977158E-2</v>
      </c>
      <c r="P588" s="49">
        <f>IFERROR(IF(Data_Entry!U577/Data_Entry!$H577&lt;0,0,Data_Entry!U577/Data_Entry!$H577),0)</f>
        <v>2.7568917699428954E-2</v>
      </c>
      <c r="Q588" s="49">
        <f>IFERROR(IF(Data_Entry!V577/Data_Entry!$H577&lt;0,0,Data_Entry!V577/Data_Entry!$H577),0)</f>
        <v>2.205513415954316E-2</v>
      </c>
      <c r="R588" s="49">
        <f>IFERROR(IF(Data_Entry!W577/Data_Entry!$H577&lt;0,0,Data_Entry!W577/Data_Entry!$H577),0)</f>
        <v>1.102756707977158E-2</v>
      </c>
      <c r="S588" s="49">
        <f>IFERROR(IF(Data_Entry!X577/Data_Entry!$H577&lt;0,0,Data_Entry!X577/Data_Entry!$H577),0)</f>
        <v>3.3082701239314741E-2</v>
      </c>
      <c r="T588" s="49">
        <f>IFERROR(IF(Data_Entry!Y577/Data_Entry!$H577&lt;0,0,Data_Entry!Y577/Data_Entry!$H577),0)</f>
        <v>1.102756707977158E-2</v>
      </c>
      <c r="U588" s="49">
        <f>IFERROR(IF(Data_Entry!Z577/Data_Entry!$H577&lt;0,0,Data_Entry!Z577/Data_Entry!$H577),0)</f>
        <v>3.3082701239314741E-2</v>
      </c>
      <c r="V588" s="49">
        <f>IFERROR(IF(Data_Entry!AA577/Data_Entry!$H577&lt;0,0,Data_Entry!AA577/Data_Entry!$H577),0)</f>
        <v>1.654135061965737E-2</v>
      </c>
      <c r="W588" s="49">
        <f>IFERROR(IF(Data_Entry!AB577/Data_Entry!$H577&lt;0,0,Data_Entry!AB577/Data_Entry!$H577),0)</f>
        <v>3.3082701239314741E-2</v>
      </c>
      <c r="X588" s="49">
        <f>IFERROR(IF(Data_Entry!AC577/Data_Entry!$I577&lt;0,0,Data_Entry!AC577/Data_Entry!$I577),0)</f>
        <v>6.2540089801154594E-2</v>
      </c>
      <c r="Y588" s="49">
        <f>IFERROR(IF(Data_Entry!AD577/Data_Entry!$I577&lt;0,0,Data_Entry!AD577/Data_Entry!$I577),0)</f>
        <v>4.8107761385503536E-3</v>
      </c>
      <c r="Z588" s="49">
        <f>IFERROR(IF(Data_Entry!AE577/Data_Entry!$I577&lt;0,0,Data_Entry!AE577/Data_Entry!$I577),0)</f>
        <v>1.9243104554201414E-2</v>
      </c>
      <c r="AA588" s="49">
        <f>IFERROR(IF(Data_Entry!AF577/Data_Entry!$I577&lt;0,0,Data_Entry!AF577/Data_Entry!$I577),0)</f>
        <v>0</v>
      </c>
      <c r="AB588" s="49">
        <f>IFERROR(IF(Data_Entry!AG577/Data_Entry!$I577&lt;0,0,Data_Entry!AG577/Data_Entry!$I577),0)</f>
        <v>0</v>
      </c>
      <c r="AC588" s="49">
        <f>IFERROR(IF(Data_Entry!AI577/Data_Entry!$I577&lt;0,0,Data_Entry!AI577/Data_Entry!$I577),0)</f>
        <v>0.16019884541372675</v>
      </c>
      <c r="AD588" s="49">
        <f>IFERROR(IF(Data_Entry!AM577/Data_Entry!$H577&lt;0,0,Data_Entry!AM577/Data_Entry!$H577),0)</f>
        <v>3.3082701239314741E-2</v>
      </c>
      <c r="AE588" s="50">
        <f>Data_Entry!AK577</f>
        <v>175.36366666666669</v>
      </c>
      <c r="AF588" s="50">
        <f>Data_Entry!AL577</f>
        <v>0</v>
      </c>
      <c r="AG588" s="153">
        <f>(Data_Entry!O577-Data_Entry!Q577)/Data_Entry!O577</f>
        <v>0.5</v>
      </c>
      <c r="AH588" s="79" t="str">
        <f t="shared" si="16"/>
        <v>CAT4</v>
      </c>
      <c r="AI588" s="51">
        <f>SUBTOTAL(3,Tableau1[[#This Row],[ZS]])</f>
        <v>0</v>
      </c>
      <c r="AJ588" s="51" t="e">
        <f t="shared" ca="1" si="17"/>
        <v>#NAME?</v>
      </c>
      <c r="AK588" s="50" t="str">
        <f>IFERROR(IF((Data_Entry!O577-Data_Entry!Q577)/Data_Entry!O577&lt;=10%,"&lt;=10%","&gt;10%"),"&lt;=10%")</f>
        <v>&gt;10%</v>
      </c>
    </row>
    <row r="589" spans="1:37" s="48" customFormat="1" ht="13" hidden="1" x14ac:dyDescent="0.3">
      <c r="A589" s="31" t="s">
        <v>16</v>
      </c>
      <c r="B589" s="48" t="str">
        <f>Data_Entry!B578</f>
        <v>Butembo</v>
      </c>
      <c r="C589" s="48" t="str">
        <f>Data_Entry!C578</f>
        <v xml:space="preserve"> Oicha</v>
      </c>
      <c r="D589" s="48" t="str">
        <f>Data_Entry!D578</f>
        <v xml:space="preserve"> Pakanza</v>
      </c>
      <c r="E589" s="49">
        <f>IFERROR(IF(Data_Entry!J578/Data_Entry!$I578&lt;0,0,Data_Entry!J578/Data_Entry!$I578),0)</f>
        <v>0.78599735799207404</v>
      </c>
      <c r="F589" s="49">
        <f>IFERROR(IF(Data_Entry!K578/Data_Entry!$H578&lt;0,0,Data_Entry!K578/Data_Entry!$H578),0)</f>
        <v>5.6776674628018158E-2</v>
      </c>
      <c r="G589" s="49">
        <f>IFERROR(IF(Data_Entry!L578/Data_Entry!$H578&lt;0,0,Data_Entry!L578/Data_Entry!$H578),0)</f>
        <v>1.6074107439132252</v>
      </c>
      <c r="H589" s="49">
        <f>IFERROR(IF(Data_Entry!M578/Data_Entry!$H578&lt;0,0,Data_Entry!M578/Data_Entry!$H578),0)</f>
        <v>1.5190914722696414</v>
      </c>
      <c r="I589" s="49">
        <f>IFERROR(IF(Data_Entry!N578/Data_Entry!$H578&lt;0,0,Data_Entry!N578/Data_Entry!$H578),0)</f>
        <v>1.4332956083873027</v>
      </c>
      <c r="J589" s="49">
        <f>IFERROR(IF(Data_Entry!O578/Data_Entry!$H578&lt;0,0,Data_Entry!O578/Data_Entry!$H578),0)</f>
        <v>1.7512449863042046</v>
      </c>
      <c r="K589" s="49">
        <f>IFERROR(IF(Data_Entry!P578/Data_Entry!$H578&lt;0,0,Data_Entry!P578/Data_Entry!$H578),0)</f>
        <v>1.6364299331675456</v>
      </c>
      <c r="L589" s="49">
        <f>IFERROR(IF(Data_Entry!Q578/Data_Entry!$H578&lt;0,0,Data_Entry!Q578/Data_Entry!$H578),0)</f>
        <v>1.5380170304789806</v>
      </c>
      <c r="M589" s="49">
        <f>IFERROR(IF(Data_Entry!R578/Data_Entry!$H578&lt;0,0,Data_Entry!R578/Data_Entry!$H578),0)</f>
        <v>1.5859617779426405</v>
      </c>
      <c r="N589" s="49">
        <f>IFERROR(IF(Data_Entry!S578/Data_Entry!$H578&lt;0,0,Data_Entry!S578/Data_Entry!$H578),0)</f>
        <v>1.7449364669010914</v>
      </c>
      <c r="O589" s="49">
        <f>IFERROR(IF(Data_Entry!T578/Data_Entry!$H578&lt;0,0,Data_Entry!T578/Data_Entry!$H578),0)</f>
        <v>1.4509594627160196</v>
      </c>
      <c r="P589" s="49">
        <f>IFERROR(IF(Data_Entry!U578/Data_Entry!$H578&lt;0,0,Data_Entry!U578/Data_Entry!$H578),0)</f>
        <v>1.6288597098838098</v>
      </c>
      <c r="Q589" s="49">
        <f>IFERROR(IF(Data_Entry!V578/Data_Entry!$H578&lt;0,0,Data_Entry!V578/Data_Entry!$H578),0)</f>
        <v>1.5140446567471508</v>
      </c>
      <c r="R589" s="49">
        <f>IFERROR(IF(Data_Entry!W578/Data_Entry!$H578&lt;0,0,Data_Entry!W578/Data_Entry!$H578),0)</f>
        <v>1.3361444095793606</v>
      </c>
      <c r="S589" s="49">
        <f>IFERROR(IF(Data_Entry!X578/Data_Entry!$H578&lt;0,0,Data_Entry!X578/Data_Entry!$H578),0)</f>
        <v>1.4963808024184342</v>
      </c>
      <c r="T589" s="49">
        <f>IFERROR(IF(Data_Entry!Y578/Data_Entry!$H578&lt;0,0,Data_Entry!Y578/Data_Entry!$H578),0)</f>
        <v>0.44285806209854162</v>
      </c>
      <c r="U589" s="49">
        <f>IFERROR(IF(Data_Entry!Z578/Data_Entry!$H578&lt;0,0,Data_Entry!Z578/Data_Entry!$H578),0)</f>
        <v>1.4963808024184342</v>
      </c>
      <c r="V589" s="49">
        <f>IFERROR(IF(Data_Entry!AA578/Data_Entry!$H578&lt;0,0,Data_Entry!AA578/Data_Entry!$H578),0)</f>
        <v>1.3967061958492466</v>
      </c>
      <c r="W589" s="49">
        <f>IFERROR(IF(Data_Entry!AB578/Data_Entry!$H578&lt;0,0,Data_Entry!AB578/Data_Entry!$H578),0)</f>
        <v>1.2680124000257389</v>
      </c>
      <c r="X589" s="49">
        <f>IFERROR(IF(Data_Entry!AC578/Data_Entry!$I578&lt;0,0,Data_Entry!AC578/Data_Entry!$I578),0)</f>
        <v>0.28291501541171293</v>
      </c>
      <c r="Y589" s="49">
        <f>IFERROR(IF(Data_Entry!AD578/Data_Entry!$I578&lt;0,0,Data_Entry!AD578/Data_Entry!$I578),0)</f>
        <v>0.22457067371202116</v>
      </c>
      <c r="Z589" s="49">
        <f>IFERROR(IF(Data_Entry!AE578/Data_Entry!$I578&lt;0,0,Data_Entry!AE578/Data_Entry!$I578),0)</f>
        <v>0.30603258476442102</v>
      </c>
      <c r="AA589" s="49">
        <f>IFERROR(IF(Data_Entry!AF578/Data_Entry!$I578&lt;0,0,Data_Entry!AF578/Data_Entry!$I578),0)</f>
        <v>0.2201673271686482</v>
      </c>
      <c r="AB589" s="49">
        <f>IFERROR(IF(Data_Entry!AG578/Data_Entry!$I578&lt;0,0,Data_Entry!AG578/Data_Entry!$I578),0)</f>
        <v>0.19925143108762663</v>
      </c>
      <c r="AC589" s="49">
        <f>IFERROR(IF(Data_Entry!AI578/Data_Entry!$I578&lt;0,0,Data_Entry!AI578/Data_Entry!$I578),0)</f>
        <v>4.5904887714663153E-2</v>
      </c>
      <c r="AD589" s="49">
        <f>IFERROR(IF(Data_Entry!AM578/Data_Entry!$H578&lt;0,0,Data_Entry!AM578/Data_Entry!$H578),0)</f>
        <v>1.4963808024184342</v>
      </c>
      <c r="AE589" s="50">
        <f>Data_Entry!AK578</f>
        <v>0</v>
      </c>
      <c r="AF589" s="50">
        <f>Data_Entry!AL578</f>
        <v>202</v>
      </c>
      <c r="AG589" s="153">
        <f>(Data_Entry!O578-Data_Entry!Q578)/Data_Entry!O578</f>
        <v>0.12175792507204611</v>
      </c>
      <c r="AH589" s="79" t="str">
        <f t="shared" si="16"/>
        <v>CAT2</v>
      </c>
      <c r="AI589" s="51">
        <f>SUBTOTAL(3,Tableau1[[#This Row],[ZS]])</f>
        <v>0</v>
      </c>
      <c r="AJ589" s="51" t="e">
        <f t="shared" ca="1" si="17"/>
        <v>#NAME?</v>
      </c>
      <c r="AK589" s="50" t="str">
        <f>IFERROR(IF((Data_Entry!O578-Data_Entry!Q578)/Data_Entry!O578&lt;=10%,"&lt;=10%","&gt;10%"),"&lt;=10%")</f>
        <v>&gt;10%</v>
      </c>
    </row>
    <row r="590" spans="1:37" s="48" customFormat="1" ht="13" hidden="1" x14ac:dyDescent="0.3">
      <c r="A590" s="31" t="s">
        <v>16</v>
      </c>
      <c r="B590" s="48" t="str">
        <f>Data_Entry!B579</f>
        <v>Butembo</v>
      </c>
      <c r="C590" s="48" t="str">
        <f>Data_Entry!C579</f>
        <v xml:space="preserve"> Oicha</v>
      </c>
      <c r="D590" s="48" t="str">
        <f>Data_Entry!D579</f>
        <v xml:space="preserve"> Pasala</v>
      </c>
      <c r="E590" s="49">
        <f>IFERROR(IF(Data_Entry!J579/Data_Entry!$I579&lt;0,0,Data_Entry!J579/Data_Entry!$I579),0)</f>
        <v>2.9403116730373421E-2</v>
      </c>
      <c r="F590" s="49">
        <f>IFERROR(IF(Data_Entry!K579/Data_Entry!$H579&lt;0,0,Data_Entry!K579/Data_Entry!$H579),0)</f>
        <v>8.4249618138605778E-3</v>
      </c>
      <c r="G590" s="49">
        <f>IFERROR(IF(Data_Entry!L579/Data_Entry!$H579&lt;0,0,Data_Entry!L579/Data_Entry!$H579),0)</f>
        <v>9.2674579952466363E-2</v>
      </c>
      <c r="H590" s="49">
        <f>IFERROR(IF(Data_Entry!M579/Data_Entry!$H579&lt;0,0,Data_Entry!M579/Data_Entry!$H579),0)</f>
        <v>9.6044564678010591E-2</v>
      </c>
      <c r="I590" s="49">
        <f>IFERROR(IF(Data_Entry!N579/Data_Entry!$H579&lt;0,0,Data_Entry!N579/Data_Entry!$H579),0)</f>
        <v>9.9414549403554819E-2</v>
      </c>
      <c r="J590" s="49">
        <f>IFERROR(IF(Data_Entry!O579/Data_Entry!$H579&lt;0,0,Data_Entry!O579/Data_Entry!$H579),0)</f>
        <v>9.2674579952466363E-2</v>
      </c>
      <c r="K590" s="49">
        <f>IFERROR(IF(Data_Entry!P579/Data_Entry!$H579&lt;0,0,Data_Entry!P579/Data_Entry!$H579),0)</f>
        <v>9.6044564678010591E-2</v>
      </c>
      <c r="L590" s="49">
        <f>IFERROR(IF(Data_Entry!Q579/Data_Entry!$H579&lt;0,0,Data_Entry!Q579/Data_Entry!$H579),0)</f>
        <v>9.9414549403554819E-2</v>
      </c>
      <c r="M590" s="49">
        <f>IFERROR(IF(Data_Entry!R579/Data_Entry!$H579&lt;0,0,Data_Entry!R579/Data_Entry!$H579),0)</f>
        <v>9.2674579952466363E-2</v>
      </c>
      <c r="N590" s="49">
        <f>IFERROR(IF(Data_Entry!S579/Data_Entry!$H579&lt;0,0,Data_Entry!S579/Data_Entry!$H579),0)</f>
        <v>9.6044564678010591E-2</v>
      </c>
      <c r="O590" s="49">
        <f>IFERROR(IF(Data_Entry!T579/Data_Entry!$H579&lt;0,0,Data_Entry!T579/Data_Entry!$H579),0)</f>
        <v>9.9414549403554819E-2</v>
      </c>
      <c r="P590" s="49">
        <f>IFERROR(IF(Data_Entry!U579/Data_Entry!$H579&lt;0,0,Data_Entry!U579/Data_Entry!$H579),0)</f>
        <v>7.5824656324745207E-2</v>
      </c>
      <c r="Q590" s="49">
        <f>IFERROR(IF(Data_Entry!V579/Data_Entry!$H579&lt;0,0,Data_Entry!V579/Data_Entry!$H579),0)</f>
        <v>8.4249618138605778E-2</v>
      </c>
      <c r="R590" s="49">
        <f>IFERROR(IF(Data_Entry!W579/Data_Entry!$H579&lt;0,0,Data_Entry!W579/Data_Entry!$H579),0)</f>
        <v>7.4139663961973093E-2</v>
      </c>
      <c r="S590" s="49">
        <f>IFERROR(IF(Data_Entry!X579/Data_Entry!$H579&lt;0,0,Data_Entry!X579/Data_Entry!$H579),0)</f>
        <v>3.8754824343758661E-2</v>
      </c>
      <c r="T590" s="49">
        <f>IFERROR(IF(Data_Entry!Y579/Data_Entry!$H579&lt;0,0,Data_Entry!Y579/Data_Entry!$H579),0)</f>
        <v>1.6849923627721157E-3</v>
      </c>
      <c r="U590" s="49">
        <f>IFERROR(IF(Data_Entry!Z579/Data_Entry!$H579&lt;0,0,Data_Entry!Z579/Data_Entry!$H579),0)</f>
        <v>4.2124809069302889E-2</v>
      </c>
      <c r="V590" s="49">
        <f>IFERROR(IF(Data_Entry!AA579/Data_Entry!$H579&lt;0,0,Data_Entry!AA579/Data_Entry!$H579),0)</f>
        <v>0.33868346491719525</v>
      </c>
      <c r="W590" s="49">
        <f>IFERROR(IF(Data_Entry!AB579/Data_Entry!$H579&lt;0,0,Data_Entry!AB579/Data_Entry!$H579),0)</f>
        <v>0.19208912935602118</v>
      </c>
      <c r="X590" s="49">
        <f>IFERROR(IF(Data_Entry!AC579/Data_Entry!$I579&lt;0,0,Data_Entry!AC579/Data_Entry!$I579),0)</f>
        <v>6.3216700970302853E-2</v>
      </c>
      <c r="Y590" s="49">
        <f>IFERROR(IF(Data_Entry!AD579/Data_Entry!$I579&lt;0,0,Data_Entry!AD579/Data_Entry!$I579),0)</f>
        <v>4.116436342252279E-2</v>
      </c>
      <c r="Z590" s="49">
        <f>IFERROR(IF(Data_Entry!AE579/Data_Entry!$I579&lt;0,0,Data_Entry!AE579/Data_Entry!$I579),0)</f>
        <v>1.4701558365186711E-3</v>
      </c>
      <c r="AA590" s="49">
        <f>IFERROR(IF(Data_Entry!AF579/Data_Entry!$I579&lt;0,0,Data_Entry!AF579/Data_Entry!$I579),0)</f>
        <v>1.4701558365186711E-3</v>
      </c>
      <c r="AB590" s="49">
        <f>IFERROR(IF(Data_Entry!AG579/Data_Entry!$I579&lt;0,0,Data_Entry!AG579/Data_Entry!$I579),0)</f>
        <v>4.4104675095560132E-3</v>
      </c>
      <c r="AC590" s="49">
        <f>IFERROR(IF(Data_Entry!AI579/Data_Entry!$I579&lt;0,0,Data_Entry!AI579/Data_Entry!$I579),0)</f>
        <v>4.8956189356071746E-2</v>
      </c>
      <c r="AD590" s="49">
        <f>IFERROR(IF(Data_Entry!AM579/Data_Entry!$H579&lt;0,0,Data_Entry!AM579/Data_Entry!$H579),0)</f>
        <v>3.8754824343758661E-2</v>
      </c>
      <c r="AE590" s="50">
        <f>Data_Entry!AK579</f>
        <v>538.47450000000003</v>
      </c>
      <c r="AF590" s="50">
        <f>Data_Entry!AL579</f>
        <v>32</v>
      </c>
      <c r="AG590" s="153">
        <f>(Data_Entry!O579-Data_Entry!Q579)/Data_Entry!O579</f>
        <v>-7.2727272727272724E-2</v>
      </c>
      <c r="AH590" s="79" t="str">
        <f t="shared" si="16"/>
        <v>CAT3</v>
      </c>
      <c r="AI590" s="51">
        <f>SUBTOTAL(3,Tableau1[[#This Row],[ZS]])</f>
        <v>0</v>
      </c>
      <c r="AJ590" s="51" t="e">
        <f t="shared" ca="1" si="17"/>
        <v>#NAME?</v>
      </c>
      <c r="AK590" s="50" t="str">
        <f>IFERROR(IF((Data_Entry!O579-Data_Entry!Q579)/Data_Entry!O579&lt;=10%,"&lt;=10%","&gt;10%"),"&lt;=10%")</f>
        <v>&lt;=10%</v>
      </c>
    </row>
    <row r="591" spans="1:37" s="48" customFormat="1" ht="13" hidden="1" x14ac:dyDescent="0.3">
      <c r="A591" s="31" t="s">
        <v>16</v>
      </c>
      <c r="B591" s="48" t="str">
        <f>Data_Entry!B580</f>
        <v>Butembo</v>
      </c>
      <c r="C591" s="48" t="str">
        <f>Data_Entry!C580</f>
        <v xml:space="preserve"> Oicha</v>
      </c>
      <c r="D591" s="48" t="str">
        <f>Data_Entry!D580</f>
        <v xml:space="preserve"> Samboko</v>
      </c>
      <c r="E591" s="49">
        <f>IFERROR(IF(Data_Entry!J580/Data_Entry!$I580&lt;0,0,Data_Entry!J580/Data_Entry!$I580),0)</f>
        <v>0.24730127576054955</v>
      </c>
      <c r="F591" s="49">
        <f>IFERROR(IF(Data_Entry!K580/Data_Entry!$H580&lt;0,0,Data_Entry!K580/Data_Entry!$H580),0)</f>
        <v>0</v>
      </c>
      <c r="G591" s="49">
        <f>IFERROR(IF(Data_Entry!L580/Data_Entry!$H580&lt;0,0,Data_Entry!L580/Data_Entry!$H580),0)</f>
        <v>0.32730554985364041</v>
      </c>
      <c r="H591" s="49">
        <f>IFERROR(IF(Data_Entry!M580/Data_Entry!$H580&lt;0,0,Data_Entry!M580/Data_Entry!$H580),0)</f>
        <v>0.32055698181542103</v>
      </c>
      <c r="I591" s="49">
        <f>IFERROR(IF(Data_Entry!N580/Data_Entry!$H580&lt;0,0,Data_Entry!N580/Data_Entry!$H580),0)</f>
        <v>0.28681414162432406</v>
      </c>
      <c r="J591" s="49">
        <f>IFERROR(IF(Data_Entry!O580/Data_Entry!$H580&lt;0,0,Data_Entry!O580/Data_Entry!$H580),0)</f>
        <v>0.47577404669446699</v>
      </c>
      <c r="K591" s="49">
        <f>IFERROR(IF(Data_Entry!P580/Data_Entry!$H580&lt;0,0,Data_Entry!P580/Data_Entry!$H580),0)</f>
        <v>0.37454552612117614</v>
      </c>
      <c r="L591" s="49">
        <f>IFERROR(IF(Data_Entry!Q580/Data_Entry!$H580&lt;0,0,Data_Entry!Q580/Data_Entry!$H580),0)</f>
        <v>0.34080268593007917</v>
      </c>
      <c r="M591" s="49">
        <f>IFERROR(IF(Data_Entry!R580/Data_Entry!$H580&lt;0,0,Data_Entry!R580/Data_Entry!$H580),0)</f>
        <v>0.38466837817850524</v>
      </c>
      <c r="N591" s="49">
        <f>IFERROR(IF(Data_Entry!S580/Data_Entry!$H580&lt;0,0,Data_Entry!S580/Data_Entry!$H580),0)</f>
        <v>0.37454552612117614</v>
      </c>
      <c r="O591" s="49">
        <f>IFERROR(IF(Data_Entry!T580/Data_Entry!$H580&lt;0,0,Data_Entry!T580/Data_Entry!$H580),0)</f>
        <v>0.34080268593007917</v>
      </c>
      <c r="P591" s="49">
        <f>IFERROR(IF(Data_Entry!U580/Data_Entry!$H580&lt;0,0,Data_Entry!U580/Data_Entry!$H580),0)</f>
        <v>0.38466837817850524</v>
      </c>
      <c r="Q591" s="49">
        <f>IFERROR(IF(Data_Entry!V580/Data_Entry!$H580&lt;0,0,Data_Entry!V580/Data_Entry!$H580),0)</f>
        <v>0.37454552612117614</v>
      </c>
      <c r="R591" s="49">
        <f>IFERROR(IF(Data_Entry!W580/Data_Entry!$H580&lt;0,0,Data_Entry!W580/Data_Entry!$H580),0)</f>
        <v>0.33742840191096951</v>
      </c>
      <c r="S591" s="49">
        <f>IFERROR(IF(Data_Entry!X580/Data_Entry!$H580&lt;0,0,Data_Entry!X580/Data_Entry!$H580),0)</f>
        <v>0.24969701741411743</v>
      </c>
      <c r="T591" s="49">
        <f>IFERROR(IF(Data_Entry!Y580/Data_Entry!$H580&lt;0,0,Data_Entry!Y580/Data_Entry!$H580),0)</f>
        <v>8.7731384496852069E-2</v>
      </c>
      <c r="U591" s="49">
        <f>IFERROR(IF(Data_Entry!Z580/Data_Entry!$H580&lt;0,0,Data_Entry!Z580/Data_Entry!$H580),0)</f>
        <v>0.24969701741411743</v>
      </c>
      <c r="V591" s="49">
        <f>IFERROR(IF(Data_Entry!AA580/Data_Entry!$H580&lt;0,0,Data_Entry!AA580/Data_Entry!$H580),0)</f>
        <v>0.31718269779631131</v>
      </c>
      <c r="W591" s="49">
        <f>IFERROR(IF(Data_Entry!AB580/Data_Entry!$H580&lt;0,0,Data_Entry!AB580/Data_Entry!$H580),0)</f>
        <v>0.28681414162432406</v>
      </c>
      <c r="X591" s="49">
        <f>IFERROR(IF(Data_Entry!AC580/Data_Entry!$I580&lt;0,0,Data_Entry!AC580/Data_Entry!$I580),0)</f>
        <v>0.11776251226692835</v>
      </c>
      <c r="Y591" s="49">
        <f>IFERROR(IF(Data_Entry!AD580/Data_Entry!$I580&lt;0,0,Data_Entry!AD580/Data_Entry!$I580),0)</f>
        <v>4.1216879293424921E-2</v>
      </c>
      <c r="Z591" s="49">
        <f>IFERROR(IF(Data_Entry!AE580/Data_Entry!$I580&lt;0,0,Data_Entry!AE580/Data_Entry!$I580),0)</f>
        <v>6.1825318940137389E-2</v>
      </c>
      <c r="AA591" s="49">
        <f>IFERROR(IF(Data_Entry!AF580/Data_Entry!$I580&lt;0,0,Data_Entry!AF580/Data_Entry!$I580),0)</f>
        <v>4.1216879293424921E-2</v>
      </c>
      <c r="AB591" s="49">
        <f>IFERROR(IF(Data_Entry!AG580/Data_Entry!$I580&lt;0,0,Data_Entry!AG580/Data_Entry!$I580),0)</f>
        <v>1.1776251226692836E-2</v>
      </c>
      <c r="AC591" s="49">
        <f>IFERROR(IF(Data_Entry!AI580/Data_Entry!$I580&lt;0,0,Data_Entry!AI580/Data_Entry!$I580),0)</f>
        <v>4.9165848871442583E-2</v>
      </c>
      <c r="AD591" s="49">
        <f>IFERROR(IF(Data_Entry!AM580/Data_Entry!$H580&lt;0,0,Data_Entry!AM580/Data_Entry!$H580),0)</f>
        <v>0.24969701741411743</v>
      </c>
      <c r="AE591" s="50">
        <f>Data_Entry!AK580</f>
        <v>155.35916666666668</v>
      </c>
      <c r="AF591" s="50">
        <f>Data_Entry!AL580</f>
        <v>67</v>
      </c>
      <c r="AG591" s="153">
        <f>(Data_Entry!O580-Data_Entry!Q580)/Data_Entry!O580</f>
        <v>0.28368794326241137</v>
      </c>
      <c r="AH591" s="79" t="str">
        <f t="shared" si="16"/>
        <v>CAT4</v>
      </c>
      <c r="AI591" s="51">
        <f>SUBTOTAL(3,Tableau1[[#This Row],[ZS]])</f>
        <v>0</v>
      </c>
      <c r="AJ591" s="51" t="e">
        <f t="shared" ca="1" si="17"/>
        <v>#NAME?</v>
      </c>
      <c r="AK591" s="50" t="str">
        <f>IFERROR(IF((Data_Entry!O580-Data_Entry!Q580)/Data_Entry!O580&lt;=10%,"&lt;=10%","&gt;10%"),"&lt;=10%")</f>
        <v>&gt;10%</v>
      </c>
    </row>
    <row r="592" spans="1:37" s="48" customFormat="1" ht="13" hidden="1" x14ac:dyDescent="0.3">
      <c r="A592" s="31" t="s">
        <v>16</v>
      </c>
      <c r="B592" s="48" t="str">
        <f>Data_Entry!B581</f>
        <v>Butembo</v>
      </c>
      <c r="C592" s="48" t="str">
        <f>Data_Entry!C581</f>
        <v xml:space="preserve"> Oicha</v>
      </c>
      <c r="D592" s="48" t="str">
        <f>Data_Entry!D581</f>
        <v xml:space="preserve"> Tenambo</v>
      </c>
      <c r="E592" s="49">
        <f>IFERROR(IF(Data_Entry!J581/Data_Entry!$I581&lt;0,0,Data_Entry!J581/Data_Entry!$I581),0)</f>
        <v>1.3724850018365098</v>
      </c>
      <c r="F592" s="49">
        <f>IFERROR(IF(Data_Entry!K581/Data_Entry!$H581&lt;0,0,Data_Entry!K581/Data_Entry!$H581),0)</f>
        <v>0</v>
      </c>
      <c r="G592" s="49">
        <f>IFERROR(IF(Data_Entry!L581/Data_Entry!$H581&lt;0,0,Data_Entry!L581/Data_Entry!$H581),0)</f>
        <v>1.9785893710225761</v>
      </c>
      <c r="H592" s="49">
        <f>IFERROR(IF(Data_Entry!M581/Data_Entry!$H581&lt;0,0,Data_Entry!M581/Data_Entry!$H581),0)</f>
        <v>1.8901843140194396</v>
      </c>
      <c r="I592" s="49">
        <f>IFERROR(IF(Data_Entry!N581/Data_Entry!$H581&lt;0,0,Data_Entry!N581/Data_Entry!$H581),0)</f>
        <v>1.6277756527561618</v>
      </c>
      <c r="J592" s="49">
        <f>IFERROR(IF(Data_Entry!O581/Data_Entry!$H581&lt;0,0,Data_Entry!O581/Data_Entry!$H581),0)</f>
        <v>1.6698732989481315</v>
      </c>
      <c r="K592" s="49">
        <f>IFERROR(IF(Data_Entry!P581/Data_Entry!$H581&lt;0,0,Data_Entry!P581/Data_Entry!$H581),0)</f>
        <v>1.7133742000131669</v>
      </c>
      <c r="L592" s="49">
        <f>IFERROR(IF(Data_Entry!Q581/Data_Entry!$H581&lt;0,0,Data_Entry!Q581/Data_Entry!$H581),0)</f>
        <v>1.8424736483352073</v>
      </c>
      <c r="M592" s="49">
        <f>IFERROR(IF(Data_Entry!R581/Data_Entry!$H581&lt;0,0,Data_Entry!R581/Data_Entry!$H581),0)</f>
        <v>1.933685215084475</v>
      </c>
      <c r="N592" s="49">
        <f>IFERROR(IF(Data_Entry!S581/Data_Entry!$H581&lt;0,0,Data_Entry!S581/Data_Entry!$H581),0)</f>
        <v>1.8172150606200255</v>
      </c>
      <c r="O592" s="49">
        <f>IFERROR(IF(Data_Entry!T581/Data_Entry!$H581&lt;0,0,Data_Entry!T581/Data_Entry!$H581),0)</f>
        <v>1.770907649808859</v>
      </c>
      <c r="P592" s="49">
        <f>IFERROR(IF(Data_Entry!U581/Data_Entry!$H581&lt;0,0,Data_Entry!U581/Data_Entry!$H581),0)</f>
        <v>1.5983073004217832</v>
      </c>
      <c r="Q592" s="49">
        <f>IFERROR(IF(Data_Entry!V581/Data_Entry!$H581&lt;0,0,Data_Entry!V581/Data_Entry!$H581),0)</f>
        <v>1.655840750217475</v>
      </c>
      <c r="R592" s="49">
        <f>IFERROR(IF(Data_Entry!W581/Data_Entry!$H581&lt;0,0,Data_Entry!W581/Data_Entry!$H581),0)</f>
        <v>1.4060613828117881</v>
      </c>
      <c r="S592" s="49">
        <f>IFERROR(IF(Data_Entry!X581/Data_Entry!$H581&lt;0,0,Data_Entry!X581/Data_Entry!$H581),0)</f>
        <v>1.4874501654495962</v>
      </c>
      <c r="T592" s="49">
        <f>IFERROR(IF(Data_Entry!Y581/Data_Entry!$H581&lt;0,0,Data_Entry!Y581/Data_Entry!$H581),0)</f>
        <v>0.31011932694751015</v>
      </c>
      <c r="U592" s="49">
        <f>IFERROR(IF(Data_Entry!Z581/Data_Entry!$H581&lt;0,0,Data_Entry!Z581/Data_Entry!$H581),0)</f>
        <v>1.3751897756043436</v>
      </c>
      <c r="V592" s="49">
        <f>IFERROR(IF(Data_Entry!AA581/Data_Entry!$H581&lt;0,0,Data_Entry!AA581/Data_Entry!$H581),0)</f>
        <v>1.5519998896106164</v>
      </c>
      <c r="W592" s="49">
        <f>IFERROR(IF(Data_Entry!AB581/Data_Entry!$H581&lt;0,0,Data_Entry!AB581/Data_Entry!$H581),0)</f>
        <v>0.97385888190756575</v>
      </c>
      <c r="X592" s="49">
        <f>IFERROR(IF(Data_Entry!AC581/Data_Entry!$I581&lt;0,0,Data_Entry!AC581/Data_Entry!$I581),0)</f>
        <v>0.87662735175284656</v>
      </c>
      <c r="Y592" s="49">
        <f>IFERROR(IF(Data_Entry!AD581/Data_Entry!$I581&lt;0,0,Data_Entry!AD581/Data_Entry!$I581),0)</f>
        <v>0.57911276170264869</v>
      </c>
      <c r="Z592" s="49">
        <f>IFERROR(IF(Data_Entry!AE581/Data_Entry!$I581&lt;0,0,Data_Entry!AE581/Data_Entry!$I581),0)</f>
        <v>0.54360690527690492</v>
      </c>
      <c r="AA592" s="49">
        <f>IFERROR(IF(Data_Entry!AF581/Data_Entry!$I581&lt;0,0,Data_Entry!AF581/Data_Entry!$I581),0)</f>
        <v>0.41137819858792801</v>
      </c>
      <c r="AB592" s="49">
        <f>IFERROR(IF(Data_Entry!AG581/Data_Entry!$I581&lt;0,0,Data_Entry!AG581/Data_Entry!$I581),0)</f>
        <v>0.35628290413418767</v>
      </c>
      <c r="AC592" s="49">
        <f>IFERROR(IF(Data_Entry!AI581/Data_Entry!$I581&lt;0,0,Data_Entry!AI581/Data_Entry!$I581),0)</f>
        <v>5.105497286046607E-2</v>
      </c>
      <c r="AD592" s="49">
        <f>IFERROR(IF(Data_Entry!AM581/Data_Entry!$H581&lt;0,0,Data_Entry!AM581/Data_Entry!$H581),0)</f>
        <v>1.3751897756043436</v>
      </c>
      <c r="AE592" s="50">
        <f>Data_Entry!AK581</f>
        <v>0</v>
      </c>
      <c r="AF592" s="50">
        <f>Data_Entry!AL581</f>
        <v>130</v>
      </c>
      <c r="AG592" s="153">
        <f>(Data_Entry!O581-Data_Entry!Q581)/Data_Entry!O581</f>
        <v>-0.10336134453781512</v>
      </c>
      <c r="AH592" s="79" t="str">
        <f t="shared" ref="AH592:AH655" si="18">IFERROR(IF(AND(AG592&lt;=10%,J592&gt;=90%),"CAT1",IF(AND(AG592&lt;=10%,J592&lt;90%),"CAT3",IF(AND(AG592&gt;10%,J592&gt;=90%),"CAT2",IF(AND(AG592&gt;10%,J592&lt;90%),"CAT4",)))),"ND")</f>
        <v>CAT1</v>
      </c>
      <c r="AI592" s="51">
        <f>SUBTOTAL(3,Tableau1[[#This Row],[ZS]])</f>
        <v>0</v>
      </c>
      <c r="AJ592" s="51" t="e">
        <f t="shared" ref="AJ592:AJ656" ca="1" si="19">_xlfn.IFS(L592&lt;50%,"&lt;50%",(AND(L592&lt;80%,L592&gt;50%)),"&gt;50%&lt;80%",(AND(L592&gt;=80%,L592&lt;95%)),"&gt;=80%&lt;95%",(AND(L592&gt;=95%,L592&lt;100%)),"95-100%",L592&gt;100%,"&gt;100%")</f>
        <v>#NAME?</v>
      </c>
      <c r="AK592" s="50" t="str">
        <f>IFERROR(IF((Data_Entry!O581-Data_Entry!Q581)/Data_Entry!O581&lt;=10%,"&lt;=10%","&gt;10%"),"&lt;=10%")</f>
        <v>&lt;=10%</v>
      </c>
    </row>
    <row r="593" spans="1:37" s="48" customFormat="1" ht="13" hidden="1" x14ac:dyDescent="0.3">
      <c r="A593" s="31" t="s">
        <v>16</v>
      </c>
      <c r="B593" s="48" t="str">
        <f>Data_Entry!B582</f>
        <v>Butembo</v>
      </c>
      <c r="C593" s="48" t="str">
        <f>Data_Entry!C582</f>
        <v xml:space="preserve"> Oicha</v>
      </c>
      <c r="D593" s="48" t="str">
        <f>Data_Entry!D582</f>
        <v xml:space="preserve"> Totolito</v>
      </c>
      <c r="E593" s="49">
        <f>IFERROR(IF(Data_Entry!J582/Data_Entry!$I582&lt;0,0,Data_Entry!J582/Data_Entry!$I582),0)</f>
        <v>0.89790672052882847</v>
      </c>
      <c r="F593" s="49">
        <f>IFERROR(IF(Data_Entry!K582/Data_Entry!$H582&lt;0,0,Data_Entry!K582/Data_Entry!$H582),0)</f>
        <v>9.4704243907623373E-2</v>
      </c>
      <c r="G593" s="49">
        <f>IFERROR(IF(Data_Entry!L582/Data_Entry!$H582&lt;0,0,Data_Entry!L582/Data_Entry!$H582),0)</f>
        <v>0.65661609109285546</v>
      </c>
      <c r="H593" s="49">
        <f>IFERROR(IF(Data_Entry!M582/Data_Entry!$H582&lt;0,0,Data_Entry!M582/Data_Entry!$H582),0)</f>
        <v>0.80182926508454455</v>
      </c>
      <c r="I593" s="49">
        <f>IFERROR(IF(Data_Entry!N582/Data_Entry!$H582&lt;0,0,Data_Entry!N582/Data_Entry!$H582),0)</f>
        <v>0.61873439352980608</v>
      </c>
      <c r="J593" s="49">
        <f>IFERROR(IF(Data_Entry!O582/Data_Entry!$H582&lt;0,0,Data_Entry!O582/Data_Entry!$H582),0)</f>
        <v>0.81445649760556105</v>
      </c>
      <c r="K593" s="49">
        <f>IFERROR(IF(Data_Entry!P582/Data_Entry!$H582&lt;0,0,Data_Entry!P582/Data_Entry!$H582),0)</f>
        <v>0.73869310247946229</v>
      </c>
      <c r="L593" s="49">
        <f>IFERROR(IF(Data_Entry!Q582/Data_Entry!$H582&lt;0,0,Data_Entry!Q582/Data_Entry!$H582),0)</f>
        <v>0.56822546344574021</v>
      </c>
      <c r="M593" s="49">
        <f>IFERROR(IF(Data_Entry!R582/Data_Entry!$H582&lt;0,0,Data_Entry!R582/Data_Entry!$H582),0)</f>
        <v>1.0291194504628407</v>
      </c>
      <c r="N593" s="49">
        <f>IFERROR(IF(Data_Entry!S582/Data_Entry!$H582&lt;0,0,Data_Entry!S582/Data_Entry!$H582),0)</f>
        <v>0.77026118378200348</v>
      </c>
      <c r="O593" s="49">
        <f>IFERROR(IF(Data_Entry!T582/Data_Entry!$H582&lt;0,0,Data_Entry!T582/Data_Entry!$H582),0)</f>
        <v>0.62504800979031427</v>
      </c>
      <c r="P593" s="49">
        <f>IFERROR(IF(Data_Entry!U582/Data_Entry!$H582&lt;0,0,Data_Entry!U582/Data_Entry!$H582),0)</f>
        <v>0.39775782441201818</v>
      </c>
      <c r="Q593" s="49">
        <f>IFERROR(IF(Data_Entry!V582/Data_Entry!$H582&lt;0,0,Data_Entry!V582/Data_Entry!$H582),0)</f>
        <v>0.30305358050439479</v>
      </c>
      <c r="R593" s="49">
        <f>IFERROR(IF(Data_Entry!W582/Data_Entry!$H582&lt;0,0,Data_Entry!W582/Data_Entry!$H582),0)</f>
        <v>0.20203572033626321</v>
      </c>
      <c r="S593" s="49">
        <f>IFERROR(IF(Data_Entry!X582/Data_Entry!$H582&lt;0,0,Data_Entry!X582/Data_Entry!$H582),0)</f>
        <v>0.94704243907623376</v>
      </c>
      <c r="T593" s="49">
        <f>IFERROR(IF(Data_Entry!Y582/Data_Entry!$H582&lt;0,0,Data_Entry!Y582/Data_Entry!$H582),0)</f>
        <v>5.6822546344574024E-2</v>
      </c>
      <c r="U593" s="49">
        <f>IFERROR(IF(Data_Entry!Z582/Data_Entry!$H582&lt;0,0,Data_Entry!Z582/Data_Entry!$H582),0)</f>
        <v>0.8839062764711515</v>
      </c>
      <c r="V593" s="49">
        <f>IFERROR(IF(Data_Entry!AA582/Data_Entry!$H582&lt;0,0,Data_Entry!AA582/Data_Entry!$H582),0)</f>
        <v>0.63767524231133077</v>
      </c>
      <c r="W593" s="49">
        <f>IFERROR(IF(Data_Entry!AB582/Data_Entry!$H582&lt;0,0,Data_Entry!AB582/Data_Entry!$H582),0)</f>
        <v>0.35356251058846061</v>
      </c>
      <c r="X593" s="49">
        <f>IFERROR(IF(Data_Entry!AC582/Data_Entry!$I582&lt;0,0,Data_Entry!AC582/Data_Entry!$I582),0)</f>
        <v>0.24237972824091075</v>
      </c>
      <c r="Y593" s="49">
        <f>IFERROR(IF(Data_Entry!AD582/Data_Entry!$I582&lt;0,0,Data_Entry!AD582/Data_Entry!$I582),0)</f>
        <v>0.1872934263679765</v>
      </c>
      <c r="Z593" s="49">
        <f>IFERROR(IF(Data_Entry!AE582/Data_Entry!$I582&lt;0,0,Data_Entry!AE582/Data_Entry!$I582),0)</f>
        <v>0.11568123393316196</v>
      </c>
      <c r="AA593" s="49">
        <f>IFERROR(IF(Data_Entry!AF582/Data_Entry!$I582&lt;0,0,Data_Entry!AF582/Data_Entry!$I582),0)</f>
        <v>7.1612192434814537E-2</v>
      </c>
      <c r="AB593" s="49">
        <f>IFERROR(IF(Data_Entry!AG582/Data_Entry!$I582&lt;0,0,Data_Entry!AG582/Data_Entry!$I582),0)</f>
        <v>4.9577671685640839E-2</v>
      </c>
      <c r="AC593" s="49">
        <f>IFERROR(IF(Data_Entry!AI582/Data_Entry!$I582&lt;0,0,Data_Entry!AI582/Data_Entry!$I582),0)</f>
        <v>0.22970987881013591</v>
      </c>
      <c r="AD593" s="49">
        <f>IFERROR(IF(Data_Entry!AM582/Data_Entry!$H582&lt;0,0,Data_Entry!AM582/Data_Entry!$H582),0)</f>
        <v>0.8839062764711515</v>
      </c>
      <c r="AE593" s="50">
        <f>Data_Entry!AK582</f>
        <v>29.387833333333333</v>
      </c>
      <c r="AF593" s="50">
        <f>Data_Entry!AL582</f>
        <v>0</v>
      </c>
      <c r="AG593" s="153">
        <f>(Data_Entry!O582-Data_Entry!Q582)/Data_Entry!O582</f>
        <v>0.30232558139534882</v>
      </c>
      <c r="AH593" s="79" t="str">
        <f t="shared" si="18"/>
        <v>CAT4</v>
      </c>
      <c r="AI593" s="51">
        <f>SUBTOTAL(3,Tableau1[[#This Row],[ZS]])</f>
        <v>0</v>
      </c>
      <c r="AJ593" s="51" t="e">
        <f t="shared" ca="1" si="19"/>
        <v>#NAME?</v>
      </c>
      <c r="AK593" s="50" t="str">
        <f>IFERROR(IF((Data_Entry!O582-Data_Entry!Q582)/Data_Entry!O582&lt;=10%,"&lt;=10%","&gt;10%"),"&lt;=10%")</f>
        <v>&gt;10%</v>
      </c>
    </row>
    <row r="594" spans="1:37" s="48" customFormat="1" ht="13" hidden="1" x14ac:dyDescent="0.3">
      <c r="A594" s="31" t="s">
        <v>16</v>
      </c>
      <c r="B594" s="48" t="str">
        <f>Data_Entry!B583</f>
        <v>Goma</v>
      </c>
      <c r="C594" s="48" t="str">
        <f>Data_Entry!C583</f>
        <v xml:space="preserve"> Pinga</v>
      </c>
      <c r="D594" s="48" t="str">
        <f>Data_Entry!D583</f>
        <v xml:space="preserve"> Besse</v>
      </c>
      <c r="E594" s="49">
        <f>IFERROR(IF(Data_Entry!J583/Data_Entry!$I583&lt;0,0,Data_Entry!J583/Data_Entry!$I583),0)</f>
        <v>0.60574412532637067</v>
      </c>
      <c r="F594" s="49">
        <f>IFERROR(IF(Data_Entry!K583/Data_Entry!$H583&lt;0,0,Data_Entry!K583/Data_Entry!$H583),0)</f>
        <v>0.13167049458729529</v>
      </c>
      <c r="G594" s="49">
        <f>IFERROR(IF(Data_Entry!L583/Data_Entry!$H583&lt;0,0,Data_Entry!L583/Data_Entry!$H583),0)</f>
        <v>0.51171942214607946</v>
      </c>
      <c r="H594" s="49">
        <f>IFERROR(IF(Data_Entry!M583/Data_Entry!$H583&lt;0,0,Data_Entry!M583/Data_Entry!$H583),0)</f>
        <v>0.53266700083042184</v>
      </c>
      <c r="I594" s="49">
        <f>IFERROR(IF(Data_Entry!N583/Data_Entry!$H583&lt;0,0,Data_Entry!N583/Data_Entry!$H583),0)</f>
        <v>0.53565951207104223</v>
      </c>
      <c r="J594" s="49">
        <f>IFERROR(IF(Data_Entry!O583/Data_Entry!$H583&lt;0,0,Data_Entry!O583/Data_Entry!$H583),0)</f>
        <v>0.57456215819910672</v>
      </c>
      <c r="K594" s="49">
        <f>IFERROR(IF(Data_Entry!P583/Data_Entry!$H583&lt;0,0,Data_Entry!P583/Data_Entry!$H583),0)</f>
        <v>0.60149475936468988</v>
      </c>
      <c r="L594" s="49">
        <f>IFERROR(IF(Data_Entry!Q583/Data_Entry!$H583&lt;0,0,Data_Entry!Q583/Data_Entry!$H583),0)</f>
        <v>0.61047229308655082</v>
      </c>
      <c r="M594" s="49">
        <f>IFERROR(IF(Data_Entry!R583/Data_Entry!$H583&lt;0,0,Data_Entry!R583/Data_Entry!$H583),0)</f>
        <v>0.57456215819910672</v>
      </c>
      <c r="N594" s="49">
        <f>IFERROR(IF(Data_Entry!S583/Data_Entry!$H583&lt;0,0,Data_Entry!S583/Data_Entry!$H583),0)</f>
        <v>0.60149475936468988</v>
      </c>
      <c r="O594" s="49">
        <f>IFERROR(IF(Data_Entry!T583/Data_Entry!$H583&lt;0,0,Data_Entry!T583/Data_Entry!$H583),0)</f>
        <v>0.61047229308655082</v>
      </c>
      <c r="P594" s="49">
        <f>IFERROR(IF(Data_Entry!U583/Data_Entry!$H583&lt;0,0,Data_Entry!U583/Data_Entry!$H583),0)</f>
        <v>0.58353969192096777</v>
      </c>
      <c r="Q594" s="49">
        <f>IFERROR(IF(Data_Entry!V583/Data_Entry!$H583&lt;0,0,Data_Entry!V583/Data_Entry!$H583),0)</f>
        <v>0.60149475936468988</v>
      </c>
      <c r="R594" s="49">
        <f>IFERROR(IF(Data_Entry!W583/Data_Entry!$H583&lt;0,0,Data_Entry!W583/Data_Entry!$H583),0)</f>
        <v>0.61346480432717121</v>
      </c>
      <c r="S594" s="49">
        <f>IFERROR(IF(Data_Entry!X583/Data_Entry!$H583&lt;0,0,Data_Entry!X583/Data_Entry!$H583),0)</f>
        <v>0.50573439966483869</v>
      </c>
      <c r="T594" s="49">
        <f>IFERROR(IF(Data_Entry!Y583/Data_Entry!$H583&lt;0,0,Data_Entry!Y583/Data_Entry!$H583),0)</f>
        <v>0.1197004496248139</v>
      </c>
      <c r="U594" s="49">
        <f>IFERROR(IF(Data_Entry!Z583/Data_Entry!$H583&lt;0,0,Data_Entry!Z583/Data_Entry!$H583),0)</f>
        <v>0.39501148376188588</v>
      </c>
      <c r="V594" s="49">
        <f>IFERROR(IF(Data_Entry!AA583/Data_Entry!$H583&lt;0,0,Data_Entry!AA583/Data_Entry!$H583),0)</f>
        <v>0.54463704579290328</v>
      </c>
      <c r="W594" s="49">
        <f>IFERROR(IF(Data_Entry!AB583/Data_Entry!$H583&lt;0,0,Data_Entry!AB583/Data_Entry!$H583),0)</f>
        <v>8.6782825977990072E-2</v>
      </c>
      <c r="X594" s="49">
        <f>IFERROR(IF(Data_Entry!AC583/Data_Entry!$I583&lt;0,0,Data_Entry!AC583/Data_Entry!$I583),0)</f>
        <v>0.20626631853785898</v>
      </c>
      <c r="Y594" s="49">
        <f>IFERROR(IF(Data_Entry!AD583/Data_Entry!$I583&lt;0,0,Data_Entry!AD583/Data_Entry!$I583),0)</f>
        <v>0.12793733681462138</v>
      </c>
      <c r="Z594" s="49">
        <f>IFERROR(IF(Data_Entry!AE583/Data_Entry!$I583&lt;0,0,Data_Entry!AE583/Data_Entry!$I583),0)</f>
        <v>7.8328981723237587E-2</v>
      </c>
      <c r="AA594" s="49">
        <f>IFERROR(IF(Data_Entry!AF583/Data_Entry!$I583&lt;0,0,Data_Entry!AF583/Data_Entry!$I583),0)</f>
        <v>6.5274151436031325E-2</v>
      </c>
      <c r="AB594" s="49">
        <f>IFERROR(IF(Data_Entry!AG583/Data_Entry!$I583&lt;0,0,Data_Entry!AG583/Data_Entry!$I583),0)</f>
        <v>2.0887728459530023E-2</v>
      </c>
      <c r="AC594" s="49">
        <f>IFERROR(IF(Data_Entry!AI583/Data_Entry!$I583&lt;0,0,Data_Entry!AI583/Data_Entry!$I583),0)</f>
        <v>0.15221932114882503</v>
      </c>
      <c r="AD594" s="49">
        <f>IFERROR(IF(Data_Entry!AM583/Data_Entry!$H583&lt;0,0,Data_Entry!AM583/Data_Entry!$H583),0)</f>
        <v>0.39501148376188588</v>
      </c>
      <c r="AE594" s="50">
        <f>Data_Entry!AK583</f>
        <v>142.16750000000002</v>
      </c>
      <c r="AF594" s="50">
        <f>Data_Entry!AL583</f>
        <v>23</v>
      </c>
      <c r="AG594" s="153">
        <f>(Data_Entry!O583-Data_Entry!Q583)/Data_Entry!O583</f>
        <v>-6.25E-2</v>
      </c>
      <c r="AH594" s="79" t="str">
        <f t="shared" si="18"/>
        <v>CAT3</v>
      </c>
      <c r="AI594" s="51">
        <f>SUBTOTAL(3,Tableau1[[#This Row],[ZS]])</f>
        <v>0</v>
      </c>
      <c r="AJ594" s="51" t="e">
        <f t="shared" ca="1" si="19"/>
        <v>#NAME?</v>
      </c>
      <c r="AK594" s="50" t="str">
        <f>IFERROR(IF((Data_Entry!O583-Data_Entry!Q583)/Data_Entry!O583&lt;=10%,"&lt;=10%","&gt;10%"),"&lt;=10%")</f>
        <v>&lt;=10%</v>
      </c>
    </row>
    <row r="595" spans="1:37" s="48" customFormat="1" ht="13" hidden="1" x14ac:dyDescent="0.3">
      <c r="A595" s="31" t="s">
        <v>16</v>
      </c>
      <c r="B595" s="48" t="str">
        <f>Data_Entry!B584</f>
        <v>Goma</v>
      </c>
      <c r="C595" s="48" t="str">
        <f>Data_Entry!C584</f>
        <v xml:space="preserve"> Pinga</v>
      </c>
      <c r="D595" s="48" t="str">
        <f>Data_Entry!D584</f>
        <v xml:space="preserve"> Buhimba</v>
      </c>
      <c r="E595" s="49">
        <f>IFERROR(IF(Data_Entry!J584/Data_Entry!$I584&lt;0,0,Data_Entry!J584/Data_Entry!$I584),0)</f>
        <v>0.91628539631507355</v>
      </c>
      <c r="F595" s="49">
        <f>IFERROR(IF(Data_Entry!K584/Data_Entry!$H584&lt;0,0,Data_Entry!K584/Data_Entry!$H584),0)</f>
        <v>1.5433875798400132</v>
      </c>
      <c r="G595" s="49">
        <f>IFERROR(IF(Data_Entry!L584/Data_Entry!$H584&lt;0,0,Data_Entry!L584/Data_Entry!$H584),0)</f>
        <v>1.0289250532266754</v>
      </c>
      <c r="H595" s="49">
        <f>IFERROR(IF(Data_Entry!M584/Data_Entry!$H584&lt;0,0,Data_Entry!M584/Data_Entry!$H584),0)</f>
        <v>0.9949110018803391</v>
      </c>
      <c r="I595" s="49">
        <f>IFERROR(IF(Data_Entry!N584/Data_Entry!$H584&lt;0,0,Data_Entry!N584/Data_Entry!$H584),0)</f>
        <v>1.0544355917364279</v>
      </c>
      <c r="J595" s="49">
        <f>IFERROR(IF(Data_Entry!O584/Data_Entry!$H584&lt;0,0,Data_Entry!O584/Data_Entry!$H584),0)</f>
        <v>1.0161697839717994</v>
      </c>
      <c r="K595" s="49">
        <f>IFERROR(IF(Data_Entry!P584/Data_Entry!$H584&lt;0,0,Data_Entry!P584/Data_Entry!$H584),0)</f>
        <v>1.0034145147169231</v>
      </c>
      <c r="L595" s="49">
        <f>IFERROR(IF(Data_Entry!Q584/Data_Entry!$H584&lt;0,0,Data_Entry!Q584/Data_Entry!$H584),0)</f>
        <v>1.0586873481547199</v>
      </c>
      <c r="M595" s="49">
        <f>IFERROR(IF(Data_Entry!R584/Data_Entry!$H584&lt;0,0,Data_Entry!R584/Data_Entry!$H584),0)</f>
        <v>1.0161697839717994</v>
      </c>
      <c r="N595" s="49">
        <f>IFERROR(IF(Data_Entry!S584/Data_Entry!$H584&lt;0,0,Data_Entry!S584/Data_Entry!$H584),0)</f>
        <v>1.0034145147169231</v>
      </c>
      <c r="O595" s="49">
        <f>IFERROR(IF(Data_Entry!T584/Data_Entry!$H584&lt;0,0,Data_Entry!T584/Data_Entry!$H584),0)</f>
        <v>1.0586873481547199</v>
      </c>
      <c r="P595" s="49">
        <f>IFERROR(IF(Data_Entry!U584/Data_Entry!$H584&lt;0,0,Data_Entry!U584/Data_Entry!$H584),0)</f>
        <v>1.0161697839717994</v>
      </c>
      <c r="Q595" s="49">
        <f>IFERROR(IF(Data_Entry!V584/Data_Entry!$H584&lt;0,0,Data_Entry!V584/Data_Entry!$H584),0)</f>
        <v>1.0034145147169231</v>
      </c>
      <c r="R595" s="49">
        <f>IFERROR(IF(Data_Entry!W584/Data_Entry!$H584&lt;0,0,Data_Entry!W584/Data_Entry!$H584),0)</f>
        <v>1.0586873481547199</v>
      </c>
      <c r="S595" s="49">
        <f>IFERROR(IF(Data_Entry!X584/Data_Entry!$H584&lt;0,0,Data_Entry!X584/Data_Entry!$H584),0)</f>
        <v>0.98640748904375497</v>
      </c>
      <c r="T595" s="49">
        <f>IFERROR(IF(Data_Entry!Y584/Data_Entry!$H584&lt;0,0,Data_Entry!Y584/Data_Entry!$H584),0)</f>
        <v>0.68878453976331167</v>
      </c>
      <c r="U595" s="49">
        <f>IFERROR(IF(Data_Entry!Z584/Data_Entry!$H584&lt;0,0,Data_Entry!Z584/Data_Entry!$H584),0)</f>
        <v>0.96940046337058683</v>
      </c>
      <c r="V595" s="49">
        <f>IFERROR(IF(Data_Entry!AA584/Data_Entry!$H584&lt;0,0,Data_Entry!AA584/Data_Entry!$H584),0)</f>
        <v>1.0586873481547199</v>
      </c>
      <c r="W595" s="49">
        <f>IFERROR(IF(Data_Entry!AB584/Data_Entry!$H584&lt;0,0,Data_Entry!AB584/Data_Entry!$H584),0)</f>
        <v>0.78657493738402873</v>
      </c>
      <c r="X595" s="49">
        <f>IFERROR(IF(Data_Entry!AC584/Data_Entry!$I584&lt;0,0,Data_Entry!AC584/Data_Entry!$I584),0)</f>
        <v>0.42290095214541856</v>
      </c>
      <c r="Y595" s="49">
        <f>IFERROR(IF(Data_Entry!AD584/Data_Entry!$I584&lt;0,0,Data_Entry!AD584/Data_Entry!$I584),0)</f>
        <v>0.31161122789662421</v>
      </c>
      <c r="Z595" s="49">
        <f>IFERROR(IF(Data_Entry!AE584/Data_Entry!$I584&lt;0,0,Data_Entry!AE584/Data_Entry!$I584),0)</f>
        <v>0.22628910597254853</v>
      </c>
      <c r="AA595" s="49">
        <f>IFERROR(IF(Data_Entry!AF584/Data_Entry!$I584&lt;0,0,Data_Entry!AF584/Data_Entry!$I584),0)</f>
        <v>0.16693458637319156</v>
      </c>
      <c r="AB595" s="49">
        <f>IFERROR(IF(Data_Entry!AG584/Data_Entry!$I584&lt;0,0,Data_Entry!AG584/Data_Entry!$I584),0)</f>
        <v>0.11870903919871399</v>
      </c>
      <c r="AC595" s="49">
        <f>IFERROR(IF(Data_Entry!AI584/Data_Entry!$I584&lt;0,0,Data_Entry!AI584/Data_Entry!$I584),0)</f>
        <v>0.21627303079015703</v>
      </c>
      <c r="AD595" s="49">
        <f>IFERROR(IF(Data_Entry!AM584/Data_Entry!$H584&lt;0,0,Data_Entry!AM584/Data_Entry!$H584),0)</f>
        <v>0.96940046337058683</v>
      </c>
      <c r="AE595" s="50">
        <f>Data_Entry!AK584</f>
        <v>0</v>
      </c>
      <c r="AF595" s="50">
        <f>Data_Entry!AL584</f>
        <v>7</v>
      </c>
      <c r="AG595" s="153">
        <f>(Data_Entry!O584-Data_Entry!Q584)/Data_Entry!O584</f>
        <v>-4.1841004184100417E-2</v>
      </c>
      <c r="AH595" s="79" t="str">
        <f t="shared" si="18"/>
        <v>CAT1</v>
      </c>
      <c r="AI595" s="51">
        <f>SUBTOTAL(3,Tableau1[[#This Row],[ZS]])</f>
        <v>0</v>
      </c>
      <c r="AJ595" s="51" t="e">
        <f t="shared" ca="1" si="19"/>
        <v>#NAME?</v>
      </c>
      <c r="AK595" s="50" t="str">
        <f>IFERROR(IF((Data_Entry!O584-Data_Entry!Q584)/Data_Entry!O584&lt;=10%,"&lt;=10%","&gt;10%"),"&lt;=10%")</f>
        <v>&lt;=10%</v>
      </c>
    </row>
    <row r="596" spans="1:37" s="48" customFormat="1" ht="13" hidden="1" x14ac:dyDescent="0.3">
      <c r="A596" s="31" t="s">
        <v>16</v>
      </c>
      <c r="B596" s="48" t="str">
        <f>Data_Entry!B585</f>
        <v>Goma</v>
      </c>
      <c r="C596" s="48" t="str">
        <f>Data_Entry!C585</f>
        <v xml:space="preserve"> Pinga</v>
      </c>
      <c r="D596" s="48" t="str">
        <f>Data_Entry!D585</f>
        <v xml:space="preserve"> Bukonde</v>
      </c>
      <c r="E596" s="49">
        <f>IFERROR(IF(Data_Entry!J585/Data_Entry!$I585&lt;0,0,Data_Entry!J585/Data_Entry!$I585),0)</f>
        <v>2.5036168430670829</v>
      </c>
      <c r="F596" s="49">
        <f>IFERROR(IF(Data_Entry!K585/Data_Entry!$H585&lt;0,0,Data_Entry!K585/Data_Entry!$H585),0)</f>
        <v>2.6128977572845762</v>
      </c>
      <c r="G596" s="49">
        <f>IFERROR(IF(Data_Entry!L585/Data_Entry!$H585&lt;0,0,Data_Entry!L585/Data_Entry!$H585),0)</f>
        <v>1.678223910239893</v>
      </c>
      <c r="H596" s="49">
        <f>IFERROR(IF(Data_Entry!M585/Data_Entry!$H585&lt;0,0,Data_Entry!M585/Data_Entry!$H585),0)</f>
        <v>1.6677513741385521</v>
      </c>
      <c r="I596" s="49">
        <f>IFERROR(IF(Data_Entry!N585/Data_Entry!$H585&lt;0,0,Data_Entry!N585/Data_Entry!$H585),0)</f>
        <v>1.6756057762145578</v>
      </c>
      <c r="J596" s="49">
        <f>IFERROR(IF(Data_Entry!O585/Data_Entry!$H585&lt;0,0,Data_Entry!O585/Data_Entry!$H585),0)</f>
        <v>1.845784487861349</v>
      </c>
      <c r="K596" s="49">
        <f>IFERROR(IF(Data_Entry!P585/Data_Entry!$H585&lt;0,0,Data_Entry!P585/Data_Entry!$H585),0)</f>
        <v>1.8326938177346725</v>
      </c>
      <c r="L596" s="49">
        <f>IFERROR(IF(Data_Entry!Q585/Data_Entry!$H585&lt;0,0,Data_Entry!Q585/Data_Entry!$H585),0)</f>
        <v>1.8379300857853431</v>
      </c>
      <c r="M596" s="49">
        <f>IFERROR(IF(Data_Entry!R585/Data_Entry!$H585&lt;0,0,Data_Entry!R585/Data_Entry!$H585),0)</f>
        <v>1.8248394156586669</v>
      </c>
      <c r="N596" s="49">
        <f>IFERROR(IF(Data_Entry!S585/Data_Entry!$H585&lt;0,0,Data_Entry!S585/Data_Entry!$H585),0)</f>
        <v>1.8326938177346725</v>
      </c>
      <c r="O596" s="49">
        <f>IFERROR(IF(Data_Entry!T585/Data_Entry!$H585&lt;0,0,Data_Entry!T585/Data_Entry!$H585),0)</f>
        <v>1.8379300857853431</v>
      </c>
      <c r="P596" s="49">
        <f>IFERROR(IF(Data_Entry!U585/Data_Entry!$H585&lt;0,0,Data_Entry!U585/Data_Entry!$H585),0)</f>
        <v>1.8326938177346725</v>
      </c>
      <c r="Q596" s="49">
        <f>IFERROR(IF(Data_Entry!V585/Data_Entry!$H585&lt;0,0,Data_Entry!V585/Data_Entry!$H585),0)</f>
        <v>1.8326938177346725</v>
      </c>
      <c r="R596" s="49">
        <f>IFERROR(IF(Data_Entry!W585/Data_Entry!$H585&lt;0,0,Data_Entry!W585/Data_Entry!$H585),0)</f>
        <v>1.8379300857853431</v>
      </c>
      <c r="S596" s="49">
        <f>IFERROR(IF(Data_Entry!X585/Data_Entry!$H585&lt;0,0,Data_Entry!X585/Data_Entry!$H585),0)</f>
        <v>2.0054906634067988</v>
      </c>
      <c r="T596" s="49">
        <f>IFERROR(IF(Data_Entry!Y585/Data_Entry!$H585&lt;0,0,Data_Entry!Y585/Data_Entry!$H585),0)</f>
        <v>0.95038265119669452</v>
      </c>
      <c r="U596" s="49">
        <f>IFERROR(IF(Data_Entry!Z585/Data_Entry!$H585&lt;0,0,Data_Entry!Z585/Data_Entry!$H585),0)</f>
        <v>1.845784487861349</v>
      </c>
      <c r="V596" s="49">
        <f>IFERROR(IF(Data_Entry!AA585/Data_Entry!$H585&lt;0,0,Data_Entry!AA585/Data_Entry!$H585),0)</f>
        <v>1.6756057762145578</v>
      </c>
      <c r="W596" s="49">
        <f>IFERROR(IF(Data_Entry!AB585/Data_Entry!$H585&lt;0,0,Data_Entry!AB585/Data_Entry!$H585),0)</f>
        <v>1.6598969720625463</v>
      </c>
      <c r="X596" s="49">
        <f>IFERROR(IF(Data_Entry!AC585/Data_Entry!$I585&lt;0,0,Data_Entry!AC585/Data_Entry!$I585),0)</f>
        <v>1.1787101195461813</v>
      </c>
      <c r="Y596" s="49">
        <f>IFERROR(IF(Data_Entry!AD585/Data_Entry!$I585&lt;0,0,Data_Entry!AD585/Data_Entry!$I585),0)</f>
        <v>1.0233762278230412</v>
      </c>
      <c r="Z596" s="49">
        <f>IFERROR(IF(Data_Entry!AE585/Data_Entry!$I585&lt;0,0,Data_Entry!AE585/Data_Entry!$I585),0)</f>
        <v>0.95484656970989101</v>
      </c>
      <c r="AA596" s="49">
        <f>IFERROR(IF(Data_Entry!AF585/Data_Entry!$I585&lt;0,0,Data_Entry!AF585/Data_Entry!$I585),0)</f>
        <v>0.91144445290489595</v>
      </c>
      <c r="AB596" s="49">
        <f>IFERROR(IF(Data_Entry!AG585/Data_Entry!$I585&lt;0,0,Data_Entry!AG585/Data_Entry!$I585),0)</f>
        <v>0.90459148709358095</v>
      </c>
      <c r="AC596" s="49">
        <f>IFERROR(IF(Data_Entry!AI585/Data_Entry!$I585&lt;0,0,Data_Entry!AI585/Data_Entry!$I585),0)</f>
        <v>0.13317596893322164</v>
      </c>
      <c r="AD596" s="49">
        <f>IFERROR(IF(Data_Entry!AM585/Data_Entry!$H585&lt;0,0,Data_Entry!AM585/Data_Entry!$H585),0)</f>
        <v>1.845784487861349</v>
      </c>
      <c r="AE596" s="50">
        <f>Data_Entry!AK585</f>
        <v>0</v>
      </c>
      <c r="AF596" s="50">
        <f>Data_Entry!AL585</f>
        <v>0</v>
      </c>
      <c r="AG596" s="153">
        <f>(Data_Entry!O585-Data_Entry!Q585)/Data_Entry!O585</f>
        <v>4.2553191489361703E-3</v>
      </c>
      <c r="AH596" s="79" t="str">
        <f t="shared" si="18"/>
        <v>CAT1</v>
      </c>
      <c r="AI596" s="51">
        <f>SUBTOTAL(3,Tableau1[[#This Row],[ZS]])</f>
        <v>0</v>
      </c>
      <c r="AJ596" s="51" t="e">
        <f t="shared" ca="1" si="19"/>
        <v>#NAME?</v>
      </c>
      <c r="AK596" s="50" t="str">
        <f>IFERROR(IF((Data_Entry!O585-Data_Entry!Q585)/Data_Entry!O585&lt;=10%,"&lt;=10%","&gt;10%"),"&lt;=10%")</f>
        <v>&lt;=10%</v>
      </c>
    </row>
    <row r="597" spans="1:37" s="48" customFormat="1" ht="13" hidden="1" x14ac:dyDescent="0.3">
      <c r="A597" s="31" t="s">
        <v>16</v>
      </c>
      <c r="B597" s="48" t="str">
        <f>Data_Entry!B586</f>
        <v>Goma</v>
      </c>
      <c r="C597" s="48" t="str">
        <f>Data_Entry!C586</f>
        <v xml:space="preserve"> Pinga</v>
      </c>
      <c r="D597" s="48" t="str">
        <f>Data_Entry!D586</f>
        <v xml:space="preserve"> Bukumbirwa</v>
      </c>
      <c r="E597" s="49">
        <f>IFERROR(IF(Data_Entry!J586/Data_Entry!$I586&lt;0,0,Data_Entry!J586/Data_Entry!$I586),0)</f>
        <v>0.77270673294170811</v>
      </c>
      <c r="F597" s="49">
        <f>IFERROR(IF(Data_Entry!K586/Data_Entry!$H586&lt;0,0,Data_Entry!K586/Data_Entry!$H586),0)</f>
        <v>1.5537258994454493</v>
      </c>
      <c r="G597" s="49">
        <f>IFERROR(IF(Data_Entry!L586/Data_Entry!$H586&lt;0,0,Data_Entry!L586/Data_Entry!$H586),0)</f>
        <v>1.5731474731885173</v>
      </c>
      <c r="H597" s="49">
        <f>IFERROR(IF(Data_Entry!M586/Data_Entry!$H586&lt;0,0,Data_Entry!M586/Data_Entry!$H586),0)</f>
        <v>1.4061219389981316</v>
      </c>
      <c r="I597" s="49">
        <f>IFERROR(IF(Data_Entry!N586/Data_Entry!$H586&lt;0,0,Data_Entry!N586/Data_Entry!$H586),0)</f>
        <v>1.4061219389981316</v>
      </c>
      <c r="J597" s="49">
        <f>IFERROR(IF(Data_Entry!O586/Data_Entry!$H586&lt;0,0,Data_Entry!O586/Data_Entry!$H586),0)</f>
        <v>1.5731474731885173</v>
      </c>
      <c r="K597" s="49">
        <f>IFERROR(IF(Data_Entry!P586/Data_Entry!$H586&lt;0,0,Data_Entry!P586/Data_Entry!$H586),0)</f>
        <v>1.4061219389981316</v>
      </c>
      <c r="L597" s="49">
        <f>IFERROR(IF(Data_Entry!Q586/Data_Entry!$H586&lt;0,0,Data_Entry!Q586/Data_Entry!$H586),0)</f>
        <v>1.4061219389981316</v>
      </c>
      <c r="M597" s="49">
        <f>IFERROR(IF(Data_Entry!R586/Data_Entry!$H586&lt;0,0,Data_Entry!R586/Data_Entry!$H586),0)</f>
        <v>1.5731474731885173</v>
      </c>
      <c r="N597" s="49">
        <f>IFERROR(IF(Data_Entry!S586/Data_Entry!$H586&lt;0,0,Data_Entry!S586/Data_Entry!$H586),0)</f>
        <v>1.503229807713472</v>
      </c>
      <c r="O597" s="49">
        <f>IFERROR(IF(Data_Entry!T586/Data_Entry!$H586&lt;0,0,Data_Entry!T586/Data_Entry!$H586),0)</f>
        <v>1.4061219389981316</v>
      </c>
      <c r="P597" s="49">
        <f>IFERROR(IF(Data_Entry!U586/Data_Entry!$H586&lt;0,0,Data_Entry!U586/Data_Entry!$H586),0)</f>
        <v>1.5731474731885173</v>
      </c>
      <c r="Q597" s="49">
        <f>IFERROR(IF(Data_Entry!V586/Data_Entry!$H586&lt;0,0,Data_Entry!V586/Data_Entry!$H586),0)</f>
        <v>1.4605023454787223</v>
      </c>
      <c r="R597" s="49">
        <f>IFERROR(IF(Data_Entry!W586/Data_Entry!$H586&lt;0,0,Data_Entry!W586/Data_Entry!$H586),0)</f>
        <v>1.4061219389981316</v>
      </c>
      <c r="S597" s="49">
        <f>IFERROR(IF(Data_Entry!X586/Data_Entry!$H586&lt;0,0,Data_Entry!X586/Data_Entry!$H586),0)</f>
        <v>0.87397081843806523</v>
      </c>
      <c r="T597" s="49">
        <f>IFERROR(IF(Data_Entry!Y586/Data_Entry!$H586&lt;0,0,Data_Entry!Y586/Data_Entry!$H586),0)</f>
        <v>0.77686294972272463</v>
      </c>
      <c r="U597" s="49">
        <f>IFERROR(IF(Data_Entry!Z586/Data_Entry!$H586&lt;0,0,Data_Entry!Z586/Data_Entry!$H586),0)</f>
        <v>1.0565336116229054</v>
      </c>
      <c r="V597" s="49">
        <f>IFERROR(IF(Data_Entry!AA586/Data_Entry!$H586&lt;0,0,Data_Entry!AA586/Data_Entry!$H586),0)</f>
        <v>1.0526492968742918</v>
      </c>
      <c r="W597" s="49">
        <f>IFERROR(IF(Data_Entry!AB586/Data_Entry!$H586&lt;0,0,Data_Entry!AB586/Data_Entry!$H586),0)</f>
        <v>0.54768837955452088</v>
      </c>
      <c r="X597" s="49">
        <f>IFERROR(IF(Data_Entry!AC586/Data_Entry!$I586&lt;0,0,Data_Entry!AC586/Data_Entry!$I586),0)</f>
        <v>1.1251694532309082</v>
      </c>
      <c r="Y597" s="49">
        <f>IFERROR(IF(Data_Entry!AD586/Data_Entry!$I586&lt;0,0,Data_Entry!AD586/Data_Entry!$I586),0)</f>
        <v>1.0302756439222776</v>
      </c>
      <c r="Z597" s="49">
        <f>IFERROR(IF(Data_Entry!AE586/Data_Entry!$I586&lt;0,0,Data_Entry!AE586/Data_Entry!$I586),0)</f>
        <v>0.51174875734297331</v>
      </c>
      <c r="AA597" s="49">
        <f>IFERROR(IF(Data_Entry!AF586/Data_Entry!$I586&lt;0,0,Data_Entry!AF586/Data_Entry!$I586),0)</f>
        <v>0.35585178490736558</v>
      </c>
      <c r="AB597" s="49">
        <f>IFERROR(IF(Data_Entry!AG586/Data_Entry!$I586&lt;0,0,Data_Entry!AG586/Data_Entry!$I586),0)</f>
        <v>0.36262991414369633</v>
      </c>
      <c r="AC597" s="49">
        <f>IFERROR(IF(Data_Entry!AI586/Data_Entry!$I586&lt;0,0,Data_Entry!AI586/Data_Entry!$I586),0)</f>
        <v>0.19758246723904202</v>
      </c>
      <c r="AD597" s="49">
        <f>IFERROR(IF(Data_Entry!AM586/Data_Entry!$H586&lt;0,0,Data_Entry!AM586/Data_Entry!$H586),0)</f>
        <v>0.87397081843806523</v>
      </c>
      <c r="AE597" s="50">
        <f>Data_Entry!AK586</f>
        <v>0</v>
      </c>
      <c r="AF597" s="50">
        <f>Data_Entry!AL586</f>
        <v>180</v>
      </c>
      <c r="AG597" s="153">
        <f>(Data_Entry!O586-Data_Entry!Q586)/Data_Entry!O586</f>
        <v>0.10617283950617284</v>
      </c>
      <c r="AH597" s="79" t="str">
        <f t="shared" si="18"/>
        <v>CAT2</v>
      </c>
      <c r="AI597" s="51">
        <f>SUBTOTAL(3,Tableau1[[#This Row],[ZS]])</f>
        <v>0</v>
      </c>
      <c r="AJ597" s="51" t="e">
        <f t="shared" ca="1" si="19"/>
        <v>#NAME?</v>
      </c>
      <c r="AK597" s="50" t="str">
        <f>IFERROR(IF((Data_Entry!O586-Data_Entry!Q586)/Data_Entry!O586&lt;=10%,"&lt;=10%","&gt;10%"),"&lt;=10%")</f>
        <v>&gt;10%</v>
      </c>
    </row>
    <row r="598" spans="1:37" s="48" customFormat="1" ht="13" hidden="1" x14ac:dyDescent="0.3">
      <c r="A598" s="31" t="s">
        <v>16</v>
      </c>
      <c r="B598" s="48" t="str">
        <f>Data_Entry!B587</f>
        <v>Goma</v>
      </c>
      <c r="C598" s="48" t="str">
        <f>Data_Entry!C587</f>
        <v xml:space="preserve"> Pinga</v>
      </c>
      <c r="D598" s="48" t="str">
        <f>Data_Entry!D587</f>
        <v xml:space="preserve"> Buleusa</v>
      </c>
      <c r="E598" s="49">
        <f>IFERROR(IF(Data_Entry!J587/Data_Entry!$I587&lt;0,0,Data_Entry!J587/Data_Entry!$I587),0)</f>
        <v>1.2276159654800431</v>
      </c>
      <c r="F598" s="49">
        <f>IFERROR(IF(Data_Entry!K587/Data_Entry!$H587&lt;0,0,Data_Entry!K587/Data_Entry!$H587),0)</f>
        <v>1.7259978425026972</v>
      </c>
      <c r="G598" s="49">
        <f>IFERROR(IF(Data_Entry!L587/Data_Entry!$H587&lt;0,0,Data_Entry!L587/Data_Entry!$H587),0)</f>
        <v>1.4243191365065238</v>
      </c>
      <c r="H598" s="49">
        <f>IFERROR(IF(Data_Entry!M587/Data_Entry!$H587&lt;0,0,Data_Entry!M587/Data_Entry!$H587),0)</f>
        <v>1.3328264141962087</v>
      </c>
      <c r="I598" s="49">
        <f>IFERROR(IF(Data_Entry!N587/Data_Entry!$H587&lt;0,0,Data_Entry!N587/Data_Entry!$H587),0)</f>
        <v>1.3897002686053235</v>
      </c>
      <c r="J598" s="49">
        <f>IFERROR(IF(Data_Entry!O587/Data_Entry!$H587&lt;0,0,Data_Entry!O587/Data_Entry!$H587),0)</f>
        <v>1.4243191365065238</v>
      </c>
      <c r="K598" s="49">
        <f>IFERROR(IF(Data_Entry!P587/Data_Entry!$H587&lt;0,0,Data_Entry!P587/Data_Entry!$H587),0)</f>
        <v>1.3328264141962087</v>
      </c>
      <c r="L598" s="49">
        <f>IFERROR(IF(Data_Entry!Q587/Data_Entry!$H587&lt;0,0,Data_Entry!Q587/Data_Entry!$H587),0)</f>
        <v>1.3897002686053235</v>
      </c>
      <c r="M598" s="49">
        <f>IFERROR(IF(Data_Entry!R587/Data_Entry!$H587&lt;0,0,Data_Entry!R587/Data_Entry!$H587),0)</f>
        <v>1.4243191365065238</v>
      </c>
      <c r="N598" s="49">
        <f>IFERROR(IF(Data_Entry!S587/Data_Entry!$H587&lt;0,0,Data_Entry!S587/Data_Entry!$H587),0)</f>
        <v>1.3328264141962087</v>
      </c>
      <c r="O598" s="49">
        <f>IFERROR(IF(Data_Entry!T587/Data_Entry!$H587&lt;0,0,Data_Entry!T587/Data_Entry!$H587),0)</f>
        <v>1.3897002686053235</v>
      </c>
      <c r="P598" s="49">
        <f>IFERROR(IF(Data_Entry!U587/Data_Entry!$H587&lt;0,0,Data_Entry!U587/Data_Entry!$H587),0)</f>
        <v>1.4243191365065238</v>
      </c>
      <c r="Q598" s="49">
        <f>IFERROR(IF(Data_Entry!V587/Data_Entry!$H587&lt;0,0,Data_Entry!V587/Data_Entry!$H587),0)</f>
        <v>1.3328264141962087</v>
      </c>
      <c r="R598" s="49">
        <f>IFERROR(IF(Data_Entry!W587/Data_Entry!$H587&lt;0,0,Data_Entry!W587/Data_Entry!$H587),0)</f>
        <v>1.3897002686053235</v>
      </c>
      <c r="S598" s="49">
        <f>IFERROR(IF(Data_Entry!X587/Data_Entry!$H587&lt;0,0,Data_Entry!X587/Data_Entry!$H587),0)</f>
        <v>1.3006803225736658</v>
      </c>
      <c r="T598" s="49">
        <f>IFERROR(IF(Data_Entry!Y587/Data_Entry!$H587&lt;0,0,Data_Entry!Y587/Data_Entry!$H587),0)</f>
        <v>0.74677843615446204</v>
      </c>
      <c r="U598" s="49">
        <f>IFERROR(IF(Data_Entry!Z587/Data_Entry!$H587&lt;0,0,Data_Entry!Z587/Data_Entry!$H587),0)</f>
        <v>1.1448954170182648</v>
      </c>
      <c r="V598" s="49">
        <f>IFERROR(IF(Data_Entry!AA587/Data_Entry!$H587&lt;0,0,Data_Entry!AA587/Data_Entry!$H587),0)</f>
        <v>1.1943509425914078</v>
      </c>
      <c r="W598" s="49">
        <f>IFERROR(IF(Data_Entry!AB587/Data_Entry!$H587&lt;0,0,Data_Entry!AB587/Data_Entry!$H587),0)</f>
        <v>1.1523137458542361</v>
      </c>
      <c r="X598" s="49">
        <f>IFERROR(IF(Data_Entry!AC587/Data_Entry!$I587&lt;0,0,Data_Entry!AC587/Data_Entry!$I587),0)</f>
        <v>0.80258899676375406</v>
      </c>
      <c r="Y598" s="49">
        <f>IFERROR(IF(Data_Entry!AD587/Data_Entry!$I587&lt;0,0,Data_Entry!AD587/Data_Entry!$I587),0)</f>
        <v>0.66019417475728159</v>
      </c>
      <c r="Z598" s="49">
        <f>IFERROR(IF(Data_Entry!AE587/Data_Entry!$I587&lt;0,0,Data_Entry!AE587/Data_Entry!$I587),0)</f>
        <v>0.5738942826321467</v>
      </c>
      <c r="AA598" s="49">
        <f>IFERROR(IF(Data_Entry!AF587/Data_Entry!$I587&lt;0,0,Data_Entry!AF587/Data_Entry!$I587),0)</f>
        <v>0.40992448759439049</v>
      </c>
      <c r="AB598" s="49">
        <f>IFERROR(IF(Data_Entry!AG587/Data_Entry!$I587&lt;0,0,Data_Entry!AG587/Data_Entry!$I587),0)</f>
        <v>0.31067961165048541</v>
      </c>
      <c r="AC598" s="49">
        <f>IFERROR(IF(Data_Entry!AI587/Data_Entry!$I587&lt;0,0,Data_Entry!AI587/Data_Entry!$I587),0)</f>
        <v>9.8813376483279383E-2</v>
      </c>
      <c r="AD598" s="49">
        <f>IFERROR(IF(Data_Entry!AM587/Data_Entry!$H587&lt;0,0,Data_Entry!AM587/Data_Entry!$H587),0)</f>
        <v>1.1448954170182648</v>
      </c>
      <c r="AE598" s="50">
        <f>Data_Entry!AK587</f>
        <v>0</v>
      </c>
      <c r="AF598" s="50">
        <f>Data_Entry!AL587</f>
        <v>50</v>
      </c>
      <c r="AG598" s="153">
        <f>(Data_Entry!O587-Data_Entry!Q587)/Data_Entry!O587</f>
        <v>2.4305555555555556E-2</v>
      </c>
      <c r="AH598" s="79" t="str">
        <f t="shared" si="18"/>
        <v>CAT1</v>
      </c>
      <c r="AI598" s="51">
        <f>SUBTOTAL(3,Tableau1[[#This Row],[ZS]])</f>
        <v>0</v>
      </c>
      <c r="AJ598" s="51" t="e">
        <f t="shared" ca="1" si="19"/>
        <v>#NAME?</v>
      </c>
      <c r="AK598" s="50" t="str">
        <f>IFERROR(IF((Data_Entry!O587-Data_Entry!Q587)/Data_Entry!O587&lt;=10%,"&lt;=10%","&gt;10%"),"&lt;=10%")</f>
        <v>&lt;=10%</v>
      </c>
    </row>
    <row r="599" spans="1:37" s="48" customFormat="1" ht="13" hidden="1" x14ac:dyDescent="0.3">
      <c r="A599" s="31" t="s">
        <v>16</v>
      </c>
      <c r="B599" s="48" t="str">
        <f>Data_Entry!B588</f>
        <v>Goma</v>
      </c>
      <c r="C599" s="48" t="str">
        <f>Data_Entry!C588</f>
        <v xml:space="preserve"> Pinga</v>
      </c>
      <c r="D599" s="48" t="str">
        <f>Data_Entry!D588</f>
        <v xml:space="preserve"> Kailenge</v>
      </c>
      <c r="E599" s="49">
        <f>IFERROR(IF(Data_Entry!J588/Data_Entry!$I588&lt;0,0,Data_Entry!J588/Data_Entry!$I588),0)</f>
        <v>1.0426296866974831</v>
      </c>
      <c r="F599" s="49">
        <f>IFERROR(IF(Data_Entry!K588/Data_Entry!$H588&lt;0,0,Data_Entry!K588/Data_Entry!$H588),0)</f>
        <v>1.1949910449254824</v>
      </c>
      <c r="G599" s="49">
        <f>IFERROR(IF(Data_Entry!L588/Data_Entry!$H588&lt;0,0,Data_Entry!L588/Data_Entry!$H588),0)</f>
        <v>1.2891775312250278</v>
      </c>
      <c r="H599" s="49">
        <f>IFERROR(IF(Data_Entry!M588/Data_Entry!$H588&lt;0,0,Data_Entry!M588/Data_Entry!$H588),0)</f>
        <v>1.230310977287812</v>
      </c>
      <c r="I599" s="49">
        <f>IFERROR(IF(Data_Entry!N588/Data_Entry!$H588&lt;0,0,Data_Entry!N588/Data_Entry!$H588),0)</f>
        <v>1.2832908758313062</v>
      </c>
      <c r="J599" s="49">
        <f>IFERROR(IF(Data_Entry!O588/Data_Entry!$H588&lt;0,0,Data_Entry!O588/Data_Entry!$H588),0)</f>
        <v>1.3009508420124709</v>
      </c>
      <c r="K599" s="49">
        <f>IFERROR(IF(Data_Entry!P588/Data_Entry!$H588&lt;0,0,Data_Entry!P588/Data_Entry!$H588),0)</f>
        <v>1.230310977287812</v>
      </c>
      <c r="L599" s="49">
        <f>IFERROR(IF(Data_Entry!Q588/Data_Entry!$H588&lt;0,0,Data_Entry!Q588/Data_Entry!$H588),0)</f>
        <v>1.2832908758313062</v>
      </c>
      <c r="M599" s="49">
        <f>IFERROR(IF(Data_Entry!R588/Data_Entry!$H588&lt;0,0,Data_Entry!R588/Data_Entry!$H588),0)</f>
        <v>1.3009508420124709</v>
      </c>
      <c r="N599" s="49">
        <f>IFERROR(IF(Data_Entry!S588/Data_Entry!$H588&lt;0,0,Data_Entry!S588/Data_Entry!$H588),0)</f>
        <v>1.230310977287812</v>
      </c>
      <c r="O599" s="49">
        <f>IFERROR(IF(Data_Entry!T588/Data_Entry!$H588&lt;0,0,Data_Entry!T588/Data_Entry!$H588),0)</f>
        <v>1.2832908758313062</v>
      </c>
      <c r="P599" s="49">
        <f>IFERROR(IF(Data_Entry!U588/Data_Entry!$H588&lt;0,0,Data_Entry!U588/Data_Entry!$H588),0)</f>
        <v>1.3009508420124709</v>
      </c>
      <c r="Q599" s="49">
        <f>IFERROR(IF(Data_Entry!V588/Data_Entry!$H588&lt;0,0,Data_Entry!V588/Data_Entry!$H588),0)</f>
        <v>1.230310977287812</v>
      </c>
      <c r="R599" s="49">
        <f>IFERROR(IF(Data_Entry!W588/Data_Entry!$H588&lt;0,0,Data_Entry!W588/Data_Entry!$H588),0)</f>
        <v>1.2832908758313062</v>
      </c>
      <c r="S599" s="49">
        <f>IFERROR(IF(Data_Entry!X588/Data_Entry!$H588&lt;0,0,Data_Entry!X588/Data_Entry!$H588),0)</f>
        <v>1.0183913831138347</v>
      </c>
      <c r="T599" s="49">
        <f>IFERROR(IF(Data_Entry!Y588/Data_Entry!$H588&lt;0,0,Data_Entry!Y588/Data_Entry!$H588),0)</f>
        <v>0.72994526882147692</v>
      </c>
      <c r="U599" s="49">
        <f>IFERROR(IF(Data_Entry!Z588/Data_Entry!$H588&lt;0,0,Data_Entry!Z588/Data_Entry!$H588),0)</f>
        <v>1.1361244909882666</v>
      </c>
      <c r="V599" s="49">
        <f>IFERROR(IF(Data_Entry!AA588/Data_Entry!$H588&lt;0,0,Data_Entry!AA588/Data_Entry!$H588),0)</f>
        <v>1.2832908758313062</v>
      </c>
      <c r="W599" s="49">
        <f>IFERROR(IF(Data_Entry!AB588/Data_Entry!$H588&lt;0,0,Data_Entry!AB588/Data_Entry!$H588),0)</f>
        <v>0.7829251673649712</v>
      </c>
      <c r="X599" s="49">
        <f>IFERROR(IF(Data_Entry!AC588/Data_Entry!$I588&lt;0,0,Data_Entry!AC588/Data_Entry!$I588),0)</f>
        <v>0.84232152028762186</v>
      </c>
      <c r="Y599" s="49">
        <f>IFERROR(IF(Data_Entry!AD588/Data_Entry!$I588&lt;0,0,Data_Entry!AD588/Data_Entry!$I588),0)</f>
        <v>0.65228556753980482</v>
      </c>
      <c r="Z599" s="49">
        <f>IFERROR(IF(Data_Entry!AE588/Data_Entry!$I588&lt;0,0,Data_Entry!AE588/Data_Entry!$I588),0)</f>
        <v>0.51361068310220848</v>
      </c>
      <c r="AA599" s="49">
        <f>IFERROR(IF(Data_Entry!AF588/Data_Entry!$I588&lt;0,0,Data_Entry!AF588/Data_Entry!$I588),0)</f>
        <v>0.44684129429892139</v>
      </c>
      <c r="AB599" s="49">
        <f>IFERROR(IF(Data_Entry!AG588/Data_Entry!$I588&lt;0,0,Data_Entry!AG588/Data_Entry!$I588),0)</f>
        <v>0.4314329738058551</v>
      </c>
      <c r="AC599" s="49">
        <f>IFERROR(IF(Data_Entry!AI588/Data_Entry!$I588&lt;0,0,Data_Entry!AI588/Data_Entry!$I588),0)</f>
        <v>0.29943502824858753</v>
      </c>
      <c r="AD599" s="49">
        <f>IFERROR(IF(Data_Entry!AM588/Data_Entry!$H588&lt;0,0,Data_Entry!AM588/Data_Entry!$H588),0)</f>
        <v>1.0183913831138347</v>
      </c>
      <c r="AE599" s="50">
        <f>Data_Entry!AK588</f>
        <v>0</v>
      </c>
      <c r="AF599" s="50">
        <f>Data_Entry!AL588</f>
        <v>48</v>
      </c>
      <c r="AG599" s="153">
        <f>(Data_Entry!O588-Data_Entry!Q588)/Data_Entry!O588</f>
        <v>1.3574660633484163E-2</v>
      </c>
      <c r="AH599" s="79" t="str">
        <f t="shared" si="18"/>
        <v>CAT1</v>
      </c>
      <c r="AI599" s="51">
        <f>SUBTOTAL(3,Tableau1[[#This Row],[ZS]])</f>
        <v>0</v>
      </c>
      <c r="AJ599" s="51" t="e">
        <f t="shared" ca="1" si="19"/>
        <v>#NAME?</v>
      </c>
      <c r="AK599" s="50" t="str">
        <f>IFERROR(IF((Data_Entry!O588-Data_Entry!Q588)/Data_Entry!O588&lt;=10%,"&lt;=10%","&gt;10%"),"&lt;=10%")</f>
        <v>&lt;=10%</v>
      </c>
    </row>
    <row r="600" spans="1:37" s="48" customFormat="1" ht="13" hidden="1" x14ac:dyDescent="0.3">
      <c r="A600" s="31" t="s">
        <v>16</v>
      </c>
      <c r="B600" s="48" t="str">
        <f>Data_Entry!B589</f>
        <v>Goma</v>
      </c>
      <c r="C600" s="48" t="str">
        <f>Data_Entry!C589</f>
        <v xml:space="preserve"> Pinga</v>
      </c>
      <c r="D600" s="48" t="str">
        <f>Data_Entry!D589</f>
        <v xml:space="preserve"> Kanune</v>
      </c>
      <c r="E600" s="49">
        <f>IFERROR(IF(Data_Entry!J589/Data_Entry!$I589&lt;0,0,Data_Entry!J589/Data_Entry!$I589),0)</f>
        <v>0.93077917499118579</v>
      </c>
      <c r="F600" s="49">
        <f>IFERROR(IF(Data_Entry!K589/Data_Entry!$H589&lt;0,0,Data_Entry!K589/Data_Entry!$H589),0)</f>
        <v>0.71523796984214583</v>
      </c>
      <c r="G600" s="49">
        <f>IFERROR(IF(Data_Entry!L589/Data_Entry!$H589&lt;0,0,Data_Entry!L589/Data_Entry!$H589),0)</f>
        <v>0.96173241142616217</v>
      </c>
      <c r="H600" s="49">
        <f>IFERROR(IF(Data_Entry!M589/Data_Entry!$H589&lt;0,0,Data_Entry!M589/Data_Entry!$H589),0)</f>
        <v>0.91324170160635565</v>
      </c>
      <c r="I600" s="49">
        <f>IFERROR(IF(Data_Entry!N589/Data_Entry!$H589&lt;0,0,Data_Entry!N589/Data_Entry!$H589),0)</f>
        <v>0.91324170160635565</v>
      </c>
      <c r="J600" s="49">
        <f>IFERROR(IF(Data_Entry!O589/Data_Entry!$H589&lt;0,0,Data_Entry!O589/Data_Entry!$H589),0)</f>
        <v>1.0102231212459687</v>
      </c>
      <c r="K600" s="49">
        <f>IFERROR(IF(Data_Entry!P589/Data_Entry!$H589&lt;0,0,Data_Entry!P589/Data_Entry!$H589),0)</f>
        <v>0.91324170160635565</v>
      </c>
      <c r="L600" s="49">
        <f>IFERROR(IF(Data_Entry!Q589/Data_Entry!$H589&lt;0,0,Data_Entry!Q589/Data_Entry!$H589),0)</f>
        <v>0.91324170160635565</v>
      </c>
      <c r="M600" s="49">
        <f>IFERROR(IF(Data_Entry!R589/Data_Entry!$H589&lt;0,0,Data_Entry!R589/Data_Entry!$H589),0)</f>
        <v>1.030427583670888</v>
      </c>
      <c r="N600" s="49">
        <f>IFERROR(IF(Data_Entry!S589/Data_Entry!$H589&lt;0,0,Data_Entry!S589/Data_Entry!$H589),0)</f>
        <v>0.96981419639612987</v>
      </c>
      <c r="O600" s="49">
        <f>IFERROR(IF(Data_Entry!T589/Data_Entry!$H589&lt;0,0,Data_Entry!T589/Data_Entry!$H589),0)</f>
        <v>1.0142640137309524</v>
      </c>
      <c r="P600" s="49">
        <f>IFERROR(IF(Data_Entry!U589/Data_Entry!$H589&lt;0,0,Data_Entry!U589/Data_Entry!$H589),0)</f>
        <v>1.030427583670888</v>
      </c>
      <c r="Q600" s="49">
        <f>IFERROR(IF(Data_Entry!V589/Data_Entry!$H589&lt;0,0,Data_Entry!V589/Data_Entry!$H589),0)</f>
        <v>1.0102231212459687</v>
      </c>
      <c r="R600" s="49">
        <f>IFERROR(IF(Data_Entry!W589/Data_Entry!$H589&lt;0,0,Data_Entry!W589/Data_Entry!$H589),0)</f>
        <v>1.0142640137309524</v>
      </c>
      <c r="S600" s="49">
        <f>IFERROR(IF(Data_Entry!X589/Data_Entry!$H589&lt;0,0,Data_Entry!X589/Data_Entry!$H589),0)</f>
        <v>1.0991227559156138</v>
      </c>
      <c r="T600" s="49">
        <f>IFERROR(IF(Data_Entry!Y589/Data_Entry!$H589&lt;0,0,Data_Entry!Y589/Data_Entry!$H589),0)</f>
        <v>0.97789598136609757</v>
      </c>
      <c r="U600" s="49">
        <f>IFERROR(IF(Data_Entry!Z589/Data_Entry!$H589&lt;0,0,Data_Entry!Z589/Data_Entry!$H589),0)</f>
        <v>0.84050563687664592</v>
      </c>
      <c r="V600" s="49">
        <f>IFERROR(IF(Data_Entry!AA589/Data_Entry!$H589&lt;0,0,Data_Entry!AA589/Data_Entry!$H589),0)</f>
        <v>1.0142640137309524</v>
      </c>
      <c r="W600" s="49">
        <f>IFERROR(IF(Data_Entry!AB589/Data_Entry!$H589&lt;0,0,Data_Entry!AB589/Data_Entry!$H589),0)</f>
        <v>0.67078815250732315</v>
      </c>
      <c r="X600" s="49">
        <f>IFERROR(IF(Data_Entry!AC589/Data_Entry!$I589&lt;0,0,Data_Entry!AC589/Data_Entry!$I589),0)</f>
        <v>0.52885180397226472</v>
      </c>
      <c r="Y600" s="49">
        <f>IFERROR(IF(Data_Entry!AD589/Data_Entry!$I589&lt;0,0,Data_Entry!AD589/Data_Entry!$I589),0)</f>
        <v>0.43365847925725703</v>
      </c>
      <c r="Z600" s="49">
        <f>IFERROR(IF(Data_Entry!AE589/Data_Entry!$I589&lt;0,0,Data_Entry!AE589/Data_Entry!$I589),0)</f>
        <v>0.4442355153367023</v>
      </c>
      <c r="AA600" s="49">
        <f>IFERROR(IF(Data_Entry!AF589/Data_Entry!$I589&lt;0,0,Data_Entry!AF589/Data_Entry!$I589),0)</f>
        <v>0.40545304971206958</v>
      </c>
      <c r="AB600" s="49">
        <f>IFERROR(IF(Data_Entry!AG589/Data_Entry!$I589&lt;0,0,Data_Entry!AG589/Data_Entry!$I589),0)</f>
        <v>0.43365847925725703</v>
      </c>
      <c r="AC600" s="49">
        <f>IFERROR(IF(Data_Entry!AI589/Data_Entry!$I589&lt;0,0,Data_Entry!AI589/Data_Entry!$I589),0)</f>
        <v>0.20554706781055351</v>
      </c>
      <c r="AD600" s="49">
        <f>IFERROR(IF(Data_Entry!AM589/Data_Entry!$H589&lt;0,0,Data_Entry!AM589/Data_Entry!$H589),0)</f>
        <v>0.84050563687664592</v>
      </c>
      <c r="AE600" s="50">
        <f>Data_Entry!AK589</f>
        <v>0</v>
      </c>
      <c r="AF600" s="50">
        <f>Data_Entry!AL589</f>
        <v>0</v>
      </c>
      <c r="AG600" s="153">
        <f>(Data_Entry!O589-Data_Entry!Q589)/Data_Entry!O589</f>
        <v>9.6000000000000002E-2</v>
      </c>
      <c r="AH600" s="79" t="str">
        <f t="shared" si="18"/>
        <v>CAT1</v>
      </c>
      <c r="AI600" s="51">
        <f>SUBTOTAL(3,Tableau1[[#This Row],[ZS]])</f>
        <v>0</v>
      </c>
      <c r="AJ600" s="51" t="e">
        <f t="shared" ca="1" si="19"/>
        <v>#NAME?</v>
      </c>
      <c r="AK600" s="50" t="str">
        <f>IFERROR(IF((Data_Entry!O589-Data_Entry!Q589)/Data_Entry!O589&lt;=10%,"&lt;=10%","&gt;10%"),"&lt;=10%")</f>
        <v>&lt;=10%</v>
      </c>
    </row>
    <row r="601" spans="1:37" s="48" customFormat="1" ht="13" hidden="1" x14ac:dyDescent="0.3">
      <c r="A601" s="31" t="s">
        <v>16</v>
      </c>
      <c r="B601" s="48" t="str">
        <f>Data_Entry!B590</f>
        <v>Goma</v>
      </c>
      <c r="C601" s="48" t="str">
        <f>Data_Entry!C590</f>
        <v xml:space="preserve"> Pinga</v>
      </c>
      <c r="D601" s="48" t="str">
        <f>Data_Entry!D590</f>
        <v xml:space="preserve"> Kaseke</v>
      </c>
      <c r="E601" s="49">
        <f>IFERROR(IF(Data_Entry!J590/Data_Entry!$I590&lt;0,0,Data_Entry!J590/Data_Entry!$I590),0)</f>
        <v>1.0849248273059733</v>
      </c>
      <c r="F601" s="49">
        <f>IFERROR(IF(Data_Entry!K590/Data_Entry!$H590&lt;0,0,Data_Entry!K590/Data_Entry!$H590),0)</f>
        <v>1.1093400893479834</v>
      </c>
      <c r="G601" s="49">
        <f>IFERROR(IF(Data_Entry!L590/Data_Entry!$H590&lt;0,0,Data_Entry!L590/Data_Entry!$H590),0)</f>
        <v>0.98080194297516921</v>
      </c>
      <c r="H601" s="49">
        <f>IFERROR(IF(Data_Entry!M590/Data_Entry!$H590&lt;0,0,Data_Entry!M590/Data_Entry!$H590),0)</f>
        <v>0.86064671919188629</v>
      </c>
      <c r="I601" s="49">
        <f>IFERROR(IF(Data_Entry!N590/Data_Entry!$H590&lt;0,0,Data_Entry!N590/Data_Entry!$H590),0)</f>
        <v>0.84667518154266741</v>
      </c>
      <c r="J601" s="49">
        <f>IFERROR(IF(Data_Entry!O590/Data_Entry!$H590&lt;0,0,Data_Entry!O590/Data_Entry!$H590),0)</f>
        <v>0.90256133213954315</v>
      </c>
      <c r="K601" s="49">
        <f>IFERROR(IF(Data_Entry!P590/Data_Entry!$H590&lt;0,0,Data_Entry!P590/Data_Entry!$H590),0)</f>
        <v>1.3803879197428306</v>
      </c>
      <c r="L601" s="49">
        <f>IFERROR(IF(Data_Entry!Q590/Data_Entry!$H590&lt;0,0,Data_Entry!Q590/Data_Entry!$H590),0)</f>
        <v>0.93329871496782479</v>
      </c>
      <c r="M601" s="49">
        <f>IFERROR(IF(Data_Entry!R590/Data_Entry!$H590&lt;0,0,Data_Entry!R590/Data_Entry!$H590),0)</f>
        <v>1.0255108634526697</v>
      </c>
      <c r="N601" s="49">
        <f>IFERROR(IF(Data_Entry!S590/Data_Entry!$H590&lt;0,0,Data_Entry!S590/Data_Entry!$H590),0)</f>
        <v>0.95565317520657511</v>
      </c>
      <c r="O601" s="49">
        <f>IFERROR(IF(Data_Entry!T590/Data_Entry!$H590&lt;0,0,Data_Entry!T590/Data_Entry!$H590),0)</f>
        <v>0.93609302249766857</v>
      </c>
      <c r="P601" s="49">
        <f>IFERROR(IF(Data_Entry!U590/Data_Entry!$H590&lt;0,0,Data_Entry!U590/Data_Entry!$H590),0)</f>
        <v>1.0255108634526697</v>
      </c>
      <c r="Q601" s="49">
        <f>IFERROR(IF(Data_Entry!V590/Data_Entry!$H590&lt;0,0,Data_Entry!V590/Data_Entry!$H590),0)</f>
        <v>0.96683040532595022</v>
      </c>
      <c r="R601" s="49">
        <f>IFERROR(IF(Data_Entry!W590/Data_Entry!$H590&lt;0,0,Data_Entry!W590/Data_Entry!$H590),0)</f>
        <v>0.95006456014688745</v>
      </c>
      <c r="S601" s="49">
        <f>IFERROR(IF(Data_Entry!X590/Data_Entry!$H590&lt;0,0,Data_Entry!X590/Data_Entry!$H590),0)</f>
        <v>1.0394824011018886</v>
      </c>
      <c r="T601" s="49">
        <f>IFERROR(IF(Data_Entry!Y590/Data_Entry!$H590&lt;0,0,Data_Entry!Y590/Data_Entry!$H590),0)</f>
        <v>0.70137118999079051</v>
      </c>
      <c r="U601" s="49">
        <f>IFERROR(IF(Data_Entry!Z590/Data_Entry!$H590&lt;0,0,Data_Entry!Z590/Data_Entry!$H590),0)</f>
        <v>1.0590425538107953</v>
      </c>
      <c r="V601" s="49">
        <f>IFERROR(IF(Data_Entry!AA590/Data_Entry!$H590&lt;0,0,Data_Entry!AA590/Data_Entry!$H590),0)</f>
        <v>0.74049149540860348</v>
      </c>
      <c r="W601" s="49">
        <f>IFERROR(IF(Data_Entry!AB590/Data_Entry!$H590&lt;0,0,Data_Entry!AB590/Data_Entry!$H590),0)</f>
        <v>0.71254842011016561</v>
      </c>
      <c r="X601" s="49">
        <f>IFERROR(IF(Data_Entry!AC590/Data_Entry!$I590&lt;0,0,Data_Entry!AC590/Data_Entry!$I590),0)</f>
        <v>0.45103616416091025</v>
      </c>
      <c r="Y601" s="49">
        <f>IFERROR(IF(Data_Entry!AD590/Data_Entry!$I590&lt;0,0,Data_Entry!AD590/Data_Entry!$I590),0)</f>
        <v>0.42421779764323447</v>
      </c>
      <c r="Z601" s="49">
        <f>IFERROR(IF(Data_Entry!AE590/Data_Entry!$I590&lt;0,0,Data_Entry!AE590/Data_Entry!$I590),0)</f>
        <v>0.30963023161316539</v>
      </c>
      <c r="AA601" s="49">
        <f>IFERROR(IF(Data_Entry!AF590/Data_Entry!$I590&lt;0,0,Data_Entry!AF590/Data_Entry!$I590),0)</f>
        <v>0.23405119869971558</v>
      </c>
      <c r="AB601" s="49">
        <f>IFERROR(IF(Data_Entry!AG590/Data_Entry!$I590&lt;0,0,Data_Entry!AG590/Data_Entry!$I590),0)</f>
        <v>0.36326696464851688</v>
      </c>
      <c r="AC601" s="49">
        <f>IFERROR(IF(Data_Entry!AI590/Data_Entry!$I590&lt;0,0,Data_Entry!AI590/Data_Entry!$I590),0)</f>
        <v>8.1186509548963837E-2</v>
      </c>
      <c r="AD601" s="49">
        <f>IFERROR(IF(Data_Entry!AM590/Data_Entry!$H590&lt;0,0,Data_Entry!AM590/Data_Entry!$H590),0)</f>
        <v>1.0394824011018886</v>
      </c>
      <c r="AE601" s="50">
        <f>Data_Entry!AK590</f>
        <v>34.870416666666642</v>
      </c>
      <c r="AF601" s="50">
        <f>Data_Entry!AL590</f>
        <v>0</v>
      </c>
      <c r="AG601" s="153">
        <f>(Data_Entry!O590-Data_Entry!Q590)/Data_Entry!O590</f>
        <v>-3.4055727554179564E-2</v>
      </c>
      <c r="AH601" s="79" t="str">
        <f t="shared" si="18"/>
        <v>CAT1</v>
      </c>
      <c r="AI601" s="51">
        <f>SUBTOTAL(3,Tableau1[[#This Row],[ZS]])</f>
        <v>0</v>
      </c>
      <c r="AJ601" s="51" t="e">
        <f t="shared" ca="1" si="19"/>
        <v>#NAME?</v>
      </c>
      <c r="AK601" s="50" t="str">
        <f>IFERROR(IF((Data_Entry!O590-Data_Entry!Q590)/Data_Entry!O590&lt;=10%,"&lt;=10%","&gt;10%"),"&lt;=10%")</f>
        <v>&lt;=10%</v>
      </c>
    </row>
    <row r="602" spans="1:37" s="48" customFormat="1" ht="13" hidden="1" x14ac:dyDescent="0.3">
      <c r="A602" s="31" t="s">
        <v>16</v>
      </c>
      <c r="B602" s="48" t="str">
        <f>Data_Entry!B591</f>
        <v>Goma</v>
      </c>
      <c r="C602" s="48" t="str">
        <f>Data_Entry!C591</f>
        <v xml:space="preserve"> Pinga</v>
      </c>
      <c r="D602" s="48" t="str">
        <f>Data_Entry!D591</f>
        <v xml:space="preserve"> Katanga</v>
      </c>
      <c r="E602" s="49">
        <f>IFERROR(IF(Data_Entry!J591/Data_Entry!$I591&lt;0,0,Data_Entry!J591/Data_Entry!$I591),0)</f>
        <v>0.76819407008086249</v>
      </c>
      <c r="F602" s="49">
        <f>IFERROR(IF(Data_Entry!K591/Data_Entry!$H591&lt;0,0,Data_Entry!K591/Data_Entry!$H591),0)</f>
        <v>0.8804516562531377</v>
      </c>
      <c r="G602" s="49">
        <f>IFERROR(IF(Data_Entry!L591/Data_Entry!$H591&lt;0,0,Data_Entry!L591/Data_Entry!$H591),0)</f>
        <v>0.80041059659376157</v>
      </c>
      <c r="H602" s="49">
        <f>IFERROR(IF(Data_Entry!M591/Data_Entry!$H591&lt;0,0,Data_Entry!M591/Data_Entry!$H591),0)</f>
        <v>0.84675015744918991</v>
      </c>
      <c r="I602" s="49">
        <f>IFERROR(IF(Data_Entry!N591/Data_Entry!$H591&lt;0,0,Data_Entry!N591/Data_Entry!$H591),0)</f>
        <v>0.78355984719178762</v>
      </c>
      <c r="J602" s="49">
        <f>IFERROR(IF(Data_Entry!O591/Data_Entry!$H591&lt;0,0,Data_Entry!O591/Data_Entry!$H591),0)</f>
        <v>0.87623896890264419</v>
      </c>
      <c r="K602" s="49">
        <f>IFERROR(IF(Data_Entry!P591/Data_Entry!$H591&lt;0,0,Data_Entry!P591/Data_Entry!$H591),0)</f>
        <v>0.88887703095412463</v>
      </c>
      <c r="L602" s="49">
        <f>IFERROR(IF(Data_Entry!Q591/Data_Entry!$H591&lt;0,0,Data_Entry!Q591/Data_Entry!$H591),0)</f>
        <v>0.79198522189277454</v>
      </c>
      <c r="M602" s="49">
        <f>IFERROR(IF(Data_Entry!R591/Data_Entry!$H591&lt;0,0,Data_Entry!R591/Data_Entry!$H591),0)</f>
        <v>0.89308971830461814</v>
      </c>
      <c r="N602" s="49">
        <f>IFERROR(IF(Data_Entry!S591/Data_Entry!$H591&lt;0,0,Data_Entry!S591/Data_Entry!$H591),0)</f>
        <v>0.84675015744918991</v>
      </c>
      <c r="O602" s="49">
        <f>IFERROR(IF(Data_Entry!T591/Data_Entry!$H591&lt;0,0,Data_Entry!T591/Data_Entry!$H591),0)</f>
        <v>0.78777253454228113</v>
      </c>
      <c r="P602" s="49">
        <f>IFERROR(IF(Data_Entry!U591/Data_Entry!$H591&lt;0,0,Data_Entry!U591/Data_Entry!$H591),0)</f>
        <v>0.90151509300560517</v>
      </c>
      <c r="Q602" s="49">
        <f>IFERROR(IF(Data_Entry!V591/Data_Entry!$H591&lt;0,0,Data_Entry!V591/Data_Entry!$H591),0)</f>
        <v>0.87623896890264419</v>
      </c>
      <c r="R602" s="49">
        <f>IFERROR(IF(Data_Entry!W591/Data_Entry!$H591&lt;0,0,Data_Entry!W591/Data_Entry!$H591),0)</f>
        <v>0.82147403334622893</v>
      </c>
      <c r="S602" s="49">
        <f>IFERROR(IF(Data_Entry!X591/Data_Entry!$H591&lt;0,0,Data_Entry!X591/Data_Entry!$H591),0)</f>
        <v>0.99419421471646174</v>
      </c>
      <c r="T602" s="49">
        <f>IFERROR(IF(Data_Entry!Y591/Data_Entry!$H591&lt;0,0,Data_Entry!Y591/Data_Entry!$H591),0)</f>
        <v>0.17693286872072625</v>
      </c>
      <c r="U602" s="49">
        <f>IFERROR(IF(Data_Entry!Z591/Data_Entry!$H591&lt;0,0,Data_Entry!Z591/Data_Entry!$H591),0)</f>
        <v>0.81304865864524201</v>
      </c>
      <c r="V602" s="49">
        <f>IFERROR(IF(Data_Entry!AA591/Data_Entry!$H591&lt;0,0,Data_Entry!AA591/Data_Entry!$H591),0)</f>
        <v>0.78777253454228113</v>
      </c>
      <c r="W602" s="49">
        <f>IFERROR(IF(Data_Entry!AB591/Data_Entry!$H591&lt;0,0,Data_Entry!AB591/Data_Entry!$H591),0)</f>
        <v>0.51394785676020482</v>
      </c>
      <c r="X602" s="49">
        <f>IFERROR(IF(Data_Entry!AC591/Data_Entry!$I591&lt;0,0,Data_Entry!AC591/Data_Entry!$I591),0)</f>
        <v>0.60279343298211219</v>
      </c>
      <c r="Y602" s="49">
        <f>IFERROR(IF(Data_Entry!AD591/Data_Entry!$I591&lt;0,0,Data_Entry!AD591/Data_Entry!$I591),0)</f>
        <v>0.48517520215633425</v>
      </c>
      <c r="Z602" s="49">
        <f>IFERROR(IF(Data_Entry!AE591/Data_Entry!$I591&lt;0,0,Data_Entry!AE591/Data_Entry!$I591),0)</f>
        <v>0.4300416564567508</v>
      </c>
      <c r="AA602" s="49">
        <f>IFERROR(IF(Data_Entry!AF591/Data_Entry!$I591&lt;0,0,Data_Entry!AF591/Data_Entry!$I591),0)</f>
        <v>0.36755697133055626</v>
      </c>
      <c r="AB602" s="49">
        <f>IFERROR(IF(Data_Entry!AG591/Data_Entry!$I591&lt;0,0,Data_Entry!AG591/Data_Entry!$I591),0)</f>
        <v>0.2646410193580005</v>
      </c>
      <c r="AC602" s="49">
        <f>IFERROR(IF(Data_Entry!AI591/Data_Entry!$I591&lt;0,0,Data_Entry!AI591/Data_Entry!$I591),0)</f>
        <v>0.21428571428571427</v>
      </c>
      <c r="AD602" s="49">
        <f>IFERROR(IF(Data_Entry!AM591/Data_Entry!$H591&lt;0,0,Data_Entry!AM591/Data_Entry!$H591),0)</f>
        <v>0.81304865864524201</v>
      </c>
      <c r="AE602" s="50">
        <f>Data_Entry!AK591</f>
        <v>29.37816666666663</v>
      </c>
      <c r="AF602" s="50">
        <f>Data_Entry!AL591</f>
        <v>0</v>
      </c>
      <c r="AG602" s="153">
        <f>(Data_Entry!O591-Data_Entry!Q591)/Data_Entry!O591</f>
        <v>9.6153846153846159E-2</v>
      </c>
      <c r="AH602" s="79" t="str">
        <f t="shared" si="18"/>
        <v>CAT3</v>
      </c>
      <c r="AI602" s="51">
        <f>SUBTOTAL(3,Tableau1[[#This Row],[ZS]])</f>
        <v>0</v>
      </c>
      <c r="AJ602" s="51" t="e">
        <f t="shared" ca="1" si="19"/>
        <v>#NAME?</v>
      </c>
      <c r="AK602" s="50" t="str">
        <f>IFERROR(IF((Data_Entry!O591-Data_Entry!Q591)/Data_Entry!O591&lt;=10%,"&lt;=10%","&gt;10%"),"&lt;=10%")</f>
        <v>&lt;=10%</v>
      </c>
    </row>
    <row r="603" spans="1:37" s="48" customFormat="1" ht="13" hidden="1" x14ac:dyDescent="0.3">
      <c r="A603" s="31" t="s">
        <v>16</v>
      </c>
      <c r="B603" s="48" t="str">
        <f>Data_Entry!B592</f>
        <v>Goma</v>
      </c>
      <c r="C603" s="48" t="str">
        <f>Data_Entry!C592</f>
        <v xml:space="preserve"> Pinga</v>
      </c>
      <c r="D603" s="48" t="str">
        <f>Data_Entry!D592</f>
        <v xml:space="preserve"> Kateku</v>
      </c>
      <c r="E603" s="49">
        <f>IFERROR(IF(Data_Entry!J592/Data_Entry!$I592&lt;0,0,Data_Entry!J592/Data_Entry!$I592),0)</f>
        <v>0.98712446351931327</v>
      </c>
      <c r="F603" s="49">
        <f>IFERROR(IF(Data_Entry!K592/Data_Entry!$H592&lt;0,0,Data_Entry!K592/Data_Entry!$H592),0)</f>
        <v>1.1313747432886112</v>
      </c>
      <c r="G603" s="49">
        <f>IFERROR(IF(Data_Entry!L592/Data_Entry!$H592&lt;0,0,Data_Entry!L592/Data_Entry!$H592),0)</f>
        <v>1.175645928895557</v>
      </c>
      <c r="H603" s="49">
        <f>IFERROR(IF(Data_Entry!M592/Data_Entry!$H592&lt;0,0,Data_Entry!M592/Data_Entry!$H592),0)</f>
        <v>1.1116986607966355</v>
      </c>
      <c r="I603" s="49">
        <f>IFERROR(IF(Data_Entry!N592/Data_Entry!$H592&lt;0,0,Data_Entry!N592/Data_Entry!$H592),0)</f>
        <v>1.1953220113875329</v>
      </c>
      <c r="J603" s="49">
        <f>IFERROR(IF(Data_Entry!O592/Data_Entry!$H592&lt;0,0,Data_Entry!O592/Data_Entry!$H592),0)</f>
        <v>1.175645928895557</v>
      </c>
      <c r="K603" s="49">
        <f>IFERROR(IF(Data_Entry!P592/Data_Entry!$H592&lt;0,0,Data_Entry!P592/Data_Entry!$H592),0)</f>
        <v>1.1116986607966355</v>
      </c>
      <c r="L603" s="49">
        <f>IFERROR(IF(Data_Entry!Q592/Data_Entry!$H592&lt;0,0,Data_Entry!Q592/Data_Entry!$H592),0)</f>
        <v>1.1953220113875329</v>
      </c>
      <c r="M603" s="49">
        <f>IFERROR(IF(Data_Entry!R592/Data_Entry!$H592&lt;0,0,Data_Entry!R592/Data_Entry!$H592),0)</f>
        <v>1.175645928895557</v>
      </c>
      <c r="N603" s="49">
        <f>IFERROR(IF(Data_Entry!S592/Data_Entry!$H592&lt;0,0,Data_Entry!S592/Data_Entry!$H592),0)</f>
        <v>1.1116986607966355</v>
      </c>
      <c r="O603" s="49">
        <f>IFERROR(IF(Data_Entry!T592/Data_Entry!$H592&lt;0,0,Data_Entry!T592/Data_Entry!$H592),0)</f>
        <v>1.1953220113875329</v>
      </c>
      <c r="P603" s="49">
        <f>IFERROR(IF(Data_Entry!U592/Data_Entry!$H592&lt;0,0,Data_Entry!U592/Data_Entry!$H592),0)</f>
        <v>1.0723464958126838</v>
      </c>
      <c r="Q603" s="49">
        <f>IFERROR(IF(Data_Entry!V592/Data_Entry!$H592&lt;0,0,Data_Entry!V592/Data_Entry!$H592),0)</f>
        <v>1.057589433943702</v>
      </c>
      <c r="R603" s="49">
        <f>IFERROR(IF(Data_Entry!W592/Data_Entry!$H592&lt;0,0,Data_Entry!W592/Data_Entry!$H592),0)</f>
        <v>1.037913351451726</v>
      </c>
      <c r="S603" s="49">
        <f>IFERROR(IF(Data_Entry!X592/Data_Entry!$H592&lt;0,0,Data_Entry!X592/Data_Entry!$H592),0)</f>
        <v>1.0133182483367562</v>
      </c>
      <c r="T603" s="49">
        <f>IFERROR(IF(Data_Entry!Y592/Data_Entry!$H592&lt;0,0,Data_Entry!Y592/Data_Entry!$H592),0)</f>
        <v>0.72801505220310636</v>
      </c>
      <c r="U603" s="49">
        <f>IFERROR(IF(Data_Entry!Z592/Data_Entry!$H592&lt;0,0,Data_Entry!Z592/Data_Entry!$H592),0)</f>
        <v>1.0083992277137623</v>
      </c>
      <c r="V603" s="49">
        <f>IFERROR(IF(Data_Entry!AA592/Data_Entry!$H592&lt;0,0,Data_Entry!AA592/Data_Entry!$H592),0)</f>
        <v>1.1953220113875329</v>
      </c>
      <c r="W603" s="49">
        <f>IFERROR(IF(Data_Entry!AB592/Data_Entry!$H592&lt;0,0,Data_Entry!AB592/Data_Entry!$H592),0)</f>
        <v>0.91493783587687694</v>
      </c>
      <c r="X603" s="49">
        <f>IFERROR(IF(Data_Entry!AC592/Data_Entry!$I592&lt;0,0,Data_Entry!AC592/Data_Entry!$I592),0)</f>
        <v>0.41630901287553645</v>
      </c>
      <c r="Y603" s="49">
        <f>IFERROR(IF(Data_Entry!AD592/Data_Entry!$I592&lt;0,0,Data_Entry!AD592/Data_Entry!$I592),0)</f>
        <v>0.53218884120171672</v>
      </c>
      <c r="Z603" s="49">
        <f>IFERROR(IF(Data_Entry!AE592/Data_Entry!$I592&lt;0,0,Data_Entry!AE592/Data_Entry!$I592),0)</f>
        <v>0.3261802575107296</v>
      </c>
      <c r="AA603" s="49">
        <f>IFERROR(IF(Data_Entry!AF592/Data_Entry!$I592&lt;0,0,Data_Entry!AF592/Data_Entry!$I592),0)</f>
        <v>0.18454935622317598</v>
      </c>
      <c r="AB603" s="49">
        <f>IFERROR(IF(Data_Entry!AG592/Data_Entry!$I592&lt;0,0,Data_Entry!AG592/Data_Entry!$I592),0)</f>
        <v>0.16738197424892703</v>
      </c>
      <c r="AC603" s="49">
        <f>IFERROR(IF(Data_Entry!AI592/Data_Entry!$I592&lt;0,0,Data_Entry!AI592/Data_Entry!$I592),0)</f>
        <v>0.25021459227467813</v>
      </c>
      <c r="AD603" s="49">
        <f>IFERROR(IF(Data_Entry!AM592/Data_Entry!$H592&lt;0,0,Data_Entry!AM592/Data_Entry!$H592),0)</f>
        <v>1.0083992277137623</v>
      </c>
      <c r="AE603" s="50">
        <f>Data_Entry!AK592</f>
        <v>0</v>
      </c>
      <c r="AF603" s="50">
        <f>Data_Entry!AL592</f>
        <v>33</v>
      </c>
      <c r="AG603" s="153">
        <f>(Data_Entry!O592-Data_Entry!Q592)/Data_Entry!O592</f>
        <v>-1.6736401673640166E-2</v>
      </c>
      <c r="AH603" s="79" t="str">
        <f t="shared" si="18"/>
        <v>CAT1</v>
      </c>
      <c r="AI603" s="51">
        <f>SUBTOTAL(3,Tableau1[[#This Row],[ZS]])</f>
        <v>0</v>
      </c>
      <c r="AJ603" s="51" t="e">
        <f t="shared" ca="1" si="19"/>
        <v>#NAME?</v>
      </c>
      <c r="AK603" s="50" t="str">
        <f>IFERROR(IF((Data_Entry!O592-Data_Entry!Q592)/Data_Entry!O592&lt;=10%,"&lt;=10%","&gt;10%"),"&lt;=10%")</f>
        <v>&lt;=10%</v>
      </c>
    </row>
    <row r="604" spans="1:37" s="48" customFormat="1" ht="13" hidden="1" x14ac:dyDescent="0.3">
      <c r="A604" s="31" t="s">
        <v>16</v>
      </c>
      <c r="B604" s="48" t="str">
        <f>Data_Entry!B593</f>
        <v>Goma</v>
      </c>
      <c r="C604" s="48" t="str">
        <f>Data_Entry!C593</f>
        <v xml:space="preserve"> Pinga</v>
      </c>
      <c r="D604" s="48" t="str">
        <f>Data_Entry!D593</f>
        <v xml:space="preserve"> Lukala</v>
      </c>
      <c r="E604" s="49">
        <f>IFERROR(IF(Data_Entry!J593/Data_Entry!$I593&lt;0,0,Data_Entry!J593/Data_Entry!$I593),0)</f>
        <v>1.1860684028867274</v>
      </c>
      <c r="F604" s="49">
        <f>IFERROR(IF(Data_Entry!K593/Data_Entry!$H593&lt;0,0,Data_Entry!K593/Data_Entry!$H593),0)</f>
        <v>1.3593907196409483</v>
      </c>
      <c r="G604" s="49">
        <f>IFERROR(IF(Data_Entry!L593/Data_Entry!$H593&lt;0,0,Data_Entry!L593/Data_Entry!$H593),0)</f>
        <v>1.3183932217470149</v>
      </c>
      <c r="H604" s="49">
        <f>IFERROR(IF(Data_Entry!M593/Data_Entry!$H593&lt;0,0,Data_Entry!M593/Data_Entry!$H593),0)</f>
        <v>1.1392988888419378</v>
      </c>
      <c r="I604" s="49">
        <f>IFERROR(IF(Data_Entry!N593/Data_Entry!$H593&lt;0,0,Data_Entry!N593/Data_Entry!$H593),0)</f>
        <v>1.0594616561011201</v>
      </c>
      <c r="J604" s="49">
        <f>IFERROR(IF(Data_Entry!O593/Data_Entry!$H593&lt;0,0,Data_Entry!O593/Data_Entry!$H593),0)</f>
        <v>1.3162354586999658</v>
      </c>
      <c r="K604" s="49">
        <f>IFERROR(IF(Data_Entry!P593/Data_Entry!$H593&lt;0,0,Data_Entry!P593/Data_Entry!$H593),0)</f>
        <v>1.1414566518889868</v>
      </c>
      <c r="L604" s="49">
        <f>IFERROR(IF(Data_Entry!Q593/Data_Entry!$H593&lt;0,0,Data_Entry!Q593/Data_Entry!$H593),0)</f>
        <v>1.0551461300070217</v>
      </c>
      <c r="M604" s="49">
        <f>IFERROR(IF(Data_Entry!R593/Data_Entry!$H593&lt;0,0,Data_Entry!R593/Data_Entry!$H593),0)</f>
        <v>1.3162354586999658</v>
      </c>
      <c r="N604" s="49">
        <f>IFERROR(IF(Data_Entry!S593/Data_Entry!$H593&lt;0,0,Data_Entry!S593/Data_Entry!$H593),0)</f>
        <v>1.1414566518889868</v>
      </c>
      <c r="O604" s="49">
        <f>IFERROR(IF(Data_Entry!T593/Data_Entry!$H593&lt;0,0,Data_Entry!T593/Data_Entry!$H593),0)</f>
        <v>1.0594616561011201</v>
      </c>
      <c r="P604" s="49">
        <f>IFERROR(IF(Data_Entry!U593/Data_Entry!$H593&lt;0,0,Data_Entry!U593/Data_Entry!$H593),0)</f>
        <v>1.3183932217470149</v>
      </c>
      <c r="Q604" s="49">
        <f>IFERROR(IF(Data_Entry!V593/Data_Entry!$H593&lt;0,0,Data_Entry!V593/Data_Entry!$H593),0)</f>
        <v>1.1414566518889868</v>
      </c>
      <c r="R604" s="49">
        <f>IFERROR(IF(Data_Entry!W593/Data_Entry!$H593&lt;0,0,Data_Entry!W593/Data_Entry!$H593),0)</f>
        <v>1.0616194191481692</v>
      </c>
      <c r="S604" s="49">
        <f>IFERROR(IF(Data_Entry!X593/Data_Entry!$H593&lt;0,0,Data_Entry!X593/Data_Entry!$H593),0)</f>
        <v>1.268764671664885</v>
      </c>
      <c r="T604" s="49">
        <f>IFERROR(IF(Data_Entry!Y593/Data_Entry!$H593&lt;0,0,Data_Entry!Y593/Data_Entry!$H593),0)</f>
        <v>0.80700337959637247</v>
      </c>
      <c r="U604" s="49">
        <f>IFERROR(IF(Data_Entry!Z593/Data_Entry!$H593&lt;0,0,Data_Entry!Z593/Data_Entry!$H593),0)</f>
        <v>1.1500877040771833</v>
      </c>
      <c r="V604" s="49">
        <f>IFERROR(IF(Data_Entry!AA593/Data_Entry!$H593&lt;0,0,Data_Entry!AA593/Data_Entry!$H593),0)</f>
        <v>1.0551461300070217</v>
      </c>
      <c r="W604" s="49">
        <f>IFERROR(IF(Data_Entry!AB593/Data_Entry!$H593&lt;0,0,Data_Entry!AB593/Data_Entry!$H593),0)</f>
        <v>0.90410271671358311</v>
      </c>
      <c r="X604" s="49">
        <f>IFERROR(IF(Data_Entry!AC593/Data_Entry!$I593&lt;0,0,Data_Entry!AC593/Data_Entry!$I593),0)</f>
        <v>0.61939127706306873</v>
      </c>
      <c r="Y604" s="49">
        <f>IFERROR(IF(Data_Entry!AD593/Data_Entry!$I593&lt;0,0,Data_Entry!AD593/Data_Entry!$I593),0)</f>
        <v>0.5365547536868529</v>
      </c>
      <c r="Z604" s="49">
        <f>IFERROR(IF(Data_Entry!AE593/Data_Entry!$I593&lt;0,0,Data_Entry!AE593/Data_Entry!$I593),0)</f>
        <v>0.41794791339818016</v>
      </c>
      <c r="AA604" s="49">
        <f>IFERROR(IF(Data_Entry!AF593/Data_Entry!$I593&lt;0,0,Data_Entry!AF593/Data_Entry!$I593),0)</f>
        <v>0.33322874176341388</v>
      </c>
      <c r="AB604" s="49">
        <f>IFERROR(IF(Data_Entry!AG593/Data_Entry!$I593&lt;0,0,Data_Entry!AG593/Data_Entry!$I593),0)</f>
        <v>0.20709130844053972</v>
      </c>
      <c r="AC604" s="49">
        <f>IFERROR(IF(Data_Entry!AI593/Data_Entry!$I593&lt;0,0,Data_Entry!AI593/Data_Entry!$I593),0)</f>
        <v>7.8506432381550056E-2</v>
      </c>
      <c r="AD604" s="49">
        <f>IFERROR(IF(Data_Entry!AM593/Data_Entry!$H593&lt;0,0,Data_Entry!AM593/Data_Entry!$H593),0)</f>
        <v>1.1500877040771833</v>
      </c>
      <c r="AE604" s="50">
        <f>Data_Entry!AK593</f>
        <v>0</v>
      </c>
      <c r="AF604" s="50">
        <f>Data_Entry!AL593</f>
        <v>22</v>
      </c>
      <c r="AG604" s="153">
        <f>(Data_Entry!O593-Data_Entry!Q593)/Data_Entry!O593</f>
        <v>0.19836065573770492</v>
      </c>
      <c r="AH604" s="79" t="str">
        <f t="shared" si="18"/>
        <v>CAT2</v>
      </c>
      <c r="AI604" s="51">
        <f>SUBTOTAL(3,Tableau1[[#This Row],[ZS]])</f>
        <v>0</v>
      </c>
      <c r="AJ604" s="51" t="e">
        <f t="shared" ca="1" si="19"/>
        <v>#NAME?</v>
      </c>
      <c r="AK604" s="50" t="str">
        <f>IFERROR(IF((Data_Entry!O593-Data_Entry!Q593)/Data_Entry!O593&lt;=10%,"&lt;=10%","&gt;10%"),"&lt;=10%")</f>
        <v>&gt;10%</v>
      </c>
    </row>
    <row r="605" spans="1:37" s="48" customFormat="1" ht="13" hidden="1" x14ac:dyDescent="0.3">
      <c r="A605" s="31" t="s">
        <v>16</v>
      </c>
      <c r="B605" s="48" t="str">
        <f>Data_Entry!B594</f>
        <v>Goma</v>
      </c>
      <c r="C605" s="48" t="str">
        <f>Data_Entry!C594</f>
        <v xml:space="preserve"> Pinga</v>
      </c>
      <c r="D605" s="48" t="str">
        <f>Data_Entry!D594</f>
        <v xml:space="preserve"> MPety</v>
      </c>
      <c r="E605" s="49">
        <f>IFERROR(IF(Data_Entry!J594/Data_Entry!$I594&lt;0,0,Data_Entry!J594/Data_Entry!$I594),0)</f>
        <v>1.6593484419263456</v>
      </c>
      <c r="F605" s="49">
        <f>IFERROR(IF(Data_Entry!K594/Data_Entry!$H594&lt;0,0,Data_Entry!K594/Data_Entry!$H594),0)</f>
        <v>0.94482820198543804</v>
      </c>
      <c r="G605" s="49">
        <f>IFERROR(IF(Data_Entry!L594/Data_Entry!$H594&lt;0,0,Data_Entry!L594/Data_Entry!$H594),0)</f>
        <v>1.5049067753273213</v>
      </c>
      <c r="H605" s="49">
        <f>IFERROR(IF(Data_Entry!M594/Data_Entry!$H594&lt;0,0,Data_Entry!M594/Data_Entry!$H594),0)</f>
        <v>1.2321728613521434</v>
      </c>
      <c r="I605" s="49">
        <f>IFERROR(IF(Data_Entry!N594/Data_Entry!$H594&lt;0,0,Data_Entry!N594/Data_Entry!$H594),0)</f>
        <v>1.480555533008109</v>
      </c>
      <c r="J605" s="49">
        <f>IFERROR(IF(Data_Entry!O594/Data_Entry!$H594&lt;0,0,Data_Entry!O594/Data_Entry!$H594),0)</f>
        <v>1.6437088565468316</v>
      </c>
      <c r="K605" s="49">
        <f>IFERROR(IF(Data_Entry!P594/Data_Entry!$H594&lt;0,0,Data_Entry!P594/Data_Entry!$H594),0)</f>
        <v>1.3855856879631809</v>
      </c>
      <c r="L605" s="49">
        <f>IFERROR(IF(Data_Entry!Q594/Data_Entry!$H594&lt;0,0,Data_Entry!Q594/Data_Entry!$H594),0)</f>
        <v>1.616922489995698</v>
      </c>
      <c r="M605" s="49">
        <f>IFERROR(IF(Data_Entry!R594/Data_Entry!$H594&lt;0,0,Data_Entry!R594/Data_Entry!$H594),0)</f>
        <v>1.6437088565468316</v>
      </c>
      <c r="N605" s="49">
        <f>IFERROR(IF(Data_Entry!S594/Data_Entry!$H594&lt;0,0,Data_Entry!S594/Data_Entry!$H594),0)</f>
        <v>1.3977613091227872</v>
      </c>
      <c r="O605" s="49">
        <f>IFERROR(IF(Data_Entry!T594/Data_Entry!$H594&lt;0,0,Data_Entry!T594/Data_Entry!$H594),0)</f>
        <v>1.5925712476764857</v>
      </c>
      <c r="P605" s="49">
        <f>IFERROR(IF(Data_Entry!U594/Data_Entry!$H594&lt;0,0,Data_Entry!U594/Data_Entry!$H594),0)</f>
        <v>1.6412737323149105</v>
      </c>
      <c r="Q605" s="49">
        <f>IFERROR(IF(Data_Entry!V594/Data_Entry!$H594&lt;0,0,Data_Entry!V594/Data_Entry!$H594),0)</f>
        <v>1.3977613091227872</v>
      </c>
      <c r="R605" s="49">
        <f>IFERROR(IF(Data_Entry!W594/Data_Entry!$H594&lt;0,0,Data_Entry!W594/Data_Entry!$H594),0)</f>
        <v>1.5925712476764857</v>
      </c>
      <c r="S605" s="49">
        <f>IFERROR(IF(Data_Entry!X594/Data_Entry!$H594&lt;0,0,Data_Entry!X594/Data_Entry!$H594),0)</f>
        <v>1.2394782340479071</v>
      </c>
      <c r="T605" s="49">
        <f>IFERROR(IF(Data_Entry!Y594/Data_Entry!$H594&lt;0,0,Data_Entry!Y594/Data_Entry!$H594),0)</f>
        <v>0.43588723751390052</v>
      </c>
      <c r="U605" s="49">
        <f>IFERROR(IF(Data_Entry!Z594/Data_Entry!$H594&lt;0,0,Data_Entry!Z594/Data_Entry!$H594),0)</f>
        <v>1.2321728613521434</v>
      </c>
      <c r="V605" s="49">
        <f>IFERROR(IF(Data_Entry!AA594/Data_Entry!$H594&lt;0,0,Data_Entry!AA594/Data_Entry!$H594),0)</f>
        <v>1.4294179241377631</v>
      </c>
      <c r="W605" s="49">
        <f>IFERROR(IF(Data_Entry!AB594/Data_Entry!$H594&lt;0,0,Data_Entry!AB594/Data_Entry!$H594),0)</f>
        <v>0.4480628586735067</v>
      </c>
      <c r="X605" s="49">
        <f>IFERROR(IF(Data_Entry!AC594/Data_Entry!$I594&lt;0,0,Data_Entry!AC594/Data_Entry!$I594),0)</f>
        <v>0.38456090651558072</v>
      </c>
      <c r="Y605" s="49">
        <f>IFERROR(IF(Data_Entry!AD594/Data_Entry!$I594&lt;0,0,Data_Entry!AD594/Data_Entry!$I594),0)</f>
        <v>0.25070821529745041</v>
      </c>
      <c r="Z605" s="49">
        <f>IFERROR(IF(Data_Entry!AE594/Data_Entry!$I594&lt;0,0,Data_Entry!AE594/Data_Entry!$I594),0)</f>
        <v>0.28682719546742208</v>
      </c>
      <c r="AA605" s="49">
        <f>IFERROR(IF(Data_Entry!AF594/Data_Entry!$I594&lt;0,0,Data_Entry!AF594/Data_Entry!$I594),0)</f>
        <v>0.27620396600566571</v>
      </c>
      <c r="AB605" s="49">
        <f>IFERROR(IF(Data_Entry!AG594/Data_Entry!$I594&lt;0,0,Data_Entry!AG594/Data_Entry!$I594),0)</f>
        <v>0.2847025495750708</v>
      </c>
      <c r="AC605" s="49">
        <f>IFERROR(IF(Data_Entry!AI594/Data_Entry!$I594&lt;0,0,Data_Entry!AI594/Data_Entry!$I594),0)</f>
        <v>0.12386685552407931</v>
      </c>
      <c r="AD605" s="49">
        <f>IFERROR(IF(Data_Entry!AM594/Data_Entry!$H594&lt;0,0,Data_Entry!AM594/Data_Entry!$H594),0)</f>
        <v>1.2321728613521434</v>
      </c>
      <c r="AE605" s="50">
        <f>Data_Entry!AK594</f>
        <v>0</v>
      </c>
      <c r="AF605" s="50">
        <f>Data_Entry!AL594</f>
        <v>166</v>
      </c>
      <c r="AG605" s="153">
        <f>(Data_Entry!O594-Data_Entry!Q594)/Data_Entry!O594</f>
        <v>1.6296296296296295E-2</v>
      </c>
      <c r="AH605" s="79" t="str">
        <f t="shared" si="18"/>
        <v>CAT1</v>
      </c>
      <c r="AI605" s="51">
        <f>SUBTOTAL(3,Tableau1[[#This Row],[ZS]])</f>
        <v>0</v>
      </c>
      <c r="AJ605" s="51" t="e">
        <f t="shared" ca="1" si="19"/>
        <v>#NAME?</v>
      </c>
      <c r="AK605" s="50" t="str">
        <f>IFERROR(IF((Data_Entry!O594-Data_Entry!Q594)/Data_Entry!O594&lt;=10%,"&lt;=10%","&gt;10%"),"&lt;=10%")</f>
        <v>&lt;=10%</v>
      </c>
    </row>
    <row r="606" spans="1:37" s="48" customFormat="1" ht="13" hidden="1" x14ac:dyDescent="0.3">
      <c r="A606" s="31" t="s">
        <v>16</v>
      </c>
      <c r="B606" s="48" t="str">
        <f>Data_Entry!B595</f>
        <v>Goma</v>
      </c>
      <c r="C606" s="48" t="str">
        <f>Data_Entry!C595</f>
        <v xml:space="preserve"> Pinga</v>
      </c>
      <c r="D606" s="48" t="str">
        <f>Data_Entry!D595</f>
        <v xml:space="preserve"> Mashuta</v>
      </c>
      <c r="E606" s="49">
        <f>IFERROR(IF(Data_Entry!J595/Data_Entry!$I595&lt;0,0,Data_Entry!J595/Data_Entry!$I595),0)</f>
        <v>0.58678804280969366</v>
      </c>
      <c r="F606" s="49">
        <f>IFERROR(IF(Data_Entry!K595/Data_Entry!$H595&lt;0,0,Data_Entry!K595/Data_Entry!$H595),0)</f>
        <v>1.0405280750477348</v>
      </c>
      <c r="G606" s="49">
        <f>IFERROR(IF(Data_Entry!L595/Data_Entry!$H595&lt;0,0,Data_Entry!L595/Data_Entry!$H595),0)</f>
        <v>1.2266387876578988</v>
      </c>
      <c r="H606" s="49">
        <f>IFERROR(IF(Data_Entry!M595/Data_Entry!$H595&lt;0,0,Data_Entry!M595/Data_Entry!$H595),0)</f>
        <v>0.94747271874265293</v>
      </c>
      <c r="I606" s="49">
        <f>IFERROR(IF(Data_Entry!N595/Data_Entry!$H595&lt;0,0,Data_Entry!N595/Data_Entry!$H595),0)</f>
        <v>1.2054898430431076</v>
      </c>
      <c r="J606" s="49">
        <f>IFERROR(IF(Data_Entry!O595/Data_Entry!$H595&lt;0,0,Data_Entry!O595/Data_Entry!$H595),0)</f>
        <v>1.2393281544267736</v>
      </c>
      <c r="K606" s="49">
        <f>IFERROR(IF(Data_Entry!P595/Data_Entry!$H595&lt;0,0,Data_Entry!P595/Data_Entry!$H595),0)</f>
        <v>1.0109195525870269</v>
      </c>
      <c r="L606" s="49">
        <f>IFERROR(IF(Data_Entry!Q595/Data_Entry!$H595&lt;0,0,Data_Entry!Q595/Data_Entry!$H595),0)</f>
        <v>1.2054898430431076</v>
      </c>
      <c r="M606" s="49">
        <f>IFERROR(IF(Data_Entry!R595/Data_Entry!$H595&lt;0,0,Data_Entry!R595/Data_Entry!$H595),0)</f>
        <v>1.2350983655038155</v>
      </c>
      <c r="N606" s="49">
        <f>IFERROR(IF(Data_Entry!S595/Data_Entry!$H595&lt;0,0,Data_Entry!S595/Data_Entry!$H595),0)</f>
        <v>0.83749820674573783</v>
      </c>
      <c r="O606" s="49">
        <f>IFERROR(IF(Data_Entry!T595/Data_Entry!$H595&lt;0,0,Data_Entry!T595/Data_Entry!$H595),0)</f>
        <v>1.2054898430431076</v>
      </c>
      <c r="P606" s="49">
        <f>IFERROR(IF(Data_Entry!U595/Data_Entry!$H595&lt;0,0,Data_Entry!U595/Data_Entry!$H595),0)</f>
        <v>1.213949420889024</v>
      </c>
      <c r="Q606" s="49">
        <f>IFERROR(IF(Data_Entry!V595/Data_Entry!$H595&lt;0,0,Data_Entry!V595/Data_Entry!$H595),0)</f>
        <v>0.98131103012631915</v>
      </c>
      <c r="R606" s="49">
        <f>IFERROR(IF(Data_Entry!W595/Data_Entry!$H595&lt;0,0,Data_Entry!W595/Data_Entry!$H595),0)</f>
        <v>1.2054898430431076</v>
      </c>
      <c r="S606" s="49">
        <f>IFERROR(IF(Data_Entry!X595/Data_Entry!$H595&lt;0,0,Data_Entry!X595/Data_Entry!$H595),0)</f>
        <v>1.0405280750477348</v>
      </c>
      <c r="T606" s="49">
        <f>IFERROR(IF(Data_Entry!Y595/Data_Entry!$H595&lt;0,0,Data_Entry!Y595/Data_Entry!$H595),0)</f>
        <v>0.38491079198920275</v>
      </c>
      <c r="U606" s="49">
        <f>IFERROR(IF(Data_Entry!Z595/Data_Entry!$H595&lt;0,0,Data_Entry!Z595/Data_Entry!$H595),0)</f>
        <v>1.0574472307395679</v>
      </c>
      <c r="V606" s="49">
        <f>IFERROR(IF(Data_Entry!AA595/Data_Entry!$H595&lt;0,0,Data_Entry!AA595/Data_Entry!$H595),0)</f>
        <v>1.0659068085854846</v>
      </c>
      <c r="W606" s="49">
        <f>IFERROR(IF(Data_Entry!AB595/Data_Entry!$H595&lt;0,0,Data_Entry!AB595/Data_Entry!$H595),0)</f>
        <v>0.36376184737441136</v>
      </c>
      <c r="X606" s="49">
        <f>IFERROR(IF(Data_Entry!AC595/Data_Entry!$I595&lt;0,0,Data_Entry!AC595/Data_Entry!$I595),0)</f>
        <v>0.69381227703284531</v>
      </c>
      <c r="Y606" s="49">
        <f>IFERROR(IF(Data_Entry!AD595/Data_Entry!$I595&lt;0,0,Data_Entry!AD595/Data_Entry!$I595),0)</f>
        <v>0.5720260794685692</v>
      </c>
      <c r="Z606" s="49">
        <f>IFERROR(IF(Data_Entry!AE595/Data_Entry!$I595&lt;0,0,Data_Entry!AE595/Data_Entry!$I595),0)</f>
        <v>0.50928773526879068</v>
      </c>
      <c r="AA606" s="49">
        <f>IFERROR(IF(Data_Entry!AF595/Data_Entry!$I595&lt;0,0,Data_Entry!AF595/Data_Entry!$I595),0)</f>
        <v>0.38381104686923356</v>
      </c>
      <c r="AB606" s="49">
        <f>IFERROR(IF(Data_Entry!AG595/Data_Entry!$I595&lt;0,0,Data_Entry!AG595/Data_Entry!$I595),0)</f>
        <v>0.26571534014023862</v>
      </c>
      <c r="AC606" s="49">
        <f>IFERROR(IF(Data_Entry!AI595/Data_Entry!$I595&lt;0,0,Data_Entry!AI595/Data_Entry!$I595),0)</f>
        <v>0.18452454176405461</v>
      </c>
      <c r="AD606" s="49">
        <f>IFERROR(IF(Data_Entry!AM595/Data_Entry!$H595&lt;0,0,Data_Entry!AM595/Data_Entry!$H595),0)</f>
        <v>1.0405280750477348</v>
      </c>
      <c r="AE606" s="50">
        <f>Data_Entry!AK595</f>
        <v>0</v>
      </c>
      <c r="AF606" s="50">
        <f>Data_Entry!AL595</f>
        <v>47</v>
      </c>
      <c r="AG606" s="153">
        <f>(Data_Entry!O595-Data_Entry!Q595)/Data_Entry!O595</f>
        <v>2.7303754266211604E-2</v>
      </c>
      <c r="AH606" s="79" t="str">
        <f t="shared" si="18"/>
        <v>CAT1</v>
      </c>
      <c r="AI606" s="51">
        <f>SUBTOTAL(3,Tableau1[[#This Row],[ZS]])</f>
        <v>0</v>
      </c>
      <c r="AJ606" s="51" t="e">
        <f t="shared" ca="1" si="19"/>
        <v>#NAME?</v>
      </c>
      <c r="AK606" s="50" t="str">
        <f>IFERROR(IF((Data_Entry!O595-Data_Entry!Q595)/Data_Entry!O595&lt;=10%,"&lt;=10%","&gt;10%"),"&lt;=10%")</f>
        <v>&lt;=10%</v>
      </c>
    </row>
    <row r="607" spans="1:37" s="48" customFormat="1" ht="13" hidden="1" x14ac:dyDescent="0.3">
      <c r="A607" s="31" t="s">
        <v>16</v>
      </c>
      <c r="B607" s="48" t="str">
        <f>Data_Entry!B596</f>
        <v>Goma</v>
      </c>
      <c r="C607" s="48" t="str">
        <f>Data_Entry!C596</f>
        <v xml:space="preserve"> Pinga</v>
      </c>
      <c r="D607" s="48" t="str">
        <f>Data_Entry!D596</f>
        <v xml:space="preserve"> Munsanga</v>
      </c>
      <c r="E607" s="49">
        <f>IFERROR(IF(Data_Entry!J596/Data_Entry!$I596&lt;0,0,Data_Entry!J596/Data_Entry!$I596),0)</f>
        <v>0.57225994180407369</v>
      </c>
      <c r="F607" s="49">
        <f>IFERROR(IF(Data_Entry!K596/Data_Entry!$H596&lt;0,0,Data_Entry!K596/Data_Entry!$H596),0)</f>
        <v>0.90489940775778932</v>
      </c>
      <c r="G607" s="49">
        <f>IFERROR(IF(Data_Entry!L596/Data_Entry!$H596&lt;0,0,Data_Entry!L596/Data_Entry!$H596),0)</f>
        <v>0.80929578482514819</v>
      </c>
      <c r="H607" s="49">
        <f>IFERROR(IF(Data_Entry!M596/Data_Entry!$H596&lt;0,0,Data_Entry!M596/Data_Entry!$H596),0)</f>
        <v>0.76927566359753097</v>
      </c>
      <c r="I607" s="49">
        <f>IFERROR(IF(Data_Entry!N596/Data_Entry!$H596&lt;0,0,Data_Entry!N596/Data_Entry!$H596),0)</f>
        <v>0.81596580502975102</v>
      </c>
      <c r="J607" s="49">
        <f>IFERROR(IF(Data_Entry!O596/Data_Entry!$H596&lt;0,0,Data_Entry!O596/Data_Entry!$H596),0)</f>
        <v>0.80929578482514819</v>
      </c>
      <c r="K607" s="49">
        <f>IFERROR(IF(Data_Entry!P596/Data_Entry!$H596&lt;0,0,Data_Entry!P596/Data_Entry!$H596),0)</f>
        <v>0.76927566359753097</v>
      </c>
      <c r="L607" s="49">
        <f>IFERROR(IF(Data_Entry!Q596/Data_Entry!$H596&lt;0,0,Data_Entry!Q596/Data_Entry!$H596),0)</f>
        <v>0.81596580502975102</v>
      </c>
      <c r="M607" s="49">
        <f>IFERROR(IF(Data_Entry!R596/Data_Entry!$H596&lt;0,0,Data_Entry!R596/Data_Entry!$H596),0)</f>
        <v>0.80929578482514819</v>
      </c>
      <c r="N607" s="49">
        <f>IFERROR(IF(Data_Entry!S596/Data_Entry!$H596&lt;0,0,Data_Entry!S596/Data_Entry!$H596),0)</f>
        <v>0.76927566359753097</v>
      </c>
      <c r="O607" s="49">
        <f>IFERROR(IF(Data_Entry!T596/Data_Entry!$H596&lt;0,0,Data_Entry!T596/Data_Entry!$H596),0)</f>
        <v>0.81596580502975102</v>
      </c>
      <c r="P607" s="49">
        <f>IFERROR(IF(Data_Entry!U596/Data_Entry!$H596&lt;0,0,Data_Entry!U596/Data_Entry!$H596),0)</f>
        <v>0.80929578482514819</v>
      </c>
      <c r="Q607" s="49">
        <f>IFERROR(IF(Data_Entry!V596/Data_Entry!$H596&lt;0,0,Data_Entry!V596/Data_Entry!$H596),0)</f>
        <v>0.76927566359753097</v>
      </c>
      <c r="R607" s="49">
        <f>IFERROR(IF(Data_Entry!W596/Data_Entry!$H596&lt;0,0,Data_Entry!W596/Data_Entry!$H596),0)</f>
        <v>0.81596580502975102</v>
      </c>
      <c r="S607" s="49">
        <f>IFERROR(IF(Data_Entry!X596/Data_Entry!$H596&lt;0,0,Data_Entry!X596/Data_Entry!$H596),0)</f>
        <v>0.61586519889166502</v>
      </c>
      <c r="T607" s="49">
        <f>IFERROR(IF(Data_Entry!Y596/Data_Entry!$H596&lt;0,0,Data_Entry!Y596/Data_Entry!$H596),0)</f>
        <v>0.52026157595902378</v>
      </c>
      <c r="U607" s="49">
        <f>IFERROR(IF(Data_Entry!Z596/Data_Entry!$H596&lt;0,0,Data_Entry!Z596/Data_Entry!$H596),0)</f>
        <v>0.71591550196070797</v>
      </c>
      <c r="V607" s="49">
        <f>IFERROR(IF(Data_Entry!AA596/Data_Entry!$H596&lt;0,0,Data_Entry!AA596/Data_Entry!$H596),0)</f>
        <v>0.81596580502975102</v>
      </c>
      <c r="W607" s="49">
        <f>IFERROR(IF(Data_Entry!AB596/Data_Entry!$H596&lt;0,0,Data_Entry!AB596/Data_Entry!$H596),0)</f>
        <v>0.41354125268537795</v>
      </c>
      <c r="X607" s="49">
        <f>IFERROR(IF(Data_Entry!AC596/Data_Entry!$I596&lt;0,0,Data_Entry!AC596/Data_Entry!$I596),0)</f>
        <v>0.8322017458777885</v>
      </c>
      <c r="Y607" s="49">
        <f>IFERROR(IF(Data_Entry!AD596/Data_Entry!$I596&lt;0,0,Data_Entry!AD596/Data_Entry!$I596),0)</f>
        <v>0.76624636275460722</v>
      </c>
      <c r="Z607" s="49">
        <f>IFERROR(IF(Data_Entry!AE596/Data_Entry!$I596&lt;0,0,Data_Entry!AE596/Data_Entry!$I596),0)</f>
        <v>0.7080504364694471</v>
      </c>
      <c r="AA607" s="49">
        <f>IFERROR(IF(Data_Entry!AF596/Data_Entry!$I596&lt;0,0,Data_Entry!AF596/Data_Entry!$I596),0)</f>
        <v>0.52958292919495631</v>
      </c>
      <c r="AB607" s="49">
        <f>IFERROR(IF(Data_Entry!AG596/Data_Entry!$I596&lt;0,0,Data_Entry!AG596/Data_Entry!$I596),0)</f>
        <v>0.36663433559650827</v>
      </c>
      <c r="AC607" s="49">
        <f>IFERROR(IF(Data_Entry!AI596/Data_Entry!$I596&lt;0,0,Data_Entry!AI596/Data_Entry!$I596),0)</f>
        <v>9.6993210475266725E-2</v>
      </c>
      <c r="AD607" s="49">
        <f>IFERROR(IF(Data_Entry!AM596/Data_Entry!$H596&lt;0,0,Data_Entry!AM596/Data_Entry!$H596),0)</f>
        <v>0.61586519889166502</v>
      </c>
      <c r="AE607" s="50">
        <f>Data_Entry!AK596</f>
        <v>85.773750000000007</v>
      </c>
      <c r="AF607" s="50">
        <f>Data_Entry!AL596</f>
        <v>87</v>
      </c>
      <c r="AG607" s="153">
        <f>(Data_Entry!O596-Data_Entry!Q596)/Data_Entry!O596</f>
        <v>-8.241758241758242E-3</v>
      </c>
      <c r="AH607" s="79" t="str">
        <f t="shared" si="18"/>
        <v>CAT3</v>
      </c>
      <c r="AI607" s="51">
        <f>SUBTOTAL(3,Tableau1[[#This Row],[ZS]])</f>
        <v>0</v>
      </c>
      <c r="AJ607" s="51" t="e">
        <f t="shared" ca="1" si="19"/>
        <v>#NAME?</v>
      </c>
      <c r="AK607" s="50" t="str">
        <f>IFERROR(IF((Data_Entry!O596-Data_Entry!Q596)/Data_Entry!O596&lt;=10%,"&lt;=10%","&gt;10%"),"&lt;=10%")</f>
        <v>&lt;=10%</v>
      </c>
    </row>
    <row r="608" spans="1:37" s="48" customFormat="1" ht="13" hidden="1" x14ac:dyDescent="0.3">
      <c r="A608" s="31" t="s">
        <v>16</v>
      </c>
      <c r="B608" s="48" t="str">
        <f>Data_Entry!B597</f>
        <v>Goma</v>
      </c>
      <c r="C608" s="48" t="str">
        <f>Data_Entry!C597</f>
        <v xml:space="preserve"> Pinga</v>
      </c>
      <c r="D608" s="48" t="str">
        <f>Data_Entry!D597</f>
        <v xml:space="preserve"> Mutongo</v>
      </c>
      <c r="E608" s="49">
        <f>IFERROR(IF(Data_Entry!J597/Data_Entry!$I597&lt;0,0,Data_Entry!J597/Data_Entry!$I597),0)</f>
        <v>1.0603363006923836</v>
      </c>
      <c r="F608" s="49">
        <f>IFERROR(IF(Data_Entry!K597/Data_Entry!$H597&lt;0,0,Data_Entry!K597/Data_Entry!$H597),0)</f>
        <v>0.63031580976025892</v>
      </c>
      <c r="G608" s="49">
        <f>IFERROR(IF(Data_Entry!L597/Data_Entry!$H597&lt;0,0,Data_Entry!L597/Data_Entry!$H597),0)</f>
        <v>0.69606817840431479</v>
      </c>
      <c r="H608" s="49">
        <f>IFERROR(IF(Data_Entry!M597/Data_Entry!$H597&lt;0,0,Data_Entry!M597/Data_Entry!$H597),0)</f>
        <v>0.53055359526582946</v>
      </c>
      <c r="I608" s="49">
        <f>IFERROR(IF(Data_Entry!N597/Data_Entry!$H597&lt;0,0,Data_Entry!N597/Data_Entry!$H597),0)</f>
        <v>0.54869217971936213</v>
      </c>
      <c r="J608" s="49">
        <f>IFERROR(IF(Data_Entry!O597/Data_Entry!$H597&lt;0,0,Data_Entry!O597/Data_Entry!$H597),0)</f>
        <v>0.73007802425468837</v>
      </c>
      <c r="K608" s="49">
        <f>IFERROR(IF(Data_Entry!P597/Data_Entry!$H597&lt;0,0,Data_Entry!P597/Data_Entry!$H597),0)</f>
        <v>0.56456344111620316</v>
      </c>
      <c r="L608" s="49">
        <f>IFERROR(IF(Data_Entry!Q597/Data_Entry!$H597&lt;0,0,Data_Entry!Q597/Data_Entry!$H597),0)</f>
        <v>0.58270202556973583</v>
      </c>
      <c r="M608" s="49">
        <f>IFERROR(IF(Data_Entry!R597/Data_Entry!$H597&lt;0,0,Data_Entry!R597/Data_Entry!$H597),0)</f>
        <v>0.73007802425468837</v>
      </c>
      <c r="N608" s="49">
        <f>IFERROR(IF(Data_Entry!S597/Data_Entry!$H597&lt;0,0,Data_Entry!S597/Data_Entry!$H597),0)</f>
        <v>0.56456344111620316</v>
      </c>
      <c r="O608" s="49">
        <f>IFERROR(IF(Data_Entry!T597/Data_Entry!$H597&lt;0,0,Data_Entry!T597/Data_Entry!$H597),0)</f>
        <v>0.58270202556973583</v>
      </c>
      <c r="P608" s="49">
        <f>IFERROR(IF(Data_Entry!U597/Data_Entry!$H597&lt;0,0,Data_Entry!U597/Data_Entry!$H597),0)</f>
        <v>0.73007802425468837</v>
      </c>
      <c r="Q608" s="49">
        <f>IFERROR(IF(Data_Entry!V597/Data_Entry!$H597&lt;0,0,Data_Entry!V597/Data_Entry!$H597),0)</f>
        <v>0.56456344111620316</v>
      </c>
      <c r="R608" s="49">
        <f>IFERROR(IF(Data_Entry!W597/Data_Entry!$H597&lt;0,0,Data_Entry!W597/Data_Entry!$H597),0)</f>
        <v>0.58723667168311899</v>
      </c>
      <c r="S608" s="49">
        <f>IFERROR(IF(Data_Entry!X597/Data_Entry!$H597&lt;0,0,Data_Entry!X597/Data_Entry!$H597),0)</f>
        <v>0.65072171727048311</v>
      </c>
      <c r="T608" s="49">
        <f>IFERROR(IF(Data_Entry!Y597/Data_Entry!$H597&lt;0,0,Data_Entry!Y597/Data_Entry!$H597),0)</f>
        <v>0.41492011937455897</v>
      </c>
      <c r="U608" s="49">
        <f>IFERROR(IF(Data_Entry!Z597/Data_Entry!$H597&lt;0,0,Data_Entry!Z597/Data_Entry!$H597),0)</f>
        <v>0.70513747063108101</v>
      </c>
      <c r="V608" s="49">
        <f>IFERROR(IF(Data_Entry!AA597/Data_Entry!$H597&lt;0,0,Data_Entry!AA597/Data_Entry!$H597),0)</f>
        <v>0.54869217971936213</v>
      </c>
      <c r="W608" s="49">
        <f>IFERROR(IF(Data_Entry!AB597/Data_Entry!$H597&lt;0,0,Data_Entry!AB597/Data_Entry!$H597),0)</f>
        <v>0.42172208854463367</v>
      </c>
      <c r="X608" s="49">
        <f>IFERROR(IF(Data_Entry!AC597/Data_Entry!$I597&lt;0,0,Data_Entry!AC597/Data_Entry!$I597),0)</f>
        <v>0.77546983184965368</v>
      </c>
      <c r="Y608" s="49">
        <f>IFERROR(IF(Data_Entry!AD597/Data_Entry!$I597&lt;0,0,Data_Entry!AD597/Data_Entry!$I597),0)</f>
        <v>0.52225519287833821</v>
      </c>
      <c r="Z608" s="49">
        <f>IFERROR(IF(Data_Entry!AE597/Data_Entry!$I597&lt;0,0,Data_Entry!AE597/Data_Entry!$I597),0)</f>
        <v>0.48071216617210677</v>
      </c>
      <c r="AA608" s="49">
        <f>IFERROR(IF(Data_Entry!AF597/Data_Entry!$I597&lt;0,0,Data_Entry!AF597/Data_Entry!$I597),0)</f>
        <v>0.30069238377843716</v>
      </c>
      <c r="AB608" s="49">
        <f>IFERROR(IF(Data_Entry!AG597/Data_Entry!$I597&lt;0,0,Data_Entry!AG597/Data_Entry!$I597),0)</f>
        <v>0.13649851632047477</v>
      </c>
      <c r="AC608" s="49">
        <f>IFERROR(IF(Data_Entry!AI597/Data_Entry!$I597&lt;0,0,Data_Entry!AI597/Data_Entry!$I597),0)</f>
        <v>0.11533135509396635</v>
      </c>
      <c r="AD608" s="49">
        <f>IFERROR(IF(Data_Entry!AM597/Data_Entry!$H597&lt;0,0,Data_Entry!AM597/Data_Entry!$H597),0)</f>
        <v>0.65072171727048311</v>
      </c>
      <c r="AE608" s="50">
        <f>Data_Entry!AK597</f>
        <v>119.04874999999998</v>
      </c>
      <c r="AF608" s="50">
        <f>Data_Entry!AL597</f>
        <v>35</v>
      </c>
      <c r="AG608" s="153">
        <f>(Data_Entry!O597-Data_Entry!Q597)/Data_Entry!O597</f>
        <v>0.20186335403726707</v>
      </c>
      <c r="AH608" s="79" t="str">
        <f t="shared" si="18"/>
        <v>CAT4</v>
      </c>
      <c r="AI608" s="51">
        <f>SUBTOTAL(3,Tableau1[[#This Row],[ZS]])</f>
        <v>0</v>
      </c>
      <c r="AJ608" s="51" t="e">
        <f t="shared" ca="1" si="19"/>
        <v>#NAME?</v>
      </c>
      <c r="AK608" s="50" t="str">
        <f>IFERROR(IF((Data_Entry!O597-Data_Entry!Q597)/Data_Entry!O597&lt;=10%,"&lt;=10%","&gt;10%"),"&lt;=10%")</f>
        <v>&gt;10%</v>
      </c>
    </row>
    <row r="609" spans="1:37" s="48" customFormat="1" ht="13" hidden="1" x14ac:dyDescent="0.3">
      <c r="A609" s="31" t="s">
        <v>16</v>
      </c>
      <c r="B609" s="48" t="str">
        <f>Data_Entry!B598</f>
        <v>Goma</v>
      </c>
      <c r="C609" s="48" t="str">
        <f>Data_Entry!C598</f>
        <v xml:space="preserve"> Pinga</v>
      </c>
      <c r="D609" s="48" t="str">
        <f>Data_Entry!D598</f>
        <v xml:space="preserve"> asa</v>
      </c>
      <c r="E609" s="49">
        <f>IFERROR(IF(Data_Entry!J598/Data_Entry!$I598&lt;0,0,Data_Entry!J598/Data_Entry!$I598),0)</f>
        <v>0.99492329764926624</v>
      </c>
      <c r="F609" s="49">
        <f>IFERROR(IF(Data_Entry!K598/Data_Entry!$H598&lt;0,0,Data_Entry!K598/Data_Entry!$H598),0)</f>
        <v>1.1403132351280987</v>
      </c>
      <c r="G609" s="49">
        <f>IFERROR(IF(Data_Entry!L598/Data_Entry!$H598&lt;0,0,Data_Entry!L598/Data_Entry!$H598),0)</f>
        <v>1.079597721776852</v>
      </c>
      <c r="H609" s="49">
        <f>IFERROR(IF(Data_Entry!M598/Data_Entry!$H598&lt;0,0,Data_Entry!M598/Data_Entry!$H598),0)</f>
        <v>0.99990861050334101</v>
      </c>
      <c r="I609" s="49">
        <f>IFERROR(IF(Data_Entry!N598/Data_Entry!$H598&lt;0,0,Data_Entry!N598/Data_Entry!$H598),0)</f>
        <v>1.0777003619846257</v>
      </c>
      <c r="J609" s="49">
        <f>IFERROR(IF(Data_Entry!O598/Data_Entry!$H598&lt;0,0,Data_Entry!O598/Data_Entry!$H598),0)</f>
        <v>1.079597721776852</v>
      </c>
      <c r="K609" s="49">
        <f>IFERROR(IF(Data_Entry!P598/Data_Entry!$H598&lt;0,0,Data_Entry!P598/Data_Entry!$H598),0)</f>
        <v>1.003703330087794</v>
      </c>
      <c r="L609" s="49">
        <f>IFERROR(IF(Data_Entry!Q598/Data_Entry!$H598&lt;0,0,Data_Entry!Q598/Data_Entry!$H598),0)</f>
        <v>1.0777003619846257</v>
      </c>
      <c r="M609" s="49">
        <f>IFERROR(IF(Data_Entry!R598/Data_Entry!$H598&lt;0,0,Data_Entry!R598/Data_Entry!$H598),0)</f>
        <v>1.079597721776852</v>
      </c>
      <c r="N609" s="49">
        <f>IFERROR(IF(Data_Entry!S598/Data_Entry!$H598&lt;0,0,Data_Entry!S598/Data_Entry!$H598),0)</f>
        <v>0.99990861050334101</v>
      </c>
      <c r="O609" s="49">
        <f>IFERROR(IF(Data_Entry!T598/Data_Entry!$H598&lt;0,0,Data_Entry!T598/Data_Entry!$H598),0)</f>
        <v>1.0777003619846257</v>
      </c>
      <c r="P609" s="49">
        <f>IFERROR(IF(Data_Entry!U598/Data_Entry!$H598&lt;0,0,Data_Entry!U598/Data_Entry!$H598),0)</f>
        <v>1.079597721776852</v>
      </c>
      <c r="Q609" s="49">
        <f>IFERROR(IF(Data_Entry!V598/Data_Entry!$H598&lt;0,0,Data_Entry!V598/Data_Entry!$H598),0)</f>
        <v>0.99990861050334101</v>
      </c>
      <c r="R609" s="49">
        <f>IFERROR(IF(Data_Entry!W598/Data_Entry!$H598&lt;0,0,Data_Entry!W598/Data_Entry!$H598),0)</f>
        <v>1.079597721776852</v>
      </c>
      <c r="S609" s="49">
        <f>IFERROR(IF(Data_Entry!X598/Data_Entry!$H598&lt;0,0,Data_Entry!X598/Data_Entry!$H598),0)</f>
        <v>0.97144821361994427</v>
      </c>
      <c r="T609" s="49">
        <f>IFERROR(IF(Data_Entry!Y598/Data_Entry!$H598&lt;0,0,Data_Entry!Y598/Data_Entry!$H598),0)</f>
        <v>0.19542805859932472</v>
      </c>
      <c r="U609" s="49">
        <f>IFERROR(IF(Data_Entry!Z598/Data_Entry!$H598&lt;0,0,Data_Entry!Z598/Data_Entry!$H598),0)</f>
        <v>1.0701109228157197</v>
      </c>
      <c r="V609" s="49">
        <f>IFERROR(IF(Data_Entry!AA598/Data_Entry!$H598&lt;0,0,Data_Entry!AA598/Data_Entry!$H598),0)</f>
        <v>1.0682135630234935</v>
      </c>
      <c r="W609" s="49">
        <f>IFERROR(IF(Data_Entry!AB598/Data_Entry!$H598&lt;0,0,Data_Entry!AB598/Data_Entry!$H598),0)</f>
        <v>0.30737228634068547</v>
      </c>
      <c r="X609" s="49">
        <f>IFERROR(IF(Data_Entry!AC598/Data_Entry!$I598&lt;0,0,Data_Entry!AC598/Data_Entry!$I598),0)</f>
        <v>0.49332303277783912</v>
      </c>
      <c r="Y609" s="49">
        <f>IFERROR(IF(Data_Entry!AD598/Data_Entry!$I598&lt;0,0,Data_Entry!AD598/Data_Entry!$I598),0)</f>
        <v>0.55291910385167209</v>
      </c>
      <c r="Z609" s="49">
        <f>IFERROR(IF(Data_Entry!AE598/Data_Entry!$I598&lt;0,0,Data_Entry!AE598/Data_Entry!$I598),0)</f>
        <v>0.50491115770886219</v>
      </c>
      <c r="AA609" s="49">
        <f>IFERROR(IF(Data_Entry!AF598/Data_Entry!$I598&lt;0,0,Data_Entry!AF598/Data_Entry!$I598),0)</f>
        <v>0.50160026487142706</v>
      </c>
      <c r="AB609" s="49">
        <f>IFERROR(IF(Data_Entry!AG598/Data_Entry!$I598&lt;0,0,Data_Entry!AG598/Data_Entry!$I598),0)</f>
        <v>0.26156053415737779</v>
      </c>
      <c r="AC609" s="49">
        <f>IFERROR(IF(Data_Entry!AI598/Data_Entry!$I598&lt;0,0,Data_Entry!AI598/Data_Entry!$I598),0)</f>
        <v>9.6512526211234961E-2</v>
      </c>
      <c r="AD609" s="49">
        <f>IFERROR(IF(Data_Entry!AM598/Data_Entry!$H598&lt;0,0,Data_Entry!AM598/Data_Entry!$H598),0)</f>
        <v>0.97144821361994427</v>
      </c>
      <c r="AE609" s="50">
        <f>Data_Entry!AK598</f>
        <v>0</v>
      </c>
      <c r="AF609" s="50">
        <f>Data_Entry!AL598</f>
        <v>57</v>
      </c>
      <c r="AG609" s="153">
        <f>(Data_Entry!O598-Data_Entry!Q598)/Data_Entry!O598</f>
        <v>1.7574692442882249E-3</v>
      </c>
      <c r="AH609" s="79" t="str">
        <f t="shared" si="18"/>
        <v>CAT1</v>
      </c>
      <c r="AI609" s="51">
        <f>SUBTOTAL(3,Tableau1[[#This Row],[ZS]])</f>
        <v>0</v>
      </c>
      <c r="AJ609" s="51" t="e">
        <f t="shared" ca="1" si="19"/>
        <v>#NAME?</v>
      </c>
      <c r="AK609" s="50" t="str">
        <f>IFERROR(IF((Data_Entry!O598-Data_Entry!Q598)/Data_Entry!O598&lt;=10%,"&lt;=10%","&gt;10%"),"&lt;=10%")</f>
        <v>&lt;=10%</v>
      </c>
    </row>
    <row r="610" spans="1:37" s="48" customFormat="1" ht="13" hidden="1" x14ac:dyDescent="0.3">
      <c r="A610" s="31" t="s">
        <v>16</v>
      </c>
      <c r="B610" s="48" t="str">
        <f>Data_Entry!B599</f>
        <v>Goma</v>
      </c>
      <c r="C610" s="48" t="str">
        <f>Data_Entry!C599</f>
        <v xml:space="preserve"> Pinga</v>
      </c>
      <c r="D610" s="48" t="str">
        <f>Data_Entry!D599</f>
        <v xml:space="preserve"> Oninga</v>
      </c>
      <c r="E610" s="49">
        <f>IFERROR(IF(Data_Entry!J599/Data_Entry!$I599&lt;0,0,Data_Entry!J599/Data_Entry!$I599),0)</f>
        <v>0.23847376788553259</v>
      </c>
      <c r="F610" s="49">
        <f>IFERROR(IF(Data_Entry!K599/Data_Entry!$H599&lt;0,0,Data_Entry!K599/Data_Entry!$H599),0)</f>
        <v>0.30976535274529543</v>
      </c>
      <c r="G610" s="49">
        <f>IFERROR(IF(Data_Entry!L599/Data_Entry!$H599&lt;0,0,Data_Entry!L599/Data_Entry!$H599),0)</f>
        <v>0.29154386140733685</v>
      </c>
      <c r="H610" s="49">
        <f>IFERROR(IF(Data_Entry!M599/Data_Entry!$H599&lt;0,0,Data_Entry!M599/Data_Entry!$H599),0)</f>
        <v>0.22776864172448191</v>
      </c>
      <c r="I610" s="49">
        <f>IFERROR(IF(Data_Entry!N599/Data_Entry!$H599&lt;0,0,Data_Entry!N599/Data_Entry!$H599),0)</f>
        <v>0.26876699723488867</v>
      </c>
      <c r="J610" s="49">
        <f>IFERROR(IF(Data_Entry!O599/Data_Entry!$H599&lt;0,0,Data_Entry!O599/Data_Entry!$H599),0)</f>
        <v>0.29154386140733685</v>
      </c>
      <c r="K610" s="49">
        <f>IFERROR(IF(Data_Entry!P599/Data_Entry!$H599&lt;0,0,Data_Entry!P599/Data_Entry!$H599),0)</f>
        <v>0.22776864172448191</v>
      </c>
      <c r="L610" s="49">
        <f>IFERROR(IF(Data_Entry!Q599/Data_Entry!$H599&lt;0,0,Data_Entry!Q599/Data_Entry!$H599),0)</f>
        <v>0.26876699723488867</v>
      </c>
      <c r="M610" s="49">
        <f>IFERROR(IF(Data_Entry!R599/Data_Entry!$H599&lt;0,0,Data_Entry!R599/Data_Entry!$H599),0)</f>
        <v>0.29154386140733685</v>
      </c>
      <c r="N610" s="49">
        <f>IFERROR(IF(Data_Entry!S599/Data_Entry!$H599&lt;0,0,Data_Entry!S599/Data_Entry!$H599),0)</f>
        <v>0.22776864172448191</v>
      </c>
      <c r="O610" s="49">
        <f>IFERROR(IF(Data_Entry!T599/Data_Entry!$H599&lt;0,0,Data_Entry!T599/Data_Entry!$H599),0)</f>
        <v>0.26876699723488867</v>
      </c>
      <c r="P610" s="49">
        <f>IFERROR(IF(Data_Entry!U599/Data_Entry!$H599&lt;0,0,Data_Entry!U599/Data_Entry!$H599),0)</f>
        <v>0.29154386140733685</v>
      </c>
      <c r="Q610" s="49">
        <f>IFERROR(IF(Data_Entry!V599/Data_Entry!$H599&lt;0,0,Data_Entry!V599/Data_Entry!$H599),0)</f>
        <v>0.22776864172448191</v>
      </c>
      <c r="R610" s="49">
        <f>IFERROR(IF(Data_Entry!W599/Data_Entry!$H599&lt;0,0,Data_Entry!W599/Data_Entry!$H599),0)</f>
        <v>0.26876699723488867</v>
      </c>
      <c r="S610" s="49">
        <f>IFERROR(IF(Data_Entry!X599/Data_Entry!$H599&lt;0,0,Data_Entry!X599/Data_Entry!$H599),0)</f>
        <v>0.13210581220019951</v>
      </c>
      <c r="T610" s="49">
        <f>IFERROR(IF(Data_Entry!Y599/Data_Entry!$H599&lt;0,0,Data_Entry!Y599/Data_Entry!$H599),0)</f>
        <v>7.9719024603568667E-2</v>
      </c>
      <c r="U610" s="49">
        <f>IFERROR(IF(Data_Entry!Z599/Data_Entry!$H599&lt;0,0,Data_Entry!Z599/Data_Entry!$H599),0)</f>
        <v>0.15260498995540289</v>
      </c>
      <c r="V610" s="49">
        <f>IFERROR(IF(Data_Entry!AA599/Data_Entry!$H599&lt;0,0,Data_Entry!AA599/Data_Entry!$H599),0)</f>
        <v>0.26876699723488867</v>
      </c>
      <c r="W610" s="49">
        <f>IFERROR(IF(Data_Entry!AB599/Data_Entry!$H599&lt;0,0,Data_Entry!AB599/Data_Entry!$H599),0)</f>
        <v>5.0109101179386023E-2</v>
      </c>
      <c r="X610" s="49">
        <f>IFERROR(IF(Data_Entry!AC599/Data_Entry!$I599&lt;0,0,Data_Entry!AC599/Data_Entry!$I599),0)</f>
        <v>0.13712241653418125</v>
      </c>
      <c r="Y610" s="49">
        <f>IFERROR(IF(Data_Entry!AD599/Data_Entry!$I599&lt;0,0,Data_Entry!AD599/Data_Entry!$I599),0)</f>
        <v>5.7631160572337047E-2</v>
      </c>
      <c r="Z610" s="49">
        <f>IFERROR(IF(Data_Entry!AE599/Data_Entry!$I599&lt;0,0,Data_Entry!AE599/Data_Entry!$I599),0)</f>
        <v>4.5707472178060413E-2</v>
      </c>
      <c r="AA610" s="49">
        <f>IFERROR(IF(Data_Entry!AF599/Data_Entry!$I599&lt;0,0,Data_Entry!AF599/Data_Entry!$I599),0)</f>
        <v>1.9872813990461048E-3</v>
      </c>
      <c r="AB610" s="49">
        <f>IFERROR(IF(Data_Entry!AG599/Data_Entry!$I599&lt;0,0,Data_Entry!AG599/Data_Entry!$I599),0)</f>
        <v>0</v>
      </c>
      <c r="AC610" s="49">
        <f>IFERROR(IF(Data_Entry!AI599/Data_Entry!$I599&lt;0,0,Data_Entry!AI599/Data_Entry!$I599),0)</f>
        <v>9.1017488076311603E-2</v>
      </c>
      <c r="AD610" s="49">
        <f>IFERROR(IF(Data_Entry!AM599/Data_Entry!$H599&lt;0,0,Data_Entry!AM599/Data_Entry!$H599),0)</f>
        <v>0.13210581220019951</v>
      </c>
      <c r="AE610" s="50">
        <f>Data_Entry!AK599</f>
        <v>311.04200000000003</v>
      </c>
      <c r="AF610" s="50">
        <f>Data_Entry!AL599</f>
        <v>70</v>
      </c>
      <c r="AG610" s="153">
        <f>(Data_Entry!O599-Data_Entry!Q599)/Data_Entry!O599</f>
        <v>7.8125E-2</v>
      </c>
      <c r="AH610" s="79" t="str">
        <f t="shared" si="18"/>
        <v>CAT3</v>
      </c>
      <c r="AI610" s="51">
        <f>SUBTOTAL(3,Tableau1[[#This Row],[ZS]])</f>
        <v>0</v>
      </c>
      <c r="AJ610" s="51" t="e">
        <f t="shared" ca="1" si="19"/>
        <v>#NAME?</v>
      </c>
      <c r="AK610" s="50" t="str">
        <f>IFERROR(IF((Data_Entry!O599-Data_Entry!Q599)/Data_Entry!O599&lt;=10%,"&lt;=10%","&gt;10%"),"&lt;=10%")</f>
        <v>&lt;=10%</v>
      </c>
    </row>
    <row r="611" spans="1:37" s="48" customFormat="1" ht="13" hidden="1" x14ac:dyDescent="0.3">
      <c r="A611" s="31" t="s">
        <v>16</v>
      </c>
      <c r="B611" s="48" t="str">
        <f>Data_Entry!B600</f>
        <v>Goma</v>
      </c>
      <c r="C611" s="48" t="str">
        <f>Data_Entry!C600</f>
        <v xml:space="preserve"> Pinga</v>
      </c>
      <c r="D611" s="48" t="str">
        <f>Data_Entry!D600</f>
        <v xml:space="preserve"> Rungoma</v>
      </c>
      <c r="E611" s="49">
        <f>IFERROR(IF(Data_Entry!J600/Data_Entry!$I600&lt;0,0,Data_Entry!J600/Data_Entry!$I600),0)</f>
        <v>0.8136972368198</v>
      </c>
      <c r="F611" s="49">
        <f>IFERROR(IF(Data_Entry!K600/Data_Entry!$H600&lt;0,0,Data_Entry!K600/Data_Entry!$H600),0)</f>
        <v>0.86848773843947125</v>
      </c>
      <c r="G611" s="49">
        <f>IFERROR(IF(Data_Entry!L600/Data_Entry!$H600&lt;0,0,Data_Entry!L600/Data_Entry!$H600),0)</f>
        <v>0.95591938996022341</v>
      </c>
      <c r="H611" s="49">
        <f>IFERROR(IF(Data_Entry!M600/Data_Entry!$H600&lt;0,0,Data_Entry!M600/Data_Entry!$H600),0)</f>
        <v>0.88014529197557156</v>
      </c>
      <c r="I611" s="49">
        <f>IFERROR(IF(Data_Entry!N600/Data_Entry!$H600&lt;0,0,Data_Entry!N600/Data_Entry!$H600),0)</f>
        <v>0.85100140813532077</v>
      </c>
      <c r="J611" s="49">
        <f>IFERROR(IF(Data_Entry!O600/Data_Entry!$H600&lt;0,0,Data_Entry!O600/Data_Entry!$H600),0)</f>
        <v>0.90346039904777209</v>
      </c>
      <c r="K611" s="49">
        <f>IFERROR(IF(Data_Entry!P600/Data_Entry!$H600&lt;0,0,Data_Entry!P600/Data_Entry!$H600),0)</f>
        <v>1.0666661485531761</v>
      </c>
      <c r="L611" s="49">
        <f>IFERROR(IF(Data_Entry!Q600/Data_Entry!$H600&lt;0,0,Data_Entry!Q600/Data_Entry!$H600),0)</f>
        <v>0.85100140813532077</v>
      </c>
      <c r="M611" s="49">
        <f>IFERROR(IF(Data_Entry!R600/Data_Entry!$H600&lt;0,0,Data_Entry!R600/Data_Entry!$H600),0)</f>
        <v>0.95591938996022341</v>
      </c>
      <c r="N611" s="49">
        <f>IFERROR(IF(Data_Entry!S600/Data_Entry!$H600&lt;0,0,Data_Entry!S600/Data_Entry!$H600),0)</f>
        <v>0.87431651520752141</v>
      </c>
      <c r="O611" s="49">
        <f>IFERROR(IF(Data_Entry!T600/Data_Entry!$H600&lt;0,0,Data_Entry!T600/Data_Entry!$H600),0)</f>
        <v>0.85100140813532077</v>
      </c>
      <c r="P611" s="49">
        <f>IFERROR(IF(Data_Entry!U600/Data_Entry!$H600&lt;0,0,Data_Entry!U600/Data_Entry!$H600),0)</f>
        <v>0.95591938996022341</v>
      </c>
      <c r="Q611" s="49">
        <f>IFERROR(IF(Data_Entry!V600/Data_Entry!$H600&lt;0,0,Data_Entry!V600/Data_Entry!$H600),0)</f>
        <v>0.88014529197557156</v>
      </c>
      <c r="R611" s="49">
        <f>IFERROR(IF(Data_Entry!W600/Data_Entry!$H600&lt;0,0,Data_Entry!W600/Data_Entry!$H600),0)</f>
        <v>0.85683018490337093</v>
      </c>
      <c r="S611" s="49">
        <f>IFERROR(IF(Data_Entry!X600/Data_Entry!$H600&lt;0,0,Data_Entry!X600/Data_Entry!$H600),0)</f>
        <v>0.89180284551167177</v>
      </c>
      <c r="T611" s="49">
        <f>IFERROR(IF(Data_Entry!Y600/Data_Entry!$H600&lt;0,0,Data_Entry!Y600/Data_Entry!$H600),0)</f>
        <v>0.69362443539796692</v>
      </c>
      <c r="U611" s="49">
        <f>IFERROR(IF(Data_Entry!Z600/Data_Entry!$H600&lt;0,0,Data_Entry!Z600/Data_Entry!$H600),0)</f>
        <v>0.88014529197557156</v>
      </c>
      <c r="V611" s="49">
        <f>IFERROR(IF(Data_Entry!AA600/Data_Entry!$H600&lt;0,0,Data_Entry!AA600/Data_Entry!$H600),0)</f>
        <v>0.85100140813532077</v>
      </c>
      <c r="W611" s="49">
        <f>IFERROR(IF(Data_Entry!AB600/Data_Entry!$H600&lt;0,0,Data_Entry!AB600/Data_Entry!$H600),0)</f>
        <v>0.72276831923821772</v>
      </c>
      <c r="X611" s="49">
        <f>IFERROR(IF(Data_Entry!AC600/Data_Entry!$I600&lt;0,0,Data_Entry!AC600/Data_Entry!$I600),0)</f>
        <v>0.60518731988472629</v>
      </c>
      <c r="Y611" s="49">
        <f>IFERROR(IF(Data_Entry!AD600/Data_Entry!$I600&lt;0,0,Data_Entry!AD600/Data_Entry!$I600),0)</f>
        <v>0.50347516528225122</v>
      </c>
      <c r="Z611" s="49">
        <f>IFERROR(IF(Data_Entry!AE600/Data_Entry!$I600&lt;0,0,Data_Entry!AE600/Data_Entry!$I600),0)</f>
        <v>0.39667740294965248</v>
      </c>
      <c r="AA611" s="49">
        <f>IFERROR(IF(Data_Entry!AF600/Data_Entry!$I600&lt;0,0,Data_Entry!AF600/Data_Entry!$I600),0)</f>
        <v>0.32039328699779623</v>
      </c>
      <c r="AB611" s="49">
        <f>IFERROR(IF(Data_Entry!AG600/Data_Entry!$I600&lt;0,0,Data_Entry!AG600/Data_Entry!$I600),0)</f>
        <v>0.2339379555856925</v>
      </c>
      <c r="AC611" s="49">
        <f>IFERROR(IF(Data_Entry!AI600/Data_Entry!$I600&lt;0,0,Data_Entry!AI600/Data_Entry!$I600),0)</f>
        <v>0.29649093066621462</v>
      </c>
      <c r="AD611" s="49">
        <f>IFERROR(IF(Data_Entry!AM600/Data_Entry!$H600&lt;0,0,Data_Entry!AM600/Data_Entry!$H600),0)</f>
        <v>0.88014529197557156</v>
      </c>
      <c r="AE611" s="50">
        <f>Data_Entry!AK600</f>
        <v>16.56258333333335</v>
      </c>
      <c r="AF611" s="50">
        <f>Data_Entry!AL600</f>
        <v>2</v>
      </c>
      <c r="AG611" s="153">
        <f>(Data_Entry!O600-Data_Entry!Q600)/Data_Entry!O600</f>
        <v>5.8064516129032261E-2</v>
      </c>
      <c r="AH611" s="79" t="str">
        <f t="shared" si="18"/>
        <v>CAT1</v>
      </c>
      <c r="AI611" s="51">
        <f>SUBTOTAL(3,Tableau1[[#This Row],[ZS]])</f>
        <v>0</v>
      </c>
      <c r="AJ611" s="51" t="e">
        <f t="shared" ca="1" si="19"/>
        <v>#NAME?</v>
      </c>
      <c r="AK611" s="50" t="str">
        <f>IFERROR(IF((Data_Entry!O600-Data_Entry!Q600)/Data_Entry!O600&lt;=10%,"&lt;=10%","&gt;10%"),"&lt;=10%")</f>
        <v>&lt;=10%</v>
      </c>
    </row>
    <row r="612" spans="1:37" s="48" customFormat="1" ht="13" hidden="1" x14ac:dyDescent="0.3">
      <c r="A612" s="31" t="s">
        <v>16</v>
      </c>
      <c r="B612" s="48" t="str">
        <f>Data_Entry!B601</f>
        <v>Goma</v>
      </c>
      <c r="C612" s="48" t="str">
        <f>Data_Entry!C601</f>
        <v xml:space="preserve"> Pinga</v>
      </c>
      <c r="D612" s="48" t="str">
        <f>Data_Entry!D601</f>
        <v xml:space="preserve"> Rusamambu</v>
      </c>
      <c r="E612" s="49">
        <f>IFERROR(IF(Data_Entry!J601/Data_Entry!$I601&lt;0,0,Data_Entry!J601/Data_Entry!$I601),0)</f>
        <v>0.94818190825324467</v>
      </c>
      <c r="F612" s="49">
        <f>IFERROR(IF(Data_Entry!K601/Data_Entry!$H601&lt;0,0,Data_Entry!K601/Data_Entry!$H601),0)</f>
        <v>1.6931363534033204</v>
      </c>
      <c r="G612" s="49">
        <f>IFERROR(IF(Data_Entry!L601/Data_Entry!$H601&lt;0,0,Data_Entry!L601/Data_Entry!$H601),0)</f>
        <v>1.6931363534033204</v>
      </c>
      <c r="H612" s="49">
        <f>IFERROR(IF(Data_Entry!M601/Data_Entry!$H601&lt;0,0,Data_Entry!M601/Data_Entry!$H601),0)</f>
        <v>1.4410395925344155</v>
      </c>
      <c r="I612" s="49">
        <f>IFERROR(IF(Data_Entry!N601/Data_Entry!$H601&lt;0,0,Data_Entry!N601/Data_Entry!$H601),0)</f>
        <v>1.6965430663880352</v>
      </c>
      <c r="J612" s="49">
        <f>IFERROR(IF(Data_Entry!O601/Data_Entry!$H601&lt;0,0,Data_Entry!O601/Data_Entry!$H601),0)</f>
        <v>1.7578639001129039</v>
      </c>
      <c r="K612" s="49">
        <f>IFERROR(IF(Data_Entry!P601/Data_Entry!$H601&lt;0,0,Data_Entry!P601/Data_Entry!$H601),0)</f>
        <v>1.5398342690911484</v>
      </c>
      <c r="L612" s="49">
        <f>IFERROR(IF(Data_Entry!Q601/Data_Entry!$H601&lt;0,0,Data_Entry!Q601/Data_Entry!$H601),0)</f>
        <v>1.7953377429447681</v>
      </c>
      <c r="M612" s="49">
        <f>IFERROR(IF(Data_Entry!R601/Data_Entry!$H601&lt;0,0,Data_Entry!R601/Data_Entry!$H601),0)</f>
        <v>1.7919310299600533</v>
      </c>
      <c r="N612" s="49">
        <f>IFERROR(IF(Data_Entry!S601/Data_Entry!$H601&lt;0,0,Data_Entry!S601/Data_Entry!$H601),0)</f>
        <v>1.5398342690911484</v>
      </c>
      <c r="O612" s="49">
        <f>IFERROR(IF(Data_Entry!T601/Data_Entry!$H601&lt;0,0,Data_Entry!T601/Data_Entry!$H601),0)</f>
        <v>1.7953377429447681</v>
      </c>
      <c r="P612" s="49">
        <f>IFERROR(IF(Data_Entry!U601/Data_Entry!$H601&lt;0,0,Data_Entry!U601/Data_Entry!$H601),0)</f>
        <v>1.7919310299600533</v>
      </c>
      <c r="Q612" s="49">
        <f>IFERROR(IF(Data_Entry!V601/Data_Entry!$H601&lt;0,0,Data_Entry!V601/Data_Entry!$H601),0)</f>
        <v>1.5398342690911484</v>
      </c>
      <c r="R612" s="49">
        <f>IFERROR(IF(Data_Entry!W601/Data_Entry!$H601&lt;0,0,Data_Entry!W601/Data_Entry!$H601),0)</f>
        <v>1.7953377429447681</v>
      </c>
      <c r="S612" s="49">
        <f>IFERROR(IF(Data_Entry!X601/Data_Entry!$H601&lt;0,0,Data_Entry!X601/Data_Entry!$H601),0)</f>
        <v>1.9077592714403608</v>
      </c>
      <c r="T612" s="49">
        <f>IFERROR(IF(Data_Entry!Y601/Data_Entry!$H601&lt;0,0,Data_Entry!Y601/Data_Entry!$H601),0)</f>
        <v>1.4342261665649856</v>
      </c>
      <c r="U612" s="49">
        <f>IFERROR(IF(Data_Entry!Z601/Data_Entry!$H601&lt;0,0,Data_Entry!Z601/Data_Entry!$H601),0)</f>
        <v>1.5057671392439991</v>
      </c>
      <c r="V612" s="49">
        <f>IFERROR(IF(Data_Entry!AA601/Data_Entry!$H601&lt;0,0,Data_Entry!AA601/Data_Entry!$H601),0)</f>
        <v>1.7953377429447681</v>
      </c>
      <c r="W612" s="49">
        <f>IFERROR(IF(Data_Entry!AB601/Data_Entry!$H601&lt;0,0,Data_Entry!AB601/Data_Entry!$H601),0)</f>
        <v>1.1650958407725061</v>
      </c>
      <c r="X612" s="49">
        <f>IFERROR(IF(Data_Entry!AC601/Data_Entry!$I601&lt;0,0,Data_Entry!AC601/Data_Entry!$I601),0)</f>
        <v>0.80550876845338337</v>
      </c>
      <c r="Y612" s="49">
        <f>IFERROR(IF(Data_Entry!AD601/Data_Entry!$I601&lt;0,0,Data_Entry!AD601/Data_Entry!$I601),0)</f>
        <v>0.61825027246606545</v>
      </c>
      <c r="Z612" s="49">
        <f>IFERROR(IF(Data_Entry!AE601/Data_Entry!$I601&lt;0,0,Data_Entry!AE601/Data_Entry!$I601),0)</f>
        <v>0.66878034281184973</v>
      </c>
      <c r="AA612" s="49">
        <f>IFERROR(IF(Data_Entry!AF601/Data_Entry!$I601&lt;0,0,Data_Entry!AF601/Data_Entry!$I601),0)</f>
        <v>0.53502427424947974</v>
      </c>
      <c r="AB612" s="49">
        <f>IFERROR(IF(Data_Entry!AG601/Data_Entry!$I601&lt;0,0,Data_Entry!AG601/Data_Entry!$I601),0)</f>
        <v>0.50232834637867818</v>
      </c>
      <c r="AC612" s="49">
        <f>IFERROR(IF(Data_Entry!AI601/Data_Entry!$I601&lt;0,0,Data_Entry!AI601/Data_Entry!$I601),0)</f>
        <v>0.14861785395818883</v>
      </c>
      <c r="AD612" s="49">
        <f>IFERROR(IF(Data_Entry!AM601/Data_Entry!$H601&lt;0,0,Data_Entry!AM601/Data_Entry!$H601),0)</f>
        <v>1.5057671392439991</v>
      </c>
      <c r="AE612" s="50">
        <f>Data_Entry!AK601</f>
        <v>0</v>
      </c>
      <c r="AF612" s="50">
        <f>Data_Entry!AL601</f>
        <v>0</v>
      </c>
      <c r="AG612" s="153">
        <f>(Data_Entry!O601-Data_Entry!Q601)/Data_Entry!O601</f>
        <v>-2.1317829457364341E-2</v>
      </c>
      <c r="AH612" s="79" t="str">
        <f t="shared" si="18"/>
        <v>CAT1</v>
      </c>
      <c r="AI612" s="51">
        <f>SUBTOTAL(3,Tableau1[[#This Row],[ZS]])</f>
        <v>0</v>
      </c>
      <c r="AJ612" s="51" t="e">
        <f t="shared" ca="1" si="19"/>
        <v>#NAME?</v>
      </c>
      <c r="AK612" s="50" t="str">
        <f>IFERROR(IF((Data_Entry!O601-Data_Entry!Q601)/Data_Entry!O601&lt;=10%,"&lt;=10%","&gt;10%"),"&lt;=10%")</f>
        <v>&lt;=10%</v>
      </c>
    </row>
    <row r="613" spans="1:37" s="48" customFormat="1" ht="13" hidden="1" x14ac:dyDescent="0.3">
      <c r="A613" s="31" t="s">
        <v>16</v>
      </c>
      <c r="B613" s="48" t="str">
        <f>Data_Entry!B602</f>
        <v>Goma</v>
      </c>
      <c r="C613" s="48" t="str">
        <f>Data_Entry!C602</f>
        <v xml:space="preserve"> Rutshuru</v>
      </c>
      <c r="D613" s="48" t="str">
        <f>Data_Entry!D602</f>
        <v xml:space="preserve"> Biruma</v>
      </c>
      <c r="E613" s="49">
        <f>IFERROR(IF(Data_Entry!J602/Data_Entry!$I602&lt;0,0,Data_Entry!J602/Data_Entry!$I602),0)</f>
        <v>0.92461137568514684</v>
      </c>
      <c r="F613" s="49">
        <f>IFERROR(IF(Data_Entry!K602/Data_Entry!$H602&lt;0,0,Data_Entry!K602/Data_Entry!$H602),0)</f>
        <v>0.5592142781926257</v>
      </c>
      <c r="G613" s="49">
        <f>IFERROR(IF(Data_Entry!L602/Data_Entry!$H602&lt;0,0,Data_Entry!L602/Data_Entry!$H602),0)</f>
        <v>1.01647236201864</v>
      </c>
      <c r="H613" s="49">
        <f>IFERROR(IF(Data_Entry!M602/Data_Entry!$H602&lt;0,0,Data_Entry!M602/Data_Entry!$H602),0)</f>
        <v>1.0257411069610591</v>
      </c>
      <c r="I613" s="49">
        <f>IFERROR(IF(Data_Entry!N602/Data_Entry!$H602&lt;0,0,Data_Entry!N602/Data_Entry!$H602),0)</f>
        <v>0.97630780060149014</v>
      </c>
      <c r="J613" s="49">
        <f>IFERROR(IF(Data_Entry!O602/Data_Entry!$H602&lt;0,0,Data_Entry!O602/Data_Entry!$H602),0)</f>
        <v>1.1029806481478861</v>
      </c>
      <c r="K613" s="49">
        <f>IFERROR(IF(Data_Entry!P602/Data_Entry!$H602&lt;0,0,Data_Entry!P602/Data_Entry!$H602),0)</f>
        <v>1.0968014848529399</v>
      </c>
      <c r="L613" s="49">
        <f>IFERROR(IF(Data_Entry!Q602/Data_Entry!$H602&lt;0,0,Data_Entry!Q602/Data_Entry!$H602),0)</f>
        <v>1.0751744133206285</v>
      </c>
      <c r="M613" s="49">
        <f>IFERROR(IF(Data_Entry!R602/Data_Entry!$H602&lt;0,0,Data_Entry!R602/Data_Entry!$H602),0)</f>
        <v>1.1029806481478861</v>
      </c>
      <c r="N613" s="49">
        <f>IFERROR(IF(Data_Entry!S602/Data_Entry!$H602&lt;0,0,Data_Entry!S602/Data_Entry!$H602),0)</f>
        <v>1.1029806481478861</v>
      </c>
      <c r="O613" s="49">
        <f>IFERROR(IF(Data_Entry!T602/Data_Entry!$H602&lt;0,0,Data_Entry!T602/Data_Entry!$H602),0)</f>
        <v>1.0720848316731553</v>
      </c>
      <c r="P613" s="49">
        <f>IFERROR(IF(Data_Entry!U602/Data_Entry!$H602&lt;0,0,Data_Entry!U602/Data_Entry!$H602),0)</f>
        <v>1.1029806481478861</v>
      </c>
      <c r="Q613" s="49">
        <f>IFERROR(IF(Data_Entry!V602/Data_Entry!$H602&lt;0,0,Data_Entry!V602/Data_Entry!$H602),0)</f>
        <v>1.0968014848529399</v>
      </c>
      <c r="R613" s="49">
        <f>IFERROR(IF(Data_Entry!W602/Data_Entry!$H602&lt;0,0,Data_Entry!W602/Data_Entry!$H602),0)</f>
        <v>1.0535473417883168</v>
      </c>
      <c r="S613" s="49">
        <f>IFERROR(IF(Data_Entry!X602/Data_Entry!$H602&lt;0,0,Data_Entry!X602/Data_Entry!$H602),0)</f>
        <v>1.05663692343579</v>
      </c>
      <c r="T613" s="49">
        <f>IFERROR(IF(Data_Entry!Y602/Data_Entry!$H602&lt;0,0,Data_Entry!Y602/Data_Entry!$H602),0)</f>
        <v>0.30586858309983395</v>
      </c>
      <c r="U613" s="49">
        <f>IFERROR(IF(Data_Entry!Z602/Data_Entry!$H602&lt;0,0,Data_Entry!Z602/Data_Entry!$H602),0)</f>
        <v>0.98557654554390928</v>
      </c>
      <c r="V613" s="49">
        <f>IFERROR(IF(Data_Entry!AA602/Data_Entry!$H602&lt;0,0,Data_Entry!AA602/Data_Entry!$H602),0)</f>
        <v>1.0628160867307361</v>
      </c>
      <c r="W613" s="49">
        <f>IFERROR(IF(Data_Entry!AB602/Data_Entry!$H602&lt;0,0,Data_Entry!AB602/Data_Entry!$H602),0)</f>
        <v>1.0380994335509515</v>
      </c>
      <c r="X613" s="49">
        <f>IFERROR(IF(Data_Entry!AC602/Data_Entry!$I602&lt;0,0,Data_Entry!AC602/Data_Entry!$I602),0)</f>
        <v>0.42321861802497973</v>
      </c>
      <c r="Y613" s="49">
        <f>IFERROR(IF(Data_Entry!AD602/Data_Entry!$I602&lt;0,0,Data_Entry!AD602/Data_Entry!$I602),0)</f>
        <v>0.26147901877976454</v>
      </c>
      <c r="Z613" s="49">
        <f>IFERROR(IF(Data_Entry!AE602/Data_Entry!$I602&lt;0,0,Data_Entry!AE602/Data_Entry!$I602),0)</f>
        <v>0.33426183844011137</v>
      </c>
      <c r="AA613" s="49">
        <f>IFERROR(IF(Data_Entry!AF602/Data_Entry!$I602&lt;0,0,Data_Entry!AF602/Data_Entry!$I602),0)</f>
        <v>0.23452241890556202</v>
      </c>
      <c r="AB613" s="49">
        <f>IFERROR(IF(Data_Entry!AG602/Data_Entry!$I602&lt;0,0,Data_Entry!AG602/Data_Entry!$I602),0)</f>
        <v>0.20756581903135948</v>
      </c>
      <c r="AC613" s="49">
        <f>IFERROR(IF(Data_Entry!AI602/Data_Entry!$I602&lt;0,0,Data_Entry!AI602/Data_Entry!$I602),0)</f>
        <v>0.15715697726660074</v>
      </c>
      <c r="AD613" s="49">
        <f>IFERROR(IF(Data_Entry!AM602/Data_Entry!$H602&lt;0,0,Data_Entry!AM602/Data_Entry!$H602),0)</f>
        <v>0.98557654554390928</v>
      </c>
      <c r="AE613" s="50">
        <f>Data_Entry!AK602</f>
        <v>0</v>
      </c>
      <c r="AF613" s="50">
        <f>Data_Entry!AL602</f>
        <v>15</v>
      </c>
      <c r="AG613" s="153">
        <f>(Data_Entry!O602-Data_Entry!Q602)/Data_Entry!O602</f>
        <v>2.5210084033613446E-2</v>
      </c>
      <c r="AH613" s="79" t="str">
        <f t="shared" si="18"/>
        <v>CAT1</v>
      </c>
      <c r="AI613" s="51">
        <f>SUBTOTAL(3,Tableau1[[#This Row],[ZS]])</f>
        <v>0</v>
      </c>
      <c r="AJ613" s="51" t="e">
        <f t="shared" ca="1" si="19"/>
        <v>#NAME?</v>
      </c>
      <c r="AK613" s="50" t="str">
        <f>IFERROR(IF((Data_Entry!O602-Data_Entry!Q602)/Data_Entry!O602&lt;=10%,"&lt;=10%","&gt;10%"),"&lt;=10%")</f>
        <v>&lt;=10%</v>
      </c>
    </row>
    <row r="614" spans="1:37" s="48" customFormat="1" ht="13" hidden="1" x14ac:dyDescent="0.3">
      <c r="A614" s="31" t="s">
        <v>16</v>
      </c>
      <c r="B614" s="48" t="str">
        <f>Data_Entry!B603</f>
        <v>Goma</v>
      </c>
      <c r="C614" s="48" t="str">
        <f>Data_Entry!C603</f>
        <v xml:space="preserve"> Rutshuru</v>
      </c>
      <c r="D614" s="48" t="str">
        <f>Data_Entry!D603</f>
        <v xml:space="preserve"> Bunyereza</v>
      </c>
      <c r="E614" s="49">
        <f>IFERROR(IF(Data_Entry!J603/Data_Entry!$I603&lt;0,0,Data_Entry!J603/Data_Entry!$I603),0)</f>
        <v>0.91086647727272718</v>
      </c>
      <c r="F614" s="49">
        <f>IFERROR(IF(Data_Entry!K603/Data_Entry!$H603&lt;0,0,Data_Entry!K603/Data_Entry!$H603),0)</f>
        <v>0.97681687939567596</v>
      </c>
      <c r="G614" s="49">
        <f>IFERROR(IF(Data_Entry!L603/Data_Entry!$H603&lt;0,0,Data_Entry!L603/Data_Entry!$H603),0)</f>
        <v>1.1294445168012504</v>
      </c>
      <c r="H614" s="49">
        <f>IFERROR(IF(Data_Entry!M603/Data_Entry!$H603&lt;0,0,Data_Entry!M603/Data_Entry!$H603),0)</f>
        <v>1.1111292003125814</v>
      </c>
      <c r="I614" s="49">
        <f>IFERROR(IF(Data_Entry!N603/Data_Entry!$H603&lt;0,0,Data_Entry!N603/Data_Entry!$H603),0)</f>
        <v>1.0317628288616827</v>
      </c>
      <c r="J614" s="49">
        <f>IFERROR(IF(Data_Entry!O603/Data_Entry!$H603&lt;0,0,Data_Entry!O603/Data_Entry!$H603),0)</f>
        <v>1.1294445168012504</v>
      </c>
      <c r="K614" s="49">
        <f>IFERROR(IF(Data_Entry!P603/Data_Entry!$H603&lt;0,0,Data_Entry!P603/Data_Entry!$H603),0)</f>
        <v>1.1172343058088043</v>
      </c>
      <c r="L614" s="49">
        <f>IFERROR(IF(Data_Entry!Q603/Data_Entry!$H603&lt;0,0,Data_Entry!Q603/Data_Entry!$H603),0)</f>
        <v>1.0317628288616827</v>
      </c>
      <c r="M614" s="49">
        <f>IFERROR(IF(Data_Entry!R603/Data_Entry!$H603&lt;0,0,Data_Entry!R603/Data_Entry!$H603),0)</f>
        <v>1.1294445168012504</v>
      </c>
      <c r="N614" s="49">
        <f>IFERROR(IF(Data_Entry!S603/Data_Entry!$H603&lt;0,0,Data_Entry!S603/Data_Entry!$H603),0)</f>
        <v>1.0744985673352434</v>
      </c>
      <c r="O614" s="49">
        <f>IFERROR(IF(Data_Entry!T603/Data_Entry!$H603&lt;0,0,Data_Entry!T603/Data_Entry!$H603),0)</f>
        <v>1.0317628288616827</v>
      </c>
      <c r="P614" s="49">
        <f>IFERROR(IF(Data_Entry!U603/Data_Entry!$H603&lt;0,0,Data_Entry!U603/Data_Entry!$H603),0)</f>
        <v>1.1294445168012504</v>
      </c>
      <c r="Q614" s="49">
        <f>IFERROR(IF(Data_Entry!V603/Data_Entry!$H603&lt;0,0,Data_Entry!V603/Data_Entry!$H603),0)</f>
        <v>1.1172343058088043</v>
      </c>
      <c r="R614" s="49">
        <f>IFERROR(IF(Data_Entry!W603/Data_Entry!$H603&lt;0,0,Data_Entry!W603/Data_Entry!$H603),0)</f>
        <v>1.0317628288616827</v>
      </c>
      <c r="S614" s="49">
        <f>IFERROR(IF(Data_Entry!X603/Data_Entry!$H603&lt;0,0,Data_Entry!X603/Data_Entry!$H603),0)</f>
        <v>1.0744985673352434</v>
      </c>
      <c r="T614" s="49">
        <f>IFERROR(IF(Data_Entry!Y603/Data_Entry!$H603&lt;0,0,Data_Entry!Y603/Data_Entry!$H603),0)</f>
        <v>1.19049557176348</v>
      </c>
      <c r="U614" s="49">
        <f>IFERROR(IF(Data_Entry!Z603/Data_Entry!$H603&lt;0,0,Data_Entry!Z603/Data_Entry!$H603),0)</f>
        <v>1.0744985673352434</v>
      </c>
      <c r="V614" s="49">
        <f>IFERROR(IF(Data_Entry!AA603/Data_Entry!$H603&lt;0,0,Data_Entry!AA603/Data_Entry!$H603),0)</f>
        <v>1.0439730398541287</v>
      </c>
      <c r="W614" s="49">
        <f>IFERROR(IF(Data_Entry!AB603/Data_Entry!$H603&lt;0,0,Data_Entry!AB603/Data_Entry!$H603),0)</f>
        <v>1.0744985673352434</v>
      </c>
      <c r="X614" s="49">
        <f>IFERROR(IF(Data_Entry!AC603/Data_Entry!$I603&lt;0,0,Data_Entry!AC603/Data_Entry!$I603),0)</f>
        <v>0.85227272727272718</v>
      </c>
      <c r="Y614" s="49">
        <f>IFERROR(IF(Data_Entry!AD603/Data_Entry!$I603&lt;0,0,Data_Entry!AD603/Data_Entry!$I603),0)</f>
        <v>0.64985795454545447</v>
      </c>
      <c r="Z614" s="49">
        <f>IFERROR(IF(Data_Entry!AE603/Data_Entry!$I603&lt;0,0,Data_Entry!AE603/Data_Entry!$I603),0)</f>
        <v>0.60191761363636354</v>
      </c>
      <c r="AA614" s="49">
        <f>IFERROR(IF(Data_Entry!AF603/Data_Entry!$I603&lt;0,0,Data_Entry!AF603/Data_Entry!$I603),0)</f>
        <v>0.52201704545454541</v>
      </c>
      <c r="AB614" s="49">
        <f>IFERROR(IF(Data_Entry!AG603/Data_Entry!$I603&lt;0,0,Data_Entry!AG603/Data_Entry!$I603),0)</f>
        <v>0.36221590909090906</v>
      </c>
      <c r="AC614" s="49">
        <f>IFERROR(IF(Data_Entry!AI603/Data_Entry!$I603&lt;0,0,Data_Entry!AI603/Data_Entry!$I603),0)</f>
        <v>0.31054687499999994</v>
      </c>
      <c r="AD614" s="49">
        <f>IFERROR(IF(Data_Entry!AM603/Data_Entry!$H603&lt;0,0,Data_Entry!AM603/Data_Entry!$H603),0)</f>
        <v>1.0744985673352434</v>
      </c>
      <c r="AE614" s="50">
        <f>Data_Entry!AK603</f>
        <v>0</v>
      </c>
      <c r="AF614" s="50">
        <f>Data_Entry!AL603</f>
        <v>9</v>
      </c>
      <c r="AG614" s="153">
        <f>(Data_Entry!O603-Data_Entry!Q603)/Data_Entry!O603</f>
        <v>8.6486486486486491E-2</v>
      </c>
      <c r="AH614" s="79" t="str">
        <f t="shared" si="18"/>
        <v>CAT1</v>
      </c>
      <c r="AI614" s="51">
        <f>SUBTOTAL(3,Tableau1[[#This Row],[ZS]])</f>
        <v>0</v>
      </c>
      <c r="AJ614" s="51" t="e">
        <f t="shared" ca="1" si="19"/>
        <v>#NAME?</v>
      </c>
      <c r="AK614" s="50" t="str">
        <f>IFERROR(IF((Data_Entry!O603-Data_Entry!Q603)/Data_Entry!O603&lt;=10%,"&lt;=10%","&gt;10%"),"&lt;=10%")</f>
        <v>&lt;=10%</v>
      </c>
    </row>
    <row r="615" spans="1:37" s="48" customFormat="1" ht="13" hidden="1" x14ac:dyDescent="0.3">
      <c r="A615" s="31" t="s">
        <v>16</v>
      </c>
      <c r="B615" s="48" t="str">
        <f>Data_Entry!B604</f>
        <v>Goma</v>
      </c>
      <c r="C615" s="48" t="str">
        <f>Data_Entry!C604</f>
        <v xml:space="preserve"> Rutshuru</v>
      </c>
      <c r="D615" s="48" t="str">
        <f>Data_Entry!D604</f>
        <v xml:space="preserve"> Buturande</v>
      </c>
      <c r="E615" s="49">
        <f>IFERROR(IF(Data_Entry!J604/Data_Entry!$I604&lt;0,0,Data_Entry!J604/Data_Entry!$I604),0)</f>
        <v>1.1390388529958404</v>
      </c>
      <c r="F615" s="49">
        <f>IFERROR(IF(Data_Entry!K604/Data_Entry!$H604&lt;0,0,Data_Entry!K604/Data_Entry!$H604),0)</f>
        <v>0.17041343770818274</v>
      </c>
      <c r="G615" s="49">
        <f>IFERROR(IF(Data_Entry!L604/Data_Entry!$H604&lt;0,0,Data_Entry!L604/Data_Entry!$H604),0)</f>
        <v>1.1183381849599492</v>
      </c>
      <c r="H615" s="49">
        <f>IFERROR(IF(Data_Entry!M604/Data_Entry!$H604&lt;0,0,Data_Entry!M604/Data_Entry!$H604),0)</f>
        <v>2.0753922235175111</v>
      </c>
      <c r="I615" s="49">
        <f>IFERROR(IF(Data_Entry!N604/Data_Entry!$H604&lt;0,0,Data_Entry!N604/Data_Entry!$H604),0)</f>
        <v>0.94183855304790276</v>
      </c>
      <c r="J615" s="49">
        <f>IFERROR(IF(Data_Entry!O604/Data_Entry!$H604&lt;0,0,Data_Entry!O604/Data_Entry!$H604),0)</f>
        <v>1.1000796023483581</v>
      </c>
      <c r="K615" s="49">
        <f>IFERROR(IF(Data_Entry!P604/Data_Entry!$H604&lt;0,0,Data_Entry!P604/Data_Entry!$H604),0)</f>
        <v>1.0711701798800057</v>
      </c>
      <c r="L615" s="49">
        <f>IFERROR(IF(Data_Entry!Q604/Data_Entry!$H604&lt;0,0,Data_Entry!Q604/Data_Entry!$H604),0)</f>
        <v>1.0529115972684147</v>
      </c>
      <c r="M615" s="49">
        <f>IFERROR(IF(Data_Entry!R604/Data_Entry!$H604&lt;0,0,Data_Entry!R604/Data_Entry!$H604),0)</f>
        <v>1.1000796023483581</v>
      </c>
      <c r="N615" s="49">
        <f>IFERROR(IF(Data_Entry!S604/Data_Entry!$H604&lt;0,0,Data_Entry!S604/Data_Entry!$H604),0)</f>
        <v>1.0711701798800057</v>
      </c>
      <c r="O615" s="49">
        <f>IFERROR(IF(Data_Entry!T604/Data_Entry!$H604&lt;0,0,Data_Entry!T604/Data_Entry!$H604),0)</f>
        <v>1.0529115972684147</v>
      </c>
      <c r="P615" s="49">
        <f>IFERROR(IF(Data_Entry!U604/Data_Entry!$H604&lt;0,0,Data_Entry!U604/Data_Entry!$H604),0)</f>
        <v>1.1000796023483581</v>
      </c>
      <c r="Q615" s="49">
        <f>IFERROR(IF(Data_Entry!V604/Data_Entry!$H604&lt;0,0,Data_Entry!V604/Data_Entry!$H604),0)</f>
        <v>1.0711701798800057</v>
      </c>
      <c r="R615" s="49">
        <f>IFERROR(IF(Data_Entry!W604/Data_Entry!$H604&lt;0,0,Data_Entry!W604/Data_Entry!$H604),0)</f>
        <v>1.0529115972684147</v>
      </c>
      <c r="S615" s="49">
        <f>IFERROR(IF(Data_Entry!X604/Data_Entry!$H604&lt;0,0,Data_Entry!X604/Data_Entry!$H604),0)</f>
        <v>1.1076873451031877</v>
      </c>
      <c r="T615" s="49">
        <f>IFERROR(IF(Data_Entry!Y604/Data_Entry!$H604&lt;0,0,Data_Entry!Y604/Data_Entry!$H604),0)</f>
        <v>1.0544331458193805</v>
      </c>
      <c r="U615" s="49">
        <f>IFERROR(IF(Data_Entry!Z604/Data_Entry!$H604&lt;0,0,Data_Entry!Z604/Data_Entry!$H604),0)</f>
        <v>1.1046442480012559</v>
      </c>
      <c r="V615" s="49">
        <f>IFERROR(IF(Data_Entry!AA604/Data_Entry!$H604&lt;0,0,Data_Entry!AA604/Data_Entry!$H604),0)</f>
        <v>1.0529115972684147</v>
      </c>
      <c r="W615" s="49">
        <f>IFERROR(IF(Data_Entry!AB604/Data_Entry!$H604&lt;0,0,Data_Entry!AB604/Data_Entry!$H604),0)</f>
        <v>1.1076873451031877</v>
      </c>
      <c r="X615" s="49">
        <f>IFERROR(IF(Data_Entry!AC604/Data_Entry!$I604&lt;0,0,Data_Entry!AC604/Data_Entry!$I604),0)</f>
        <v>0.21506327993627755</v>
      </c>
      <c r="Y615" s="49">
        <f>IFERROR(IF(Data_Entry!AD604/Data_Entry!$I604&lt;0,0,Data_Entry!AD604/Data_Entry!$I604),0)</f>
        <v>0.20444287105053546</v>
      </c>
      <c r="Z615" s="49">
        <f>IFERROR(IF(Data_Entry!AE604/Data_Entry!$I604&lt;0,0,Data_Entry!AE604/Data_Entry!$I604),0)</f>
        <v>0.18983980883264007</v>
      </c>
      <c r="AA615" s="49">
        <f>IFERROR(IF(Data_Entry!AF604/Data_Entry!$I604&lt;0,0,Data_Entry!AF604/Data_Entry!$I604),0)</f>
        <v>0.17523674661474467</v>
      </c>
      <c r="AB615" s="49">
        <f>IFERROR(IF(Data_Entry!AG604/Data_Entry!$I604&lt;0,0,Data_Entry!AG604/Data_Entry!$I604),0)</f>
        <v>0.44605717320116828</v>
      </c>
      <c r="AC615" s="49">
        <f>IFERROR(IF(Data_Entry!AI604/Data_Entry!$I604&lt;0,0,Data_Entry!AI604/Data_Entry!$I604),0)</f>
        <v>7.7396229754845558E-2</v>
      </c>
      <c r="AD615" s="49">
        <f>IFERROR(IF(Data_Entry!AM604/Data_Entry!$H604&lt;0,0,Data_Entry!AM604/Data_Entry!$H604),0)</f>
        <v>1.1046442480012559</v>
      </c>
      <c r="AE615" s="50">
        <f>Data_Entry!AK604</f>
        <v>0</v>
      </c>
      <c r="AF615" s="50">
        <f>Data_Entry!AL604</f>
        <v>0</v>
      </c>
      <c r="AG615" s="153">
        <f>(Data_Entry!O604-Data_Entry!Q604)/Data_Entry!O604</f>
        <v>4.2876901798063624E-2</v>
      </c>
      <c r="AH615" s="79" t="str">
        <f t="shared" si="18"/>
        <v>CAT1</v>
      </c>
      <c r="AI615" s="51">
        <f>SUBTOTAL(3,Tableau1[[#This Row],[ZS]])</f>
        <v>0</v>
      </c>
      <c r="AJ615" s="51" t="e">
        <f t="shared" ca="1" si="19"/>
        <v>#NAME?</v>
      </c>
      <c r="AK615" s="50" t="str">
        <f>IFERROR(IF((Data_Entry!O604-Data_Entry!Q604)/Data_Entry!O604&lt;=10%,"&lt;=10%","&gt;10%"),"&lt;=10%")</f>
        <v>&lt;=10%</v>
      </c>
    </row>
    <row r="616" spans="1:37" s="48" customFormat="1" ht="13" hidden="1" x14ac:dyDescent="0.3">
      <c r="A616" s="31" t="s">
        <v>16</v>
      </c>
      <c r="B616" s="48" t="str">
        <f>Data_Entry!B605</f>
        <v>Goma</v>
      </c>
      <c r="C616" s="48" t="str">
        <f>Data_Entry!C605</f>
        <v xml:space="preserve"> Rutshuru</v>
      </c>
      <c r="D616" s="48" t="str">
        <f>Data_Entry!D605</f>
        <v xml:space="preserve"> Kakomero</v>
      </c>
      <c r="E616" s="49">
        <f>IFERROR(IF(Data_Entry!J605/Data_Entry!$I605&lt;0,0,Data_Entry!J605/Data_Entry!$I605),0)</f>
        <v>0.68323542702214191</v>
      </c>
      <c r="F616" s="49">
        <f>IFERROR(IF(Data_Entry!K605/Data_Entry!$H605&lt;0,0,Data_Entry!K605/Data_Entry!$H605),0)</f>
        <v>0.78307785332050639</v>
      </c>
      <c r="G616" s="49">
        <f>IFERROR(IF(Data_Entry!L605/Data_Entry!$H605&lt;0,0,Data_Entry!L605/Data_Entry!$H605),0)</f>
        <v>1.0876081296118145</v>
      </c>
      <c r="H616" s="49">
        <f>IFERROR(IF(Data_Entry!M605/Data_Entry!$H605&lt;0,0,Data_Entry!M605/Data_Entry!$H605),0)</f>
        <v>0.99438457564508742</v>
      </c>
      <c r="I616" s="49">
        <f>IFERROR(IF(Data_Entry!N605/Data_Entry!$H605&lt;0,0,Data_Entry!N605/Data_Entry!$H605),0)</f>
        <v>0.93223553966726946</v>
      </c>
      <c r="J616" s="49">
        <f>IFERROR(IF(Data_Entry!O605/Data_Entry!$H605&lt;0,0,Data_Entry!O605/Data_Entry!$H605),0)</f>
        <v>1.0876081296118145</v>
      </c>
      <c r="K616" s="49">
        <f>IFERROR(IF(Data_Entry!P605/Data_Entry!$H605&lt;0,0,Data_Entry!P605/Data_Entry!$H605),0)</f>
        <v>0.99438457564508742</v>
      </c>
      <c r="L616" s="49">
        <f>IFERROR(IF(Data_Entry!Q605/Data_Entry!$H605&lt;0,0,Data_Entry!Q605/Data_Entry!$H605),0)</f>
        <v>0.93223553966726946</v>
      </c>
      <c r="M616" s="49">
        <f>IFERROR(IF(Data_Entry!R605/Data_Entry!$H605&lt;0,0,Data_Entry!R605/Data_Entry!$H605),0)</f>
        <v>1.0876081296118145</v>
      </c>
      <c r="N616" s="49">
        <f>IFERROR(IF(Data_Entry!S605/Data_Entry!$H605&lt;0,0,Data_Entry!S605/Data_Entry!$H605),0)</f>
        <v>0.99438457564508742</v>
      </c>
      <c r="O616" s="49">
        <f>IFERROR(IF(Data_Entry!T605/Data_Entry!$H605&lt;0,0,Data_Entry!T605/Data_Entry!$H605),0)</f>
        <v>0.93223553966726946</v>
      </c>
      <c r="P616" s="49">
        <f>IFERROR(IF(Data_Entry!U605/Data_Entry!$H605&lt;0,0,Data_Entry!U605/Data_Entry!$H605),0)</f>
        <v>1.0876081296118145</v>
      </c>
      <c r="Q616" s="49">
        <f>IFERROR(IF(Data_Entry!V605/Data_Entry!$H605&lt;0,0,Data_Entry!V605/Data_Entry!$H605),0)</f>
        <v>0.99438457564508742</v>
      </c>
      <c r="R616" s="49">
        <f>IFERROR(IF(Data_Entry!W605/Data_Entry!$H605&lt;0,0,Data_Entry!W605/Data_Entry!$H605),0)</f>
        <v>0.93223553966726946</v>
      </c>
      <c r="S616" s="49">
        <f>IFERROR(IF(Data_Entry!X605/Data_Entry!$H605&lt;0,0,Data_Entry!X605/Data_Entry!$H605),0)</f>
        <v>0.86076414829277881</v>
      </c>
      <c r="T616" s="49">
        <f>IFERROR(IF(Data_Entry!Y605/Data_Entry!$H605&lt;0,0,Data_Entry!Y605/Data_Entry!$H605),0)</f>
        <v>0.27034830650350816</v>
      </c>
      <c r="U616" s="49">
        <f>IFERROR(IF(Data_Entry!Z605/Data_Entry!$H605&lt;0,0,Data_Entry!Z605/Data_Entry!$H605),0)</f>
        <v>0.86076414829277881</v>
      </c>
      <c r="V616" s="49">
        <f>IFERROR(IF(Data_Entry!AA605/Data_Entry!$H605&lt;0,0,Data_Entry!AA605/Data_Entry!$H605),0)</f>
        <v>0.93223553966726946</v>
      </c>
      <c r="W616" s="49">
        <f>IFERROR(IF(Data_Entry!AB605/Data_Entry!$H605&lt;0,0,Data_Entry!AB605/Data_Entry!$H605),0)</f>
        <v>0.36046440867134422</v>
      </c>
      <c r="X616" s="49">
        <f>IFERROR(IF(Data_Entry!AC605/Data_Entry!$I605&lt;0,0,Data_Entry!AC605/Data_Entry!$I605),0)</f>
        <v>0.48260280162675107</v>
      </c>
      <c r="Y616" s="49">
        <f>IFERROR(IF(Data_Entry!AD605/Data_Entry!$I605&lt;0,0,Data_Entry!AD605/Data_Entry!$I605),0)</f>
        <v>0.45006778129236336</v>
      </c>
      <c r="Z616" s="49">
        <f>IFERROR(IF(Data_Entry!AE605/Data_Entry!$I605&lt;0,0,Data_Entry!AE605/Data_Entry!$I605),0)</f>
        <v>0.38228648892905559</v>
      </c>
      <c r="AA616" s="49">
        <f>IFERROR(IF(Data_Entry!AF605/Data_Entry!$I605&lt;0,0,Data_Entry!AF605/Data_Entry!$I605),0)</f>
        <v>0.27925892453682782</v>
      </c>
      <c r="AB616" s="49">
        <f>IFERROR(IF(Data_Entry!AG605/Data_Entry!$I605&lt;0,0,Data_Entry!AG605/Data_Entry!$I605),0)</f>
        <v>0.26028016267510168</v>
      </c>
      <c r="AC616" s="49">
        <f>IFERROR(IF(Data_Entry!AI605/Data_Entry!$I605&lt;0,0,Data_Entry!AI605/Data_Entry!$I605),0)</f>
        <v>0.15806597379123363</v>
      </c>
      <c r="AD616" s="49">
        <f>IFERROR(IF(Data_Entry!AM605/Data_Entry!$H605&lt;0,0,Data_Entry!AM605/Data_Entry!$H605),0)</f>
        <v>0.86076414829277881</v>
      </c>
      <c r="AE616" s="50">
        <f>Data_Entry!AK605</f>
        <v>0</v>
      </c>
      <c r="AF616" s="50">
        <f>Data_Entry!AL605</f>
        <v>73</v>
      </c>
      <c r="AG616" s="153">
        <f>(Data_Entry!O605-Data_Entry!Q605)/Data_Entry!O605</f>
        <v>0.14285714285714285</v>
      </c>
      <c r="AH616" s="79" t="str">
        <f t="shared" si="18"/>
        <v>CAT2</v>
      </c>
      <c r="AI616" s="51">
        <f>SUBTOTAL(3,Tableau1[[#This Row],[ZS]])</f>
        <v>0</v>
      </c>
      <c r="AJ616" s="51" t="e">
        <f t="shared" ca="1" si="19"/>
        <v>#NAME?</v>
      </c>
      <c r="AK616" s="50" t="str">
        <f>IFERROR(IF((Data_Entry!O605-Data_Entry!Q605)/Data_Entry!O605&lt;=10%,"&lt;=10%","&gt;10%"),"&lt;=10%")</f>
        <v>&gt;10%</v>
      </c>
    </row>
    <row r="617" spans="1:37" s="48" customFormat="1" ht="13" hidden="1" x14ac:dyDescent="0.3">
      <c r="A617" s="31" t="s">
        <v>16</v>
      </c>
      <c r="B617" s="48" t="str">
        <f>Data_Entry!B606</f>
        <v>Goma</v>
      </c>
      <c r="C617" s="48" t="str">
        <f>Data_Entry!C606</f>
        <v xml:space="preserve"> Rutshuru</v>
      </c>
      <c r="D617" s="48" t="str">
        <f>Data_Entry!D606</f>
        <v xml:space="preserve"> Kalengera</v>
      </c>
      <c r="E617" s="49">
        <f>IFERROR(IF(Data_Entry!J606/Data_Entry!$I606&lt;0,0,Data_Entry!J606/Data_Entry!$I606),0)</f>
        <v>0.90859212114561616</v>
      </c>
      <c r="F617" s="49">
        <f>IFERROR(IF(Data_Entry!K606/Data_Entry!$H606&lt;0,0,Data_Entry!K606/Data_Entry!$H606),0)</f>
        <v>1.0375932615549373</v>
      </c>
      <c r="G617" s="49">
        <f>IFERROR(IF(Data_Entry!L606/Data_Entry!$H606&lt;0,0,Data_Entry!L606/Data_Entry!$H606),0)</f>
        <v>1.1470121873189123</v>
      </c>
      <c r="H617" s="49">
        <f>IFERROR(IF(Data_Entry!M606/Data_Entry!$H606&lt;0,0,Data_Entry!M606/Data_Entry!$H606),0)</f>
        <v>1.1262603220878136</v>
      </c>
      <c r="I617" s="49">
        <f>IFERROR(IF(Data_Entry!N606/Data_Entry!$H606&lt;0,0,Data_Entry!N606/Data_Entry!$H606),0)</f>
        <v>1.0319336619464556</v>
      </c>
      <c r="J617" s="49">
        <f>IFERROR(IF(Data_Entry!O606/Data_Entry!$H606&lt;0,0,Data_Entry!O606/Data_Entry!$H606),0)</f>
        <v>1.3847153708751343</v>
      </c>
      <c r="K617" s="49">
        <f>IFERROR(IF(Data_Entry!P606/Data_Entry!$H606&lt;0,0,Data_Entry!P606/Data_Entry!$H606),0)</f>
        <v>1.3601904392383812</v>
      </c>
      <c r="L617" s="49">
        <f>IFERROR(IF(Data_Entry!Q606/Data_Entry!$H606&lt;0,0,Data_Entry!Q606/Data_Entry!$H606),0)</f>
        <v>1.3413251072101096</v>
      </c>
      <c r="M617" s="49">
        <f>IFERROR(IF(Data_Entry!R606/Data_Entry!$H606&lt;0,0,Data_Entry!R606/Data_Entry!$H606),0)</f>
        <v>1.3847153708751343</v>
      </c>
      <c r="N617" s="49">
        <f>IFERROR(IF(Data_Entry!S606/Data_Entry!$H606&lt;0,0,Data_Entry!S606/Data_Entry!$H606),0)</f>
        <v>1.3601904392383812</v>
      </c>
      <c r="O617" s="49">
        <f>IFERROR(IF(Data_Entry!T606/Data_Entry!$H606&lt;0,0,Data_Entry!T606/Data_Entry!$H606),0)</f>
        <v>1.3413251072101096</v>
      </c>
      <c r="P617" s="49">
        <f>IFERROR(IF(Data_Entry!U606/Data_Entry!$H606&lt;0,0,Data_Entry!U606/Data_Entry!$H606),0)</f>
        <v>1.3847153708751343</v>
      </c>
      <c r="Q617" s="49">
        <f>IFERROR(IF(Data_Entry!V606/Data_Entry!$H606&lt;0,0,Data_Entry!V606/Data_Entry!$H606),0)</f>
        <v>1.3601904392383812</v>
      </c>
      <c r="R617" s="49">
        <f>IFERROR(IF(Data_Entry!W606/Data_Entry!$H606&lt;0,0,Data_Entry!W606/Data_Entry!$H606),0)</f>
        <v>1.3413251072101096</v>
      </c>
      <c r="S617" s="49">
        <f>IFERROR(IF(Data_Entry!X606/Data_Entry!$H606&lt;0,0,Data_Entry!X606/Data_Entry!$H606),0)</f>
        <v>1.4224460349316774</v>
      </c>
      <c r="T617" s="49">
        <f>IFERROR(IF(Data_Entry!Y606/Data_Entry!$H606&lt;0,0,Data_Entry!Y606/Data_Entry!$H606),0)</f>
        <v>1.1885159177811098</v>
      </c>
      <c r="U617" s="49">
        <f>IFERROR(IF(Data_Entry!Z606/Data_Entry!$H606&lt;0,0,Data_Entry!Z606/Data_Entry!$H606),0)</f>
        <v>1.4224460349316774</v>
      </c>
      <c r="V617" s="49">
        <f>IFERROR(IF(Data_Entry!AA606/Data_Entry!$H606&lt;0,0,Data_Entry!AA606/Data_Entry!$H606),0)</f>
        <v>1.0168413963238383</v>
      </c>
      <c r="W617" s="49">
        <f>IFERROR(IF(Data_Entry!AB606/Data_Entry!$H606&lt;0,0,Data_Entry!AB606/Data_Entry!$H606),0)</f>
        <v>1.0564585935832087</v>
      </c>
      <c r="X617" s="49">
        <f>IFERROR(IF(Data_Entry!AC606/Data_Entry!$I606&lt;0,0,Data_Entry!AC606/Data_Entry!$I606),0)</f>
        <v>0.32426204323493912</v>
      </c>
      <c r="Y617" s="49">
        <f>IFERROR(IF(Data_Entry!AD606/Data_Entry!$I606&lt;0,0,Data_Entry!AD606/Data_Entry!$I606),0)</f>
        <v>0.2501920333589378</v>
      </c>
      <c r="Z617" s="49">
        <f>IFERROR(IF(Data_Entry!AE606/Data_Entry!$I606&lt;0,0,Data_Entry!AE606/Data_Entry!$I606),0)</f>
        <v>0.30451004060133874</v>
      </c>
      <c r="AA617" s="49">
        <f>IFERROR(IF(Data_Entry!AF606/Data_Entry!$I606&lt;0,0,Data_Entry!AF606/Data_Entry!$I606),0)</f>
        <v>0.25348403379787121</v>
      </c>
      <c r="AB617" s="49">
        <f>IFERROR(IF(Data_Entry!AG606/Data_Entry!$I606&lt;0,0,Data_Entry!AG606/Data_Entry!$I606),0)</f>
        <v>0.28640403818720511</v>
      </c>
      <c r="AC617" s="49">
        <f>IFERROR(IF(Data_Entry!AI606/Data_Entry!$I606&lt;0,0,Data_Entry!AI606/Data_Entry!$I606),0)</f>
        <v>9.5961812794908369E-2</v>
      </c>
      <c r="AD617" s="49">
        <f>IFERROR(IF(Data_Entry!AM606/Data_Entry!$H606&lt;0,0,Data_Entry!AM606/Data_Entry!$H606),0)</f>
        <v>1.4224460349316774</v>
      </c>
      <c r="AE617" s="50">
        <f>Data_Entry!AK606</f>
        <v>0</v>
      </c>
      <c r="AF617" s="50">
        <f>Data_Entry!AL606</f>
        <v>0</v>
      </c>
      <c r="AG617" s="153">
        <f>(Data_Entry!O606-Data_Entry!Q606)/Data_Entry!O606</f>
        <v>3.1335149863760216E-2</v>
      </c>
      <c r="AH617" s="79" t="str">
        <f t="shared" si="18"/>
        <v>CAT1</v>
      </c>
      <c r="AI617" s="51">
        <f>SUBTOTAL(3,Tableau1[[#This Row],[ZS]])</f>
        <v>0</v>
      </c>
      <c r="AJ617" s="51" t="e">
        <f t="shared" ca="1" si="19"/>
        <v>#NAME?</v>
      </c>
      <c r="AK617" s="50" t="str">
        <f>IFERROR(IF((Data_Entry!O606-Data_Entry!Q606)/Data_Entry!O606&lt;=10%,"&lt;=10%","&gt;10%"),"&lt;=10%")</f>
        <v>&lt;=10%</v>
      </c>
    </row>
    <row r="618" spans="1:37" s="48" customFormat="1" ht="13" hidden="1" x14ac:dyDescent="0.3">
      <c r="A618" s="31" t="s">
        <v>16</v>
      </c>
      <c r="B618" s="48" t="str">
        <f>Data_Entry!B607</f>
        <v>Goma</v>
      </c>
      <c r="C618" s="48" t="str">
        <f>Data_Entry!C607</f>
        <v xml:space="preserve"> Rutshuru</v>
      </c>
      <c r="D618" s="48" t="str">
        <f>Data_Entry!D607</f>
        <v xml:space="preserve"> Katale</v>
      </c>
      <c r="E618" s="49">
        <f>IFERROR(IF(Data_Entry!J607/Data_Entry!$I607&lt;0,0,Data_Entry!J607/Data_Entry!$I607),0)</f>
        <v>0.99007533181872542</v>
      </c>
      <c r="F618" s="49">
        <f>IFERROR(IF(Data_Entry!K607/Data_Entry!$H607&lt;0,0,Data_Entry!K607/Data_Entry!$H607),0)</f>
        <v>1.1758712051001017</v>
      </c>
      <c r="G618" s="49">
        <f>IFERROR(IF(Data_Entry!L607/Data_Entry!$H607&lt;0,0,Data_Entry!L607/Data_Entry!$H607),0)</f>
        <v>1.2128741451207343</v>
      </c>
      <c r="H618" s="49">
        <f>IFERROR(IF(Data_Entry!M607/Data_Entry!$H607&lt;0,0,Data_Entry!M607/Data_Entry!$H607),0)</f>
        <v>1.138868265079469</v>
      </c>
      <c r="I618" s="49">
        <f>IFERROR(IF(Data_Entry!N607/Data_Entry!$H607&lt;0,0,Data_Entry!N607/Data_Entry!$H607),0)</f>
        <v>1.0977538872787662</v>
      </c>
      <c r="J618" s="49">
        <f>IFERROR(IF(Data_Entry!O607/Data_Entry!$H607&lt;0,0,Data_Entry!O607/Data_Entry!$H607),0)</f>
        <v>1.0854195739385553</v>
      </c>
      <c r="K618" s="49">
        <f>IFERROR(IF(Data_Entry!P607/Data_Entry!$H607&lt;0,0,Data_Entry!P607/Data_Entry!$H607),0)</f>
        <v>1.0319708827976417</v>
      </c>
      <c r="L618" s="49">
        <f>IFERROR(IF(Data_Entry!Q607/Data_Entry!$H607&lt;0,0,Data_Entry!Q607/Data_Entry!$H607),0)</f>
        <v>1.0031908183371496</v>
      </c>
      <c r="M618" s="49">
        <f>IFERROR(IF(Data_Entry!R607/Data_Entry!$H607&lt;0,0,Data_Entry!R607/Data_Entry!$H607),0)</f>
        <v>1.2005398317805234</v>
      </c>
      <c r="N618" s="49">
        <f>IFERROR(IF(Data_Entry!S607/Data_Entry!$H607&lt;0,0,Data_Entry!S607/Data_Entry!$H607),0)</f>
        <v>1.1429797028595394</v>
      </c>
      <c r="O618" s="49">
        <f>IFERROR(IF(Data_Entry!T607/Data_Entry!$H607&lt;0,0,Data_Entry!T607/Data_Entry!$H607),0)</f>
        <v>1.1059767628389068</v>
      </c>
      <c r="P618" s="49">
        <f>IFERROR(IF(Data_Entry!U607/Data_Entry!$H607&lt;0,0,Data_Entry!U607/Data_Entry!$H607),0)</f>
        <v>1.2005398317805234</v>
      </c>
      <c r="Q618" s="49">
        <f>IFERROR(IF(Data_Entry!V607/Data_Entry!$H607&lt;0,0,Data_Entry!V607/Data_Entry!$H607),0)</f>
        <v>1.1470911406396096</v>
      </c>
      <c r="R618" s="49">
        <f>IFERROR(IF(Data_Entry!W607/Data_Entry!$H607&lt;0,0,Data_Entry!W607/Data_Entry!$H607),0)</f>
        <v>1.1059767628389068</v>
      </c>
      <c r="S618" s="49">
        <f>IFERROR(IF(Data_Entry!X607/Data_Entry!$H607&lt;0,0,Data_Entry!X607/Data_Entry!$H607),0)</f>
        <v>1.2293198962410155</v>
      </c>
      <c r="T618" s="49">
        <f>IFERROR(IF(Data_Entry!Y607/Data_Entry!$H607&lt;0,0,Data_Entry!Y607/Data_Entry!$H607),0)</f>
        <v>0.57148985142976971</v>
      </c>
      <c r="U618" s="49">
        <f>IFERROR(IF(Data_Entry!Z607/Data_Entry!$H607&lt;0,0,Data_Entry!Z607/Data_Entry!$H607),0)</f>
        <v>1.2334313340210856</v>
      </c>
      <c r="V618" s="49">
        <f>IFERROR(IF(Data_Entry!AA607/Data_Entry!$H607&lt;0,0,Data_Entry!AA607/Data_Entry!$H607),0)</f>
        <v>1.1141996383990473</v>
      </c>
      <c r="W618" s="49">
        <f>IFERROR(IF(Data_Entry!AB607/Data_Entry!$H607&lt;0,0,Data_Entry!AB607/Data_Entry!$H607),0)</f>
        <v>0.81817611823398684</v>
      </c>
      <c r="X618" s="49">
        <f>IFERROR(IF(Data_Entry!AC607/Data_Entry!$I607&lt;0,0,Data_Entry!AC607/Data_Entry!$I607),0)</f>
        <v>0.62417792658137039</v>
      </c>
      <c r="Y618" s="49">
        <f>IFERROR(IF(Data_Entry!AD607/Data_Entry!$I607&lt;0,0,Data_Entry!AD607/Data_Entry!$I607),0)</f>
        <v>0.49145043644625136</v>
      </c>
      <c r="Z618" s="49">
        <f>IFERROR(IF(Data_Entry!AE607/Data_Entry!$I607&lt;0,0,Data_Entry!AE607/Data_Entry!$I607),0)</f>
        <v>0.42329307664713622</v>
      </c>
      <c r="AA618" s="49">
        <f>IFERROR(IF(Data_Entry!AF607/Data_Entry!$I607&lt;0,0,Data_Entry!AF607/Data_Entry!$I607),0)</f>
        <v>0.36231017577424374</v>
      </c>
      <c r="AB618" s="49">
        <f>IFERROR(IF(Data_Entry!AG607/Data_Entry!$I607&lt;0,0,Data_Entry!AG607/Data_Entry!$I607),0)</f>
        <v>0.3120889632906852</v>
      </c>
      <c r="AC618" s="49">
        <f>IFERROR(IF(Data_Entry!AI607/Data_Entry!$I607&lt;0,0,Data_Entry!AI607/Data_Entry!$I607),0)</f>
        <v>0.20913547769939017</v>
      </c>
      <c r="AD618" s="49">
        <f>IFERROR(IF(Data_Entry!AM607/Data_Entry!$H607&lt;0,0,Data_Entry!AM607/Data_Entry!$H607),0)</f>
        <v>1.2293198962410155</v>
      </c>
      <c r="AE618" s="50">
        <f>Data_Entry!AK607</f>
        <v>0</v>
      </c>
      <c r="AF618" s="50">
        <f>Data_Entry!AL607</f>
        <v>0</v>
      </c>
      <c r="AG618" s="153">
        <f>(Data_Entry!O607-Data_Entry!Q607)/Data_Entry!O607</f>
        <v>7.575757575757576E-2</v>
      </c>
      <c r="AH618" s="79" t="str">
        <f t="shared" si="18"/>
        <v>CAT1</v>
      </c>
      <c r="AI618" s="51">
        <f>SUBTOTAL(3,Tableau1[[#This Row],[ZS]])</f>
        <v>0</v>
      </c>
      <c r="AJ618" s="51" t="e">
        <f t="shared" ca="1" si="19"/>
        <v>#NAME?</v>
      </c>
      <c r="AK618" s="50" t="str">
        <f>IFERROR(IF((Data_Entry!O607-Data_Entry!Q607)/Data_Entry!O607&lt;=10%,"&lt;=10%","&gt;10%"),"&lt;=10%")</f>
        <v>&lt;=10%</v>
      </c>
    </row>
    <row r="619" spans="1:37" s="48" customFormat="1" ht="13" hidden="1" x14ac:dyDescent="0.3">
      <c r="A619" s="31" t="s">
        <v>16</v>
      </c>
      <c r="B619" s="48" t="str">
        <f>Data_Entry!B608</f>
        <v>Goma</v>
      </c>
      <c r="C619" s="48" t="str">
        <f>Data_Entry!C608</f>
        <v xml:space="preserve"> Rutshuru</v>
      </c>
      <c r="D619" s="48" t="str">
        <f>Data_Entry!D608</f>
        <v xml:space="preserve"> Kibututu</v>
      </c>
      <c r="E619" s="49">
        <f>IFERROR(IF(Data_Entry!J608/Data_Entry!$I608&lt;0,0,Data_Entry!J608/Data_Entry!$I608),0)</f>
        <v>1.3197745108875871</v>
      </c>
      <c r="F619" s="49">
        <f>IFERROR(IF(Data_Entry!K608/Data_Entry!$H608&lt;0,0,Data_Entry!K608/Data_Entry!$H608),0)</f>
        <v>0.60429409866273009</v>
      </c>
      <c r="G619" s="49">
        <f>IFERROR(IF(Data_Entry!L608/Data_Entry!$H608&lt;0,0,Data_Entry!L608/Data_Entry!$H608),0)</f>
        <v>1.2199899727719268</v>
      </c>
      <c r="H619" s="49">
        <f>IFERROR(IF(Data_Entry!M608/Data_Entry!$H608&lt;0,0,Data_Entry!M608/Data_Entry!$H608),0)</f>
        <v>1.1477787282776384</v>
      </c>
      <c r="I619" s="49">
        <f>IFERROR(IF(Data_Entry!N608/Data_Entry!$H608&lt;0,0,Data_Entry!N608/Data_Entry!$H608),0)</f>
        <v>1.1287757692001938</v>
      </c>
      <c r="J619" s="49">
        <f>IFERROR(IF(Data_Entry!O608/Data_Entry!$H608&lt;0,0,Data_Entry!O608/Data_Entry!$H608),0)</f>
        <v>1.2199899727719268</v>
      </c>
      <c r="K619" s="49">
        <f>IFERROR(IF(Data_Entry!P608/Data_Entry!$H608&lt;0,0,Data_Entry!P608/Data_Entry!$H608),0)</f>
        <v>1.1477787282776384</v>
      </c>
      <c r="L619" s="49">
        <f>IFERROR(IF(Data_Entry!Q608/Data_Entry!$H608&lt;0,0,Data_Entry!Q608/Data_Entry!$H608),0)</f>
        <v>1.1287757692001938</v>
      </c>
      <c r="M619" s="49">
        <f>IFERROR(IF(Data_Entry!R608/Data_Entry!$H608&lt;0,0,Data_Entry!R608/Data_Entry!$H608),0)</f>
        <v>1.2199899727719268</v>
      </c>
      <c r="N619" s="49">
        <f>IFERROR(IF(Data_Entry!S608/Data_Entry!$H608&lt;0,0,Data_Entry!S608/Data_Entry!$H608),0)</f>
        <v>1.1477787282776384</v>
      </c>
      <c r="O619" s="49">
        <f>IFERROR(IF(Data_Entry!T608/Data_Entry!$H608&lt;0,0,Data_Entry!T608/Data_Entry!$H608),0)</f>
        <v>1.1287757692001938</v>
      </c>
      <c r="P619" s="49">
        <f>IFERROR(IF(Data_Entry!U608/Data_Entry!$H608&lt;0,0,Data_Entry!U608/Data_Entry!$H608),0)</f>
        <v>1.2199899727719268</v>
      </c>
      <c r="Q619" s="49">
        <f>IFERROR(IF(Data_Entry!V608/Data_Entry!$H608&lt;0,0,Data_Entry!V608/Data_Entry!$H608),0)</f>
        <v>1.1477787282776384</v>
      </c>
      <c r="R619" s="49">
        <f>IFERROR(IF(Data_Entry!W608/Data_Entry!$H608&lt;0,0,Data_Entry!W608/Data_Entry!$H608),0)</f>
        <v>1.1287757692001938</v>
      </c>
      <c r="S619" s="49">
        <f>IFERROR(IF(Data_Entry!X608/Data_Entry!$H608&lt;0,0,Data_Entry!X608/Data_Entry!$H608),0)</f>
        <v>1.014758014735528</v>
      </c>
      <c r="T619" s="49">
        <f>IFERROR(IF(Data_Entry!Y608/Data_Entry!$H608&lt;0,0,Data_Entry!Y608/Data_Entry!$H608),0)</f>
        <v>0.97675209658063922</v>
      </c>
      <c r="U619" s="49">
        <f>IFERROR(IF(Data_Entry!Z608/Data_Entry!$H608&lt;0,0,Data_Entry!Z608/Data_Entry!$H608),0)</f>
        <v>1.014758014735528</v>
      </c>
      <c r="V619" s="49">
        <f>IFERROR(IF(Data_Entry!AA608/Data_Entry!$H608&lt;0,0,Data_Entry!AA608/Data_Entry!$H608),0)</f>
        <v>1.1287757692001938</v>
      </c>
      <c r="W619" s="49">
        <f>IFERROR(IF(Data_Entry!AB608/Data_Entry!$H608&lt;0,0,Data_Entry!AB608/Data_Entry!$H608),0)</f>
        <v>0.95014795387221718</v>
      </c>
      <c r="X619" s="49">
        <f>IFERROR(IF(Data_Entry!AC608/Data_Entry!$I608&lt;0,0,Data_Entry!AC608/Data_Entry!$I608),0)</f>
        <v>0.22217309605394053</v>
      </c>
      <c r="Y619" s="49">
        <f>IFERROR(IF(Data_Entry!AD608/Data_Entry!$I608&lt;0,0,Data_Entry!AD608/Data_Entry!$I608),0)</f>
        <v>0.12600862164253343</v>
      </c>
      <c r="Z619" s="49">
        <f>IFERROR(IF(Data_Entry!AE608/Data_Entry!$I608&lt;0,0,Data_Entry!AE608/Data_Entry!$I608),0)</f>
        <v>0.19232894882281421</v>
      </c>
      <c r="AA619" s="49">
        <f>IFERROR(IF(Data_Entry!AF608/Data_Entry!$I608&lt;0,0,Data_Entry!AF608/Data_Entry!$I608),0)</f>
        <v>0.16248480159168785</v>
      </c>
      <c r="AB619" s="49">
        <f>IFERROR(IF(Data_Entry!AG608/Data_Entry!$I608&lt;0,0,Data_Entry!AG608/Data_Entry!$I608),0)</f>
        <v>0.14258870343760363</v>
      </c>
      <c r="AC619" s="49">
        <f>IFERROR(IF(Data_Entry!AI608/Data_Entry!$I608&lt;0,0,Data_Entry!AI608/Data_Entry!$I608),0)</f>
        <v>0.19332375373051841</v>
      </c>
      <c r="AD619" s="49">
        <f>IFERROR(IF(Data_Entry!AM608/Data_Entry!$H608&lt;0,0,Data_Entry!AM608/Data_Entry!$H608),0)</f>
        <v>1.014758014735528</v>
      </c>
      <c r="AE619" s="50">
        <f>Data_Entry!AK608</f>
        <v>0</v>
      </c>
      <c r="AF619" s="50">
        <f>Data_Entry!AL608</f>
        <v>54</v>
      </c>
      <c r="AG619" s="153">
        <f>(Data_Entry!O608-Data_Entry!Q608)/Data_Entry!O608</f>
        <v>7.476635514018691E-2</v>
      </c>
      <c r="AH619" s="79" t="str">
        <f t="shared" si="18"/>
        <v>CAT1</v>
      </c>
      <c r="AI619" s="51">
        <f>SUBTOTAL(3,Tableau1[[#This Row],[ZS]])</f>
        <v>0</v>
      </c>
      <c r="AJ619" s="51" t="e">
        <f t="shared" ca="1" si="19"/>
        <v>#NAME?</v>
      </c>
      <c r="AK619" s="50" t="str">
        <f>IFERROR(IF((Data_Entry!O608-Data_Entry!Q608)/Data_Entry!O608&lt;=10%,"&lt;=10%","&gt;10%"),"&lt;=10%")</f>
        <v>&lt;=10%</v>
      </c>
    </row>
    <row r="620" spans="1:37" s="48" customFormat="1" ht="13" hidden="1" x14ac:dyDescent="0.3">
      <c r="A620" s="31" t="s">
        <v>16</v>
      </c>
      <c r="B620" s="48" t="str">
        <f>Data_Entry!B609</f>
        <v>Goma</v>
      </c>
      <c r="C620" s="48" t="str">
        <f>Data_Entry!C609</f>
        <v xml:space="preserve"> Rutshuru</v>
      </c>
      <c r="D620" s="48" t="str">
        <f>Data_Entry!D609</f>
        <v xml:space="preserve"> Kinyandonyi</v>
      </c>
      <c r="E620" s="49">
        <f>IFERROR(IF(Data_Entry!J609/Data_Entry!$I609&lt;0,0,Data_Entry!J609/Data_Entry!$I609),0)</f>
        <v>0.92776090778328268</v>
      </c>
      <c r="F620" s="49">
        <f>IFERROR(IF(Data_Entry!K609/Data_Entry!$H609&lt;0,0,Data_Entry!K609/Data_Entry!$H609),0)</f>
        <v>0.41855700412100055</v>
      </c>
      <c r="G620" s="49">
        <f>IFERROR(IF(Data_Entry!L609/Data_Entry!$H609&lt;0,0,Data_Entry!L609/Data_Entry!$H609),0)</f>
        <v>0.78490886768423962</v>
      </c>
      <c r="H620" s="49">
        <f>IFERROR(IF(Data_Entry!M609/Data_Entry!$H609&lt;0,0,Data_Entry!M609/Data_Entry!$H609),0)</f>
        <v>0.74186252371555905</v>
      </c>
      <c r="I620" s="49">
        <f>IFERROR(IF(Data_Entry!N609/Data_Entry!$H609&lt;0,0,Data_Entry!N609/Data_Entry!$H609),0)</f>
        <v>0.71621789326613228</v>
      </c>
      <c r="J620" s="49">
        <f>IFERROR(IF(Data_Entry!O609/Data_Entry!$H609&lt;0,0,Data_Entry!O609/Data_Entry!$H609),0)</f>
        <v>0.78490886768423962</v>
      </c>
      <c r="K620" s="49">
        <f>IFERROR(IF(Data_Entry!P609/Data_Entry!$H609&lt;0,0,Data_Entry!P609/Data_Entry!$H609),0)</f>
        <v>0.75010544064573192</v>
      </c>
      <c r="L620" s="49">
        <f>IFERROR(IF(Data_Entry!Q609/Data_Entry!$H609&lt;0,0,Data_Entry!Q609/Data_Entry!$H609),0)</f>
        <v>0.72812432883193756</v>
      </c>
      <c r="M620" s="49">
        <f>IFERROR(IF(Data_Entry!R609/Data_Entry!$H609&lt;0,0,Data_Entry!R609/Data_Entry!$H609),0)</f>
        <v>0.78490886768423962</v>
      </c>
      <c r="N620" s="49">
        <f>IFERROR(IF(Data_Entry!S609/Data_Entry!$H609&lt;0,0,Data_Entry!S609/Data_Entry!$H609),0)</f>
        <v>0.75010544064573192</v>
      </c>
      <c r="O620" s="49">
        <f>IFERROR(IF(Data_Entry!T609/Data_Entry!$H609&lt;0,0,Data_Entry!T609/Data_Entry!$H609),0)</f>
        <v>0.72812432883193756</v>
      </c>
      <c r="P620" s="49">
        <f>IFERROR(IF(Data_Entry!U609/Data_Entry!$H609&lt;0,0,Data_Entry!U609/Data_Entry!$H609),0)</f>
        <v>0.78490886768423962</v>
      </c>
      <c r="Q620" s="49">
        <f>IFERROR(IF(Data_Entry!V609/Data_Entry!$H609&lt;0,0,Data_Entry!V609/Data_Entry!$H609),0)</f>
        <v>0.76842303382389388</v>
      </c>
      <c r="R620" s="49">
        <f>IFERROR(IF(Data_Entry!W609/Data_Entry!$H609&lt;0,0,Data_Entry!W609/Data_Entry!$H609),0)</f>
        <v>0.72812432883193756</v>
      </c>
      <c r="S620" s="49">
        <f>IFERROR(IF(Data_Entry!X609/Data_Entry!$H609&lt;0,0,Data_Entry!X609/Data_Entry!$H609),0)</f>
        <v>1.0706633212635661</v>
      </c>
      <c r="T620" s="49">
        <f>IFERROR(IF(Data_Entry!Y609/Data_Entry!$H609&lt;0,0,Data_Entry!Y609/Data_Entry!$H609),0)</f>
        <v>0.3278849178890989</v>
      </c>
      <c r="U620" s="49">
        <f>IFERROR(IF(Data_Entry!Z609/Data_Entry!$H609&lt;0,0,Data_Entry!Z609/Data_Entry!$H609),0)</f>
        <v>1.0706633212635661</v>
      </c>
      <c r="V620" s="49">
        <f>IFERROR(IF(Data_Entry!AA609/Data_Entry!$H609&lt;0,0,Data_Entry!AA609/Data_Entry!$H609),0)</f>
        <v>0.70522733735923515</v>
      </c>
      <c r="W620" s="49">
        <f>IFERROR(IF(Data_Entry!AB609/Data_Entry!$H609&lt;0,0,Data_Entry!AB609/Data_Entry!$H609),0)</f>
        <v>1.0706633212635661</v>
      </c>
      <c r="X620" s="49">
        <f>IFERROR(IF(Data_Entry!AC609/Data_Entry!$I609&lt;0,0,Data_Entry!AC609/Data_Entry!$I609),0)</f>
        <v>0.22694582068083743</v>
      </c>
      <c r="Y620" s="49">
        <f>IFERROR(IF(Data_Entry!AD609/Data_Entry!$I609&lt;0,0,Data_Entry!AD609/Data_Entry!$I609),0)</f>
        <v>0.15262905545788716</v>
      </c>
      <c r="Z620" s="49">
        <f>IFERROR(IF(Data_Entry!AE609/Data_Entry!$I609&lt;0,0,Data_Entry!AE609/Data_Entry!$I609),0)</f>
        <v>0.16781205050343614</v>
      </c>
      <c r="AA620" s="49">
        <f>IFERROR(IF(Data_Entry!AF609/Data_Entry!$I609&lt;0,0,Data_Entry!AF609/Data_Entry!$I609),0)</f>
        <v>0.15262905545788716</v>
      </c>
      <c r="AB620" s="49">
        <f>IFERROR(IF(Data_Entry!AG609/Data_Entry!$I609&lt;0,0,Data_Entry!AG609/Data_Entry!$I609),0)</f>
        <v>0.34761067604283202</v>
      </c>
      <c r="AC620" s="49">
        <f>IFERROR(IF(Data_Entry!AI609/Data_Entry!$I609&lt;0,0,Data_Entry!AI609/Data_Entry!$I609),0)</f>
        <v>4.6587821639763459E-2</v>
      </c>
      <c r="AD620" s="49">
        <f>IFERROR(IF(Data_Entry!AM609/Data_Entry!$H609&lt;0,0,Data_Entry!AM609/Data_Entry!$H609),0)</f>
        <v>1.0706633212635661</v>
      </c>
      <c r="AE620" s="50">
        <f>Data_Entry!AK609</f>
        <v>234.84649999999988</v>
      </c>
      <c r="AF620" s="50">
        <f>Data_Entry!AL609</f>
        <v>0</v>
      </c>
      <c r="AG620" s="153">
        <f>(Data_Entry!O609-Data_Entry!Q609)/Data_Entry!O609</f>
        <v>7.2345390898483075E-2</v>
      </c>
      <c r="AH620" s="79" t="str">
        <f t="shared" si="18"/>
        <v>CAT3</v>
      </c>
      <c r="AI620" s="51">
        <f>SUBTOTAL(3,Tableau1[[#This Row],[ZS]])</f>
        <v>0</v>
      </c>
      <c r="AJ620" s="51" t="e">
        <f t="shared" ca="1" si="19"/>
        <v>#NAME?</v>
      </c>
      <c r="AK620" s="50" t="str">
        <f>IFERROR(IF((Data_Entry!O609-Data_Entry!Q609)/Data_Entry!O609&lt;=10%,"&lt;=10%","&gt;10%"),"&lt;=10%")</f>
        <v>&lt;=10%</v>
      </c>
    </row>
    <row r="621" spans="1:37" s="48" customFormat="1" ht="13" hidden="1" x14ac:dyDescent="0.3">
      <c r="A621" s="31" t="s">
        <v>16</v>
      </c>
      <c r="B621" s="48" t="str">
        <f>Data_Entry!B610</f>
        <v>Goma</v>
      </c>
      <c r="C621" s="48" t="str">
        <f>Data_Entry!C610</f>
        <v xml:space="preserve"> Rutshuru</v>
      </c>
      <c r="D621" s="48" t="str">
        <f>Data_Entry!D610</f>
        <v xml:space="preserve"> Kiwanja</v>
      </c>
      <c r="E621" s="49">
        <f>IFERROR(IF(Data_Entry!J610/Data_Entry!$I610&lt;0,0,Data_Entry!J610/Data_Entry!$I610),0)</f>
        <v>0.84685956245589278</v>
      </c>
      <c r="F621" s="49">
        <f>IFERROR(IF(Data_Entry!K610/Data_Entry!$H610&lt;0,0,Data_Entry!K610/Data_Entry!$H610),0)</f>
        <v>0.21838785278232187</v>
      </c>
      <c r="G621" s="49">
        <f>IFERROR(IF(Data_Entry!L610/Data_Entry!$H610&lt;0,0,Data_Entry!L610/Data_Entry!$H610),0)</f>
        <v>0.75829115549417314</v>
      </c>
      <c r="H621" s="49">
        <f>IFERROR(IF(Data_Entry!M610/Data_Entry!$H610&lt;0,0,Data_Entry!M610/Data_Entry!$H610),0)</f>
        <v>0.76031326524215759</v>
      </c>
      <c r="I621" s="49">
        <f>IFERROR(IF(Data_Entry!N610/Data_Entry!$H610&lt;0,0,Data_Entry!N610/Data_Entry!$H610),0)</f>
        <v>0.73604794826634412</v>
      </c>
      <c r="J621" s="49">
        <f>IFERROR(IF(Data_Entry!O610/Data_Entry!$H610&lt;0,0,Data_Entry!O610/Data_Entry!$H610),0)</f>
        <v>0.85130820390145845</v>
      </c>
      <c r="K621" s="49">
        <f>IFERROR(IF(Data_Entry!P610/Data_Entry!$H610&lt;0,0,Data_Entry!P610/Data_Entry!$H610),0)</f>
        <v>0.845241874657505</v>
      </c>
      <c r="L621" s="49">
        <f>IFERROR(IF(Data_Entry!Q610/Data_Entry!$H610&lt;0,0,Data_Entry!Q610/Data_Entry!$H610),0)</f>
        <v>0.82097655768169153</v>
      </c>
      <c r="M621" s="49">
        <f>IFERROR(IF(Data_Entry!R610/Data_Entry!$H610&lt;0,0,Data_Entry!R610/Data_Entry!$H610),0)</f>
        <v>0.85130820390145845</v>
      </c>
      <c r="N621" s="49">
        <f>IFERROR(IF(Data_Entry!S610/Data_Entry!$H610&lt;0,0,Data_Entry!S610/Data_Entry!$H610),0)</f>
        <v>0.845241874657505</v>
      </c>
      <c r="O621" s="49">
        <f>IFERROR(IF(Data_Entry!T610/Data_Entry!$H610&lt;0,0,Data_Entry!T610/Data_Entry!$H610),0)</f>
        <v>0.82097655768169153</v>
      </c>
      <c r="P621" s="49">
        <f>IFERROR(IF(Data_Entry!U610/Data_Entry!$H610&lt;0,0,Data_Entry!U610/Data_Entry!$H610),0)</f>
        <v>0.85130820390145845</v>
      </c>
      <c r="Q621" s="49">
        <f>IFERROR(IF(Data_Entry!V610/Data_Entry!$H610&lt;0,0,Data_Entry!V610/Data_Entry!$H610),0)</f>
        <v>0.845241874657505</v>
      </c>
      <c r="R621" s="49">
        <f>IFERROR(IF(Data_Entry!W610/Data_Entry!$H610&lt;0,0,Data_Entry!W610/Data_Entry!$H610),0)</f>
        <v>0.82097655768169153</v>
      </c>
      <c r="S621" s="49">
        <f>IFERROR(IF(Data_Entry!X610/Data_Entry!$H610&lt;0,0,Data_Entry!X610/Data_Entry!$H610),0)</f>
        <v>0.85535242339742734</v>
      </c>
      <c r="T621" s="49">
        <f>IFERROR(IF(Data_Entry!Y610/Data_Entry!$H610&lt;0,0,Data_Entry!Y610/Data_Entry!$H610),0)</f>
        <v>0.49946110775216207</v>
      </c>
      <c r="U621" s="49">
        <f>IFERROR(IF(Data_Entry!Z610/Data_Entry!$H610&lt;0,0,Data_Entry!Z610/Data_Entry!$H610),0)</f>
        <v>0.85535242339742734</v>
      </c>
      <c r="V621" s="49">
        <f>IFERROR(IF(Data_Entry!AA610/Data_Entry!$H610&lt;0,0,Data_Entry!AA610/Data_Entry!$H610),0)</f>
        <v>0.82097655768169153</v>
      </c>
      <c r="W621" s="49">
        <f>IFERROR(IF(Data_Entry!AB610/Data_Entry!$H610&lt;0,0,Data_Entry!AB610/Data_Entry!$H610),0)</f>
        <v>0.85535242339742734</v>
      </c>
      <c r="X621" s="49">
        <f>IFERROR(IF(Data_Entry!AC610/Data_Entry!$I610&lt;0,0,Data_Entry!AC610/Data_Entry!$I610),0)</f>
        <v>0.28757939308398028</v>
      </c>
      <c r="Y621" s="49">
        <f>IFERROR(IF(Data_Entry!AD610/Data_Entry!$I610&lt;0,0,Data_Entry!AD610/Data_Entry!$I610),0)</f>
        <v>0.3369795342272407</v>
      </c>
      <c r="Z621" s="49">
        <f>IFERROR(IF(Data_Entry!AE610/Data_Entry!$I610&lt;0,0,Data_Entry!AE610/Data_Entry!$I610),0)</f>
        <v>0.22935779816513763</v>
      </c>
      <c r="AA621" s="49">
        <f>IFERROR(IF(Data_Entry!AF610/Data_Entry!$I610&lt;0,0,Data_Entry!AF610/Data_Entry!$I610),0)</f>
        <v>0.16231474947071278</v>
      </c>
      <c r="AB621" s="49">
        <f>IFERROR(IF(Data_Entry!AG610/Data_Entry!$I610&lt;0,0,Data_Entry!AG610/Data_Entry!$I610),0)</f>
        <v>0.11115031757233593</v>
      </c>
      <c r="AC621" s="49">
        <f>IFERROR(IF(Data_Entry!AI610/Data_Entry!$I610&lt;0,0,Data_Entry!AI610/Data_Entry!$I610),0)</f>
        <v>0.10285815102328864</v>
      </c>
      <c r="AD621" s="49">
        <f>IFERROR(IF(Data_Entry!AM610/Data_Entry!$H610&lt;0,0,Data_Entry!AM610/Data_Entry!$H610),0)</f>
        <v>0.85535242339742734</v>
      </c>
      <c r="AE621" s="50">
        <f>Data_Entry!AK610</f>
        <v>73.533000000000072</v>
      </c>
      <c r="AF621" s="50">
        <f>Data_Entry!AL610</f>
        <v>0</v>
      </c>
      <c r="AG621" s="153">
        <f>(Data_Entry!O610-Data_Entry!Q610)/Data_Entry!O610</f>
        <v>3.5629453681710214E-2</v>
      </c>
      <c r="AH621" s="79" t="str">
        <f t="shared" si="18"/>
        <v>CAT3</v>
      </c>
      <c r="AI621" s="51">
        <f>SUBTOTAL(3,Tableau1[[#This Row],[ZS]])</f>
        <v>0</v>
      </c>
      <c r="AJ621" s="51" t="e">
        <f t="shared" ca="1" si="19"/>
        <v>#NAME?</v>
      </c>
      <c r="AK621" s="50" t="str">
        <f>IFERROR(IF((Data_Entry!O610-Data_Entry!Q610)/Data_Entry!O610&lt;=10%,"&lt;=10%","&gt;10%"),"&lt;=10%")</f>
        <v>&lt;=10%</v>
      </c>
    </row>
    <row r="622" spans="1:37" s="48" customFormat="1" ht="13" hidden="1" x14ac:dyDescent="0.3">
      <c r="A622" s="31" t="s">
        <v>16</v>
      </c>
      <c r="B622" s="48" t="str">
        <f>Data_Entry!B611</f>
        <v>Goma</v>
      </c>
      <c r="C622" s="48" t="str">
        <f>Data_Entry!C611</f>
        <v xml:space="preserve"> Rutshuru</v>
      </c>
      <c r="D622" s="48" t="str">
        <f>Data_Entry!D611</f>
        <v xml:space="preserve"> Mabungo</v>
      </c>
      <c r="E622" s="49">
        <f>IFERROR(IF(Data_Entry!J611/Data_Entry!$I611&lt;0,0,Data_Entry!J611/Data_Entry!$I611),0)</f>
        <v>1.1846489243552301</v>
      </c>
      <c r="F622" s="49">
        <f>IFERROR(IF(Data_Entry!K611/Data_Entry!$H611&lt;0,0,Data_Entry!K611/Data_Entry!$H611),0)</f>
        <v>0.85567406785448208</v>
      </c>
      <c r="G622" s="49">
        <f>IFERROR(IF(Data_Entry!L611/Data_Entry!$H611&lt;0,0,Data_Entry!L611/Data_Entry!$H611),0)</f>
        <v>1.2375451394589616</v>
      </c>
      <c r="H622" s="49">
        <f>IFERROR(IF(Data_Entry!M611/Data_Entry!$H611&lt;0,0,Data_Entry!M611/Data_Entry!$H611),0)</f>
        <v>1.1880433338806031</v>
      </c>
      <c r="I622" s="49">
        <f>IFERROR(IF(Data_Entry!N611/Data_Entry!$H611&lt;0,0,Data_Entry!N611/Data_Entry!$H611),0)</f>
        <v>1.1639995997425434</v>
      </c>
      <c r="J622" s="49">
        <f>IFERROR(IF(Data_Entry!O611/Data_Entry!$H611&lt;0,0,Data_Entry!O611/Data_Entry!$H611),0)</f>
        <v>1.3860505561940371</v>
      </c>
      <c r="K622" s="49">
        <f>IFERROR(IF(Data_Entry!P611/Data_Entry!$H611&lt;0,0,Data_Entry!P611/Data_Entry!$H611),0)</f>
        <v>1.3323057387089621</v>
      </c>
      <c r="L622" s="49">
        <f>IFERROR(IF(Data_Entry!Q611/Data_Entry!$H611&lt;0,0,Data_Entry!Q611/Data_Entry!$H611),0)</f>
        <v>1.3040189926641859</v>
      </c>
      <c r="M622" s="49">
        <f>IFERROR(IF(Data_Entry!R611/Data_Entry!$H611&lt;0,0,Data_Entry!R611/Data_Entry!$H611),0)</f>
        <v>1.3860505561940371</v>
      </c>
      <c r="N622" s="49">
        <f>IFERROR(IF(Data_Entry!S611/Data_Entry!$H611&lt;0,0,Data_Entry!S611/Data_Entry!$H611),0)</f>
        <v>1.3323057387089621</v>
      </c>
      <c r="O622" s="49">
        <f>IFERROR(IF(Data_Entry!T611/Data_Entry!$H611&lt;0,0,Data_Entry!T611/Data_Entry!$H611),0)</f>
        <v>1.3040189926641859</v>
      </c>
      <c r="P622" s="49">
        <f>IFERROR(IF(Data_Entry!U611/Data_Entry!$H611&lt;0,0,Data_Entry!U611/Data_Entry!$H611),0)</f>
        <v>1.31109067917538</v>
      </c>
      <c r="Q622" s="49">
        <f>IFERROR(IF(Data_Entry!V611/Data_Entry!$H611&lt;0,0,Data_Entry!V611/Data_Entry!$H611),0)</f>
        <v>1.2559315243880662</v>
      </c>
      <c r="R622" s="49">
        <f>IFERROR(IF(Data_Entry!W611/Data_Entry!$H611&lt;0,0,Data_Entry!W611/Data_Entry!$H611),0)</f>
        <v>1.2262304410410512</v>
      </c>
      <c r="S622" s="49">
        <f>IFERROR(IF(Data_Entry!X611/Data_Entry!$H611&lt;0,0,Data_Entry!X611/Data_Entry!$H611),0)</f>
        <v>1.1866289965783643</v>
      </c>
      <c r="T622" s="49">
        <f>IFERROR(IF(Data_Entry!Y611/Data_Entry!$H611&lt;0,0,Data_Entry!Y611/Data_Entry!$H611),0)</f>
        <v>0.8797178019925419</v>
      </c>
      <c r="U622" s="49">
        <f>IFERROR(IF(Data_Entry!Z611/Data_Entry!$H611&lt;0,0,Data_Entry!Z611/Data_Entry!$H611),0)</f>
        <v>1.1866289965783643</v>
      </c>
      <c r="V622" s="49">
        <f>IFERROR(IF(Data_Entry!AA611/Data_Entry!$H611&lt;0,0,Data_Entry!AA611/Data_Entry!$H611),0)</f>
        <v>1.257345861690305</v>
      </c>
      <c r="W622" s="49">
        <f>IFERROR(IF(Data_Entry!AB611/Data_Entry!$H611&lt;0,0,Data_Entry!AB611/Data_Entry!$H611),0)</f>
        <v>1.1866289965783643</v>
      </c>
      <c r="X622" s="49">
        <f>IFERROR(IF(Data_Entry!AC611/Data_Entry!$I611&lt;0,0,Data_Entry!AC611/Data_Entry!$I611),0)</f>
        <v>0.31097034264324785</v>
      </c>
      <c r="Y622" s="49">
        <f>IFERROR(IF(Data_Entry!AD611/Data_Entry!$I611&lt;0,0,Data_Entry!AD611/Data_Entry!$I611),0)</f>
        <v>0.30233227756982434</v>
      </c>
      <c r="Z622" s="49">
        <f>IFERROR(IF(Data_Entry!AE611/Data_Entry!$I611&lt;0,0,Data_Entry!AE611/Data_Entry!$I611),0)</f>
        <v>0.24186582205585946</v>
      </c>
      <c r="AA622" s="49">
        <f>IFERROR(IF(Data_Entry!AF611/Data_Entry!$I611&lt;0,0,Data_Entry!AF611/Data_Entry!$I611),0)</f>
        <v>0.21348360824318208</v>
      </c>
      <c r="AB622" s="49">
        <f>IFERROR(IF(Data_Entry!AG611/Data_Entry!$I611&lt;0,0,Data_Entry!AG611/Data_Entry!$I611),0)</f>
        <v>0.23569577557484264</v>
      </c>
      <c r="AC622" s="49">
        <f>IFERROR(IF(Data_Entry!AI611/Data_Entry!$I611&lt;0,0,Data_Entry!AI611/Data_Entry!$I611),0)</f>
        <v>7.1942741968656146E-2</v>
      </c>
      <c r="AD622" s="49">
        <f>IFERROR(IF(Data_Entry!AM611/Data_Entry!$H611&lt;0,0,Data_Entry!AM611/Data_Entry!$H611),0)</f>
        <v>1.1866289965783643</v>
      </c>
      <c r="AE622" s="50">
        <f>Data_Entry!AK611</f>
        <v>0</v>
      </c>
      <c r="AF622" s="50">
        <f>Data_Entry!AL611</f>
        <v>141</v>
      </c>
      <c r="AG622" s="153">
        <f>(Data_Entry!O611-Data_Entry!Q611)/Data_Entry!O611</f>
        <v>5.9183673469387757E-2</v>
      </c>
      <c r="AH622" s="79" t="str">
        <f t="shared" si="18"/>
        <v>CAT1</v>
      </c>
      <c r="AI622" s="51">
        <f>SUBTOTAL(3,Tableau1[[#This Row],[ZS]])</f>
        <v>0</v>
      </c>
      <c r="AJ622" s="51" t="e">
        <f t="shared" ca="1" si="19"/>
        <v>#NAME?</v>
      </c>
      <c r="AK622" s="50" t="str">
        <f>IFERROR(IF((Data_Entry!O611-Data_Entry!Q611)/Data_Entry!O611&lt;=10%,"&lt;=10%","&gt;10%"),"&lt;=10%")</f>
        <v>&lt;=10%</v>
      </c>
    </row>
    <row r="623" spans="1:37" s="48" customFormat="1" ht="13" hidden="1" x14ac:dyDescent="0.3">
      <c r="A623" s="31" t="s">
        <v>16</v>
      </c>
      <c r="B623" s="48" t="str">
        <f>Data_Entry!B612</f>
        <v>Goma</v>
      </c>
      <c r="C623" s="48" t="str">
        <f>Data_Entry!C612</f>
        <v xml:space="preserve"> Rutshuru</v>
      </c>
      <c r="D623" s="48" t="str">
        <f>Data_Entry!D612</f>
        <v xml:space="preserve"> Mapendo</v>
      </c>
      <c r="E623" s="49">
        <f>IFERROR(IF(Data_Entry!J612/Data_Entry!$I612&lt;0,0,Data_Entry!J612/Data_Entry!$I612),0)</f>
        <v>1.2680191200270992</v>
      </c>
      <c r="F623" s="49">
        <f>IFERROR(IF(Data_Entry!K612/Data_Entry!$H612&lt;0,0,Data_Entry!K612/Data_Entry!$H612),0)</f>
        <v>0.99648630731831844</v>
      </c>
      <c r="G623" s="49">
        <f>IFERROR(IF(Data_Entry!L612/Data_Entry!$H612&lt;0,0,Data_Entry!L612/Data_Entry!$H612),0)</f>
        <v>1.0547225200836747</v>
      </c>
      <c r="H623" s="49">
        <f>IFERROR(IF(Data_Entry!M612/Data_Entry!$H612&lt;0,0,Data_Entry!M612/Data_Entry!$H612),0)</f>
        <v>1.0586049342680319</v>
      </c>
      <c r="I623" s="49">
        <f>IFERROR(IF(Data_Entry!N612/Data_Entry!$H612&lt;0,0,Data_Entry!N612/Data_Entry!$H612),0)</f>
        <v>1.0314280349775322</v>
      </c>
      <c r="J623" s="49">
        <f>IFERROR(IF(Data_Entry!O612/Data_Entry!$H612&lt;0,0,Data_Entry!O612/Data_Entry!$H612),0)</f>
        <v>1.1168411470333881</v>
      </c>
      <c r="K623" s="49">
        <f>IFERROR(IF(Data_Entry!P612/Data_Entry!$H612&lt;0,0,Data_Entry!P612/Data_Entry!$H612),0)</f>
        <v>1.0909583858043408</v>
      </c>
      <c r="L623" s="49">
        <f>IFERROR(IF(Data_Entry!Q612/Data_Entry!$H612&lt;0,0,Data_Entry!Q612/Data_Entry!$H612),0)</f>
        <v>1.0521342439607699</v>
      </c>
      <c r="M623" s="49">
        <f>IFERROR(IF(Data_Entry!R612/Data_Entry!$H612&lt;0,0,Data_Entry!R612/Data_Entry!$H612),0)</f>
        <v>1.1168411470333881</v>
      </c>
      <c r="N623" s="49">
        <f>IFERROR(IF(Data_Entry!S612/Data_Entry!$H612&lt;0,0,Data_Entry!S612/Data_Entry!$H612),0)</f>
        <v>1.0935466619272456</v>
      </c>
      <c r="O623" s="49">
        <f>IFERROR(IF(Data_Entry!T612/Data_Entry!$H612&lt;0,0,Data_Entry!T612/Data_Entry!$H612),0)</f>
        <v>1.0521342439607699</v>
      </c>
      <c r="P623" s="49">
        <f>IFERROR(IF(Data_Entry!U612/Data_Entry!$H612&lt;0,0,Data_Entry!U612/Data_Entry!$H612),0)</f>
        <v>1.1168411470333881</v>
      </c>
      <c r="Q623" s="49">
        <f>IFERROR(IF(Data_Entry!V612/Data_Entry!$H612&lt;0,0,Data_Entry!V612/Data_Entry!$H612),0)</f>
        <v>1.0909583858043408</v>
      </c>
      <c r="R623" s="49">
        <f>IFERROR(IF(Data_Entry!W612/Data_Entry!$H612&lt;0,0,Data_Entry!W612/Data_Entry!$H612),0)</f>
        <v>1.0521342439607699</v>
      </c>
      <c r="S623" s="49">
        <f>IFERROR(IF(Data_Entry!X612/Data_Entry!$H612&lt;0,0,Data_Entry!X612/Data_Entry!$H612),0)</f>
        <v>1.1246059754021023</v>
      </c>
      <c r="T623" s="49">
        <f>IFERROR(IF(Data_Entry!Y612/Data_Entry!$H612&lt;0,0,Data_Entry!Y612/Data_Entry!$H612),0)</f>
        <v>1.1375473560166258</v>
      </c>
      <c r="U623" s="49">
        <f>IFERROR(IF(Data_Entry!Z612/Data_Entry!$H612&lt;0,0,Data_Entry!Z612/Data_Entry!$H612),0)</f>
        <v>1.1246059754021023</v>
      </c>
      <c r="V623" s="49">
        <f>IFERROR(IF(Data_Entry!AA612/Data_Entry!$H612&lt;0,0,Data_Entry!AA612/Data_Entry!$H612),0)</f>
        <v>1.0521342439607699</v>
      </c>
      <c r="W623" s="49">
        <f>IFERROR(IF(Data_Entry!AB612/Data_Entry!$H612&lt;0,0,Data_Entry!AB612/Data_Entry!$H612),0)</f>
        <v>1.1246059754021023</v>
      </c>
      <c r="X623" s="49">
        <f>IFERROR(IF(Data_Entry!AC612/Data_Entry!$I612&lt;0,0,Data_Entry!AC612/Data_Entry!$I612),0)</f>
        <v>0.19985697617524181</v>
      </c>
      <c r="Y623" s="49">
        <f>IFERROR(IF(Data_Entry!AD612/Data_Entry!$I612&lt;0,0,Data_Entry!AD612/Data_Entry!$I612),0)</f>
        <v>0.25066807181301515</v>
      </c>
      <c r="Z623" s="49">
        <f>IFERROR(IF(Data_Entry!AE612/Data_Entry!$I612&lt;0,0,Data_Entry!AE612/Data_Entry!$I612),0)</f>
        <v>0.25857202002333546</v>
      </c>
      <c r="AA623" s="49">
        <f>IFERROR(IF(Data_Entry!AF612/Data_Entry!$I612&lt;0,0,Data_Entry!AF612/Data_Entry!$I612),0)</f>
        <v>0.21679400805449961</v>
      </c>
      <c r="AB623" s="49">
        <f>IFERROR(IF(Data_Entry!AG612/Data_Entry!$I612&lt;0,0,Data_Entry!AG612/Data_Entry!$I612),0)</f>
        <v>0.22921449809928865</v>
      </c>
      <c r="AC623" s="49">
        <f>IFERROR(IF(Data_Entry!AI612/Data_Entry!$I612&lt;0,0,Data_Entry!AI612/Data_Entry!$I612),0)</f>
        <v>6.5828597237381908E-2</v>
      </c>
      <c r="AD623" s="49">
        <f>IFERROR(IF(Data_Entry!AM612/Data_Entry!$H612&lt;0,0,Data_Entry!AM612/Data_Entry!$H612),0)</f>
        <v>1.1246059754021023</v>
      </c>
      <c r="AE623" s="50">
        <f>Data_Entry!AK612</f>
        <v>0</v>
      </c>
      <c r="AF623" s="50">
        <f>Data_Entry!AL612</f>
        <v>0</v>
      </c>
      <c r="AG623" s="153">
        <f>(Data_Entry!O612-Data_Entry!Q612)/Data_Entry!O612</f>
        <v>5.7937427578215531E-2</v>
      </c>
      <c r="AH623" s="79" t="str">
        <f t="shared" si="18"/>
        <v>CAT1</v>
      </c>
      <c r="AI623" s="51">
        <f>SUBTOTAL(3,Tableau1[[#This Row],[ZS]])</f>
        <v>0</v>
      </c>
      <c r="AJ623" s="51" t="e">
        <f t="shared" ca="1" si="19"/>
        <v>#NAME?</v>
      </c>
      <c r="AK623" s="50" t="str">
        <f>IFERROR(IF((Data_Entry!O612-Data_Entry!Q612)/Data_Entry!O612&lt;=10%,"&lt;=10%","&gt;10%"),"&lt;=10%")</f>
        <v>&lt;=10%</v>
      </c>
    </row>
    <row r="624" spans="1:37" s="48" customFormat="1" ht="13" hidden="1" x14ac:dyDescent="0.3">
      <c r="A624" s="31" t="s">
        <v>16</v>
      </c>
      <c r="B624" s="48" t="str">
        <f>Data_Entry!B613</f>
        <v>Goma</v>
      </c>
      <c r="C624" s="48" t="str">
        <f>Data_Entry!C613</f>
        <v xml:space="preserve"> Rutshuru</v>
      </c>
      <c r="D624" s="48" t="str">
        <f>Data_Entry!D613</f>
        <v xml:space="preserve"> Murambi</v>
      </c>
      <c r="E624" s="49">
        <f>IFERROR(IF(Data_Entry!J613/Data_Entry!$I613&lt;0,0,Data_Entry!J613/Data_Entry!$I613),0)</f>
        <v>1.006828866545417</v>
      </c>
      <c r="F624" s="49">
        <f>IFERROR(IF(Data_Entry!K613/Data_Entry!$H613&lt;0,0,Data_Entry!K613/Data_Entry!$H613),0)</f>
        <v>0.49202528679597446</v>
      </c>
      <c r="G624" s="49">
        <f>IFERROR(IF(Data_Entry!L613/Data_Entry!$H613&lt;0,0,Data_Entry!L613/Data_Entry!$H613),0)</f>
        <v>0.80352331009126765</v>
      </c>
      <c r="H624" s="49">
        <f>IFERROR(IF(Data_Entry!M613/Data_Entry!$H613&lt;0,0,Data_Entry!M613/Data_Entry!$H613),0)</f>
        <v>0.72918855453216358</v>
      </c>
      <c r="I624" s="49">
        <f>IFERROR(IF(Data_Entry!N613/Data_Entry!$H613&lt;0,0,Data_Entry!N613/Data_Entry!$H613),0)</f>
        <v>0.74806722261066616</v>
      </c>
      <c r="J624" s="49">
        <f>IFERROR(IF(Data_Entry!O613/Data_Entry!$H613&lt;0,0,Data_Entry!O613/Data_Entry!$H613),0)</f>
        <v>1.0524857453765208</v>
      </c>
      <c r="K624" s="49">
        <f>IFERROR(IF(Data_Entry!P613/Data_Entry!$H613&lt;0,0,Data_Entry!P613/Data_Entry!$H613),0)</f>
        <v>1.0088288254449835</v>
      </c>
      <c r="L624" s="49">
        <f>IFERROR(IF(Data_Entry!Q613/Data_Entry!$H613&lt;0,0,Data_Entry!Q613/Data_Entry!$H613),0)</f>
        <v>0.9993894914057323</v>
      </c>
      <c r="M624" s="49">
        <f>IFERROR(IF(Data_Entry!R613/Data_Entry!$H613&lt;0,0,Data_Entry!R613/Data_Entry!$H613),0)</f>
        <v>1.0524857453765208</v>
      </c>
      <c r="N624" s="49">
        <f>IFERROR(IF(Data_Entry!S613/Data_Entry!$H613&lt;0,0,Data_Entry!S613/Data_Entry!$H613),0)</f>
        <v>1.0088288254449835</v>
      </c>
      <c r="O624" s="49">
        <f>IFERROR(IF(Data_Entry!T613/Data_Entry!$H613&lt;0,0,Data_Entry!T613/Data_Entry!$H613),0)</f>
        <v>0.9993894914057323</v>
      </c>
      <c r="P624" s="49">
        <f>IFERROR(IF(Data_Entry!U613/Data_Entry!$H613&lt;0,0,Data_Entry!U613/Data_Entry!$H613),0)</f>
        <v>1.0524857453765208</v>
      </c>
      <c r="Q624" s="49">
        <f>IFERROR(IF(Data_Entry!V613/Data_Entry!$H613&lt;0,0,Data_Entry!V613/Data_Entry!$H613),0)</f>
        <v>1.0088288254449835</v>
      </c>
      <c r="R624" s="49">
        <f>IFERROR(IF(Data_Entry!W613/Data_Entry!$H613&lt;0,0,Data_Entry!W613/Data_Entry!$H613),0)</f>
        <v>0.9993894914057323</v>
      </c>
      <c r="S624" s="49">
        <f>IFERROR(IF(Data_Entry!X613/Data_Entry!$H613&lt;0,0,Data_Entry!X613/Data_Entry!$H613),0)</f>
        <v>0.95927232173891419</v>
      </c>
      <c r="T624" s="49">
        <f>IFERROR(IF(Data_Entry!Y613/Data_Entry!$H613&lt;0,0,Data_Entry!Y613/Data_Entry!$H613),0)</f>
        <v>6.0175754500227094E-2</v>
      </c>
      <c r="U624" s="49">
        <f>IFERROR(IF(Data_Entry!Z613/Data_Entry!$H613&lt;0,0,Data_Entry!Z613/Data_Entry!$H613),0)</f>
        <v>0.95927232173891419</v>
      </c>
      <c r="V624" s="49">
        <f>IFERROR(IF(Data_Entry!AA613/Data_Entry!$H613&lt;0,0,Data_Entry!AA613/Data_Entry!$H613),0)</f>
        <v>0.9993894914057323</v>
      </c>
      <c r="W624" s="49">
        <f>IFERROR(IF(Data_Entry!AB613/Data_Entry!$H613&lt;0,0,Data_Entry!AB613/Data_Entry!$H613),0)</f>
        <v>0.86605889810130754</v>
      </c>
      <c r="X624" s="49">
        <f>IFERROR(IF(Data_Entry!AC613/Data_Entry!$I613&lt;0,0,Data_Entry!AC613/Data_Entry!$I613),0)</f>
        <v>0.13486153529391579</v>
      </c>
      <c r="Y624" s="49">
        <f>IFERROR(IF(Data_Entry!AD613/Data_Entry!$I613&lt;0,0,Data_Entry!AD613/Data_Entry!$I613),0)</f>
        <v>0.12559623897601319</v>
      </c>
      <c r="Z624" s="49">
        <f>IFERROR(IF(Data_Entry!AE613/Data_Entry!$I613&lt;0,0,Data_Entry!AE613/Data_Entry!$I613),0)</f>
        <v>0.16059846951031193</v>
      </c>
      <c r="AA624" s="49">
        <f>IFERROR(IF(Data_Entry!AF613/Data_Entry!$I613&lt;0,0,Data_Entry!AF613/Data_Entry!$I613),0)</f>
        <v>0.19148279056998729</v>
      </c>
      <c r="AB624" s="49">
        <f>IFERROR(IF(Data_Entry!AG613/Data_Entry!$I613&lt;0,0,Data_Entry!AG613/Data_Entry!$I613),0)</f>
        <v>0.35208126008029922</v>
      </c>
      <c r="AC624" s="49">
        <f>IFERROR(IF(Data_Entry!AI613/Data_Entry!$I613&lt;0,0,Data_Entry!AI613/Data_Entry!$I613),0)</f>
        <v>6.0018530592635802E-2</v>
      </c>
      <c r="AD624" s="49">
        <f>IFERROR(IF(Data_Entry!AM613/Data_Entry!$H613&lt;0,0,Data_Entry!AM613/Data_Entry!$H613),0)</f>
        <v>0.95927232173891419</v>
      </c>
      <c r="AE624" s="50">
        <f>Data_Entry!AK613</f>
        <v>0</v>
      </c>
      <c r="AF624" s="50">
        <f>Data_Entry!AL613</f>
        <v>79</v>
      </c>
      <c r="AG624" s="153">
        <f>(Data_Entry!O613-Data_Entry!Q613)/Data_Entry!O613</f>
        <v>5.0448430493273543E-2</v>
      </c>
      <c r="AH624" s="79" t="str">
        <f t="shared" si="18"/>
        <v>CAT1</v>
      </c>
      <c r="AI624" s="51">
        <f>SUBTOTAL(3,Tableau1[[#This Row],[ZS]])</f>
        <v>0</v>
      </c>
      <c r="AJ624" s="51" t="e">
        <f t="shared" ca="1" si="19"/>
        <v>#NAME?</v>
      </c>
      <c r="AK624" s="50" t="str">
        <f>IFERROR(IF((Data_Entry!O613-Data_Entry!Q613)/Data_Entry!O613&lt;=10%,"&lt;=10%","&gt;10%"),"&lt;=10%")</f>
        <v>&lt;=10%</v>
      </c>
    </row>
    <row r="625" spans="1:37" s="48" customFormat="1" ht="13" hidden="1" x14ac:dyDescent="0.3">
      <c r="A625" s="31" t="s">
        <v>16</v>
      </c>
      <c r="B625" s="48" t="str">
        <f>Data_Entry!B614</f>
        <v>Goma</v>
      </c>
      <c r="C625" s="48" t="str">
        <f>Data_Entry!C614</f>
        <v xml:space="preserve"> Rutshuru</v>
      </c>
      <c r="D625" s="48" t="str">
        <f>Data_Entry!D614</f>
        <v xml:space="preserve"> Rubare</v>
      </c>
      <c r="E625" s="49">
        <f>IFERROR(IF(Data_Entry!J614/Data_Entry!$I614&lt;0,0,Data_Entry!J614/Data_Entry!$I614),0)</f>
        <v>0.78032488234401087</v>
      </c>
      <c r="F625" s="49">
        <f>IFERROR(IF(Data_Entry!K614/Data_Entry!$H614&lt;0,0,Data_Entry!K614/Data_Entry!$H614),0)</f>
        <v>0.69773622873568364</v>
      </c>
      <c r="G625" s="49">
        <f>IFERROR(IF(Data_Entry!L614/Data_Entry!$H614&lt;0,0,Data_Entry!L614/Data_Entry!$H614),0)</f>
        <v>0.90827509077313429</v>
      </c>
      <c r="H625" s="49">
        <f>IFERROR(IF(Data_Entry!M614/Data_Entry!$H614&lt;0,0,Data_Entry!M614/Data_Entry!$H614),0)</f>
        <v>0.9021851236894064</v>
      </c>
      <c r="I625" s="49">
        <f>IFERROR(IF(Data_Entry!N614/Data_Entry!$H614&lt;0,0,Data_Entry!N614/Data_Entry!$H614),0)</f>
        <v>0.88391522243822263</v>
      </c>
      <c r="J625" s="49">
        <f>IFERROR(IF(Data_Entry!O614/Data_Entry!$H614&lt;0,0,Data_Entry!O614/Data_Entry!$H614),0)</f>
        <v>1.0057145641127809</v>
      </c>
      <c r="K625" s="49">
        <f>IFERROR(IF(Data_Entry!P614/Data_Entry!$H614&lt;0,0,Data_Entry!P614/Data_Entry!$H614),0)</f>
        <v>0.99614461583835123</v>
      </c>
      <c r="L625" s="49">
        <f>IFERROR(IF(Data_Entry!Q614/Data_Entry!$H614&lt;0,0,Data_Entry!Q614/Data_Entry!$H614),0)</f>
        <v>0.97787471458716757</v>
      </c>
      <c r="M625" s="49">
        <f>IFERROR(IF(Data_Entry!R614/Data_Entry!$H614&lt;0,0,Data_Entry!R614/Data_Entry!$H614),0)</f>
        <v>1.0057145641127809</v>
      </c>
      <c r="N625" s="49">
        <f>IFERROR(IF(Data_Entry!S614/Data_Entry!$H614&lt;0,0,Data_Entry!S614/Data_Entry!$H614),0)</f>
        <v>0.99353462994532504</v>
      </c>
      <c r="O625" s="49">
        <f>IFERROR(IF(Data_Entry!T614/Data_Entry!$H614&lt;0,0,Data_Entry!T614/Data_Entry!$H614),0)</f>
        <v>0.97787471458716757</v>
      </c>
      <c r="P625" s="49">
        <f>IFERROR(IF(Data_Entry!U614/Data_Entry!$H614&lt;0,0,Data_Entry!U614/Data_Entry!$H614),0)</f>
        <v>1.0057145641127809</v>
      </c>
      <c r="Q625" s="49">
        <f>IFERROR(IF(Data_Entry!V614/Data_Entry!$H614&lt;0,0,Data_Entry!V614/Data_Entry!$H614),0)</f>
        <v>0.99353462994532504</v>
      </c>
      <c r="R625" s="49">
        <f>IFERROR(IF(Data_Entry!W614/Data_Entry!$H614&lt;0,0,Data_Entry!W614/Data_Entry!$H614),0)</f>
        <v>0.97961470518251836</v>
      </c>
      <c r="S625" s="49">
        <f>IFERROR(IF(Data_Entry!X614/Data_Entry!$H614&lt;0,0,Data_Entry!X614/Data_Entry!$H614),0)</f>
        <v>0.99701461113602674</v>
      </c>
      <c r="T625" s="49">
        <f>IFERROR(IF(Data_Entry!Y614/Data_Entry!$H614&lt;0,0,Data_Entry!Y614/Data_Entry!$H614),0)</f>
        <v>0.91610504845221297</v>
      </c>
      <c r="U625" s="49">
        <f>IFERROR(IF(Data_Entry!Z614/Data_Entry!$H614&lt;0,0,Data_Entry!Z614/Data_Entry!$H614),0)</f>
        <v>0.9030551189870818</v>
      </c>
      <c r="V625" s="49">
        <f>IFERROR(IF(Data_Entry!AA614/Data_Entry!$H614&lt;0,0,Data_Entry!AA614/Data_Entry!$H614),0)</f>
        <v>0.89435516601032761</v>
      </c>
      <c r="W625" s="49">
        <f>IFERROR(IF(Data_Entry!AB614/Data_Entry!$H614&lt;0,0,Data_Entry!AB614/Data_Entry!$H614),0)</f>
        <v>0.91436505785686217</v>
      </c>
      <c r="X625" s="49">
        <f>IFERROR(IF(Data_Entry!AC614/Data_Entry!$I614&lt;0,0,Data_Entry!AC614/Data_Entry!$I614),0)</f>
        <v>0.83877334143008953</v>
      </c>
      <c r="Y625" s="49">
        <f>IFERROR(IF(Data_Entry!AD614/Data_Entry!$I614&lt;0,0,Data_Entry!AD614/Data_Entry!$I614),0)</f>
        <v>0.70897221800516164</v>
      </c>
      <c r="Z625" s="49">
        <f>IFERROR(IF(Data_Entry!AE614/Data_Entry!$I614&lt;0,0,Data_Entry!AE614/Data_Entry!$I614),0)</f>
        <v>0.24821618339152876</v>
      </c>
      <c r="AA625" s="49">
        <f>IFERROR(IF(Data_Entry!AF614/Data_Entry!$I614&lt;0,0,Data_Entry!AF614/Data_Entry!$I614),0)</f>
        <v>0.10626992561105207</v>
      </c>
      <c r="AB625" s="49">
        <f>IFERROR(IF(Data_Entry!AG614/Data_Entry!$I614&lt;0,0,Data_Entry!AG614/Data_Entry!$I614),0)</f>
        <v>8.2738727797176254E-2</v>
      </c>
      <c r="AC625" s="49">
        <f>IFERROR(IF(Data_Entry!AI614/Data_Entry!$I614&lt;0,0,Data_Entry!AI614/Data_Entry!$I614),0)</f>
        <v>4.4253833308030968E-2</v>
      </c>
      <c r="AD625" s="49">
        <f>IFERROR(IF(Data_Entry!AM614/Data_Entry!$H614&lt;0,0,Data_Entry!AM614/Data_Entry!$H614),0)</f>
        <v>0.9030551189870818</v>
      </c>
      <c r="AE625" s="50">
        <f>Data_Entry!AK614</f>
        <v>0</v>
      </c>
      <c r="AF625" s="50">
        <f>Data_Entry!AL614</f>
        <v>10</v>
      </c>
      <c r="AG625" s="153">
        <f>(Data_Entry!O614-Data_Entry!Q614)/Data_Entry!O614</f>
        <v>2.768166089965398E-2</v>
      </c>
      <c r="AH625" s="79" t="str">
        <f t="shared" si="18"/>
        <v>CAT1</v>
      </c>
      <c r="AI625" s="51">
        <f>SUBTOTAL(3,Tableau1[[#This Row],[ZS]])</f>
        <v>0</v>
      </c>
      <c r="AJ625" s="51" t="e">
        <f t="shared" ca="1" si="19"/>
        <v>#NAME?</v>
      </c>
      <c r="AK625" s="50" t="str">
        <f>IFERROR(IF((Data_Entry!O614-Data_Entry!Q614)/Data_Entry!O614&lt;=10%,"&lt;=10%","&gt;10%"),"&lt;=10%")</f>
        <v>&lt;=10%</v>
      </c>
    </row>
    <row r="626" spans="1:37" s="48" customFormat="1" ht="13" hidden="1" x14ac:dyDescent="0.3">
      <c r="A626" s="31" t="s">
        <v>16</v>
      </c>
      <c r="B626" s="48" t="str">
        <f>Data_Entry!B615</f>
        <v>Goma</v>
      </c>
      <c r="C626" s="48" t="str">
        <f>Data_Entry!C615</f>
        <v xml:space="preserve"> Rutshuru</v>
      </c>
      <c r="D626" s="48" t="str">
        <f>Data_Entry!D615</f>
        <v xml:space="preserve"> Rugari</v>
      </c>
      <c r="E626" s="49">
        <f>IFERROR(IF(Data_Entry!J615/Data_Entry!$I615&lt;0,0,Data_Entry!J615/Data_Entry!$I615),0)</f>
        <v>0.75657570682691355</v>
      </c>
      <c r="F626" s="49">
        <f>IFERROR(IF(Data_Entry!K615/Data_Entry!$H615&lt;0,0,Data_Entry!K615/Data_Entry!$H615),0)</f>
        <v>3.951789299627205E-2</v>
      </c>
      <c r="G626" s="49">
        <f>IFERROR(IF(Data_Entry!L615/Data_Entry!$H615&lt;0,0,Data_Entry!L615/Data_Entry!$H615),0)</f>
        <v>0.7350328097306601</v>
      </c>
      <c r="H626" s="49">
        <f>IFERROR(IF(Data_Entry!M615/Data_Entry!$H615&lt;0,0,Data_Entry!M615/Data_Entry!$H615),0)</f>
        <v>0.72825831378844208</v>
      </c>
      <c r="I626" s="49">
        <f>IFERROR(IF(Data_Entry!N615/Data_Entry!$H615&lt;0,0,Data_Entry!N615/Data_Entry!$H615),0)</f>
        <v>0.7124511565899333</v>
      </c>
      <c r="J626" s="49">
        <f>IFERROR(IF(Data_Entry!O615/Data_Entry!$H615&lt;0,0,Data_Entry!O615/Data_Entry!$H615),0)</f>
        <v>0.7350328097306601</v>
      </c>
      <c r="K626" s="49">
        <f>IFERROR(IF(Data_Entry!P615/Data_Entry!$H615&lt;0,0,Data_Entry!P615/Data_Entry!$H615),0)</f>
        <v>0.72825831378844208</v>
      </c>
      <c r="L626" s="49">
        <f>IFERROR(IF(Data_Entry!Q615/Data_Entry!$H615&lt;0,0,Data_Entry!Q615/Data_Entry!$H615),0)</f>
        <v>0.7124511565899333</v>
      </c>
      <c r="M626" s="49">
        <f>IFERROR(IF(Data_Entry!R615/Data_Entry!$H615&lt;0,0,Data_Entry!R615/Data_Entry!$H615),0)</f>
        <v>0.7350328097306601</v>
      </c>
      <c r="N626" s="49">
        <f>IFERROR(IF(Data_Entry!S615/Data_Entry!$H615&lt;0,0,Data_Entry!S615/Data_Entry!$H615),0)</f>
        <v>0.72825831378844208</v>
      </c>
      <c r="O626" s="49">
        <f>IFERROR(IF(Data_Entry!T615/Data_Entry!$H615&lt;0,0,Data_Entry!T615/Data_Entry!$H615),0)</f>
        <v>0.71470932190400593</v>
      </c>
      <c r="P626" s="49">
        <f>IFERROR(IF(Data_Entry!U615/Data_Entry!$H615&lt;0,0,Data_Entry!U615/Data_Entry!$H615),0)</f>
        <v>0.7350328097306601</v>
      </c>
      <c r="Q626" s="49">
        <f>IFERROR(IF(Data_Entry!V615/Data_Entry!$H615&lt;0,0,Data_Entry!V615/Data_Entry!$H615),0)</f>
        <v>0.66390060233737047</v>
      </c>
      <c r="R626" s="49">
        <f>IFERROR(IF(Data_Entry!W615/Data_Entry!$H615&lt;0,0,Data_Entry!W615/Data_Entry!$H615),0)</f>
        <v>0.64696436248182532</v>
      </c>
      <c r="S626" s="49">
        <f>IFERROR(IF(Data_Entry!X615/Data_Entry!$H615&lt;0,0,Data_Entry!X615/Data_Entry!$H615),0)</f>
        <v>0.61647913074184402</v>
      </c>
      <c r="T626" s="49">
        <f>IFERROR(IF(Data_Entry!Y615/Data_Entry!$H615&lt;0,0,Data_Entry!Y615/Data_Entry!$H615),0)</f>
        <v>4.7421471595526461E-2</v>
      </c>
      <c r="U626" s="49">
        <f>IFERROR(IF(Data_Entry!Z615/Data_Entry!$H615&lt;0,0,Data_Entry!Z615/Data_Entry!$H615),0)</f>
        <v>0.5600249978900268</v>
      </c>
      <c r="V626" s="49">
        <f>IFERROR(IF(Data_Entry!AA615/Data_Entry!$H615&lt;0,0,Data_Entry!AA615/Data_Entry!$H615),0)</f>
        <v>0.7237419831602967</v>
      </c>
      <c r="W626" s="49">
        <f>IFERROR(IF(Data_Entry!AB615/Data_Entry!$H615&lt;0,0,Data_Entry!AB615/Data_Entry!$H615),0)</f>
        <v>0.62776995731220742</v>
      </c>
      <c r="X626" s="49">
        <f>IFERROR(IF(Data_Entry!AC615/Data_Entry!$I615&lt;0,0,Data_Entry!AC615/Data_Entry!$I615),0)</f>
        <v>0.3408531179194168</v>
      </c>
      <c r="Y626" s="49">
        <f>IFERROR(IF(Data_Entry!AD615/Data_Entry!$I615&lt;0,0,Data_Entry!AD615/Data_Entry!$I615),0)</f>
        <v>0.34282336715594525</v>
      </c>
      <c r="Z626" s="49">
        <f>IFERROR(IF(Data_Entry!AE615/Data_Entry!$I615&lt;0,0,Data_Entry!AE615/Data_Entry!$I615),0)</f>
        <v>0.33691261944635997</v>
      </c>
      <c r="AA626" s="49">
        <f>IFERROR(IF(Data_Entry!AF615/Data_Entry!$I615&lt;0,0,Data_Entry!AF615/Data_Entry!$I615),0)</f>
        <v>0.2561324007486947</v>
      </c>
      <c r="AB626" s="49">
        <f>IFERROR(IF(Data_Entry!AG615/Data_Entry!$I615&lt;0,0,Data_Entry!AG615/Data_Entry!$I615),0)</f>
        <v>0.4275440843266673</v>
      </c>
      <c r="AC626" s="49">
        <f>IFERROR(IF(Data_Entry!AI615/Data_Entry!$I615&lt;0,0,Data_Entry!AI615/Data_Entry!$I615),0)</f>
        <v>5.7432765244803466E-2</v>
      </c>
      <c r="AD626" s="49">
        <f>IFERROR(IF(Data_Entry!AM615/Data_Entry!$H615&lt;0,0,Data_Entry!AM615/Data_Entry!$H615),0)</f>
        <v>0.5600249978900268</v>
      </c>
      <c r="AE626" s="50">
        <f>Data_Entry!AK615</f>
        <v>234.67475000000002</v>
      </c>
      <c r="AF626" s="50">
        <f>Data_Entry!AL615</f>
        <v>105</v>
      </c>
      <c r="AG626" s="153">
        <f>(Data_Entry!O615-Data_Entry!Q615)/Data_Entry!O615</f>
        <v>3.0721966205837174E-2</v>
      </c>
      <c r="AH626" s="79" t="str">
        <f t="shared" si="18"/>
        <v>CAT3</v>
      </c>
      <c r="AI626" s="51">
        <f>SUBTOTAL(3,Tableau1[[#This Row],[ZS]])</f>
        <v>0</v>
      </c>
      <c r="AJ626" s="51" t="e">
        <f t="shared" ca="1" si="19"/>
        <v>#NAME?</v>
      </c>
      <c r="AK626" s="50" t="str">
        <f>IFERROR(IF((Data_Entry!O615-Data_Entry!Q615)/Data_Entry!O615&lt;=10%,"&lt;=10%","&gt;10%"),"&lt;=10%")</f>
        <v>&lt;=10%</v>
      </c>
    </row>
    <row r="627" spans="1:37" s="48" customFormat="1" ht="13" hidden="1" x14ac:dyDescent="0.3">
      <c r="A627" s="31" t="s">
        <v>16</v>
      </c>
      <c r="B627" s="48" t="str">
        <f>Data_Entry!B616</f>
        <v>Goma</v>
      </c>
      <c r="C627" s="48" t="str">
        <f>Data_Entry!C616</f>
        <v xml:space="preserve"> Rutshuru</v>
      </c>
      <c r="D627" s="48" t="str">
        <f>Data_Entry!D616</f>
        <v xml:space="preserve"> Rutshuru</v>
      </c>
      <c r="E627" s="49">
        <f>IFERROR(IF(Data_Entry!J616/Data_Entry!$I616&lt;0,0,Data_Entry!J616/Data_Entry!$I616),0)</f>
        <v>1.6361214274180527</v>
      </c>
      <c r="F627" s="49">
        <f>IFERROR(IF(Data_Entry!K616/Data_Entry!$H616&lt;0,0,Data_Entry!K616/Data_Entry!$H616),0)</f>
        <v>1.0701610145848186</v>
      </c>
      <c r="G627" s="49">
        <f>IFERROR(IF(Data_Entry!L616/Data_Entry!$H616&lt;0,0,Data_Entry!L616/Data_Entry!$H616),0)</f>
        <v>1.2103507194785497</v>
      </c>
      <c r="H627" s="49">
        <f>IFERROR(IF(Data_Entry!M616/Data_Entry!$H616&lt;0,0,Data_Entry!M616/Data_Entry!$H616),0)</f>
        <v>1.1714862468347431</v>
      </c>
      <c r="I627" s="49">
        <f>IFERROR(IF(Data_Entry!N616/Data_Entry!$H616&lt;0,0,Data_Entry!N616/Data_Entry!$H616),0)</f>
        <v>1.1340097910710725</v>
      </c>
      <c r="J627" s="49">
        <f>IFERROR(IF(Data_Entry!O616/Data_Entry!$H616&lt;0,0,Data_Entry!O616/Data_Entry!$H616),0)</f>
        <v>1.2894676816462989</v>
      </c>
      <c r="K627" s="49">
        <f>IFERROR(IF(Data_Entry!P616/Data_Entry!$H616&lt;0,0,Data_Entry!P616/Data_Entry!$H616),0)</f>
        <v>1.258931310283308</v>
      </c>
      <c r="L627" s="49">
        <f>IFERROR(IF(Data_Entry!Q616/Data_Entry!$H616&lt;0,0,Data_Entry!Q616/Data_Entry!$H616),0)</f>
        <v>1.228394938920317</v>
      </c>
      <c r="M627" s="49">
        <f>IFERROR(IF(Data_Entry!R616/Data_Entry!$H616&lt;0,0,Data_Entry!R616/Data_Entry!$H616),0)</f>
        <v>1.2894676816462989</v>
      </c>
      <c r="N627" s="49">
        <f>IFERROR(IF(Data_Entry!S616/Data_Entry!$H616&lt;0,0,Data_Entry!S616/Data_Entry!$H616),0)</f>
        <v>1.258931310283308</v>
      </c>
      <c r="O627" s="49">
        <f>IFERROR(IF(Data_Entry!T616/Data_Entry!$H616&lt;0,0,Data_Entry!T616/Data_Entry!$H616),0)</f>
        <v>1.228394938920317</v>
      </c>
      <c r="P627" s="49">
        <f>IFERROR(IF(Data_Entry!U616/Data_Entry!$H616&lt;0,0,Data_Entry!U616/Data_Entry!$H616),0)</f>
        <v>1.2686474284442597</v>
      </c>
      <c r="Q627" s="49">
        <f>IFERROR(IF(Data_Entry!V616/Data_Entry!$H616&lt;0,0,Data_Entry!V616/Data_Entry!$H616),0)</f>
        <v>1.2367230402011329</v>
      </c>
      <c r="R627" s="49">
        <f>IFERROR(IF(Data_Entry!W616/Data_Entry!$H616&lt;0,0,Data_Entry!W616/Data_Entry!$H616),0)</f>
        <v>1.206186668838142</v>
      </c>
      <c r="S627" s="49">
        <f>IFERROR(IF(Data_Entry!X616/Data_Entry!$H616&lt;0,0,Data_Entry!X616/Data_Entry!$H616),0)</f>
        <v>1.3324962049305134</v>
      </c>
      <c r="T627" s="49">
        <f>IFERROR(IF(Data_Entry!Y616/Data_Entry!$H616&lt;0,0,Data_Entry!Y616/Data_Entry!$H616),0)</f>
        <v>0.8938828708075528</v>
      </c>
      <c r="U627" s="49">
        <f>IFERROR(IF(Data_Entry!Z616/Data_Entry!$H616&lt;0,0,Data_Entry!Z616/Data_Entry!$H616),0)</f>
        <v>1.1770383143552869</v>
      </c>
      <c r="V627" s="49">
        <f>IFERROR(IF(Data_Entry!AA616/Data_Entry!$H616&lt;0,0,Data_Entry!AA616/Data_Entry!$H616),0)</f>
        <v>1.146501942992296</v>
      </c>
      <c r="W627" s="49">
        <f>IFERROR(IF(Data_Entry!AB616/Data_Entry!$H616&lt;0,0,Data_Entry!AB616/Data_Entry!$H616),0)</f>
        <v>1.1950825337970543</v>
      </c>
      <c r="X627" s="49">
        <f>IFERROR(IF(Data_Entry!AC616/Data_Entry!$I616&lt;0,0,Data_Entry!AC616/Data_Entry!$I616),0)</f>
        <v>0.31729371871467787</v>
      </c>
      <c r="Y627" s="49">
        <f>IFERROR(IF(Data_Entry!AD616/Data_Entry!$I616&lt;0,0,Data_Entry!AD616/Data_Entry!$I616),0)</f>
        <v>0.3269820765380268</v>
      </c>
      <c r="Z627" s="49">
        <f>IFERROR(IF(Data_Entry!AE616/Data_Entry!$I616&lt;0,0,Data_Entry!AE616/Data_Entry!$I616),0)</f>
        <v>0.28822864524463104</v>
      </c>
      <c r="AA627" s="49">
        <f>IFERROR(IF(Data_Entry!AF616/Data_Entry!$I616&lt;0,0,Data_Entry!AF616/Data_Entry!$I616),0)</f>
        <v>0.28338446633295655</v>
      </c>
      <c r="AB627" s="49">
        <f>IFERROR(IF(Data_Entry!AG616/Data_Entry!$I616&lt;0,0,Data_Entry!AG616/Data_Entry!$I616),0)</f>
        <v>0.27490715323752624</v>
      </c>
      <c r="AC627" s="49">
        <f>IFERROR(IF(Data_Entry!AI616/Data_Entry!$I616&lt;0,0,Data_Entry!AI616/Data_Entry!$I616),0)</f>
        <v>7.0603907637655408E-2</v>
      </c>
      <c r="AD627" s="49">
        <f>IFERROR(IF(Data_Entry!AM616/Data_Entry!$H616&lt;0,0,Data_Entry!AM616/Data_Entry!$H616),0)</f>
        <v>1.1770383143552869</v>
      </c>
      <c r="AE627" s="50">
        <f>Data_Entry!AK616</f>
        <v>0</v>
      </c>
      <c r="AF627" s="50">
        <f>Data_Entry!AL616</f>
        <v>0</v>
      </c>
      <c r="AG627" s="153">
        <f>(Data_Entry!O616-Data_Entry!Q616)/Data_Entry!O616</f>
        <v>4.7362755651237889E-2</v>
      </c>
      <c r="AH627" s="79" t="str">
        <f t="shared" si="18"/>
        <v>CAT1</v>
      </c>
      <c r="AI627" s="51">
        <f>SUBTOTAL(3,Tableau1[[#This Row],[ZS]])</f>
        <v>0</v>
      </c>
      <c r="AJ627" s="51" t="e">
        <f t="shared" ca="1" si="19"/>
        <v>#NAME?</v>
      </c>
      <c r="AK627" s="50" t="str">
        <f>IFERROR(IF((Data_Entry!O616-Data_Entry!Q616)/Data_Entry!O616&lt;=10%,"&lt;=10%","&gt;10%"),"&lt;=10%")</f>
        <v>&lt;=10%</v>
      </c>
    </row>
    <row r="628" spans="1:37" s="48" customFormat="1" ht="13" hidden="1" x14ac:dyDescent="0.3">
      <c r="A628" s="31" t="s">
        <v>16</v>
      </c>
      <c r="B628" s="48" t="str">
        <f>Data_Entry!B617</f>
        <v>Goma</v>
      </c>
      <c r="C628" s="48" t="str">
        <f>Data_Entry!C617</f>
        <v xml:space="preserve"> Rutshuru</v>
      </c>
      <c r="D628" s="48" t="str">
        <f>Data_Entry!D617</f>
        <v xml:space="preserve"> Umoja</v>
      </c>
      <c r="E628" s="49">
        <f>IFERROR(IF(Data_Entry!J617/Data_Entry!$I617&lt;0,0,Data_Entry!J617/Data_Entry!$I617),0)</f>
        <v>1.5620585267406659</v>
      </c>
      <c r="F628" s="49">
        <f>IFERROR(IF(Data_Entry!K617/Data_Entry!$H617&lt;0,0,Data_Entry!K617/Data_Entry!$H617),0)</f>
        <v>0.88822323548035476</v>
      </c>
      <c r="G628" s="49">
        <f>IFERROR(IF(Data_Entry!L617/Data_Entry!$H617&lt;0,0,Data_Entry!L617/Data_Entry!$H617),0)</f>
        <v>1.1125921256928402</v>
      </c>
      <c r="H628" s="49">
        <f>IFERROR(IF(Data_Entry!M617/Data_Entry!$H617&lt;0,0,Data_Entry!M617/Data_Entry!$H617),0)</f>
        <v>1.0362604413937473</v>
      </c>
      <c r="I628" s="49">
        <f>IFERROR(IF(Data_Entry!N617/Data_Entry!$H617&lt;0,0,Data_Entry!N617/Data_Entry!$H617),0)</f>
        <v>1.0362604413937473</v>
      </c>
      <c r="J628" s="49">
        <f>IFERROR(IF(Data_Entry!O617/Data_Entry!$H617&lt;0,0,Data_Entry!O617/Data_Entry!$H617),0)</f>
        <v>1.142662183143998</v>
      </c>
      <c r="K628" s="49">
        <f>IFERROR(IF(Data_Entry!P617/Data_Entry!$H617&lt;0,0,Data_Entry!P617/Data_Entry!$H617),0)</f>
        <v>1.1403491018016014</v>
      </c>
      <c r="L628" s="49">
        <f>IFERROR(IF(Data_Entry!Q617/Data_Entry!$H617&lt;0,0,Data_Entry!Q617/Data_Entry!$H617),0)</f>
        <v>1.1010267189808565</v>
      </c>
      <c r="M628" s="49">
        <f>IFERROR(IF(Data_Entry!R617/Data_Entry!$H617&lt;0,0,Data_Entry!R617/Data_Entry!$H617),0)</f>
        <v>1.142662183143998</v>
      </c>
      <c r="N628" s="49">
        <f>IFERROR(IF(Data_Entry!S617/Data_Entry!$H617&lt;0,0,Data_Entry!S617/Data_Entry!$H617),0)</f>
        <v>1.0894613122688728</v>
      </c>
      <c r="O628" s="49">
        <f>IFERROR(IF(Data_Entry!T617/Data_Entry!$H617&lt;0,0,Data_Entry!T617/Data_Entry!$H617),0)</f>
        <v>1.1010267189808565</v>
      </c>
      <c r="P628" s="49">
        <f>IFERROR(IF(Data_Entry!U617/Data_Entry!$H617&lt;0,0,Data_Entry!U617/Data_Entry!$H617),0)</f>
        <v>1.142662183143998</v>
      </c>
      <c r="Q628" s="49">
        <f>IFERROR(IF(Data_Entry!V617/Data_Entry!$H617&lt;0,0,Data_Entry!V617/Data_Entry!$H617),0)</f>
        <v>1.0825220682416825</v>
      </c>
      <c r="R628" s="49">
        <f>IFERROR(IF(Data_Entry!W617/Data_Entry!$H617&lt;0,0,Data_Entry!W617/Data_Entry!$H617),0)</f>
        <v>1.1010267189808565</v>
      </c>
      <c r="S628" s="49">
        <f>IFERROR(IF(Data_Entry!X617/Data_Entry!$H617&lt;0,0,Data_Entry!X617/Data_Entry!$H617),0)</f>
        <v>1.2536900875790424</v>
      </c>
      <c r="T628" s="49">
        <f>IFERROR(IF(Data_Entry!Y617/Data_Entry!$H617&lt;0,0,Data_Entry!Y617/Data_Entry!$H617),0)</f>
        <v>0.47880783787612874</v>
      </c>
      <c r="U628" s="49">
        <f>IFERROR(IF(Data_Entry!Z617/Data_Entry!$H617&lt;0,0,Data_Entry!Z617/Data_Entry!$H617),0)</f>
        <v>1.2421246808670587</v>
      </c>
      <c r="V628" s="49">
        <f>IFERROR(IF(Data_Entry!AA617/Data_Entry!$H617&lt;0,0,Data_Entry!AA617/Data_Entry!$H617),0)</f>
        <v>1.0987136376384596</v>
      </c>
      <c r="W628" s="49">
        <f>IFERROR(IF(Data_Entry!AB617/Data_Entry!$H617&lt;0,0,Data_Entry!AB617/Data_Entry!$H617),0)</f>
        <v>1.2629424129486295</v>
      </c>
      <c r="X628" s="49">
        <f>IFERROR(IF(Data_Entry!AC617/Data_Entry!$I617&lt;0,0,Data_Entry!AC617/Data_Entry!$I617),0)</f>
        <v>0.2098890010090817</v>
      </c>
      <c r="Y628" s="49">
        <f>IFERROR(IF(Data_Entry!AD617/Data_Entry!$I617&lt;0,0,Data_Entry!AD617/Data_Entry!$I617),0)</f>
        <v>0.18768920282542884</v>
      </c>
      <c r="Z628" s="49">
        <f>IFERROR(IF(Data_Entry!AE617/Data_Entry!$I617&lt;0,0,Data_Entry!AE617/Data_Entry!$I617),0)</f>
        <v>0.3188698284561049</v>
      </c>
      <c r="AA628" s="49">
        <f>IFERROR(IF(Data_Entry!AF617/Data_Entry!$I617&lt;0,0,Data_Entry!AF617/Data_Entry!$I617),0)</f>
        <v>0.23208879919273459</v>
      </c>
      <c r="AB628" s="49">
        <f>IFERROR(IF(Data_Entry!AG617/Data_Entry!$I617&lt;0,0,Data_Entry!AG617/Data_Entry!$I617),0)</f>
        <v>0.27043390514631682</v>
      </c>
      <c r="AC628" s="49">
        <f>IFERROR(IF(Data_Entry!AI617/Data_Entry!$I617&lt;0,0,Data_Entry!AI617/Data_Entry!$I617),0)</f>
        <v>0.10090817356205851</v>
      </c>
      <c r="AD628" s="49">
        <f>IFERROR(IF(Data_Entry!AM617/Data_Entry!$H617&lt;0,0,Data_Entry!AM617/Data_Entry!$H617),0)</f>
        <v>1.2421246808670587</v>
      </c>
      <c r="AE628" s="50">
        <f>Data_Entry!AK617</f>
        <v>0</v>
      </c>
      <c r="AF628" s="50">
        <f>Data_Entry!AL617</f>
        <v>0</v>
      </c>
      <c r="AG628" s="153">
        <f>(Data_Entry!O617-Data_Entry!Q617)/Data_Entry!O617</f>
        <v>3.643724696356275E-2</v>
      </c>
      <c r="AH628" s="79" t="str">
        <f t="shared" si="18"/>
        <v>CAT1</v>
      </c>
      <c r="AI628" s="51">
        <f>SUBTOTAL(3,Tableau1[[#This Row],[ZS]])</f>
        <v>0</v>
      </c>
      <c r="AJ628" s="51" t="e">
        <f t="shared" ca="1" si="19"/>
        <v>#NAME?</v>
      </c>
      <c r="AK628" s="50" t="str">
        <f>IFERROR(IF((Data_Entry!O617-Data_Entry!Q617)/Data_Entry!O617&lt;=10%,"&lt;=10%","&gt;10%"),"&lt;=10%")</f>
        <v>&lt;=10%</v>
      </c>
    </row>
    <row r="629" spans="1:37" s="48" customFormat="1" ht="13" hidden="1" x14ac:dyDescent="0.3">
      <c r="A629" s="31" t="s">
        <v>16</v>
      </c>
      <c r="B629" s="48" t="str">
        <f>Data_Entry!B618</f>
        <v>Goma</v>
      </c>
      <c r="C629" s="48" t="str">
        <f>Data_Entry!C618</f>
        <v xml:space="preserve"> Rwanguba</v>
      </c>
      <c r="D629" s="48" t="str">
        <f>Data_Entry!D618</f>
        <v xml:space="preserve"> Bugusa</v>
      </c>
      <c r="E629" s="49">
        <f>IFERROR(IF(Data_Entry!J618/Data_Entry!$I618&lt;0,0,Data_Entry!J618/Data_Entry!$I618),0)</f>
        <v>0.8227815655918389</v>
      </c>
      <c r="F629" s="49">
        <f>IFERROR(IF(Data_Entry!K618/Data_Entry!$H618&lt;0,0,Data_Entry!K618/Data_Entry!$H618),0)</f>
        <v>0.40893409360213506</v>
      </c>
      <c r="G629" s="49">
        <f>IFERROR(IF(Data_Entry!L618/Data_Entry!$H618&lt;0,0,Data_Entry!L618/Data_Entry!$H618),0)</f>
        <v>1.0505375852882435</v>
      </c>
      <c r="H629" s="49">
        <f>IFERROR(IF(Data_Entry!M618/Data_Entry!$H618&lt;0,0,Data_Entry!M618/Data_Entry!$H618),0)</f>
        <v>1.0699267017952412</v>
      </c>
      <c r="I629" s="49">
        <f>IFERROR(IF(Data_Entry!N618/Data_Entry!$H618&lt;0,0,Data_Entry!N618/Data_Entry!$H618),0)</f>
        <v>0.75970083768327679</v>
      </c>
      <c r="J629" s="49">
        <f>IFERROR(IF(Data_Entry!O618/Data_Entry!$H618&lt;0,0,Data_Entry!O618/Data_Entry!$H618),0)</f>
        <v>0.90423788800816929</v>
      </c>
      <c r="K629" s="49">
        <f>IFERROR(IF(Data_Entry!P618/Data_Entry!$H618&lt;0,0,Data_Entry!P618/Data_Entry!$H618),0)</f>
        <v>0.90071259409780613</v>
      </c>
      <c r="L629" s="49">
        <f>IFERROR(IF(Data_Entry!Q618/Data_Entry!$H618&lt;0,0,Data_Entry!Q618/Data_Entry!$H618),0)</f>
        <v>0.93067759233589353</v>
      </c>
      <c r="M629" s="49">
        <f>IFERROR(IF(Data_Entry!R618/Data_Entry!$H618&lt;0,0,Data_Entry!R618/Data_Entry!$H618),0)</f>
        <v>0.90247524105298771</v>
      </c>
      <c r="N629" s="49">
        <f>IFERROR(IF(Data_Entry!S618/Data_Entry!$H618&lt;0,0,Data_Entry!S618/Data_Entry!$H618),0)</f>
        <v>0.86722230194935535</v>
      </c>
      <c r="O629" s="49">
        <f>IFERROR(IF(Data_Entry!T618/Data_Entry!$H618&lt;0,0,Data_Entry!T618/Data_Entry!$H618),0)</f>
        <v>0.92010171060480384</v>
      </c>
      <c r="P629" s="49">
        <f>IFERROR(IF(Data_Entry!U618/Data_Entry!$H618&lt;0,0,Data_Entry!U618/Data_Entry!$H618),0)</f>
        <v>0.97121847230507075</v>
      </c>
      <c r="Q629" s="49">
        <f>IFERROR(IF(Data_Entry!V618/Data_Entry!$H618&lt;0,0,Data_Entry!V618/Data_Entry!$H618),0)</f>
        <v>0.90776318191853256</v>
      </c>
      <c r="R629" s="49">
        <f>IFERROR(IF(Data_Entry!W618/Data_Entry!$H618&lt;0,0,Data_Entry!W618/Data_Entry!$H618),0)</f>
        <v>0.77380201332472964</v>
      </c>
      <c r="S629" s="49">
        <f>IFERROR(IF(Data_Entry!X618/Data_Entry!$H618&lt;0,0,Data_Entry!X618/Data_Entry!$H618),0)</f>
        <v>0.90776318191853256</v>
      </c>
      <c r="T629" s="49">
        <f>IFERROR(IF(Data_Entry!Y618/Data_Entry!$H618&lt;0,0,Data_Entry!Y618/Data_Entry!$H618),0)</f>
        <v>0.25734645545651602</v>
      </c>
      <c r="U629" s="49">
        <f>IFERROR(IF(Data_Entry!Z618/Data_Entry!$H618&lt;0,0,Data_Entry!Z618/Data_Entry!$H618),0)</f>
        <v>0.68038172470010405</v>
      </c>
      <c r="V629" s="49">
        <f>IFERROR(IF(Data_Entry!AA618/Data_Entry!$H618&lt;0,0,Data_Entry!AA618/Data_Entry!$H618),0)</f>
        <v>0.87956083063562673</v>
      </c>
      <c r="W629" s="49">
        <f>IFERROR(IF(Data_Entry!AB618/Data_Entry!$H618&lt;0,0,Data_Entry!AB618/Data_Entry!$H618),0)</f>
        <v>0.55875908479257241</v>
      </c>
      <c r="X629" s="49">
        <f>IFERROR(IF(Data_Entry!AC618/Data_Entry!$I618&lt;0,0,Data_Entry!AC618/Data_Entry!$I618),0)</f>
        <v>0.55210949915414986</v>
      </c>
      <c r="Y629" s="49">
        <f>IFERROR(IF(Data_Entry!AD618/Data_Entry!$I618&lt;0,0,Data_Entry!AD618/Data_Entry!$I618),0)</f>
        <v>0.39985646178294976</v>
      </c>
      <c r="Z629" s="49">
        <f>IFERROR(IF(Data_Entry!AE618/Data_Entry!$I618&lt;0,0,Data_Entry!AE618/Data_Entry!$I618),0)</f>
        <v>0.17224586046034759</v>
      </c>
      <c r="AA629" s="49">
        <f>IFERROR(IF(Data_Entry!AF618/Data_Entry!$I618&lt;0,0,Data_Entry!AF618/Data_Entry!$I618),0)</f>
        <v>7.8433382888194E-2</v>
      </c>
      <c r="AB629" s="49">
        <f>IFERROR(IF(Data_Entry!AG618/Data_Entry!$I618&lt;0,0,Data_Entry!AG618/Data_Entry!$I618),0)</f>
        <v>7.2281745014610155E-2</v>
      </c>
      <c r="AC629" s="49">
        <f>IFERROR(IF(Data_Entry!AI618/Data_Entry!$I618&lt;0,0,Data_Entry!AI618/Data_Entry!$I618),0)</f>
        <v>8.9660122007484508E-2</v>
      </c>
      <c r="AD629" s="49">
        <f>IFERROR(IF(Data_Entry!AM618/Data_Entry!$H618&lt;0,0,Data_Entry!AM618/Data_Entry!$H618),0)</f>
        <v>0.68038172470010405</v>
      </c>
      <c r="AE629" s="50">
        <f>Data_Entry!AK618</f>
        <v>54.328583333333313</v>
      </c>
      <c r="AF629" s="50">
        <f>Data_Entry!AL618</f>
        <v>0</v>
      </c>
      <c r="AG629" s="153">
        <f>(Data_Entry!O618-Data_Entry!Q618)/Data_Entry!O618</f>
        <v>-2.9239766081871343E-2</v>
      </c>
      <c r="AH629" s="79" t="str">
        <f t="shared" si="18"/>
        <v>CAT1</v>
      </c>
      <c r="AI629" s="51">
        <f>SUBTOTAL(3,Tableau1[[#This Row],[ZS]])</f>
        <v>0</v>
      </c>
      <c r="AJ629" s="51" t="e">
        <f t="shared" ca="1" si="19"/>
        <v>#NAME?</v>
      </c>
      <c r="AK629" s="50" t="str">
        <f>IFERROR(IF((Data_Entry!O618-Data_Entry!Q618)/Data_Entry!O618&lt;=10%,"&lt;=10%","&gt;10%"),"&lt;=10%")</f>
        <v>&lt;=10%</v>
      </c>
    </row>
    <row r="630" spans="1:37" s="48" customFormat="1" ht="13" hidden="1" x14ac:dyDescent="0.3">
      <c r="A630" s="31" t="s">
        <v>16</v>
      </c>
      <c r="B630" s="48" t="str">
        <f>Data_Entry!B619</f>
        <v>Goma</v>
      </c>
      <c r="C630" s="48" t="str">
        <f>Data_Entry!C619</f>
        <v xml:space="preserve"> Rwanguba</v>
      </c>
      <c r="D630" s="48" t="str">
        <f>Data_Entry!D619</f>
        <v xml:space="preserve"> Bunagana</v>
      </c>
      <c r="E630" s="49">
        <f>IFERROR(IF(Data_Entry!J619/Data_Entry!$I619&lt;0,0,Data_Entry!J619/Data_Entry!$I619),0)</f>
        <v>0.86877942165433752</v>
      </c>
      <c r="F630" s="49">
        <f>IFERROR(IF(Data_Entry!K619/Data_Entry!$H619&lt;0,0,Data_Entry!K619/Data_Entry!$H619),0)</f>
        <v>0.45812514572329815</v>
      </c>
      <c r="G630" s="49">
        <f>IFERROR(IF(Data_Entry!L619/Data_Entry!$H619&lt;0,0,Data_Entry!L619/Data_Entry!$H619),0)</f>
        <v>0.89601763516859578</v>
      </c>
      <c r="H630" s="49">
        <f>IFERROR(IF(Data_Entry!M619/Data_Entry!$H619&lt;0,0,Data_Entry!M619/Data_Entry!$H619),0)</f>
        <v>0.7587246104250206</v>
      </c>
      <c r="I630" s="49">
        <f>IFERROR(IF(Data_Entry!N619/Data_Entry!$H619&lt;0,0,Data_Entry!N619/Data_Entry!$H619),0)</f>
        <v>0.73993714388116294</v>
      </c>
      <c r="J630" s="49">
        <f>IFERROR(IF(Data_Entry!O619/Data_Entry!$H619&lt;0,0,Data_Entry!O619/Data_Entry!$H619),0)</f>
        <v>0.96394155267331183</v>
      </c>
      <c r="K630" s="49">
        <f>IFERROR(IF(Data_Entry!P619/Data_Entry!$H619&lt;0,0,Data_Entry!P619/Data_Entry!$H619),0)</f>
        <v>0.82086776899316516</v>
      </c>
      <c r="L630" s="49">
        <f>IFERROR(IF(Data_Entry!Q619/Data_Entry!$H619&lt;0,0,Data_Entry!Q619/Data_Entry!$H619),0)</f>
        <v>0.76306017962744932</v>
      </c>
      <c r="M630" s="49">
        <f>IFERROR(IF(Data_Entry!R619/Data_Entry!$H619&lt;0,0,Data_Entry!R619/Data_Entry!$H619),0)</f>
        <v>0.84688118420773728</v>
      </c>
      <c r="N630" s="49">
        <f>IFERROR(IF(Data_Entry!S619/Data_Entry!$H619&lt;0,0,Data_Entry!S619/Data_Entry!$H619),0)</f>
        <v>0.68068436478130423</v>
      </c>
      <c r="O630" s="49">
        <f>IFERROR(IF(Data_Entry!T619/Data_Entry!$H619&lt;0,0,Data_Entry!T619/Data_Entry!$H619),0)</f>
        <v>0.6879103134520187</v>
      </c>
      <c r="P630" s="49">
        <f>IFERROR(IF(Data_Entry!U619/Data_Entry!$H619&lt;0,0,Data_Entry!U619/Data_Entry!$H619),0)</f>
        <v>0.64021905222530306</v>
      </c>
      <c r="Q630" s="49">
        <f>IFERROR(IF(Data_Entry!V619/Data_Entry!$H619&lt;0,0,Data_Entry!V619/Data_Entry!$H619),0)</f>
        <v>0.50292602748172799</v>
      </c>
      <c r="R630" s="49">
        <f>IFERROR(IF(Data_Entry!W619/Data_Entry!$H619&lt;0,0,Data_Entry!W619/Data_Entry!$H619),0)</f>
        <v>0.57518551418887276</v>
      </c>
      <c r="S630" s="49">
        <f>IFERROR(IF(Data_Entry!X619/Data_Entry!$H619&lt;0,0,Data_Entry!X619/Data_Entry!$H619),0)</f>
        <v>0.52460387349387139</v>
      </c>
      <c r="T630" s="49">
        <f>IFERROR(IF(Data_Entry!Y619/Data_Entry!$H619&lt;0,0,Data_Entry!Y619/Data_Entry!$H619),0)</f>
        <v>0.18642947570443363</v>
      </c>
      <c r="U630" s="49">
        <f>IFERROR(IF(Data_Entry!Z619/Data_Entry!$H619&lt;0,0,Data_Entry!Z619/Data_Entry!$H619),0)</f>
        <v>0.5780758936571585</v>
      </c>
      <c r="V630" s="49">
        <f>IFERROR(IF(Data_Entry!AA619/Data_Entry!$H619&lt;0,0,Data_Entry!AA619/Data_Entry!$H619),0)</f>
        <v>0.81364182032245069</v>
      </c>
      <c r="W630" s="49">
        <f>IFERROR(IF(Data_Entry!AB619/Data_Entry!$H619&lt;0,0,Data_Entry!AB619/Data_Entry!$H619),0)</f>
        <v>0.60987006780830222</v>
      </c>
      <c r="X630" s="49">
        <f>IFERROR(IF(Data_Entry!AC619/Data_Entry!$I619&lt;0,0,Data_Entry!AC619/Data_Entry!$I619),0)</f>
        <v>0.90534633490248817</v>
      </c>
      <c r="Y630" s="49">
        <f>IFERROR(IF(Data_Entry!AD619/Data_Entry!$I619&lt;0,0,Data_Entry!AD619/Data_Entry!$I619),0)</f>
        <v>0.71746805648957623</v>
      </c>
      <c r="Z630" s="49">
        <f>IFERROR(IF(Data_Entry!AE619/Data_Entry!$I619&lt;0,0,Data_Entry!AE619/Data_Entry!$I619),0)</f>
        <v>0.53967720242098183</v>
      </c>
      <c r="AA630" s="49">
        <f>IFERROR(IF(Data_Entry!AF619/Data_Entry!$I619&lt;0,0,Data_Entry!AF619/Data_Entry!$I619),0)</f>
        <v>0.23579354404841962</v>
      </c>
      <c r="AB630" s="49">
        <f>IFERROR(IF(Data_Entry!AG619/Data_Entry!$I619&lt;0,0,Data_Entry!AG619/Data_Entry!$I619),0)</f>
        <v>0</v>
      </c>
      <c r="AC630" s="49">
        <f>IFERROR(IF(Data_Entry!AI619/Data_Entry!$I619&lt;0,0,Data_Entry!AI619/Data_Entry!$I619),0)</f>
        <v>7.3512104909213172E-2</v>
      </c>
      <c r="AD630" s="49">
        <f>IFERROR(IF(Data_Entry!AM619/Data_Entry!$H619&lt;0,0,Data_Entry!AM619/Data_Entry!$H619),0)</f>
        <v>0.52460387349387139</v>
      </c>
      <c r="AE630" s="50">
        <f>Data_Entry!AK619</f>
        <v>24.950666666666734</v>
      </c>
      <c r="AF630" s="50">
        <f>Data_Entry!AL619</f>
        <v>304</v>
      </c>
      <c r="AG630" s="153">
        <f>(Data_Entry!O619-Data_Entry!Q619)/Data_Entry!O619</f>
        <v>0.20839580209895053</v>
      </c>
      <c r="AH630" s="79" t="str">
        <f t="shared" si="18"/>
        <v>CAT2</v>
      </c>
      <c r="AI630" s="51">
        <f>SUBTOTAL(3,Tableau1[[#This Row],[ZS]])</f>
        <v>0</v>
      </c>
      <c r="AJ630" s="51" t="e">
        <f t="shared" ca="1" si="19"/>
        <v>#NAME?</v>
      </c>
      <c r="AK630" s="50" t="str">
        <f>IFERROR(IF((Data_Entry!O619-Data_Entry!Q619)/Data_Entry!O619&lt;=10%,"&lt;=10%","&gt;10%"),"&lt;=10%")</f>
        <v>&gt;10%</v>
      </c>
    </row>
    <row r="631" spans="1:37" s="48" customFormat="1" ht="13" hidden="1" x14ac:dyDescent="0.3">
      <c r="A631" s="31" t="s">
        <v>16</v>
      </c>
      <c r="B631" s="48" t="str">
        <f>Data_Entry!B620</f>
        <v>Goma</v>
      </c>
      <c r="C631" s="48" t="str">
        <f>Data_Entry!C620</f>
        <v xml:space="preserve"> Rwanguba</v>
      </c>
      <c r="D631" s="48" t="str">
        <f>Data_Entry!D620</f>
        <v xml:space="preserve"> Kabaya</v>
      </c>
      <c r="E631" s="49">
        <f>IFERROR(IF(Data_Entry!J620/Data_Entry!$I620&lt;0,0,Data_Entry!J620/Data_Entry!$I620),0)</f>
        <v>0.48682103707353125</v>
      </c>
      <c r="F631" s="49">
        <f>IFERROR(IF(Data_Entry!K620/Data_Entry!$H620&lt;0,0,Data_Entry!K620/Data_Entry!$H620),0)</f>
        <v>0.33456489447265619</v>
      </c>
      <c r="G631" s="49">
        <f>IFERROR(IF(Data_Entry!L620/Data_Entry!$H620&lt;0,0,Data_Entry!L620/Data_Entry!$H620),0)</f>
        <v>0.84911723217427304</v>
      </c>
      <c r="H631" s="49">
        <f>IFERROR(IF(Data_Entry!M620/Data_Entry!$H620&lt;0,0,Data_Entry!M620/Data_Entry!$H620),0)</f>
        <v>0.75065351323137108</v>
      </c>
      <c r="I631" s="49">
        <f>IFERROR(IF(Data_Entry!N620/Data_Entry!$H620&lt;0,0,Data_Entry!N620/Data_Entry!$H620),0)</f>
        <v>0.82476598985506078</v>
      </c>
      <c r="J631" s="49">
        <f>IFERROR(IF(Data_Entry!O620/Data_Entry!$H620&lt;0,0,Data_Entry!O620/Data_Entry!$H620),0)</f>
        <v>0.84170598451190415</v>
      </c>
      <c r="K631" s="49">
        <f>IFERROR(IF(Data_Entry!P620/Data_Entry!$H620&lt;0,0,Data_Entry!P620/Data_Entry!$H620),0)</f>
        <v>0.73053726957636955</v>
      </c>
      <c r="L631" s="49">
        <f>IFERROR(IF(Data_Entry!Q620/Data_Entry!$H620&lt;0,0,Data_Entry!Q620/Data_Entry!$H620),0)</f>
        <v>0.70300977825899913</v>
      </c>
      <c r="M631" s="49">
        <f>IFERROR(IF(Data_Entry!R620/Data_Entry!$H620&lt;0,0,Data_Entry!R620/Data_Entry!$H620),0)</f>
        <v>0.8597047288348002</v>
      </c>
      <c r="N631" s="49">
        <f>IFERROR(IF(Data_Entry!S620/Data_Entry!$H620&lt;0,0,Data_Entry!S620/Data_Entry!$H620),0)</f>
        <v>0.75065351323137108</v>
      </c>
      <c r="O631" s="49">
        <f>IFERROR(IF(Data_Entry!T620/Data_Entry!$H620&lt;0,0,Data_Entry!T620/Data_Entry!$H620),0)</f>
        <v>0.8300597381853243</v>
      </c>
      <c r="P631" s="49">
        <f>IFERROR(IF(Data_Entry!U620/Data_Entry!$H620&lt;0,0,Data_Entry!U620/Data_Entry!$H620),0)</f>
        <v>0.77606350521663614</v>
      </c>
      <c r="Q631" s="49">
        <f>IFERROR(IF(Data_Entry!V620/Data_Entry!$H620&lt;0,0,Data_Entry!V620/Data_Entry!$H620),0)</f>
        <v>0.66277729094899618</v>
      </c>
      <c r="R631" s="49">
        <f>IFERROR(IF(Data_Entry!W620/Data_Entry!$H620&lt;0,0,Data_Entry!W620/Data_Entry!$H620),0)</f>
        <v>0.73583101790663319</v>
      </c>
      <c r="S631" s="49">
        <f>IFERROR(IF(Data_Entry!X620/Data_Entry!$H620&lt;0,0,Data_Entry!X620/Data_Entry!$H620),0)</f>
        <v>0.5653723216721469</v>
      </c>
      <c r="T631" s="49">
        <f>IFERROR(IF(Data_Entry!Y620/Data_Entry!$H620&lt;0,0,Data_Entry!Y620/Data_Entry!$H620),0)</f>
        <v>0.2900974084984424</v>
      </c>
      <c r="U631" s="49">
        <f>IFERROR(IF(Data_Entry!Z620/Data_Entry!$H620&lt;0,0,Data_Entry!Z620/Data_Entry!$H620),0)</f>
        <v>0.49231859471450995</v>
      </c>
      <c r="V631" s="49">
        <f>IFERROR(IF(Data_Entry!AA620/Data_Entry!$H620&lt;0,0,Data_Entry!AA620/Data_Entry!$H620),0)</f>
        <v>0.82476598985506078</v>
      </c>
      <c r="W631" s="49">
        <f>IFERROR(IF(Data_Entry!AB620/Data_Entry!$H620&lt;0,0,Data_Entry!AB620/Data_Entry!$H620),0)</f>
        <v>0.53043358269240748</v>
      </c>
      <c r="X631" s="49">
        <f>IFERROR(IF(Data_Entry!AC620/Data_Entry!$I620&lt;0,0,Data_Entry!AC620/Data_Entry!$I620),0)</f>
        <v>0.42123414213573102</v>
      </c>
      <c r="Y631" s="49">
        <f>IFERROR(IF(Data_Entry!AD620/Data_Entry!$I620&lt;0,0,Data_Entry!AD620/Data_Entry!$I620),0)</f>
        <v>0.3454858972779899</v>
      </c>
      <c r="Z631" s="49">
        <f>IFERROR(IF(Data_Entry!AE620/Data_Entry!$I620&lt;0,0,Data_Entry!AE620/Data_Entry!$I620),0)</f>
        <v>0.21800714373691341</v>
      </c>
      <c r="AA631" s="49">
        <f>IFERROR(IF(Data_Entry!AF620/Data_Entry!$I620&lt;0,0,Data_Entry!AF620/Data_Entry!$I620),0)</f>
        <v>0.12932627170833846</v>
      </c>
      <c r="AB631" s="49">
        <f>IFERROR(IF(Data_Entry!AG620/Data_Entry!$I620&lt;0,0,Data_Entry!AG620/Data_Entry!$I620),0)</f>
        <v>8.4985835694050993E-2</v>
      </c>
      <c r="AC631" s="49">
        <f>IFERROR(IF(Data_Entry!AI620/Data_Entry!$I620&lt;0,0,Data_Entry!AI620/Data_Entry!$I620),0)</f>
        <v>5.0067742332799613E-2</v>
      </c>
      <c r="AD631" s="49">
        <f>IFERROR(IF(Data_Entry!AM620/Data_Entry!$H620&lt;0,0,Data_Entry!AM620/Data_Entry!$H620),0)</f>
        <v>0.49231859471450995</v>
      </c>
      <c r="AE631" s="50">
        <f>Data_Entry!AK620</f>
        <v>149.51033333333328</v>
      </c>
      <c r="AF631" s="50">
        <f>Data_Entry!AL620</f>
        <v>261</v>
      </c>
      <c r="AG631" s="153">
        <f>(Data_Entry!O620-Data_Entry!Q620)/Data_Entry!O620</f>
        <v>0.16477987421383647</v>
      </c>
      <c r="AH631" s="79" t="str">
        <f t="shared" si="18"/>
        <v>CAT4</v>
      </c>
      <c r="AI631" s="51">
        <f>SUBTOTAL(3,Tableau1[[#This Row],[ZS]])</f>
        <v>0</v>
      </c>
      <c r="AJ631" s="51" t="e">
        <f t="shared" ca="1" si="19"/>
        <v>#NAME?</v>
      </c>
      <c r="AK631" s="50" t="str">
        <f>IFERROR(IF((Data_Entry!O620-Data_Entry!Q620)/Data_Entry!O620&lt;=10%,"&lt;=10%","&gt;10%"),"&lt;=10%")</f>
        <v>&gt;10%</v>
      </c>
    </row>
    <row r="632" spans="1:37" s="48" customFormat="1" ht="13" hidden="1" x14ac:dyDescent="0.3">
      <c r="A632" s="31" t="s">
        <v>16</v>
      </c>
      <c r="B632" s="48" t="str">
        <f>Data_Entry!B621</f>
        <v>Goma</v>
      </c>
      <c r="C632" s="48" t="str">
        <f>Data_Entry!C621</f>
        <v xml:space="preserve"> Rwanguba</v>
      </c>
      <c r="D632" s="48" t="str">
        <f>Data_Entry!D621</f>
        <v xml:space="preserve"> Kabonero</v>
      </c>
      <c r="E632" s="49">
        <f>IFERROR(IF(Data_Entry!J621/Data_Entry!$I621&lt;0,0,Data_Entry!J621/Data_Entry!$I621),0)</f>
        <v>0.86206896551724133</v>
      </c>
      <c r="F632" s="49">
        <f>IFERROR(IF(Data_Entry!K621/Data_Entry!$H621&lt;0,0,Data_Entry!K621/Data_Entry!$H621),0)</f>
        <v>0.71139215492540264</v>
      </c>
      <c r="G632" s="49">
        <f>IFERROR(IF(Data_Entry!L621/Data_Entry!$H621&lt;0,0,Data_Entry!L621/Data_Entry!$H621),0)</f>
        <v>1.2251753779270824</v>
      </c>
      <c r="H632" s="49">
        <f>IFERROR(IF(Data_Entry!M621/Data_Entry!$H621&lt;0,0,Data_Entry!M621/Data_Entry!$H621),0)</f>
        <v>1.0354708032803084</v>
      </c>
      <c r="I632" s="49">
        <f>IFERROR(IF(Data_Entry!N621/Data_Entry!$H621&lt;0,0,Data_Entry!N621/Data_Entry!$H621),0)</f>
        <v>0.89319237229522785</v>
      </c>
      <c r="J632" s="49">
        <f>IFERROR(IF(Data_Entry!O621/Data_Entry!$H621&lt;0,0,Data_Entry!O621/Data_Entry!$H621),0)</f>
        <v>1.1421796265191189</v>
      </c>
      <c r="K632" s="49">
        <f>IFERROR(IF(Data_Entry!P621/Data_Entry!$H621&lt;0,0,Data_Entry!P621/Data_Entry!$H621),0)</f>
        <v>1.0473273391957318</v>
      </c>
      <c r="L632" s="49">
        <f>IFERROR(IF(Data_Entry!Q621/Data_Entry!$H621&lt;0,0,Data_Entry!Q621/Data_Entry!$H621),0)</f>
        <v>1.0947534828574252</v>
      </c>
      <c r="M632" s="49">
        <f>IFERROR(IF(Data_Entry!R621/Data_Entry!$H621&lt;0,0,Data_Entry!R621/Data_Entry!$H621),0)</f>
        <v>1.0947534828574252</v>
      </c>
      <c r="N632" s="49">
        <f>IFERROR(IF(Data_Entry!S621/Data_Entry!$H621&lt;0,0,Data_Entry!S621/Data_Entry!$H621),0)</f>
        <v>0.91690544412607455</v>
      </c>
      <c r="O632" s="49">
        <f>IFERROR(IF(Data_Entry!T621/Data_Entry!$H621&lt;0,0,Data_Entry!T621/Data_Entry!$H621),0)</f>
        <v>0.80229226361031525</v>
      </c>
      <c r="P632" s="49">
        <f>IFERROR(IF(Data_Entry!U621/Data_Entry!$H621&lt;0,0,Data_Entry!U621/Data_Entry!$H621),0)</f>
        <v>1.1026578401343741</v>
      </c>
      <c r="Q632" s="49">
        <f>IFERROR(IF(Data_Entry!V621/Data_Entry!$H621&lt;0,0,Data_Entry!V621/Data_Entry!$H621),0)</f>
        <v>0.88133583637980439</v>
      </c>
      <c r="R632" s="49">
        <f>IFERROR(IF(Data_Entry!W621/Data_Entry!$H621&lt;0,0,Data_Entry!W621/Data_Entry!$H621),0)</f>
        <v>0.69558344037150488</v>
      </c>
      <c r="S632" s="49">
        <f>IFERROR(IF(Data_Entry!X621/Data_Entry!$H621&lt;0,0,Data_Entry!X621/Data_Entry!$H621),0)</f>
        <v>0.85367058591048328</v>
      </c>
      <c r="T632" s="49">
        <f>IFERROR(IF(Data_Entry!Y621/Data_Entry!$H621&lt;0,0,Data_Entry!Y621/Data_Entry!$H621),0)</f>
        <v>9.4852287323387019E-2</v>
      </c>
      <c r="U632" s="49">
        <f>IFERROR(IF(Data_Entry!Z621/Data_Entry!$H621&lt;0,0,Data_Entry!Z621/Data_Entry!$H621),0)</f>
        <v>0.77067483450251961</v>
      </c>
      <c r="V632" s="49">
        <f>IFERROR(IF(Data_Entry!AA621/Data_Entry!$H621&lt;0,0,Data_Entry!AA621/Data_Entry!$H621),0)</f>
        <v>1.0236142673648849</v>
      </c>
      <c r="W632" s="49">
        <f>IFERROR(IF(Data_Entry!AB621/Data_Entry!$H621&lt;0,0,Data_Entry!AB621/Data_Entry!$H621),0)</f>
        <v>0.66396601126370913</v>
      </c>
      <c r="X632" s="49">
        <f>IFERROR(IF(Data_Entry!AC621/Data_Entry!$I621&lt;0,0,Data_Entry!AC621/Data_Entry!$I621),0)</f>
        <v>0.47586206896551725</v>
      </c>
      <c r="Y632" s="49">
        <f>IFERROR(IF(Data_Entry!AD621/Data_Entry!$I621&lt;0,0,Data_Entry!AD621/Data_Entry!$I621),0)</f>
        <v>0.45517241379310347</v>
      </c>
      <c r="Z632" s="49">
        <f>IFERROR(IF(Data_Entry!AE621/Data_Entry!$I621&lt;0,0,Data_Entry!AE621/Data_Entry!$I621),0)</f>
        <v>0.22413793103448276</v>
      </c>
      <c r="AA632" s="49">
        <f>IFERROR(IF(Data_Entry!AF621/Data_Entry!$I621&lt;0,0,Data_Entry!AF621/Data_Entry!$I621),0)</f>
        <v>0.22068965517241379</v>
      </c>
      <c r="AB632" s="49">
        <f>IFERROR(IF(Data_Entry!AG621/Data_Entry!$I621&lt;0,0,Data_Entry!AG621/Data_Entry!$I621),0)</f>
        <v>0.12413793103448276</v>
      </c>
      <c r="AC632" s="49">
        <f>IFERROR(IF(Data_Entry!AI621/Data_Entry!$I621&lt;0,0,Data_Entry!AI621/Data_Entry!$I621),0)</f>
        <v>0.20103448275862068</v>
      </c>
      <c r="AD632" s="49">
        <f>IFERROR(IF(Data_Entry!AM621/Data_Entry!$H621&lt;0,0,Data_Entry!AM621/Data_Entry!$H621),0)</f>
        <v>0.77067483450251961</v>
      </c>
      <c r="AE632" s="50">
        <f>Data_Entry!AK621</f>
        <v>0</v>
      </c>
      <c r="AF632" s="50">
        <f>Data_Entry!AL621</f>
        <v>73</v>
      </c>
      <c r="AG632" s="153">
        <f>(Data_Entry!O621-Data_Entry!Q621)/Data_Entry!O621</f>
        <v>4.1522491349480967E-2</v>
      </c>
      <c r="AH632" s="79" t="str">
        <f t="shared" si="18"/>
        <v>CAT1</v>
      </c>
      <c r="AI632" s="51">
        <f>SUBTOTAL(3,Tableau1[[#This Row],[ZS]])</f>
        <v>0</v>
      </c>
      <c r="AJ632" s="51" t="e">
        <f t="shared" ca="1" si="19"/>
        <v>#NAME?</v>
      </c>
      <c r="AK632" s="50" t="str">
        <f>IFERROR(IF((Data_Entry!O621-Data_Entry!Q621)/Data_Entry!O621&lt;=10%,"&lt;=10%","&gt;10%"),"&lt;=10%")</f>
        <v>&lt;=10%</v>
      </c>
    </row>
    <row r="633" spans="1:37" s="48" customFormat="1" ht="13" hidden="1" x14ac:dyDescent="0.3">
      <c r="A633" s="31" t="s">
        <v>16</v>
      </c>
      <c r="B633" s="48" t="str">
        <f>Data_Entry!B622</f>
        <v>Goma</v>
      </c>
      <c r="C633" s="48" t="str">
        <f>Data_Entry!C622</f>
        <v xml:space="preserve"> Rwanguba</v>
      </c>
      <c r="D633" s="48" t="str">
        <f>Data_Entry!D622</f>
        <v xml:space="preserve"> Kakondo</v>
      </c>
      <c r="E633" s="49">
        <f>IFERROR(IF(Data_Entry!J622/Data_Entry!$I622&lt;0,0,Data_Entry!J622/Data_Entry!$I622),0)</f>
        <v>1.0659169757147984</v>
      </c>
      <c r="F633" s="49">
        <f>IFERROR(IF(Data_Entry!K622/Data_Entry!$H622&lt;0,0,Data_Entry!K622/Data_Entry!$H622),0)</f>
        <v>1.365650529892287</v>
      </c>
      <c r="G633" s="49">
        <f>IFERROR(IF(Data_Entry!L622/Data_Entry!$H622&lt;0,0,Data_Entry!L622/Data_Entry!$H622),0)</f>
        <v>1.1352998381032264</v>
      </c>
      <c r="H633" s="49">
        <f>IFERROR(IF(Data_Entry!M622/Data_Entry!$H622&lt;0,0,Data_Entry!M622/Data_Entry!$H622),0)</f>
        <v>1.1352998381032264</v>
      </c>
      <c r="I633" s="49">
        <f>IFERROR(IF(Data_Entry!N622/Data_Entry!$H622&lt;0,0,Data_Entry!N622/Data_Entry!$H622),0)</f>
        <v>1.0941657859980372</v>
      </c>
      <c r="J633" s="49">
        <f>IFERROR(IF(Data_Entry!O622/Data_Entry!$H622&lt;0,0,Data_Entry!O622/Data_Entry!$H622),0)</f>
        <v>1.0406915182612908</v>
      </c>
      <c r="K633" s="49">
        <f>IFERROR(IF(Data_Entry!P622/Data_Entry!$H622&lt;0,0,Data_Entry!P622/Data_Entry!$H622),0)</f>
        <v>1.0694853547349235</v>
      </c>
      <c r="L633" s="49">
        <f>IFERROR(IF(Data_Entry!Q622/Data_Entry!$H622&lt;0,0,Data_Entry!Q622/Data_Entry!$H622),0)</f>
        <v>1.0406915182612908</v>
      </c>
      <c r="M633" s="49">
        <f>IFERROR(IF(Data_Entry!R622/Data_Entry!$H622&lt;0,0,Data_Entry!R622/Data_Entry!$H622),0)</f>
        <v>1.0735987599454424</v>
      </c>
      <c r="N633" s="49">
        <f>IFERROR(IF(Data_Entry!S622/Data_Entry!$H622&lt;0,0,Data_Entry!S622/Data_Entry!$H622),0)</f>
        <v>1.1352998381032264</v>
      </c>
      <c r="O633" s="49">
        <f>IFERROR(IF(Data_Entry!T622/Data_Entry!$H622&lt;0,0,Data_Entry!T622/Data_Entry!$H622),0)</f>
        <v>1.0941657859980372</v>
      </c>
      <c r="P633" s="49">
        <f>IFERROR(IF(Data_Entry!U622/Data_Entry!$H622&lt;0,0,Data_Entry!U622/Data_Entry!$H622),0)</f>
        <v>0.91728936194572286</v>
      </c>
      <c r="Q633" s="49">
        <f>IFERROR(IF(Data_Entry!V622/Data_Entry!$H622&lt;0,0,Data_Entry!V622/Data_Entry!$H622),0)</f>
        <v>0.97487703489298794</v>
      </c>
      <c r="R633" s="49">
        <f>IFERROR(IF(Data_Entry!W622/Data_Entry!$H622&lt;0,0,Data_Entry!W622/Data_Entry!$H622),0)</f>
        <v>0.96253681926143109</v>
      </c>
      <c r="S633" s="49">
        <f>IFERROR(IF(Data_Entry!X622/Data_Entry!$H622&lt;0,0,Data_Entry!X622/Data_Entry!$H622),0)</f>
        <v>1.0777121651559614</v>
      </c>
      <c r="T633" s="49">
        <f>IFERROR(IF(Data_Entry!Y622/Data_Entry!$H622&lt;0,0,Data_Entry!Y622/Data_Entry!$H622),0)</f>
        <v>0.45658797836760195</v>
      </c>
      <c r="U633" s="49">
        <f>IFERROR(IF(Data_Entry!Z622/Data_Entry!$H622&lt;0,0,Data_Entry!Z622/Data_Entry!$H622),0)</f>
        <v>0.9214027671562417</v>
      </c>
      <c r="V633" s="49">
        <f>IFERROR(IF(Data_Entry!AA622/Data_Entry!$H622&lt;0,0,Data_Entry!AA622/Data_Entry!$H622),0)</f>
        <v>1.0941657859980372</v>
      </c>
      <c r="W633" s="49">
        <f>IFERROR(IF(Data_Entry!AB622/Data_Entry!$H622&lt;0,0,Data_Entry!AB622/Data_Entry!$H622),0)</f>
        <v>1.0941657859980372</v>
      </c>
      <c r="X633" s="49">
        <f>IFERROR(IF(Data_Entry!AC622/Data_Entry!$I622&lt;0,0,Data_Entry!AC622/Data_Entry!$I622),0)</f>
        <v>0.99772700083742072</v>
      </c>
      <c r="Y633" s="49">
        <f>IFERROR(IF(Data_Entry!AD622/Data_Entry!$I622&lt;0,0,Data_Entry!AD622/Data_Entry!$I622),0)</f>
        <v>0.90082545759062094</v>
      </c>
      <c r="Z633" s="49">
        <f>IFERROR(IF(Data_Entry!AE622/Data_Entry!$I622&lt;0,0,Data_Entry!AE622/Data_Entry!$I622),0)</f>
        <v>0.94030386409857636</v>
      </c>
      <c r="AA633" s="49">
        <f>IFERROR(IF(Data_Entry!AF622/Data_Entry!$I622&lt;0,0,Data_Entry!AF622/Data_Entry!$I622),0)</f>
        <v>0</v>
      </c>
      <c r="AB633" s="49">
        <f>IFERROR(IF(Data_Entry!AG622/Data_Entry!$I622&lt;0,0,Data_Entry!AG622/Data_Entry!$I622),0)</f>
        <v>0</v>
      </c>
      <c r="AC633" s="49">
        <f>IFERROR(IF(Data_Entry!AI622/Data_Entry!$I622&lt;0,0,Data_Entry!AI622/Data_Entry!$I622),0)</f>
        <v>0.20923555449216413</v>
      </c>
      <c r="AD633" s="49">
        <f>IFERROR(IF(Data_Entry!AM622/Data_Entry!$H622&lt;0,0,Data_Entry!AM622/Data_Entry!$H622),0)</f>
        <v>0.9214027671562417</v>
      </c>
      <c r="AE633" s="50">
        <f>Data_Entry!AK622</f>
        <v>0</v>
      </c>
      <c r="AF633" s="50">
        <f>Data_Entry!AL622</f>
        <v>0</v>
      </c>
      <c r="AG633" s="153">
        <f>(Data_Entry!O622-Data_Entry!Q622)/Data_Entry!O622</f>
        <v>0</v>
      </c>
      <c r="AH633" s="79" t="str">
        <f t="shared" si="18"/>
        <v>CAT1</v>
      </c>
      <c r="AI633" s="51">
        <f>SUBTOTAL(3,Tableau1[[#This Row],[ZS]])</f>
        <v>0</v>
      </c>
      <c r="AJ633" s="51" t="e">
        <f t="shared" ca="1" si="19"/>
        <v>#NAME?</v>
      </c>
      <c r="AK633" s="50" t="str">
        <f>IFERROR(IF((Data_Entry!O622-Data_Entry!Q622)/Data_Entry!O622&lt;=10%,"&lt;=10%","&gt;10%"),"&lt;=10%")</f>
        <v>&lt;=10%</v>
      </c>
    </row>
    <row r="634" spans="1:37" s="48" customFormat="1" ht="13" hidden="1" x14ac:dyDescent="0.3">
      <c r="A634" s="31" t="s">
        <v>16</v>
      </c>
      <c r="B634" s="48" t="str">
        <f>Data_Entry!B623</f>
        <v>Goma</v>
      </c>
      <c r="C634" s="48" t="str">
        <f>Data_Entry!C623</f>
        <v xml:space="preserve"> Rwanguba</v>
      </c>
      <c r="D634" s="48" t="str">
        <f>Data_Entry!D623</f>
        <v xml:space="preserve"> Kamira </v>
      </c>
      <c r="E634" s="49">
        <f>IFERROR(IF(Data_Entry!J623/Data_Entry!$I623&lt;0,0,Data_Entry!J623/Data_Entry!$I623),0)</f>
        <v>1.2341990347046656</v>
      </c>
      <c r="F634" s="49">
        <f>IFERROR(IF(Data_Entry!K623/Data_Entry!$H623&lt;0,0,Data_Entry!K623/Data_Entry!$H623),0)</f>
        <v>0.62825197777542163</v>
      </c>
      <c r="G634" s="49">
        <f>IFERROR(IF(Data_Entry!L623/Data_Entry!$H623&lt;0,0,Data_Entry!L623/Data_Entry!$H623),0)</f>
        <v>1.0273302781233309</v>
      </c>
      <c r="H634" s="49">
        <f>IFERROR(IF(Data_Entry!M623/Data_Entry!$H623&lt;0,0,Data_Entry!M623/Data_Entry!$H623),0)</f>
        <v>1.0075739266209591</v>
      </c>
      <c r="I634" s="49">
        <f>IFERROR(IF(Data_Entry!N623/Data_Entry!$H623&lt;0,0,Data_Entry!N623/Data_Entry!$H623),0)</f>
        <v>0.97201249391669009</v>
      </c>
      <c r="J634" s="49">
        <f>IFERROR(IF(Data_Entry!O623/Data_Entry!$H623&lt;0,0,Data_Entry!O623/Data_Entry!$H623),0)</f>
        <v>1.0470866296257026</v>
      </c>
      <c r="K634" s="49">
        <f>IFERROR(IF(Data_Entry!P623/Data_Entry!$H623&lt;0,0,Data_Entry!P623/Data_Entry!$H623),0)</f>
        <v>1.0312815484238054</v>
      </c>
      <c r="L634" s="49">
        <f>IFERROR(IF(Data_Entry!Q623/Data_Entry!$H623&lt;0,0,Data_Entry!Q623/Data_Entry!$H623),0)</f>
        <v>0.94435360181336958</v>
      </c>
      <c r="M634" s="49">
        <f>IFERROR(IF(Data_Entry!R623/Data_Entry!$H623&lt;0,0,Data_Entry!R623/Data_Entry!$H623),0)</f>
        <v>0.99176884541906185</v>
      </c>
      <c r="N634" s="49">
        <f>IFERROR(IF(Data_Entry!S623/Data_Entry!$H623&lt;0,0,Data_Entry!S623/Data_Entry!$H623),0)</f>
        <v>0.93645106121242094</v>
      </c>
      <c r="O634" s="49">
        <f>IFERROR(IF(Data_Entry!T623/Data_Entry!$H623&lt;0,0,Data_Entry!T623/Data_Entry!$H623),0)</f>
        <v>0.90484089880862617</v>
      </c>
      <c r="P634" s="49">
        <f>IFERROR(IF(Data_Entry!U623/Data_Entry!$H623&lt;0,0,Data_Entry!U623/Data_Entry!$H623),0)</f>
        <v>0.94435360181336958</v>
      </c>
      <c r="Q634" s="49">
        <f>IFERROR(IF(Data_Entry!V623/Data_Entry!$H623&lt;0,0,Data_Entry!V623/Data_Entry!$H623),0)</f>
        <v>0.89693835820767742</v>
      </c>
      <c r="R634" s="49">
        <f>IFERROR(IF(Data_Entry!W623/Data_Entry!$H623&lt;0,0,Data_Entry!W623/Data_Entry!$H623),0)</f>
        <v>0.86532819580388265</v>
      </c>
      <c r="S634" s="49">
        <f>IFERROR(IF(Data_Entry!X623/Data_Entry!$H623&lt;0,0,Data_Entry!X623/Data_Entry!$H623),0)</f>
        <v>0.80605914129676737</v>
      </c>
      <c r="T634" s="49">
        <f>IFERROR(IF(Data_Entry!Y623/Data_Entry!$H623&lt;0,0,Data_Entry!Y623/Data_Entry!$H623),0)</f>
        <v>0.41488338154980675</v>
      </c>
      <c r="U634" s="49">
        <f>IFERROR(IF(Data_Entry!Z623/Data_Entry!$H623&lt;0,0,Data_Entry!Z623/Data_Entry!$H623),0)</f>
        <v>0.86137692550340828</v>
      </c>
      <c r="V634" s="49">
        <f>IFERROR(IF(Data_Entry!AA623/Data_Entry!$H623&lt;0,0,Data_Entry!AA623/Data_Entry!$H623),0)</f>
        <v>0.9008896285081518</v>
      </c>
      <c r="W634" s="49">
        <f>IFERROR(IF(Data_Entry!AB623/Data_Entry!$H623&lt;0,0,Data_Entry!AB623/Data_Entry!$H623),0)</f>
        <v>0.77444897889297259</v>
      </c>
      <c r="X634" s="49">
        <f>IFERROR(IF(Data_Entry!AC623/Data_Entry!$I623&lt;0,0,Data_Entry!AC623/Data_Entry!$I623),0)</f>
        <v>0.58951965065502188</v>
      </c>
      <c r="Y634" s="49">
        <f>IFERROR(IF(Data_Entry!AD623/Data_Entry!$I623&lt;0,0,Data_Entry!AD623/Data_Entry!$I623),0)</f>
        <v>0.5240174672489083</v>
      </c>
      <c r="Z634" s="49">
        <f>IFERROR(IF(Data_Entry!AE623/Data_Entry!$I623&lt;0,0,Data_Entry!AE623/Data_Entry!$I623),0)</f>
        <v>0.14134681682371869</v>
      </c>
      <c r="AA634" s="49">
        <f>IFERROR(IF(Data_Entry!AF623/Data_Entry!$I623&lt;0,0,Data_Entry!AF623/Data_Entry!$I623),0)</f>
        <v>1.7237416685819351E-2</v>
      </c>
      <c r="AB634" s="49">
        <f>IFERROR(IF(Data_Entry!AG623/Data_Entry!$I623&lt;0,0,Data_Entry!AG623/Data_Entry!$I623),0)</f>
        <v>1.0342450011491611E-2</v>
      </c>
      <c r="AC634" s="49">
        <f>IFERROR(IF(Data_Entry!AI623/Data_Entry!$I623&lt;0,0,Data_Entry!AI623/Data_Entry!$I623),0)</f>
        <v>0.20098827855665363</v>
      </c>
      <c r="AD634" s="49">
        <f>IFERROR(IF(Data_Entry!AM623/Data_Entry!$H623&lt;0,0,Data_Entry!AM623/Data_Entry!$H623),0)</f>
        <v>0.80605914129676737</v>
      </c>
      <c r="AE634" s="50">
        <f>Data_Entry!AK623</f>
        <v>0</v>
      </c>
      <c r="AF634" s="50">
        <f>Data_Entry!AL623</f>
        <v>61</v>
      </c>
      <c r="AG634" s="153">
        <f>(Data_Entry!O623-Data_Entry!Q623)/Data_Entry!O623</f>
        <v>9.8113207547169817E-2</v>
      </c>
      <c r="AH634" s="79" t="str">
        <f t="shared" si="18"/>
        <v>CAT1</v>
      </c>
      <c r="AI634" s="51">
        <f>SUBTOTAL(3,Tableau1[[#This Row],[ZS]])</f>
        <v>0</v>
      </c>
      <c r="AJ634" s="51" t="e">
        <f t="shared" ca="1" si="19"/>
        <v>#NAME?</v>
      </c>
      <c r="AK634" s="50" t="str">
        <f>IFERROR(IF((Data_Entry!O623-Data_Entry!Q623)/Data_Entry!O623&lt;=10%,"&lt;=10%","&gt;10%"),"&lt;=10%")</f>
        <v>&lt;=10%</v>
      </c>
    </row>
    <row r="635" spans="1:37" s="48" customFormat="1" ht="13" hidden="1" x14ac:dyDescent="0.3">
      <c r="A635" s="31" t="s">
        <v>16</v>
      </c>
      <c r="B635" s="48" t="str">
        <f>Data_Entry!B624</f>
        <v>Goma</v>
      </c>
      <c r="C635" s="48" t="str">
        <f>Data_Entry!C624</f>
        <v xml:space="preserve"> Rwanguba</v>
      </c>
      <c r="D635" s="48" t="str">
        <f>Data_Entry!D624</f>
        <v xml:space="preserve"> Kanombe</v>
      </c>
      <c r="E635" s="49">
        <f>IFERROR(IF(Data_Entry!J624/Data_Entry!$I624&lt;0,0,Data_Entry!J624/Data_Entry!$I624),0)</f>
        <v>0.41304998503442081</v>
      </c>
      <c r="F635" s="49">
        <f>IFERROR(IF(Data_Entry!K624/Data_Entry!$H624&lt;0,0,Data_Entry!K624/Data_Entry!$H624),0)</f>
        <v>0.7238366084652863</v>
      </c>
      <c r="G635" s="49">
        <f>IFERROR(IF(Data_Entry!L624/Data_Entry!$H624&lt;0,0,Data_Entry!L624/Data_Entry!$H624),0)</f>
        <v>0.89193136588139543</v>
      </c>
      <c r="H635" s="49">
        <f>IFERROR(IF(Data_Entry!M624/Data_Entry!$H624&lt;0,0,Data_Entry!M624/Data_Entry!$H624),0)</f>
        <v>0.67924004017121653</v>
      </c>
      <c r="I635" s="49">
        <f>IFERROR(IF(Data_Entry!N624/Data_Entry!$H624&lt;0,0,Data_Entry!N624/Data_Entry!$H624),0)</f>
        <v>0.65865700865087662</v>
      </c>
      <c r="J635" s="49">
        <f>IFERROR(IF(Data_Entry!O624/Data_Entry!$H624&lt;0,0,Data_Entry!O624/Data_Entry!$H624),0)</f>
        <v>0.79244671353308593</v>
      </c>
      <c r="K635" s="49">
        <f>IFERROR(IF(Data_Entry!P624/Data_Entry!$H624&lt;0,0,Data_Entry!P624/Data_Entry!$H624),0)</f>
        <v>0.60719942985002684</v>
      </c>
      <c r="L635" s="49">
        <f>IFERROR(IF(Data_Entry!Q624/Data_Entry!$H624&lt;0,0,Data_Entry!Q624/Data_Entry!$H624),0)</f>
        <v>0.57632488256951708</v>
      </c>
      <c r="M635" s="49">
        <f>IFERROR(IF(Data_Entry!R624/Data_Entry!$H624&lt;0,0,Data_Entry!R624/Data_Entry!$H624),0)</f>
        <v>0.87134833436105552</v>
      </c>
      <c r="N635" s="49">
        <f>IFERROR(IF(Data_Entry!S624/Data_Entry!$H624&lt;0,0,Data_Entry!S624/Data_Entry!$H624),0)</f>
        <v>0.67580953491782647</v>
      </c>
      <c r="O635" s="49">
        <f>IFERROR(IF(Data_Entry!T624/Data_Entry!$H624&lt;0,0,Data_Entry!T624/Data_Entry!$H624),0)</f>
        <v>0.63464347187714676</v>
      </c>
      <c r="P635" s="49">
        <f>IFERROR(IF(Data_Entry!U624/Data_Entry!$H624&lt;0,0,Data_Entry!U624/Data_Entry!$H624),0)</f>
        <v>0.86448732385427551</v>
      </c>
      <c r="Q635" s="49">
        <f>IFERROR(IF(Data_Entry!V624/Data_Entry!$H624&lt;0,0,Data_Entry!V624/Data_Entry!$H624),0)</f>
        <v>0.62778246137036675</v>
      </c>
      <c r="R635" s="49">
        <f>IFERROR(IF(Data_Entry!W624/Data_Entry!$H624&lt;0,0,Data_Entry!W624/Data_Entry!$H624),0)</f>
        <v>0.59347740883646694</v>
      </c>
      <c r="S635" s="49">
        <f>IFERROR(IF(Data_Entry!X624/Data_Entry!$H624&lt;0,0,Data_Entry!X624/Data_Entry!$H624),0)</f>
        <v>0.55917235630256712</v>
      </c>
      <c r="T635" s="49">
        <f>IFERROR(IF(Data_Entry!Y624/Data_Entry!$H624&lt;0,0,Data_Entry!Y624/Data_Entry!$H624),0)</f>
        <v>0.31903698856526835</v>
      </c>
      <c r="U635" s="49">
        <f>IFERROR(IF(Data_Entry!Z624/Data_Entry!$H624&lt;0,0,Data_Entry!Z624/Data_Entry!$H624),0)</f>
        <v>0.49742326174154744</v>
      </c>
      <c r="V635" s="49">
        <f>IFERROR(IF(Data_Entry!AA624/Data_Entry!$H624&lt;0,0,Data_Entry!AA624/Data_Entry!$H624),0)</f>
        <v>0.50771477750171734</v>
      </c>
      <c r="W635" s="49">
        <f>IFERROR(IF(Data_Entry!AB624/Data_Entry!$H624&lt;0,0,Data_Entry!AB624/Data_Entry!$H624),0)</f>
        <v>0.43224366192713776</v>
      </c>
      <c r="X635" s="49">
        <f>IFERROR(IF(Data_Entry!AC624/Data_Entry!$I624&lt;0,0,Data_Entry!AC624/Data_Entry!$I624),0)</f>
        <v>0.64351990422029326</v>
      </c>
      <c r="Y635" s="49">
        <f>IFERROR(IF(Data_Entry!AD624/Data_Entry!$I624&lt;0,0,Data_Entry!AD624/Data_Entry!$I624),0)</f>
        <v>0.30529781502544145</v>
      </c>
      <c r="Z635" s="49">
        <f>IFERROR(IF(Data_Entry!AE624/Data_Entry!$I624&lt;0,0,Data_Entry!AE624/Data_Entry!$I624),0)</f>
        <v>0.14965579167913798</v>
      </c>
      <c r="AA635" s="49">
        <f>IFERROR(IF(Data_Entry!AF624/Data_Entry!$I624&lt;0,0,Data_Entry!AF624/Data_Entry!$I624),0)</f>
        <v>5.9862316671655189E-3</v>
      </c>
      <c r="AB635" s="49">
        <f>IFERROR(IF(Data_Entry!AG624/Data_Entry!$I624&lt;0,0,Data_Entry!AG624/Data_Entry!$I624),0)</f>
        <v>2.9931158335827594E-3</v>
      </c>
      <c r="AC635" s="49">
        <f>IFERROR(IF(Data_Entry!AI624/Data_Entry!$I624&lt;0,0,Data_Entry!AI624/Data_Entry!$I624),0)</f>
        <v>0.17449865309787488</v>
      </c>
      <c r="AD635" s="49">
        <f>IFERROR(IF(Data_Entry!AM624/Data_Entry!$H624&lt;0,0,Data_Entry!AM624/Data_Entry!$H624),0)</f>
        <v>0.49742326174154744</v>
      </c>
      <c r="AE635" s="50">
        <f>Data_Entry!AK624</f>
        <v>60.502250000000004</v>
      </c>
      <c r="AF635" s="50">
        <f>Data_Entry!AL624</f>
        <v>68</v>
      </c>
      <c r="AG635" s="153">
        <f>(Data_Entry!O624-Data_Entry!Q624)/Data_Entry!O624</f>
        <v>0.27272727272727271</v>
      </c>
      <c r="AH635" s="79" t="str">
        <f t="shared" si="18"/>
        <v>CAT4</v>
      </c>
      <c r="AI635" s="51">
        <f>SUBTOTAL(3,Tableau1[[#This Row],[ZS]])</f>
        <v>0</v>
      </c>
      <c r="AJ635" s="51" t="e">
        <f t="shared" ca="1" si="19"/>
        <v>#NAME?</v>
      </c>
      <c r="AK635" s="50" t="str">
        <f>IFERROR(IF((Data_Entry!O624-Data_Entry!Q624)/Data_Entry!O624&lt;=10%,"&lt;=10%","&gt;10%"),"&lt;=10%")</f>
        <v>&gt;10%</v>
      </c>
    </row>
    <row r="636" spans="1:37" s="48" customFormat="1" ht="13" hidden="1" x14ac:dyDescent="0.3">
      <c r="A636" s="31" t="s">
        <v>16</v>
      </c>
      <c r="B636" s="48" t="str">
        <f>Data_Entry!B625</f>
        <v>Goma</v>
      </c>
      <c r="C636" s="48" t="str">
        <f>Data_Entry!C625</f>
        <v xml:space="preserve"> Rwanguba</v>
      </c>
      <c r="D636" s="48" t="str">
        <f>Data_Entry!D625</f>
        <v xml:space="preserve"> Karambi</v>
      </c>
      <c r="E636" s="49">
        <f>IFERROR(IF(Data_Entry!J625/Data_Entry!$I625&lt;0,0,Data_Entry!J625/Data_Entry!$I625),0)</f>
        <v>0.94975128572632994</v>
      </c>
      <c r="F636" s="49">
        <f>IFERROR(IF(Data_Entry!K625/Data_Entry!$H625&lt;0,0,Data_Entry!K625/Data_Entry!$H625),0)</f>
        <v>0.44353300612708474</v>
      </c>
      <c r="G636" s="49">
        <f>IFERROR(IF(Data_Entry!L625/Data_Entry!$H625&lt;0,0,Data_Entry!L625/Data_Entry!$H625),0)</f>
        <v>0.86967256103349944</v>
      </c>
      <c r="H636" s="49">
        <f>IFERROR(IF(Data_Entry!M625/Data_Entry!$H625&lt;0,0,Data_Entry!M625/Data_Entry!$H625),0)</f>
        <v>0.81604275310310037</v>
      </c>
      <c r="I636" s="49">
        <f>IFERROR(IF(Data_Entry!N625/Data_Entry!$H625&lt;0,0,Data_Entry!N625/Data_Entry!$H625),0)</f>
        <v>0.82473947871343534</v>
      </c>
      <c r="J636" s="49">
        <f>IFERROR(IF(Data_Entry!O625/Data_Entry!$H625&lt;0,0,Data_Entry!O625/Data_Entry!$H625),0)</f>
        <v>0.84358238420249454</v>
      </c>
      <c r="K636" s="49">
        <f>IFERROR(IF(Data_Entry!P625/Data_Entry!$H625&lt;0,0,Data_Entry!P625/Data_Entry!$H625),0)</f>
        <v>0.80009875615081949</v>
      </c>
      <c r="L636" s="49">
        <f>IFERROR(IF(Data_Entry!Q625/Data_Entry!$H625&lt;0,0,Data_Entry!Q625/Data_Entry!$H625),0)</f>
        <v>0.79864930188243033</v>
      </c>
      <c r="M636" s="49">
        <f>IFERROR(IF(Data_Entry!R625/Data_Entry!$H625&lt;0,0,Data_Entry!R625/Data_Entry!$H625),0)</f>
        <v>0.80879548176115457</v>
      </c>
      <c r="N636" s="49">
        <f>IFERROR(IF(Data_Entry!S625/Data_Entry!$H625&lt;0,0,Data_Entry!S625/Data_Entry!$H625),0)</f>
        <v>0.75661512809914455</v>
      </c>
      <c r="O636" s="49">
        <f>IFERROR(IF(Data_Entry!T625/Data_Entry!$H625&lt;0,0,Data_Entry!T625/Data_Entry!$H625),0)</f>
        <v>0.74936785675719875</v>
      </c>
      <c r="P636" s="49">
        <f>IFERROR(IF(Data_Entry!U625/Data_Entry!$H625&lt;0,0,Data_Entry!U625/Data_Entry!$H625),0)</f>
        <v>0.70153586590035621</v>
      </c>
      <c r="Q636" s="49">
        <f>IFERROR(IF(Data_Entry!V625/Data_Entry!$H625&lt;0,0,Data_Entry!V625/Data_Entry!$H625),0)</f>
        <v>0.64935551223834631</v>
      </c>
      <c r="R636" s="49">
        <f>IFERROR(IF(Data_Entry!W625/Data_Entry!$H625&lt;0,0,Data_Entry!W625/Data_Entry!$H625),0)</f>
        <v>0.62906315248089795</v>
      </c>
      <c r="S636" s="49">
        <f>IFERROR(IF(Data_Entry!X625/Data_Entry!$H625&lt;0,0,Data_Entry!X625/Data_Entry!$H625),0)</f>
        <v>0.7624129451727012</v>
      </c>
      <c r="T636" s="49">
        <f>IFERROR(IF(Data_Entry!Y625/Data_Entry!$H625&lt;0,0,Data_Entry!Y625/Data_Entry!$H625),0)</f>
        <v>0.29134030794622234</v>
      </c>
      <c r="U636" s="49">
        <f>IFERROR(IF(Data_Entry!Z625/Data_Entry!$H625&lt;0,0,Data_Entry!Z625/Data_Entry!$H625),0)</f>
        <v>0.7319744055365287</v>
      </c>
      <c r="V636" s="49">
        <f>IFERROR(IF(Data_Entry!AA625/Data_Entry!$H625&lt;0,0,Data_Entry!AA625/Data_Entry!$H625),0)</f>
        <v>0.69863695736357789</v>
      </c>
      <c r="W636" s="49">
        <f>IFERROR(IF(Data_Entry!AB625/Data_Entry!$H625&lt;0,0,Data_Entry!AB625/Data_Entry!$H625),0)</f>
        <v>0.55514098479305052</v>
      </c>
      <c r="X636" s="49">
        <f>IFERROR(IF(Data_Entry!AC625/Data_Entry!$I625&lt;0,0,Data_Entry!AC625/Data_Entry!$I625),0)</f>
        <v>0.16566899924121067</v>
      </c>
      <c r="Y636" s="49">
        <f>IFERROR(IF(Data_Entry!AD625/Data_Entry!$I625&lt;0,0,Data_Entry!AD625/Data_Entry!$I625),0)</f>
        <v>0.15302251074951523</v>
      </c>
      <c r="Z636" s="49">
        <f>IFERROR(IF(Data_Entry!AE625/Data_Entry!$I625&lt;0,0,Data_Entry!AE625/Data_Entry!$I625),0)</f>
        <v>8.85254194418683E-2</v>
      </c>
      <c r="AA636" s="49">
        <f>IFERROR(IF(Data_Entry!AF625/Data_Entry!$I625&lt;0,0,Data_Entry!AF625/Data_Entry!$I625),0)</f>
        <v>6.3232442458477367E-2</v>
      </c>
      <c r="AB636" s="49">
        <f>IFERROR(IF(Data_Entry!AG625/Data_Entry!$I625&lt;0,0,Data_Entry!AG625/Data_Entry!$I625),0)</f>
        <v>3.6674816625916873E-2</v>
      </c>
      <c r="AC636" s="49">
        <f>IFERROR(IF(Data_Entry!AI625/Data_Entry!$I625&lt;0,0,Data_Entry!AI625/Data_Entry!$I625),0)</f>
        <v>6.854396762498946E-2</v>
      </c>
      <c r="AD636" s="49">
        <f>IFERROR(IF(Data_Entry!AM625/Data_Entry!$H625&lt;0,0,Data_Entry!AM625/Data_Entry!$H625),0)</f>
        <v>0.7319744055365287</v>
      </c>
      <c r="AE636" s="50">
        <f>Data_Entry!AK625</f>
        <v>107.91483333333338</v>
      </c>
      <c r="AF636" s="50">
        <f>Data_Entry!AL625</f>
        <v>56</v>
      </c>
      <c r="AG636" s="153">
        <f>(Data_Entry!O625-Data_Entry!Q625)/Data_Entry!O625</f>
        <v>5.3264604810996562E-2</v>
      </c>
      <c r="AH636" s="79" t="str">
        <f t="shared" si="18"/>
        <v>CAT3</v>
      </c>
      <c r="AI636" s="51">
        <f>SUBTOTAL(3,Tableau1[[#This Row],[ZS]])</f>
        <v>0</v>
      </c>
      <c r="AJ636" s="51" t="e">
        <f t="shared" ca="1" si="19"/>
        <v>#NAME?</v>
      </c>
      <c r="AK636" s="50" t="str">
        <f>IFERROR(IF((Data_Entry!O625-Data_Entry!Q625)/Data_Entry!O625&lt;=10%,"&lt;=10%","&gt;10%"),"&lt;=10%")</f>
        <v>&lt;=10%</v>
      </c>
    </row>
    <row r="637" spans="1:37" s="48" customFormat="1" ht="13" hidden="1" x14ac:dyDescent="0.3">
      <c r="A637" s="31" t="s">
        <v>16</v>
      </c>
      <c r="B637" s="48" t="str">
        <f>Data_Entry!B626</f>
        <v>Goma</v>
      </c>
      <c r="C637" s="48" t="str">
        <f>Data_Entry!C626</f>
        <v xml:space="preserve"> Rwanguba</v>
      </c>
      <c r="D637" s="48" t="str">
        <f>Data_Entry!D626</f>
        <v xml:space="preserve"> Kazuba</v>
      </c>
      <c r="E637" s="49">
        <f>IFERROR(IF(Data_Entry!J626/Data_Entry!$I626&lt;0,0,Data_Entry!J626/Data_Entry!$I626),0)</f>
        <v>0.62794709603220233</v>
      </c>
      <c r="F637" s="49">
        <f>IFERROR(IF(Data_Entry!K626/Data_Entry!$H626&lt;0,0,Data_Entry!K626/Data_Entry!$H626),0)</f>
        <v>1.1112008185714215</v>
      </c>
      <c r="G637" s="49">
        <f>IFERROR(IF(Data_Entry!L626/Data_Entry!$H626&lt;0,0,Data_Entry!L626/Data_Entry!$H626),0)</f>
        <v>1.0202484384036539</v>
      </c>
      <c r="H637" s="49">
        <f>IFERROR(IF(Data_Entry!M626/Data_Entry!$H626&lt;0,0,Data_Entry!M626/Data_Entry!$H626),0)</f>
        <v>0.93325050954752831</v>
      </c>
      <c r="I637" s="49">
        <f>IFERROR(IF(Data_Entry!N626/Data_Entry!$H626&lt;0,0,Data_Entry!N626/Data_Entry!$H626),0)</f>
        <v>0.93325050954752831</v>
      </c>
      <c r="J637" s="49">
        <f>IFERROR(IF(Data_Entry!O626/Data_Entry!$H626&lt;0,0,Data_Entry!O626/Data_Entry!$H626),0)</f>
        <v>1.0162939870920118</v>
      </c>
      <c r="K637" s="49">
        <f>IFERROR(IF(Data_Entry!P626/Data_Entry!$H626&lt;0,0,Data_Entry!P626/Data_Entry!$H626),0)</f>
        <v>0.98070392528723316</v>
      </c>
      <c r="L637" s="49">
        <f>IFERROR(IF(Data_Entry!Q626/Data_Entry!$H626&lt;0,0,Data_Entry!Q626/Data_Entry!$H626),0)</f>
        <v>0.99652173053380144</v>
      </c>
      <c r="M637" s="49">
        <f>IFERROR(IF(Data_Entry!R626/Data_Entry!$H626&lt;0,0,Data_Entry!R626/Data_Entry!$H626),0)</f>
        <v>1.0162939870920118</v>
      </c>
      <c r="N637" s="49">
        <f>IFERROR(IF(Data_Entry!S626/Data_Entry!$H626&lt;0,0,Data_Entry!S626/Data_Entry!$H626),0)</f>
        <v>0.98070392528723316</v>
      </c>
      <c r="O637" s="49">
        <f>IFERROR(IF(Data_Entry!T626/Data_Entry!$H626&lt;0,0,Data_Entry!T626/Data_Entry!$H626),0)</f>
        <v>0.96488612004066487</v>
      </c>
      <c r="P637" s="49">
        <f>IFERROR(IF(Data_Entry!U626/Data_Entry!$H626&lt;0,0,Data_Entry!U626/Data_Entry!$H626),0)</f>
        <v>1.0162939870920118</v>
      </c>
      <c r="Q637" s="49">
        <f>IFERROR(IF(Data_Entry!V626/Data_Entry!$H626&lt;0,0,Data_Entry!V626/Data_Entry!$H626),0)</f>
        <v>0.98070392528723316</v>
      </c>
      <c r="R637" s="49">
        <f>IFERROR(IF(Data_Entry!W626/Data_Entry!$H626&lt;0,0,Data_Entry!W626/Data_Entry!$H626),0)</f>
        <v>0.97674947397559109</v>
      </c>
      <c r="S637" s="49">
        <f>IFERROR(IF(Data_Entry!X626/Data_Entry!$H626&lt;0,0,Data_Entry!X626/Data_Entry!$H626),0)</f>
        <v>0.97279502266394902</v>
      </c>
      <c r="T637" s="49">
        <f>IFERROR(IF(Data_Entry!Y626/Data_Entry!$H626&lt;0,0,Data_Entry!Y626/Data_Entry!$H626),0)</f>
        <v>0.45476190083883794</v>
      </c>
      <c r="U637" s="49">
        <f>IFERROR(IF(Data_Entry!Z626/Data_Entry!$H626&lt;0,0,Data_Entry!Z626/Data_Entry!$H626),0)</f>
        <v>0.87393373987289724</v>
      </c>
      <c r="V637" s="49">
        <f>IFERROR(IF(Data_Entry!AA626/Data_Entry!$H626&lt;0,0,Data_Entry!AA626/Data_Entry!$H626),0)</f>
        <v>0.9886128279105173</v>
      </c>
      <c r="W637" s="49">
        <f>IFERROR(IF(Data_Entry!AB626/Data_Entry!$H626&lt;0,0,Data_Entry!AB626/Data_Entry!$H626),0)</f>
        <v>0.47848860870869037</v>
      </c>
      <c r="X637" s="49">
        <f>IFERROR(IF(Data_Entry!AC626/Data_Entry!$I626&lt;0,0,Data_Entry!AC626/Data_Entry!$I626),0)</f>
        <v>0.23806785508913164</v>
      </c>
      <c r="Y637" s="49">
        <f>IFERROR(IF(Data_Entry!AD626/Data_Entry!$I626&lt;0,0,Data_Entry!AD626/Data_Entry!$I626),0)</f>
        <v>0.25186889016676245</v>
      </c>
      <c r="Z637" s="49">
        <f>IFERROR(IF(Data_Entry!AE626/Data_Entry!$I626&lt;0,0,Data_Entry!AE626/Data_Entry!$I626),0)</f>
        <v>0.30707303047728574</v>
      </c>
      <c r="AA637" s="49">
        <f>IFERROR(IF(Data_Entry!AF626/Data_Entry!$I626&lt;0,0,Data_Entry!AF626/Data_Entry!$I626),0)</f>
        <v>0.20356526739505459</v>
      </c>
      <c r="AB637" s="49">
        <f>IFERROR(IF(Data_Entry!AG626/Data_Entry!$I626&lt;0,0,Data_Entry!AG626/Data_Entry!$I626),0)</f>
        <v>0.12420931569867738</v>
      </c>
      <c r="AC637" s="49">
        <f>IFERROR(IF(Data_Entry!AI626/Data_Entry!$I626&lt;0,0,Data_Entry!AI626/Data_Entry!$I626),0)</f>
        <v>0.20115008625646921</v>
      </c>
      <c r="AD637" s="49">
        <f>IFERROR(IF(Data_Entry!AM626/Data_Entry!$H626&lt;0,0,Data_Entry!AM626/Data_Entry!$H626),0)</f>
        <v>0.87393373987289724</v>
      </c>
      <c r="AE637" s="50">
        <f>Data_Entry!AK626</f>
        <v>0</v>
      </c>
      <c r="AF637" s="50">
        <f>Data_Entry!AL626</f>
        <v>11</v>
      </c>
      <c r="AG637" s="153">
        <f>(Data_Entry!O626-Data_Entry!Q626)/Data_Entry!O626</f>
        <v>1.9455252918287938E-2</v>
      </c>
      <c r="AH637" s="79" t="str">
        <f t="shared" si="18"/>
        <v>CAT1</v>
      </c>
      <c r="AI637" s="51">
        <f>SUBTOTAL(3,Tableau1[[#This Row],[ZS]])</f>
        <v>0</v>
      </c>
      <c r="AJ637" s="51" t="e">
        <f t="shared" ca="1" si="19"/>
        <v>#NAME?</v>
      </c>
      <c r="AK637" s="50" t="str">
        <f>IFERROR(IF((Data_Entry!O626-Data_Entry!Q626)/Data_Entry!O626&lt;=10%,"&lt;=10%","&gt;10%"),"&lt;=10%")</f>
        <v>&lt;=10%</v>
      </c>
    </row>
    <row r="638" spans="1:37" s="48" customFormat="1" ht="13" hidden="1" x14ac:dyDescent="0.3">
      <c r="A638" s="31" t="s">
        <v>16</v>
      </c>
      <c r="B638" s="48" t="str">
        <f>Data_Entry!B627</f>
        <v>Goma</v>
      </c>
      <c r="C638" s="48" t="str">
        <f>Data_Entry!C627</f>
        <v xml:space="preserve"> Rwanguba</v>
      </c>
      <c r="D638" s="48" t="str">
        <f>Data_Entry!D627</f>
        <v xml:space="preserve"> Matebe</v>
      </c>
      <c r="E638" s="49">
        <f>IFERROR(IF(Data_Entry!J627/Data_Entry!$I627&lt;0,0,Data_Entry!J627/Data_Entry!$I627),0)</f>
        <v>1.3324696955676876</v>
      </c>
      <c r="F638" s="49">
        <f>IFERROR(IF(Data_Entry!K627/Data_Entry!$H627&lt;0,0,Data_Entry!K627/Data_Entry!$H627),0)</f>
        <v>1.1612976095563659</v>
      </c>
      <c r="G638" s="49">
        <f>IFERROR(IF(Data_Entry!L627/Data_Entry!$H627&lt;0,0,Data_Entry!L627/Data_Entry!$H627),0)</f>
        <v>1.3076529247333324</v>
      </c>
      <c r="H638" s="49">
        <f>IFERROR(IF(Data_Entry!M627/Data_Entry!$H627&lt;0,0,Data_Entry!M627/Data_Entry!$H627),0)</f>
        <v>1.2472018162906722</v>
      </c>
      <c r="I638" s="49">
        <f>IFERROR(IF(Data_Entry!N627/Data_Entry!$H627&lt;0,0,Data_Entry!N627/Data_Entry!$H627),0)</f>
        <v>1.3967387687540946</v>
      </c>
      <c r="J638" s="49">
        <f>IFERROR(IF(Data_Entry!O627/Data_Entry!$H627&lt;0,0,Data_Entry!O627/Data_Entry!$H627),0)</f>
        <v>1.126299599405352</v>
      </c>
      <c r="K638" s="49">
        <f>IFERROR(IF(Data_Entry!P627/Data_Entry!$H627&lt;0,0,Data_Entry!P627/Data_Entry!$H627),0)</f>
        <v>1.0531219418168687</v>
      </c>
      <c r="L638" s="49">
        <f>IFERROR(IF(Data_Entry!Q627/Data_Entry!$H627&lt;0,0,Data_Entry!Q627/Data_Entry!$H627),0)</f>
        <v>1.2853814637281418</v>
      </c>
      <c r="M638" s="49">
        <f>IFERROR(IF(Data_Entry!R627/Data_Entry!$H627&lt;0,0,Data_Entry!R627/Data_Entry!$H627),0)</f>
        <v>1.110391412973073</v>
      </c>
      <c r="N638" s="49">
        <f>IFERROR(IF(Data_Entry!S627/Data_Entry!$H627&lt;0,0,Data_Entry!S627/Data_Entry!$H627),0)</f>
        <v>1.0467586672439571</v>
      </c>
      <c r="O638" s="49">
        <f>IFERROR(IF(Data_Entry!T627/Data_Entry!$H627&lt;0,0,Data_Entry!T627/Data_Entry!$H627),0)</f>
        <v>1.1008465011137056</v>
      </c>
      <c r="P638" s="49">
        <f>IFERROR(IF(Data_Entry!U627/Data_Entry!$H627&lt;0,0,Data_Entry!U627/Data_Entry!$H627),0)</f>
        <v>0.94494627407737153</v>
      </c>
      <c r="Q638" s="49">
        <f>IFERROR(IF(Data_Entry!V627/Data_Entry!$H627&lt;0,0,Data_Entry!V627/Data_Entry!$H627),0)</f>
        <v>0.88449516563471142</v>
      </c>
      <c r="R638" s="49">
        <f>IFERROR(IF(Data_Entry!W627/Data_Entry!$H627&lt;0,0,Data_Entry!W627/Data_Entry!$H627),0)</f>
        <v>0.71586838945255427</v>
      </c>
      <c r="S638" s="49">
        <f>IFERROR(IF(Data_Entry!X627/Data_Entry!$H627&lt;0,0,Data_Entry!X627/Data_Entry!$H627),0)</f>
        <v>1.0722117655356034</v>
      </c>
      <c r="T638" s="49">
        <f>IFERROR(IF(Data_Entry!Y627/Data_Entry!$H627&lt;0,0,Data_Entry!Y627/Data_Entry!$H627),0)</f>
        <v>1.1612976095563659</v>
      </c>
      <c r="U638" s="49">
        <f>IFERROR(IF(Data_Entry!Z627/Data_Entry!$H627&lt;0,0,Data_Entry!Z627/Data_Entry!$H627),0)</f>
        <v>1.2058405315667469</v>
      </c>
      <c r="V638" s="49">
        <f>IFERROR(IF(Data_Entry!AA627/Data_Entry!$H627&lt;0,0,Data_Entry!AA627/Data_Entry!$H627),0)</f>
        <v>1.1803874332751005</v>
      </c>
      <c r="W638" s="49">
        <f>IFERROR(IF(Data_Entry!AB627/Data_Entry!$H627&lt;0,0,Data_Entry!AB627/Data_Entry!$H627),0)</f>
        <v>1.0881199519678824</v>
      </c>
      <c r="X638" s="49">
        <f>IFERROR(IF(Data_Entry!AC627/Data_Entry!$I627&lt;0,0,Data_Entry!AC627/Data_Entry!$I627),0)</f>
        <v>0.87998519478116033</v>
      </c>
      <c r="Y638" s="49">
        <f>IFERROR(IF(Data_Entry!AD627/Data_Entry!$I627&lt;0,0,Data_Entry!AD627/Data_Entry!$I627),0)</f>
        <v>0.54409179235680571</v>
      </c>
      <c r="Z638" s="49">
        <f>IFERROR(IF(Data_Entry!AE627/Data_Entry!$I627&lt;0,0,Data_Entry!AE627/Data_Entry!$I627),0)</f>
        <v>0.13602294808920143</v>
      </c>
      <c r="AA638" s="49">
        <f>IFERROR(IF(Data_Entry!AF627/Data_Entry!$I627&lt;0,0,Data_Entry!AF627/Data_Entry!$I627),0)</f>
        <v>0.1110391412973073</v>
      </c>
      <c r="AB638" s="49">
        <f>IFERROR(IF(Data_Entry!AG627/Data_Entry!$I627&lt;0,0,Data_Entry!AG627/Data_Entry!$I627),0)</f>
        <v>8.8831313037845833E-2</v>
      </c>
      <c r="AC638" s="49">
        <f>IFERROR(IF(Data_Entry!AI627/Data_Entry!$I627&lt;0,0,Data_Entry!AI627/Data_Entry!$I627),0)</f>
        <v>0.16183954844082538</v>
      </c>
      <c r="AD638" s="49">
        <f>IFERROR(IF(Data_Entry!AM627/Data_Entry!$H627&lt;0,0,Data_Entry!AM627/Data_Entry!$H627),0)</f>
        <v>1.0722117655356034</v>
      </c>
      <c r="AE638" s="50">
        <f>Data_Entry!AK627</f>
        <v>0</v>
      </c>
      <c r="AF638" s="50">
        <f>Data_Entry!AL627</f>
        <v>17</v>
      </c>
      <c r="AG638" s="153">
        <f>(Data_Entry!O627-Data_Entry!Q627)/Data_Entry!O627</f>
        <v>-0.14124293785310735</v>
      </c>
      <c r="AH638" s="79" t="str">
        <f t="shared" si="18"/>
        <v>CAT1</v>
      </c>
      <c r="AI638" s="51">
        <f>SUBTOTAL(3,Tableau1[[#This Row],[ZS]])</f>
        <v>0</v>
      </c>
      <c r="AJ638" s="51" t="e">
        <f t="shared" ca="1" si="19"/>
        <v>#NAME?</v>
      </c>
      <c r="AK638" s="50" t="str">
        <f>IFERROR(IF((Data_Entry!O627-Data_Entry!Q627)/Data_Entry!O627&lt;=10%,"&lt;=10%","&gt;10%"),"&lt;=10%")</f>
        <v>&lt;=10%</v>
      </c>
    </row>
    <row r="639" spans="1:37" s="48" customFormat="1" ht="13" hidden="1" x14ac:dyDescent="0.3">
      <c r="A639" s="31" t="s">
        <v>16</v>
      </c>
      <c r="B639" s="48" t="str">
        <f>Data_Entry!B628</f>
        <v>Goma</v>
      </c>
      <c r="C639" s="48" t="str">
        <f>Data_Entry!C628</f>
        <v xml:space="preserve"> Rwanguba</v>
      </c>
      <c r="D639" s="48" t="str">
        <f>Data_Entry!D628</f>
        <v xml:space="preserve"> Mutabo</v>
      </c>
      <c r="E639" s="49">
        <f>IFERROR(IF(Data_Entry!J628/Data_Entry!$I628&lt;0,0,Data_Entry!J628/Data_Entry!$I628),0)</f>
        <v>0.5354737314773238</v>
      </c>
      <c r="F639" s="49">
        <f>IFERROR(IF(Data_Entry!K628/Data_Entry!$H628&lt;0,0,Data_Entry!K628/Data_Entry!$H628),0)</f>
        <v>0.51722607282594568</v>
      </c>
      <c r="G639" s="49">
        <f>IFERROR(IF(Data_Entry!L628/Data_Entry!$H628&lt;0,0,Data_Entry!L628/Data_Entry!$H628),0)</f>
        <v>0.79513858956824479</v>
      </c>
      <c r="H639" s="49">
        <f>IFERROR(IF(Data_Entry!M628/Data_Entry!$H628&lt;0,0,Data_Entry!M628/Data_Entry!$H628),0)</f>
        <v>0.69092139578988265</v>
      </c>
      <c r="I639" s="49">
        <f>IFERROR(IF(Data_Entry!N628/Data_Entry!$H628&lt;0,0,Data_Entry!N628/Data_Entry!$H628),0)</f>
        <v>0.72180056431680473</v>
      </c>
      <c r="J639" s="49">
        <f>IFERROR(IF(Data_Entry!O628/Data_Entry!$H628&lt;0,0,Data_Entry!O628/Data_Entry!$H628),0)</f>
        <v>0.78355890137064899</v>
      </c>
      <c r="K639" s="49">
        <f>IFERROR(IF(Data_Entry!P628/Data_Entry!$H628&lt;0,0,Data_Entry!P628/Data_Entry!$H628),0)</f>
        <v>0.76425942104132272</v>
      </c>
      <c r="L639" s="49">
        <f>IFERROR(IF(Data_Entry!Q628/Data_Entry!$H628&lt;0,0,Data_Entry!Q628/Data_Entry!$H628),0)</f>
        <v>0.65618233119709524</v>
      </c>
      <c r="M639" s="49">
        <f>IFERROR(IF(Data_Entry!R628/Data_Entry!$H628&lt;0,0,Data_Entry!R628/Data_Entry!$H628),0)</f>
        <v>0.74881983677786168</v>
      </c>
      <c r="N639" s="49">
        <f>IFERROR(IF(Data_Entry!S628/Data_Entry!$H628&lt;0,0,Data_Entry!S628/Data_Entry!$H628),0)</f>
        <v>0.77969900530478375</v>
      </c>
      <c r="O639" s="49">
        <f>IFERROR(IF(Data_Entry!T628/Data_Entry!$H628&lt;0,0,Data_Entry!T628/Data_Entry!$H628),0)</f>
        <v>0.71408077218507426</v>
      </c>
      <c r="P639" s="49">
        <f>IFERROR(IF(Data_Entry!U628/Data_Entry!$H628&lt;0,0,Data_Entry!U628/Data_Entry!$H628),0)</f>
        <v>0.59056409807738575</v>
      </c>
      <c r="Q639" s="49">
        <f>IFERROR(IF(Data_Entry!V628/Data_Entry!$H628&lt;0,0,Data_Entry!V628/Data_Entry!$H628),0)</f>
        <v>0.5751245138139246</v>
      </c>
      <c r="R639" s="49">
        <f>IFERROR(IF(Data_Entry!W628/Data_Entry!$H628&lt;0,0,Data_Entry!W628/Data_Entry!$H628),0)</f>
        <v>0.59828389020911621</v>
      </c>
      <c r="S639" s="49">
        <f>IFERROR(IF(Data_Entry!X628/Data_Entry!$H628&lt;0,0,Data_Entry!X628/Data_Entry!$H628),0)</f>
        <v>0.8723365108855502</v>
      </c>
      <c r="T639" s="49">
        <f>IFERROR(IF(Data_Entry!Y628/Data_Entry!$H628&lt;0,0,Data_Entry!Y628/Data_Entry!$H628),0)</f>
        <v>0.44002815150864033</v>
      </c>
      <c r="U639" s="49">
        <f>IFERROR(IF(Data_Entry!Z628/Data_Entry!$H628&lt;0,0,Data_Entry!Z628/Data_Entry!$H628),0)</f>
        <v>0.66004222726296047</v>
      </c>
      <c r="V639" s="49">
        <f>IFERROR(IF(Data_Entry!AA628/Data_Entry!$H628&lt;0,0,Data_Entry!AA628/Data_Entry!$H628),0)</f>
        <v>0.57898440987978994</v>
      </c>
      <c r="W639" s="49">
        <f>IFERROR(IF(Data_Entry!AB628/Data_Entry!$H628&lt;0,0,Data_Entry!AB628/Data_Entry!$H628),0)</f>
        <v>0.60214378627498155</v>
      </c>
      <c r="X639" s="49">
        <f>IFERROR(IF(Data_Entry!AC628/Data_Entry!$I628&lt;0,0,Data_Entry!AC628/Data_Entry!$I628),0)</f>
        <v>0.15491692860350248</v>
      </c>
      <c r="Y639" s="49">
        <f>IFERROR(IF(Data_Entry!AD628/Data_Entry!$I628&lt;0,0,Data_Entry!AD628/Data_Entry!$I628),0)</f>
        <v>7.4090704984283787E-2</v>
      </c>
      <c r="Z639" s="49">
        <f>IFERROR(IF(Data_Entry!AE628/Data_Entry!$I628&lt;0,0,Data_Entry!AE628/Data_Entry!$I628),0)</f>
        <v>9.092950157162101E-2</v>
      </c>
      <c r="AA639" s="49">
        <f>IFERROR(IF(Data_Entry!AF628/Data_Entry!$I628&lt;0,0,Data_Entry!AF628/Data_Entry!$I628),0)</f>
        <v>6.7355186349348894E-2</v>
      </c>
      <c r="AB639" s="49">
        <f>IFERROR(IF(Data_Entry!AG628/Data_Entry!$I628&lt;0,0,Data_Entry!AG628/Data_Entry!$I628),0)</f>
        <v>5.0516389762011671E-2</v>
      </c>
      <c r="AC639" s="49">
        <f>IFERROR(IF(Data_Entry!AI628/Data_Entry!$I628&lt;0,0,Data_Entry!AI628/Data_Entry!$I628),0)</f>
        <v>0.19634036820835202</v>
      </c>
      <c r="AD639" s="49">
        <f>IFERROR(IF(Data_Entry!AM628/Data_Entry!$H628&lt;0,0,Data_Entry!AM628/Data_Entry!$H628),0)</f>
        <v>0.66004222726296047</v>
      </c>
      <c r="AE639" s="50">
        <f>Data_Entry!AK628</f>
        <v>56.074333333333357</v>
      </c>
      <c r="AF639" s="50">
        <f>Data_Entry!AL628</f>
        <v>0</v>
      </c>
      <c r="AG639" s="153">
        <f>(Data_Entry!O628-Data_Entry!Q628)/Data_Entry!O628</f>
        <v>0.1625615763546798</v>
      </c>
      <c r="AH639" s="79" t="str">
        <f t="shared" si="18"/>
        <v>CAT4</v>
      </c>
      <c r="AI639" s="51">
        <f>SUBTOTAL(3,Tableau1[[#This Row],[ZS]])</f>
        <v>0</v>
      </c>
      <c r="AJ639" s="51" t="e">
        <f t="shared" ca="1" si="19"/>
        <v>#NAME?</v>
      </c>
      <c r="AK639" s="50" t="str">
        <f>IFERROR(IF((Data_Entry!O628-Data_Entry!Q628)/Data_Entry!O628&lt;=10%,"&lt;=10%","&gt;10%"),"&lt;=10%")</f>
        <v>&gt;10%</v>
      </c>
    </row>
    <row r="640" spans="1:37" s="48" customFormat="1" ht="13" hidden="1" x14ac:dyDescent="0.3">
      <c r="A640" s="31" t="s">
        <v>16</v>
      </c>
      <c r="B640" s="48" t="str">
        <f>Data_Entry!B629</f>
        <v>Goma</v>
      </c>
      <c r="C640" s="48" t="str">
        <f>Data_Entry!C629</f>
        <v xml:space="preserve"> Rwanguba</v>
      </c>
      <c r="D640" s="48" t="str">
        <f>Data_Entry!D629</f>
        <v xml:space="preserve"> okwe</v>
      </c>
      <c r="E640" s="49">
        <f>IFERROR(IF(Data_Entry!J629/Data_Entry!$I629&lt;0,0,Data_Entry!J629/Data_Entry!$I629),0)</f>
        <v>0.99482300265845802</v>
      </c>
      <c r="F640" s="49">
        <f>IFERROR(IF(Data_Entry!K629/Data_Entry!$H629&lt;0,0,Data_Entry!K629/Data_Entry!$H629),0)</f>
        <v>0.90446108592260033</v>
      </c>
      <c r="G640" s="49">
        <f>IFERROR(IF(Data_Entry!L629/Data_Entry!$H629&lt;0,0,Data_Entry!L629/Data_Entry!$H629),0)</f>
        <v>0.91889397559157804</v>
      </c>
      <c r="H640" s="49">
        <f>IFERROR(IF(Data_Entry!M629/Data_Entry!$H629&lt;0,0,Data_Entry!M629/Data_Entry!$H629),0)</f>
        <v>0.85635145369267485</v>
      </c>
      <c r="I640" s="49">
        <f>IFERROR(IF(Data_Entry!N629/Data_Entry!$H629&lt;0,0,Data_Entry!N629/Data_Entry!$H629),0)</f>
        <v>0.91408301236858547</v>
      </c>
      <c r="J640" s="49">
        <f>IFERROR(IF(Data_Entry!O629/Data_Entry!$H629&lt;0,0,Data_Entry!O629/Data_Entry!$H629),0)</f>
        <v>0.88521723303063016</v>
      </c>
      <c r="K640" s="49">
        <f>IFERROR(IF(Data_Entry!P629/Data_Entry!$H629&lt;0,0,Data_Entry!P629/Data_Entry!$H629),0)</f>
        <v>0.86116241691566742</v>
      </c>
      <c r="L640" s="49">
        <f>IFERROR(IF(Data_Entry!Q629/Data_Entry!$H629&lt;0,0,Data_Entry!Q629/Data_Entry!$H629),0)</f>
        <v>0.8948391594766153</v>
      </c>
      <c r="M640" s="49">
        <f>IFERROR(IF(Data_Entry!R629/Data_Entry!$H629&lt;0,0,Data_Entry!R629/Data_Entry!$H629),0)</f>
        <v>0.84672952724668971</v>
      </c>
      <c r="N640" s="49">
        <f>IFERROR(IF(Data_Entry!S629/Data_Entry!$H629&lt;0,0,Data_Entry!S629/Data_Entry!$H629),0)</f>
        <v>0.77937604212479394</v>
      </c>
      <c r="O640" s="49">
        <f>IFERROR(IF(Data_Entry!T629/Data_Entry!$H629&lt;0,0,Data_Entry!T629/Data_Entry!$H629),0)</f>
        <v>0.90446108592260033</v>
      </c>
      <c r="P640" s="49">
        <f>IFERROR(IF(Data_Entry!U629/Data_Entry!$H629&lt;0,0,Data_Entry!U629/Data_Entry!$H629),0)</f>
        <v>0.61099232932005454</v>
      </c>
      <c r="Q640" s="49">
        <f>IFERROR(IF(Data_Entry!V629/Data_Entry!$H629&lt;0,0,Data_Entry!V629/Data_Entry!$H629),0)</f>
        <v>0.60618136609706197</v>
      </c>
      <c r="R640" s="49">
        <f>IFERROR(IF(Data_Entry!W629/Data_Entry!$H629&lt;0,0,Data_Entry!W629/Data_Entry!$H629),0)</f>
        <v>0.64948003510399499</v>
      </c>
      <c r="S640" s="49">
        <f>IFERROR(IF(Data_Entry!X629/Data_Entry!$H629&lt;0,0,Data_Entry!X629/Data_Entry!$H629),0)</f>
        <v>0.99105842393646637</v>
      </c>
      <c r="T640" s="49">
        <f>IFERROR(IF(Data_Entry!Y629/Data_Entry!$H629&lt;0,0,Data_Entry!Y629/Data_Entry!$H629),0)</f>
        <v>0.73126640989486835</v>
      </c>
      <c r="U640" s="49">
        <f>IFERROR(IF(Data_Entry!Z629/Data_Entry!$H629&lt;0,0,Data_Entry!Z629/Data_Entry!$H629),0)</f>
        <v>1.1450092470722282</v>
      </c>
      <c r="V640" s="49">
        <f>IFERROR(IF(Data_Entry!AA629/Data_Entry!$H629&lt;0,0,Data_Entry!AA629/Data_Entry!$H629),0)</f>
        <v>0.91889397559157804</v>
      </c>
      <c r="W640" s="49">
        <f>IFERROR(IF(Data_Entry!AB629/Data_Entry!$H629&lt;0,0,Data_Entry!AB629/Data_Entry!$H629),0)</f>
        <v>0.48109632229925553</v>
      </c>
      <c r="X640" s="49">
        <f>IFERROR(IF(Data_Entry!AC629/Data_Entry!$I629&lt;0,0,Data_Entry!AC629/Data_Entry!$I629),0)</f>
        <v>0.31061984049251434</v>
      </c>
      <c r="Y640" s="49">
        <f>IFERROR(IF(Data_Entry!AD629/Data_Entry!$I629&lt;0,0,Data_Entry!AD629/Data_Entry!$I629),0)</f>
        <v>0.28963201343220929</v>
      </c>
      <c r="Z640" s="49">
        <f>IFERROR(IF(Data_Entry!AE629/Data_Entry!$I629&lt;0,0,Data_Entry!AE629/Data_Entry!$I629),0)</f>
        <v>0.12592696236183012</v>
      </c>
      <c r="AA640" s="49">
        <f>IFERROR(IF(Data_Entry!AF629/Data_Entry!$I629&lt;0,0,Data_Entry!AF629/Data_Entry!$I629),0)</f>
        <v>6.7161046592976073E-2</v>
      </c>
      <c r="AB640" s="49">
        <f>IFERROR(IF(Data_Entry!AG629/Data_Entry!$I629&lt;0,0,Data_Entry!AG629/Data_Entry!$I629),0)</f>
        <v>0.1888904435427452</v>
      </c>
      <c r="AC640" s="49">
        <f>IFERROR(IF(Data_Entry!AI629/Data_Entry!$I629&lt;0,0,Data_Entry!AI629/Data_Entry!$I629),0)</f>
        <v>0.20987827060305023</v>
      </c>
      <c r="AD640" s="49">
        <f>IFERROR(IF(Data_Entry!AM629/Data_Entry!$H629&lt;0,0,Data_Entry!AM629/Data_Entry!$H629),0)</f>
        <v>0.99105842393646637</v>
      </c>
      <c r="AE640" s="50">
        <f>Data_Entry!AK629</f>
        <v>23.858583333333343</v>
      </c>
      <c r="AF640" s="50">
        <f>Data_Entry!AL629</f>
        <v>0</v>
      </c>
      <c r="AG640" s="153">
        <f>(Data_Entry!O629-Data_Entry!Q629)/Data_Entry!O629</f>
        <v>-1.0869565217391304E-2</v>
      </c>
      <c r="AH640" s="79" t="str">
        <f t="shared" si="18"/>
        <v>CAT3</v>
      </c>
      <c r="AI640" s="51">
        <f>SUBTOTAL(3,Tableau1[[#This Row],[ZS]])</f>
        <v>0</v>
      </c>
      <c r="AJ640" s="51" t="e">
        <f t="shared" ca="1" si="19"/>
        <v>#NAME?</v>
      </c>
      <c r="AK640" s="50" t="str">
        <f>IFERROR(IF((Data_Entry!O629-Data_Entry!Q629)/Data_Entry!O629&lt;=10%,"&lt;=10%","&gt;10%"),"&lt;=10%")</f>
        <v>&lt;=10%</v>
      </c>
    </row>
    <row r="641" spans="1:37" s="48" customFormat="1" ht="13" hidden="1" x14ac:dyDescent="0.3">
      <c r="A641" s="31" t="s">
        <v>16</v>
      </c>
      <c r="B641" s="48" t="str">
        <f>Data_Entry!B630</f>
        <v>Goma</v>
      </c>
      <c r="C641" s="48" t="str">
        <f>Data_Entry!C630</f>
        <v xml:space="preserve"> Rwanguba</v>
      </c>
      <c r="D641" s="48" t="str">
        <f>Data_Entry!D630</f>
        <v xml:space="preserve"> Ntamugenga</v>
      </c>
      <c r="E641" s="49">
        <f>IFERROR(IF(Data_Entry!J630/Data_Entry!$I630&lt;0,0,Data_Entry!J630/Data_Entry!$I630),0)</f>
        <v>0.82231196365471992</v>
      </c>
      <c r="F641" s="49">
        <f>IFERROR(IF(Data_Entry!K630/Data_Entry!$H630&lt;0,0,Data_Entry!K630/Data_Entry!$H630),0)</f>
        <v>0.20481103433911557</v>
      </c>
      <c r="G641" s="49">
        <f>IFERROR(IF(Data_Entry!L630/Data_Entry!$H630&lt;0,0,Data_Entry!L630/Data_Entry!$H630),0)</f>
        <v>0.84007237813671132</v>
      </c>
      <c r="H641" s="49">
        <f>IFERROR(IF(Data_Entry!M630/Data_Entry!$H630&lt;0,0,Data_Entry!M630/Data_Entry!$H630),0)</f>
        <v>0.85222218525852322</v>
      </c>
      <c r="I641" s="49">
        <f>IFERROR(IF(Data_Entry!N630/Data_Entry!$H630&lt;0,0,Data_Entry!N630/Data_Entry!$H630),0)</f>
        <v>0.8591649321852729</v>
      </c>
      <c r="J641" s="49">
        <f>IFERROR(IF(Data_Entry!O630/Data_Entry!$H630&lt;0,0,Data_Entry!O630/Data_Entry!$H630),0)</f>
        <v>0.86437199238033513</v>
      </c>
      <c r="K641" s="49">
        <f>IFERROR(IF(Data_Entry!P630/Data_Entry!$H630&lt;0,0,Data_Entry!P630/Data_Entry!$H630),0)</f>
        <v>0.88172885969720938</v>
      </c>
      <c r="L641" s="49">
        <f>IFERROR(IF(Data_Entry!Q630/Data_Entry!$H630&lt;0,0,Data_Entry!Q630/Data_Entry!$H630),0)</f>
        <v>0.90082141374577096</v>
      </c>
      <c r="M641" s="49">
        <f>IFERROR(IF(Data_Entry!R630/Data_Entry!$H630&lt;0,0,Data_Entry!R630/Data_Entry!$H630),0)</f>
        <v>0.85569355872189812</v>
      </c>
      <c r="N641" s="49">
        <f>IFERROR(IF(Data_Entry!S630/Data_Entry!$H630&lt;0,0,Data_Entry!S630/Data_Entry!$H630),0)</f>
        <v>0.86957905257539747</v>
      </c>
      <c r="O641" s="49">
        <f>IFERROR(IF(Data_Entry!T630/Data_Entry!$H630&lt;0,0,Data_Entry!T630/Data_Entry!$H630),0)</f>
        <v>0.89561435355070873</v>
      </c>
      <c r="P641" s="49">
        <f>IFERROR(IF(Data_Entry!U630/Data_Entry!$H630&lt;0,0,Data_Entry!U630/Data_Entry!$H630),0)</f>
        <v>0.77932334252765156</v>
      </c>
      <c r="Q641" s="49">
        <f>IFERROR(IF(Data_Entry!V630/Data_Entry!$H630&lt;0,0,Data_Entry!V630/Data_Entry!$H630),0)</f>
        <v>0.78105902925933901</v>
      </c>
      <c r="R641" s="49">
        <f>IFERROR(IF(Data_Entry!W630/Data_Entry!$H630&lt;0,0,Data_Entry!W630/Data_Entry!$H630),0)</f>
        <v>0.78105902925933901</v>
      </c>
      <c r="S641" s="49">
        <f>IFERROR(IF(Data_Entry!X630/Data_Entry!$H630&lt;0,0,Data_Entry!X630/Data_Entry!$H630),0)</f>
        <v>0.9650418228182055</v>
      </c>
      <c r="T641" s="49">
        <f>IFERROR(IF(Data_Entry!Y630/Data_Entry!$H630&lt;0,0,Data_Entry!Y630/Data_Entry!$H630),0)</f>
        <v>0.19266122721730364</v>
      </c>
      <c r="U641" s="49">
        <f>IFERROR(IF(Data_Entry!Z630/Data_Entry!$H630&lt;0,0,Data_Entry!Z630/Data_Entry!$H630),0)</f>
        <v>0.82097982408814973</v>
      </c>
      <c r="V641" s="49">
        <f>IFERROR(IF(Data_Entry!AA630/Data_Entry!$H630&lt;0,0,Data_Entry!AA630/Data_Entry!$H630),0)</f>
        <v>0.85222218525852322</v>
      </c>
      <c r="W641" s="49">
        <f>IFERROR(IF(Data_Entry!AB630/Data_Entry!$H630&lt;0,0,Data_Entry!AB630/Data_Entry!$H630),0)</f>
        <v>0.7689092221375271</v>
      </c>
      <c r="X641" s="49">
        <f>IFERROR(IF(Data_Entry!AC630/Data_Entry!$I630&lt;0,0,Data_Entry!AC630/Data_Entry!$I630),0)</f>
        <v>0.1832407874810702</v>
      </c>
      <c r="Y641" s="49">
        <f>IFERROR(IF(Data_Entry!AD630/Data_Entry!$I630&lt;0,0,Data_Entry!AD630/Data_Entry!$I630),0)</f>
        <v>0.12417970721857649</v>
      </c>
      <c r="Z641" s="49">
        <f>IFERROR(IF(Data_Entry!AE630/Data_Entry!$I630&lt;0,0,Data_Entry!AE630/Data_Entry!$I630),0)</f>
        <v>0.1832407874810702</v>
      </c>
      <c r="AA641" s="49">
        <f>IFERROR(IF(Data_Entry!AF630/Data_Entry!$I630&lt;0,0,Data_Entry!AF630/Data_Entry!$I630),0)</f>
        <v>0.15143866733972744</v>
      </c>
      <c r="AB641" s="49">
        <f>IFERROR(IF(Data_Entry!AG630/Data_Entry!$I630&lt;0,0,Data_Entry!AG630/Data_Entry!$I630),0)</f>
        <v>0.11660777385159012</v>
      </c>
      <c r="AC641" s="49">
        <f>IFERROR(IF(Data_Entry!AI630/Data_Entry!$I630&lt;0,0,Data_Entry!AI630/Data_Entry!$I630),0)</f>
        <v>8.8288743059061092E-2</v>
      </c>
      <c r="AD641" s="49">
        <f>IFERROR(IF(Data_Entry!AM630/Data_Entry!$H630&lt;0,0,Data_Entry!AM630/Data_Entry!$H630),0)</f>
        <v>0.82097982408814973</v>
      </c>
      <c r="AE641" s="50">
        <f>Data_Entry!AK630</f>
        <v>78.140833333333376</v>
      </c>
      <c r="AF641" s="50">
        <f>Data_Entry!AL630</f>
        <v>0</v>
      </c>
      <c r="AG641" s="153">
        <f>(Data_Entry!O630-Data_Entry!Q630)/Data_Entry!O630</f>
        <v>-4.2168674698795178E-2</v>
      </c>
      <c r="AH641" s="79" t="str">
        <f t="shared" si="18"/>
        <v>CAT3</v>
      </c>
      <c r="AI641" s="51">
        <f>SUBTOTAL(3,Tableau1[[#This Row],[ZS]])</f>
        <v>0</v>
      </c>
      <c r="AJ641" s="51" t="e">
        <f t="shared" ca="1" si="19"/>
        <v>#NAME?</v>
      </c>
      <c r="AK641" s="50" t="str">
        <f>IFERROR(IF((Data_Entry!O630-Data_Entry!Q630)/Data_Entry!O630&lt;=10%,"&lt;=10%","&gt;10%"),"&lt;=10%")</f>
        <v>&lt;=10%</v>
      </c>
    </row>
    <row r="642" spans="1:37" s="48" customFormat="1" ht="13" hidden="1" x14ac:dyDescent="0.3">
      <c r="A642" s="31" t="s">
        <v>16</v>
      </c>
      <c r="B642" s="48" t="str">
        <f>Data_Entry!B631</f>
        <v>Goma</v>
      </c>
      <c r="C642" s="48" t="str">
        <f>Data_Entry!C631</f>
        <v xml:space="preserve"> Rwanguba</v>
      </c>
      <c r="D642" s="48" t="str">
        <f>Data_Entry!D631</f>
        <v xml:space="preserve"> Nyarukwangara</v>
      </c>
      <c r="E642" s="49">
        <f>IFERROR(IF(Data_Entry!J631/Data_Entry!$I631&lt;0,0,Data_Entry!J631/Data_Entry!$I631),0)</f>
        <v>1.0853023628354026</v>
      </c>
      <c r="F642" s="49">
        <f>IFERROR(IF(Data_Entry!K631/Data_Entry!$H631&lt;0,0,Data_Entry!K631/Data_Entry!$H631),0)</f>
        <v>0.39933306787629391</v>
      </c>
      <c r="G642" s="49">
        <f>IFERROR(IF(Data_Entry!L631/Data_Entry!$H631&lt;0,0,Data_Entry!L631/Data_Entry!$H631),0)</f>
        <v>1.1245586394217473</v>
      </c>
      <c r="H642" s="49">
        <f>IFERROR(IF(Data_Entry!M631/Data_Entry!$H631&lt;0,0,Data_Entry!M631/Data_Entry!$H631),0)</f>
        <v>1.0281678988998832</v>
      </c>
      <c r="I642" s="49">
        <f>IFERROR(IF(Data_Entry!N631/Data_Entry!$H631&lt;0,0,Data_Entry!N631/Data_Entry!$H631),0)</f>
        <v>1.083248322055234</v>
      </c>
      <c r="J642" s="49">
        <f>IFERROR(IF(Data_Entry!O631/Data_Entry!$H631&lt;0,0,Data_Entry!O631/Data_Entry!$H631),0)</f>
        <v>1.0786582867922883</v>
      </c>
      <c r="K642" s="49">
        <f>IFERROR(IF(Data_Entry!P631/Data_Entry!$H631&lt;0,0,Data_Entry!P631/Data_Entry!$H631),0)</f>
        <v>0.95472733469274873</v>
      </c>
      <c r="L642" s="49">
        <f>IFERROR(IF(Data_Entry!Q631/Data_Entry!$H631&lt;0,0,Data_Entry!Q631/Data_Entry!$H631),0)</f>
        <v>1.0235778636369373</v>
      </c>
      <c r="M642" s="49">
        <f>IFERROR(IF(Data_Entry!R631/Data_Entry!$H631&lt;0,0,Data_Entry!R631/Data_Entry!$H631),0)</f>
        <v>1.0786582867922883</v>
      </c>
      <c r="N642" s="49">
        <f>IFERROR(IF(Data_Entry!S631/Data_Entry!$H631&lt;0,0,Data_Entry!S631/Data_Entry!$H631),0)</f>
        <v>1.0281678988998832</v>
      </c>
      <c r="O642" s="49">
        <f>IFERROR(IF(Data_Entry!T631/Data_Entry!$H631&lt;0,0,Data_Entry!T631/Data_Entry!$H631),0)</f>
        <v>1.037347969425775</v>
      </c>
      <c r="P642" s="49">
        <f>IFERROR(IF(Data_Entry!U631/Data_Entry!$H631&lt;0,0,Data_Entry!U631/Data_Entry!$H631),0)</f>
        <v>1.0511180752146128</v>
      </c>
      <c r="Q642" s="49">
        <f>IFERROR(IF(Data_Entry!V631/Data_Entry!$H631&lt;0,0,Data_Entry!V631/Data_Entry!$H631),0)</f>
        <v>0.94554726416685686</v>
      </c>
      <c r="R642" s="49">
        <f>IFERROR(IF(Data_Entry!W631/Data_Entry!$H631&lt;0,0,Data_Entry!W631/Data_Entry!$H631),0)</f>
        <v>1.0235778636369373</v>
      </c>
      <c r="S642" s="49">
        <f>IFERROR(IF(Data_Entry!X631/Data_Entry!$H631&lt;0,0,Data_Entry!X631/Data_Entry!$H631),0)</f>
        <v>1.037347969425775</v>
      </c>
      <c r="T642" s="49">
        <f>IFERROR(IF(Data_Entry!Y631/Data_Entry!$H631&lt;0,0,Data_Entry!Y631/Data_Entry!$H631),0)</f>
        <v>0.87669673522266822</v>
      </c>
      <c r="U642" s="49">
        <f>IFERROR(IF(Data_Entry!Z631/Data_Entry!$H631&lt;0,0,Data_Entry!Z631/Data_Entry!$H631),0)</f>
        <v>1.037347969425775</v>
      </c>
      <c r="V642" s="49">
        <f>IFERROR(IF(Data_Entry!AA631/Data_Entry!$H631&lt;0,0,Data_Entry!AA631/Data_Entry!$H631),0)</f>
        <v>1.129148674684693</v>
      </c>
      <c r="W642" s="49">
        <f>IFERROR(IF(Data_Entry!AB631/Data_Entry!$H631&lt;0,0,Data_Entry!AB631/Data_Entry!$H631),0)</f>
        <v>1.037347969425775</v>
      </c>
      <c r="X642" s="49">
        <f>IFERROR(IF(Data_Entry!AC631/Data_Entry!$I631&lt;0,0,Data_Entry!AC631/Data_Entry!$I631),0)</f>
        <v>0.68882659191029239</v>
      </c>
      <c r="Y642" s="49">
        <f>IFERROR(IF(Data_Entry!AD631/Data_Entry!$I631&lt;0,0,Data_Entry!AD631/Data_Entry!$I631),0)</f>
        <v>0.44453344012815382</v>
      </c>
      <c r="Z642" s="49">
        <f>IFERROR(IF(Data_Entry!AE631/Data_Entry!$I631&lt;0,0,Data_Entry!AE631/Data_Entry!$I631),0)</f>
        <v>0.24028834601521828</v>
      </c>
      <c r="AA642" s="49">
        <f>IFERROR(IF(Data_Entry!AF631/Data_Entry!$I631&lt;0,0,Data_Entry!AF631/Data_Entry!$I631),0)</f>
        <v>0.11613936724068884</v>
      </c>
      <c r="AB642" s="49">
        <f>IFERROR(IF(Data_Entry!AG631/Data_Entry!$I631&lt;0,0,Data_Entry!AG631/Data_Entry!$I631),0)</f>
        <v>8.009611533840609E-2</v>
      </c>
      <c r="AC642" s="49">
        <f>IFERROR(IF(Data_Entry!AI631/Data_Entry!$I631&lt;0,0,Data_Entry!AI631/Data_Entry!$I631),0)</f>
        <v>0.23348017621145375</v>
      </c>
      <c r="AD642" s="49">
        <f>IFERROR(IF(Data_Entry!AM631/Data_Entry!$H631&lt;0,0,Data_Entry!AM631/Data_Entry!$H631),0)</f>
        <v>1.037347969425775</v>
      </c>
      <c r="AE642" s="50">
        <f>Data_Entry!AK631</f>
        <v>0</v>
      </c>
      <c r="AF642" s="50">
        <f>Data_Entry!AL631</f>
        <v>9</v>
      </c>
      <c r="AG642" s="153">
        <f>(Data_Entry!O631-Data_Entry!Q631)/Data_Entry!O631</f>
        <v>5.106382978723404E-2</v>
      </c>
      <c r="AH642" s="79" t="str">
        <f t="shared" si="18"/>
        <v>CAT1</v>
      </c>
      <c r="AI642" s="51">
        <f>SUBTOTAL(3,Tableau1[[#This Row],[ZS]])</f>
        <v>0</v>
      </c>
      <c r="AJ642" s="51" t="e">
        <f t="shared" ca="1" si="19"/>
        <v>#NAME?</v>
      </c>
      <c r="AK642" s="50" t="str">
        <f>IFERROR(IF((Data_Entry!O631-Data_Entry!Q631)/Data_Entry!O631&lt;=10%,"&lt;=10%","&gt;10%"),"&lt;=10%")</f>
        <v>&lt;=10%</v>
      </c>
    </row>
    <row r="643" spans="1:37" s="48" customFormat="1" ht="13" hidden="1" x14ac:dyDescent="0.3">
      <c r="A643" s="31" t="s">
        <v>16</v>
      </c>
      <c r="B643" s="48" t="str">
        <f>Data_Entry!B632</f>
        <v>Goma</v>
      </c>
      <c r="C643" s="48" t="str">
        <f>Data_Entry!C632</f>
        <v xml:space="preserve"> Rwanguba</v>
      </c>
      <c r="D643" s="48" t="str">
        <f>Data_Entry!D632</f>
        <v xml:space="preserve"> Rubavu</v>
      </c>
      <c r="E643" s="49">
        <f>IFERROR(IF(Data_Entry!J632/Data_Entry!$I632&lt;0,0,Data_Entry!J632/Data_Entry!$I632),0)</f>
        <v>1.3288009888751544</v>
      </c>
      <c r="F643" s="49">
        <f>IFERROR(IF(Data_Entry!K632/Data_Entry!$H632&lt;0,0,Data_Entry!K632/Data_Entry!$H632),0)</f>
        <v>0.54721064245008688</v>
      </c>
      <c r="G643" s="49">
        <f>IFERROR(IF(Data_Entry!L632/Data_Entry!$H632&lt;0,0,Data_Entry!L632/Data_Entry!$H632),0)</f>
        <v>1.1156721836360997</v>
      </c>
      <c r="H643" s="49">
        <f>IFERROR(IF(Data_Entry!M632/Data_Entry!$H632&lt;0,0,Data_Entry!M632/Data_Entry!$H632),0)</f>
        <v>1.0678576614802668</v>
      </c>
      <c r="I643" s="49">
        <f>IFERROR(IF(Data_Entry!N632/Data_Entry!$H632&lt;0,0,Data_Entry!N632/Data_Entry!$H632),0)</f>
        <v>1.0820249273042173</v>
      </c>
      <c r="J643" s="49">
        <f>IFERROR(IF(Data_Entry!O632/Data_Entry!$H632&lt;0,0,Data_Entry!O632/Data_Entry!$H632),0)</f>
        <v>1.0023340570444959</v>
      </c>
      <c r="K643" s="49">
        <f>IFERROR(IF(Data_Entry!P632/Data_Entry!$H632&lt;0,0,Data_Entry!P632/Data_Entry!$H632),0)</f>
        <v>0.93858136083671873</v>
      </c>
      <c r="L643" s="49">
        <f>IFERROR(IF(Data_Entry!Q632/Data_Entry!$H632&lt;0,0,Data_Entry!Q632/Data_Entry!$H632),0)</f>
        <v>0.9598322595726444</v>
      </c>
      <c r="M643" s="49">
        <f>IFERROR(IF(Data_Entry!R632/Data_Entry!$H632&lt;0,0,Data_Entry!R632/Data_Entry!$H632),0)</f>
        <v>1.1156721836360997</v>
      </c>
      <c r="N643" s="49">
        <f>IFERROR(IF(Data_Entry!S632/Data_Entry!$H632&lt;0,0,Data_Entry!S632/Data_Entry!$H632),0)</f>
        <v>1.0678576614802668</v>
      </c>
      <c r="O643" s="49">
        <f>IFERROR(IF(Data_Entry!T632/Data_Entry!$H632&lt;0,0,Data_Entry!T632/Data_Entry!$H632),0)</f>
        <v>1.0820249273042173</v>
      </c>
      <c r="P643" s="49">
        <f>IFERROR(IF(Data_Entry!U632/Data_Entry!$H632&lt;0,0,Data_Entry!U632/Data_Entry!$H632),0)</f>
        <v>0.95451953488866292</v>
      </c>
      <c r="Q643" s="49">
        <f>IFERROR(IF(Data_Entry!V632/Data_Entry!$H632&lt;0,0,Data_Entry!V632/Data_Entry!$H632),0)</f>
        <v>0.90139228804884874</v>
      </c>
      <c r="R643" s="49">
        <f>IFERROR(IF(Data_Entry!W632/Data_Entry!$H632&lt;0,0,Data_Entry!W632/Data_Entry!$H632),0)</f>
        <v>0.91378864564480533</v>
      </c>
      <c r="S643" s="49">
        <f>IFERROR(IF(Data_Entry!X632/Data_Entry!$H632&lt;0,0,Data_Entry!X632/Data_Entry!$H632),0)</f>
        <v>1.2520321171916229</v>
      </c>
      <c r="T643" s="49">
        <f>IFERROR(IF(Data_Entry!Y632/Data_Entry!$H632&lt;0,0,Data_Entry!Y632/Data_Entry!$H632),0)</f>
        <v>1.1422358070560068</v>
      </c>
      <c r="U643" s="49">
        <f>IFERROR(IF(Data_Entry!Z632/Data_Entry!$H632&lt;0,0,Data_Entry!Z632/Data_Entry!$H632),0)</f>
        <v>0.94212317729270634</v>
      </c>
      <c r="V643" s="49">
        <f>IFERROR(IF(Data_Entry!AA632/Data_Entry!$H632&lt;0,0,Data_Entry!AA632/Data_Entry!$H632),0)</f>
        <v>0.97754134185258246</v>
      </c>
      <c r="W643" s="49">
        <f>IFERROR(IF(Data_Entry!AB632/Data_Entry!$H632&lt;0,0,Data_Entry!AB632/Data_Entry!$H632),0)</f>
        <v>0.84472322475304684</v>
      </c>
      <c r="X643" s="49">
        <f>IFERROR(IF(Data_Entry!AC632/Data_Entry!$I632&lt;0,0,Data_Entry!AC632/Data_Entry!$I632),0)</f>
        <v>0.1792336217552534</v>
      </c>
      <c r="Y643" s="49">
        <f>IFERROR(IF(Data_Entry!AD632/Data_Entry!$I632&lt;0,0,Data_Entry!AD632/Data_Entry!$I632),0)</f>
        <v>0.21322620519159455</v>
      </c>
      <c r="Z643" s="49">
        <f>IFERROR(IF(Data_Entry!AE632/Data_Entry!$I632&lt;0,0,Data_Entry!AE632/Data_Entry!$I632),0)</f>
        <v>0.20550061804697156</v>
      </c>
      <c r="AA643" s="49">
        <f>IFERROR(IF(Data_Entry!AF632/Data_Entry!$I632&lt;0,0,Data_Entry!AF632/Data_Entry!$I632),0)</f>
        <v>0.18077873918417797</v>
      </c>
      <c r="AB643" s="49">
        <f>IFERROR(IF(Data_Entry!AG632/Data_Entry!$I632&lt;0,0,Data_Entry!AG632/Data_Entry!$I632),0)</f>
        <v>0.17768850432632879</v>
      </c>
      <c r="AC643" s="49">
        <f>IFERROR(IF(Data_Entry!AI632/Data_Entry!$I632&lt;0,0,Data_Entry!AI632/Data_Entry!$I632),0)</f>
        <v>9.0080346106304068E-2</v>
      </c>
      <c r="AD643" s="49">
        <f>IFERROR(IF(Data_Entry!AM632/Data_Entry!$H632&lt;0,0,Data_Entry!AM632/Data_Entry!$H632),0)</f>
        <v>0.94212317729270634</v>
      </c>
      <c r="AE643" s="50">
        <f>Data_Entry!AK632</f>
        <v>0</v>
      </c>
      <c r="AF643" s="50">
        <f>Data_Entry!AL632</f>
        <v>0</v>
      </c>
      <c r="AG643" s="153">
        <f>(Data_Entry!O632-Data_Entry!Q632)/Data_Entry!O632</f>
        <v>4.2402826855123678E-2</v>
      </c>
      <c r="AH643" s="79" t="str">
        <f t="shared" si="18"/>
        <v>CAT1</v>
      </c>
      <c r="AI643" s="51">
        <f>SUBTOTAL(3,Tableau1[[#This Row],[ZS]])</f>
        <v>0</v>
      </c>
      <c r="AJ643" s="51" t="e">
        <f t="shared" ca="1" si="19"/>
        <v>#NAME?</v>
      </c>
      <c r="AK643" s="50" t="str">
        <f>IFERROR(IF((Data_Entry!O632-Data_Entry!Q632)/Data_Entry!O632&lt;=10%,"&lt;=10%","&gt;10%"),"&lt;=10%")</f>
        <v>&lt;=10%</v>
      </c>
    </row>
    <row r="644" spans="1:37" s="48" customFormat="1" ht="13" hidden="1" x14ac:dyDescent="0.3">
      <c r="A644" s="31" t="s">
        <v>16</v>
      </c>
      <c r="B644" s="48" t="str">
        <f>Data_Entry!B633</f>
        <v>Goma</v>
      </c>
      <c r="C644" s="48" t="str">
        <f>Data_Entry!C633</f>
        <v xml:space="preserve"> Rwanguba</v>
      </c>
      <c r="D644" s="48" t="str">
        <f>Data_Entry!D633</f>
        <v xml:space="preserve"> Rutsiro</v>
      </c>
      <c r="E644" s="49">
        <f>IFERROR(IF(Data_Entry!J633/Data_Entry!$I633&lt;0,0,Data_Entry!J633/Data_Entry!$I633),0)</f>
        <v>1.0333741579914266</v>
      </c>
      <c r="F644" s="49">
        <f>IFERROR(IF(Data_Entry!K633/Data_Entry!$H633&lt;0,0,Data_Entry!K633/Data_Entry!$H633),0)</f>
        <v>7.6221625254203689</v>
      </c>
      <c r="G644" s="49">
        <f>IFERROR(IF(Data_Entry!L633/Data_Entry!$H633&lt;0,0,Data_Entry!L633/Data_Entry!$H633),0)</f>
        <v>1.242286157458016</v>
      </c>
      <c r="H644" s="49">
        <f>IFERROR(IF(Data_Entry!M633/Data_Entry!$H633&lt;0,0,Data_Entry!M633/Data_Entry!$H633),0)</f>
        <v>1.1343757073398408</v>
      </c>
      <c r="I644" s="49">
        <f>IFERROR(IF(Data_Entry!N633/Data_Entry!$H633&lt;0,0,Data_Entry!N633/Data_Entry!$H633),0)</f>
        <v>1.184382989101922</v>
      </c>
      <c r="J644" s="49">
        <f>IFERROR(IF(Data_Entry!O633/Data_Entry!$H633&lt;0,0,Data_Entry!O633/Data_Entry!$H633),0)</f>
        <v>1.3423007209821782</v>
      </c>
      <c r="K644" s="49">
        <f>IFERROR(IF(Data_Entry!P633/Data_Entry!$H633&lt;0,0,Data_Entry!P633/Data_Entry!$H633),0)</f>
        <v>1.2317583086659989</v>
      </c>
      <c r="L644" s="49">
        <f>IFERROR(IF(Data_Entry!Q633/Data_Entry!$H633&lt;0,0,Data_Entry!Q633/Data_Entry!$H633),0)</f>
        <v>1.2449181196560202</v>
      </c>
      <c r="M644" s="49">
        <f>IFERROR(IF(Data_Entry!R633/Data_Entry!$H633&lt;0,0,Data_Entry!R633/Data_Entry!$H633),0)</f>
        <v>1.3528285697741953</v>
      </c>
      <c r="N644" s="49">
        <f>IFERROR(IF(Data_Entry!S633/Data_Entry!$H633&lt;0,0,Data_Entry!S633/Data_Entry!$H633),0)</f>
        <v>1.2580779306460415</v>
      </c>
      <c r="O644" s="49">
        <f>IFERROR(IF(Data_Entry!T633/Data_Entry!$H633&lt;0,0,Data_Entry!T633/Data_Entry!$H633),0)</f>
        <v>1.2896614770220927</v>
      </c>
      <c r="P644" s="49">
        <f>IFERROR(IF(Data_Entry!U633/Data_Entry!$H633&lt;0,0,Data_Entry!U633/Data_Entry!$H633),0)</f>
        <v>0.98435386205359732</v>
      </c>
      <c r="Q644" s="49">
        <f>IFERROR(IF(Data_Entry!V633/Data_Entry!$H633&lt;0,0,Data_Entry!V633/Data_Entry!$H633),0)</f>
        <v>0.92118676930149479</v>
      </c>
      <c r="R644" s="49">
        <f>IFERROR(IF(Data_Entry!W633/Data_Entry!$H633&lt;0,0,Data_Entry!W633/Data_Entry!$H633),0)</f>
        <v>0.95277031567754611</v>
      </c>
      <c r="S644" s="49">
        <f>IFERROR(IF(Data_Entry!X633/Data_Entry!$H633&lt;0,0,Data_Entry!X633/Data_Entry!$H633),0)</f>
        <v>1.068576652389734</v>
      </c>
      <c r="T644" s="49">
        <f>IFERROR(IF(Data_Entry!Y633/Data_Entry!$H633&lt;0,0,Data_Entry!Y633/Data_Entry!$H633),0)</f>
        <v>0.97382601326158025</v>
      </c>
      <c r="U644" s="49">
        <f>IFERROR(IF(Data_Entry!Z633/Data_Entry!$H633&lt;0,0,Data_Entry!Z633/Data_Entry!$H633),0)</f>
        <v>0.90802695831147351</v>
      </c>
      <c r="V644" s="49">
        <f>IFERROR(IF(Data_Entry!AA633/Data_Entry!$H633&lt;0,0,Data_Entry!AA633/Data_Entry!$H633),0)</f>
        <v>1.2185984976759774</v>
      </c>
      <c r="W644" s="49">
        <f>IFERROR(IF(Data_Entry!AB633/Data_Entry!$H633&lt;0,0,Data_Entry!AB633/Data_Entry!$H633),0)</f>
        <v>1.0475209548056998</v>
      </c>
      <c r="X644" s="49">
        <f>IFERROR(IF(Data_Entry!AC633/Data_Entry!$I633&lt;0,0,Data_Entry!AC633/Data_Entry!$I633),0)</f>
        <v>0.59476423759951003</v>
      </c>
      <c r="Y644" s="49">
        <f>IFERROR(IF(Data_Entry!AD633/Data_Entry!$I633&lt;0,0,Data_Entry!AD633/Data_Entry!$I633),0)</f>
        <v>0.49831598285364348</v>
      </c>
      <c r="Z644" s="49">
        <f>IFERROR(IF(Data_Entry!AE633/Data_Entry!$I633&lt;0,0,Data_Entry!AE633/Data_Entry!$I633),0)</f>
        <v>0.29393753827311692</v>
      </c>
      <c r="AA644" s="49">
        <f>IFERROR(IF(Data_Entry!AF633/Data_Entry!$I633&lt;0,0,Data_Entry!AF633/Data_Entry!$I633),0)</f>
        <v>0.24800979791794239</v>
      </c>
      <c r="AB644" s="49">
        <f>IFERROR(IF(Data_Entry!AG633/Data_Entry!$I633&lt;0,0,Data_Entry!AG633/Data_Entry!$I633),0)</f>
        <v>0.16533986527862826</v>
      </c>
      <c r="AC644" s="49">
        <f>IFERROR(IF(Data_Entry!AI633/Data_Entry!$I633&lt;0,0,Data_Entry!AI633/Data_Entry!$I633),0)</f>
        <v>0.13387936313533372</v>
      </c>
      <c r="AD644" s="49">
        <f>IFERROR(IF(Data_Entry!AM633/Data_Entry!$H633&lt;0,0,Data_Entry!AM633/Data_Entry!$H633),0)</f>
        <v>0.90802695831147351</v>
      </c>
      <c r="AE644" s="50">
        <f>Data_Entry!AK633</f>
        <v>0</v>
      </c>
      <c r="AF644" s="50">
        <f>Data_Entry!AL633</f>
        <v>104</v>
      </c>
      <c r="AG644" s="153">
        <f>(Data_Entry!O633-Data_Entry!Q633)/Data_Entry!O633</f>
        <v>7.2549019607843143E-2</v>
      </c>
      <c r="AH644" s="79" t="str">
        <f t="shared" si="18"/>
        <v>CAT1</v>
      </c>
      <c r="AI644" s="51">
        <f>SUBTOTAL(3,Tableau1[[#This Row],[ZS]])</f>
        <v>0</v>
      </c>
      <c r="AJ644" s="51" t="e">
        <f t="shared" ca="1" si="19"/>
        <v>#NAME?</v>
      </c>
      <c r="AK644" s="50" t="str">
        <f>IFERROR(IF((Data_Entry!O633-Data_Entry!Q633)/Data_Entry!O633&lt;=10%,"&lt;=10%","&gt;10%"),"&lt;=10%")</f>
        <v>&lt;=10%</v>
      </c>
    </row>
    <row r="645" spans="1:37" s="48" customFormat="1" ht="13" hidden="1" x14ac:dyDescent="0.3">
      <c r="A645" s="31" t="s">
        <v>16</v>
      </c>
      <c r="B645" s="48" t="str">
        <f>Data_Entry!B634</f>
        <v>Goma</v>
      </c>
      <c r="C645" s="48" t="str">
        <f>Data_Entry!C634</f>
        <v xml:space="preserve"> Rwanguba</v>
      </c>
      <c r="D645" s="48" t="str">
        <f>Data_Entry!D634</f>
        <v xml:space="preserve"> Rwanguba Kabindi</v>
      </c>
      <c r="E645" s="49">
        <f>IFERROR(IF(Data_Entry!J634/Data_Entry!$I634&lt;0,0,Data_Entry!J634/Data_Entry!$I634),0)</f>
        <v>0.66278949722977387</v>
      </c>
      <c r="F645" s="49">
        <f>IFERROR(IF(Data_Entry!K634/Data_Entry!$H634&lt;0,0,Data_Entry!K634/Data_Entry!$H634),0)</f>
        <v>0.78094255625177555</v>
      </c>
      <c r="G645" s="49">
        <f>IFERROR(IF(Data_Entry!L634/Data_Entry!$H634&lt;0,0,Data_Entry!L634/Data_Entry!$H634),0)</f>
        <v>0.85785356557960191</v>
      </c>
      <c r="H645" s="49">
        <f>IFERROR(IF(Data_Entry!M634/Data_Entry!$H634&lt;0,0,Data_Entry!M634/Data_Entry!$H634),0)</f>
        <v>0.77265983217031731</v>
      </c>
      <c r="I645" s="49">
        <f>IFERROR(IF(Data_Entry!N634/Data_Entry!$H634&lt;0,0,Data_Entry!N634/Data_Entry!$H634),0)</f>
        <v>0.8460211026060902</v>
      </c>
      <c r="J645" s="49">
        <f>IFERROR(IF(Data_Entry!O634/Data_Entry!$H634&lt;0,0,Data_Entry!O634/Data_Entry!$H634),0)</f>
        <v>0.83537188592992961</v>
      </c>
      <c r="K645" s="49">
        <f>IFERROR(IF(Data_Entry!P634/Data_Entry!$H634&lt;0,0,Data_Entry!P634/Data_Entry!$H634),0)</f>
        <v>0.80460748219879907</v>
      </c>
      <c r="L645" s="49">
        <f>IFERROR(IF(Data_Entry!Q634/Data_Entry!$H634&lt;0,0,Data_Entry!Q634/Data_Entry!$H634),0)</f>
        <v>0.91464938785245831</v>
      </c>
      <c r="M645" s="49">
        <f>IFERROR(IF(Data_Entry!R634/Data_Entry!$H634&lt;0,0,Data_Entry!R634/Data_Entry!$H634),0)</f>
        <v>0.8744190137425184</v>
      </c>
      <c r="N645" s="49">
        <f>IFERROR(IF(Data_Entry!S634/Data_Entry!$H634&lt;0,0,Data_Entry!S634/Data_Entry!$H634),0)</f>
        <v>0.80815722109085253</v>
      </c>
      <c r="O645" s="49">
        <f>IFERROR(IF(Data_Entry!T634/Data_Entry!$H634&lt;0,0,Data_Entry!T634/Data_Entry!$H634),0)</f>
        <v>0.7833090488464779</v>
      </c>
      <c r="P645" s="49">
        <f>IFERROR(IF(Data_Entry!U634/Data_Entry!$H634&lt;0,0,Data_Entry!U634/Data_Entry!$H634),0)</f>
        <v>0.85903681187695313</v>
      </c>
      <c r="Q645" s="49">
        <f>IFERROR(IF(Data_Entry!V634/Data_Entry!$H634&lt;0,0,Data_Entry!V634/Data_Entry!$H634),0)</f>
        <v>0.75846087660210315</v>
      </c>
      <c r="R645" s="49">
        <f>IFERROR(IF(Data_Entry!W634/Data_Entry!$H634&lt;0,0,Data_Entry!W634/Data_Entry!$H634),0)</f>
        <v>0.72178024138421681</v>
      </c>
      <c r="S645" s="49">
        <f>IFERROR(IF(Data_Entry!X634/Data_Entry!$H634&lt;0,0,Data_Entry!X634/Data_Entry!$H634),0)</f>
        <v>0.90991640266305363</v>
      </c>
      <c r="T645" s="49">
        <f>IFERROR(IF(Data_Entry!Y634/Data_Entry!$H634&lt;0,0,Data_Entry!Y634/Data_Entry!$H634),0)</f>
        <v>0.39875400220734597</v>
      </c>
      <c r="U645" s="49">
        <f>IFERROR(IF(Data_Entry!Z634/Data_Entry!$H634&lt;0,0,Data_Entry!Z634/Data_Entry!$H634),0)</f>
        <v>0.68864934505838382</v>
      </c>
      <c r="V645" s="49">
        <f>IFERROR(IF(Data_Entry!AA634/Data_Entry!$H634&lt;0,0,Data_Entry!AA634/Data_Entry!$H634),0)</f>
        <v>0.71823050249216325</v>
      </c>
      <c r="W645" s="49">
        <f>IFERROR(IF(Data_Entry!AB634/Data_Entry!$H634&lt;0,0,Data_Entry!AB634/Data_Entry!$H634),0)</f>
        <v>0.73006296546567495</v>
      </c>
      <c r="X645" s="49">
        <f>IFERROR(IF(Data_Entry!AC634/Data_Entry!$I634&lt;0,0,Data_Entry!AC634/Data_Entry!$I634),0)</f>
        <v>0.3603014556591761</v>
      </c>
      <c r="Y645" s="49">
        <f>IFERROR(IF(Data_Entry!AD634/Data_Entry!$I634&lt;0,0,Data_Entry!AD634/Data_Entry!$I634),0)</f>
        <v>0.32932998382600914</v>
      </c>
      <c r="Z645" s="49">
        <f>IFERROR(IF(Data_Entry!AE634/Data_Entry!$I634&lt;0,0,Data_Entry!AE634/Data_Entry!$I634),0)</f>
        <v>0.36649575002580953</v>
      </c>
      <c r="AA645" s="49">
        <f>IFERROR(IF(Data_Entry!AF634/Data_Entry!$I634&lt;0,0,Data_Entry!AF634/Data_Entry!$I634),0)</f>
        <v>0.1672459478991018</v>
      </c>
      <c r="AB645" s="49">
        <f>IFERROR(IF(Data_Entry!AG634/Data_Entry!$I634&lt;0,0,Data_Entry!AG634/Data_Entry!$I634),0)</f>
        <v>0.29526136480952542</v>
      </c>
      <c r="AC645" s="49">
        <f>IFERROR(IF(Data_Entry!AI634/Data_Entry!$I634&lt;0,0,Data_Entry!AI634/Data_Entry!$I634),0)</f>
        <v>6.018789359578787E-2</v>
      </c>
      <c r="AD645" s="49">
        <f>IFERROR(IF(Data_Entry!AM634/Data_Entry!$H634&lt;0,0,Data_Entry!AM634/Data_Entry!$H634),0)</f>
        <v>0.68864934505838382</v>
      </c>
      <c r="AE645" s="50">
        <f>Data_Entry!AK634</f>
        <v>139.13258333333329</v>
      </c>
      <c r="AF645" s="50">
        <f>Data_Entry!AL634</f>
        <v>0</v>
      </c>
      <c r="AG645" s="153">
        <f>(Data_Entry!O634-Data_Entry!Q634)/Data_Entry!O634</f>
        <v>-9.4900849858356937E-2</v>
      </c>
      <c r="AH645" s="79" t="str">
        <f t="shared" si="18"/>
        <v>CAT3</v>
      </c>
      <c r="AI645" s="51">
        <f>SUBTOTAL(3,Tableau1[[#This Row],[ZS]])</f>
        <v>0</v>
      </c>
      <c r="AJ645" s="51" t="e">
        <f t="shared" ca="1" si="19"/>
        <v>#NAME?</v>
      </c>
      <c r="AK645" s="50" t="str">
        <f>IFERROR(IF((Data_Entry!O634-Data_Entry!Q634)/Data_Entry!O634&lt;=10%,"&lt;=10%","&gt;10%"),"&lt;=10%")</f>
        <v>&lt;=10%</v>
      </c>
    </row>
    <row r="646" spans="1:37" s="48" customFormat="1" ht="13" hidden="1" x14ac:dyDescent="0.3">
      <c r="A646" s="31" t="s">
        <v>16</v>
      </c>
      <c r="B646" s="48" t="str">
        <f>Data_Entry!B635</f>
        <v>Goma</v>
      </c>
      <c r="C646" s="48" t="str">
        <f>Data_Entry!C635</f>
        <v xml:space="preserve"> Rwanguba</v>
      </c>
      <c r="D646" s="48" t="str">
        <f>Data_Entry!D635</f>
        <v xml:space="preserve"> Shangi</v>
      </c>
      <c r="E646" s="49">
        <f>IFERROR(IF(Data_Entry!J635/Data_Entry!$I635&lt;0,0,Data_Entry!J635/Data_Entry!$I635),0)</f>
        <v>0.45708582834331335</v>
      </c>
      <c r="F646" s="49">
        <f>IFERROR(IF(Data_Entry!K635/Data_Entry!$H635&lt;0,0,Data_Entry!K635/Data_Entry!$H635),0)</f>
        <v>0.55590824082494028</v>
      </c>
      <c r="G646" s="49">
        <f>IFERROR(IF(Data_Entry!L635/Data_Entry!$H635&lt;0,0,Data_Entry!L635/Data_Entry!$H635),0)</f>
        <v>1.118679546351423</v>
      </c>
      <c r="H646" s="49">
        <f>IFERROR(IF(Data_Entry!M635/Data_Entry!$H635&lt;0,0,Data_Entry!M635/Data_Entry!$H635),0)</f>
        <v>1.3497360579700197</v>
      </c>
      <c r="I646" s="49">
        <f>IFERROR(IF(Data_Entry!N635/Data_Entry!$H635&lt;0,0,Data_Entry!N635/Data_Entry!$H635),0)</f>
        <v>1.3954898226469694</v>
      </c>
      <c r="J646" s="49">
        <f>IFERROR(IF(Data_Entry!O635/Data_Entry!$H635&lt;0,0,Data_Entry!O635/Data_Entry!$H635),0)</f>
        <v>1.0683504052067783</v>
      </c>
      <c r="K646" s="49">
        <f>IFERROR(IF(Data_Entry!P635/Data_Entry!$H635&lt;0,0,Data_Entry!P635/Data_Entry!$H635),0)</f>
        <v>1.2605162168499675</v>
      </c>
      <c r="L646" s="49">
        <f>IFERROR(IF(Data_Entry!Q635/Data_Entry!$H635&lt;0,0,Data_Entry!Q635/Data_Entry!$H635),0)</f>
        <v>1.5144496108070391</v>
      </c>
      <c r="M646" s="49">
        <f>IFERROR(IF(Data_Entry!R635/Data_Entry!$H635&lt;0,0,Data_Entry!R635/Data_Entry!$H635),0)</f>
        <v>0.98370594055442107</v>
      </c>
      <c r="N646" s="49">
        <f>IFERROR(IF(Data_Entry!S635/Data_Entry!$H635&lt;0,0,Data_Entry!S635/Data_Entry!$H635),0)</f>
        <v>1.1118164816498806</v>
      </c>
      <c r="O646" s="49">
        <f>IFERROR(IF(Data_Entry!T635/Data_Entry!$H635&lt;0,0,Data_Entry!T635/Data_Entry!$H635),0)</f>
        <v>1.3085576697607648</v>
      </c>
      <c r="P646" s="49">
        <f>IFERROR(IF(Data_Entry!U635/Data_Entry!$H635&lt;0,0,Data_Entry!U635/Data_Entry!$H635),0)</f>
        <v>1.0134458875944385</v>
      </c>
      <c r="Q646" s="49">
        <f>IFERROR(IF(Data_Entry!V635/Data_Entry!$H635&lt;0,0,Data_Entry!V635/Data_Entry!$H635),0)</f>
        <v>1.2056116992376278</v>
      </c>
      <c r="R646" s="49">
        <f>IFERROR(IF(Data_Entry!W635/Data_Entry!$H635&lt;0,0,Data_Entry!W635/Data_Entry!$H635),0)</f>
        <v>0.98828131702211608</v>
      </c>
      <c r="S646" s="49">
        <f>IFERROR(IF(Data_Entry!X635/Data_Entry!$H635&lt;0,0,Data_Entry!X635/Data_Entry!$H635),0)</f>
        <v>1.0546242758036932</v>
      </c>
      <c r="T646" s="49">
        <f>IFERROR(IF(Data_Entry!Y635/Data_Entry!$H635&lt;0,0,Data_Entry!Y635/Data_Entry!$H635),0)</f>
        <v>1.1438441169237454</v>
      </c>
      <c r="U646" s="49">
        <f>IFERROR(IF(Data_Entry!Z635/Data_Entry!$H635&lt;0,0,Data_Entry!Z635/Data_Entry!$H635),0)</f>
        <v>0.98828131702211608</v>
      </c>
      <c r="V646" s="49">
        <f>IFERROR(IF(Data_Entry!AA635/Data_Entry!$H635&lt;0,0,Data_Entry!AA635/Data_Entry!$H635),0)</f>
        <v>1.0386104581667608</v>
      </c>
      <c r="W646" s="49">
        <f>IFERROR(IF(Data_Entry!AB635/Data_Entry!$H635&lt;0,0,Data_Entry!AB635/Data_Entry!$H635),0)</f>
        <v>0.80755394654816426</v>
      </c>
      <c r="X646" s="49">
        <f>IFERROR(IF(Data_Entry!AC635/Data_Entry!$I635&lt;0,0,Data_Entry!AC635/Data_Entry!$I635),0)</f>
        <v>0.70658682634730541</v>
      </c>
      <c r="Y646" s="49">
        <f>IFERROR(IF(Data_Entry!AD635/Data_Entry!$I635&lt;0,0,Data_Entry!AD635/Data_Entry!$I635),0)</f>
        <v>0.48902195608782434</v>
      </c>
      <c r="Z646" s="49">
        <f>IFERROR(IF(Data_Entry!AE635/Data_Entry!$I635&lt;0,0,Data_Entry!AE635/Data_Entry!$I635),0)</f>
        <v>0.57085828343313372</v>
      </c>
      <c r="AA646" s="49">
        <f>IFERROR(IF(Data_Entry!AF635/Data_Entry!$I635&lt;0,0,Data_Entry!AF635/Data_Entry!$I635),0)</f>
        <v>0.13972055888223553</v>
      </c>
      <c r="AB646" s="49">
        <f>IFERROR(IF(Data_Entry!AG635/Data_Entry!$I635&lt;0,0,Data_Entry!AG635/Data_Entry!$I635),0)</f>
        <v>1.3972055888223553E-2</v>
      </c>
      <c r="AC646" s="49">
        <f>IFERROR(IF(Data_Entry!AI635/Data_Entry!$I635&lt;0,0,Data_Entry!AI635/Data_Entry!$I635),0)</f>
        <v>0.11636726546906187</v>
      </c>
      <c r="AD646" s="49">
        <f>IFERROR(IF(Data_Entry!AM635/Data_Entry!$H635&lt;0,0,Data_Entry!AM635/Data_Entry!$H635),0)</f>
        <v>0.98828131702211608</v>
      </c>
      <c r="AE646" s="50">
        <f>Data_Entry!AK635</f>
        <v>0</v>
      </c>
      <c r="AF646" s="50">
        <f>Data_Entry!AL635</f>
        <v>6</v>
      </c>
      <c r="AG646" s="153">
        <f>(Data_Entry!O635-Data_Entry!Q635)/Data_Entry!O635</f>
        <v>-0.41755888650963596</v>
      </c>
      <c r="AH646" s="79" t="str">
        <f t="shared" si="18"/>
        <v>CAT1</v>
      </c>
      <c r="AI646" s="51">
        <f>SUBTOTAL(3,Tableau1[[#This Row],[ZS]])</f>
        <v>0</v>
      </c>
      <c r="AJ646" s="51" t="e">
        <f t="shared" ca="1" si="19"/>
        <v>#NAME?</v>
      </c>
      <c r="AK646" s="50" t="str">
        <f>IFERROR(IF((Data_Entry!O635-Data_Entry!Q635)/Data_Entry!O635&lt;=10%,"&lt;=10%","&gt;10%"),"&lt;=10%")</f>
        <v>&lt;=10%</v>
      </c>
    </row>
    <row r="647" spans="1:37" s="48" customFormat="1" ht="13" hidden="1" x14ac:dyDescent="0.3">
      <c r="A647" s="31" t="s">
        <v>16</v>
      </c>
      <c r="B647" s="48" t="str">
        <f>Data_Entry!B636</f>
        <v>Goma</v>
      </c>
      <c r="C647" s="48" t="str">
        <f>Data_Entry!C636</f>
        <v xml:space="preserve"> Rwanguba</v>
      </c>
      <c r="D647" s="48" t="str">
        <f>Data_Entry!D636</f>
        <v xml:space="preserve"> Shinda</v>
      </c>
      <c r="E647" s="49">
        <f>IFERROR(IF(Data_Entry!J636/Data_Entry!$I636&lt;0,0,Data_Entry!J636/Data_Entry!$I636),0)</f>
        <v>0.68912710566615609</v>
      </c>
      <c r="F647" s="49">
        <f>IFERROR(IF(Data_Entry!K636/Data_Entry!$H636&lt;0,0,Data_Entry!K636/Data_Entry!$H636),0)</f>
        <v>1.1514635749466759</v>
      </c>
      <c r="G647" s="49">
        <f>IFERROR(IF(Data_Entry!L636/Data_Entry!$H636&lt;0,0,Data_Entry!L636/Data_Entry!$H636),0)</f>
        <v>1.3173776534765249</v>
      </c>
      <c r="H647" s="49">
        <f>IFERROR(IF(Data_Entry!M636/Data_Entry!$H636&lt;0,0,Data_Entry!M636/Data_Entry!$H636),0)</f>
        <v>1.0799317566583579</v>
      </c>
      <c r="I647" s="49">
        <f>IFERROR(IF(Data_Entry!N636/Data_Entry!$H636&lt;0,0,Data_Entry!N636/Data_Entry!$H636),0)</f>
        <v>1.225975885663674</v>
      </c>
      <c r="J647" s="49">
        <f>IFERROR(IF(Data_Entry!O636/Data_Entry!$H636&lt;0,0,Data_Entry!O636/Data_Entry!$H636),0)</f>
        <v>1.2647222872365129</v>
      </c>
      <c r="K647" s="49">
        <f>IFERROR(IF(Data_Entry!P636/Data_Entry!$H636&lt;0,0,Data_Entry!P636/Data_Entry!$H636),0)</f>
        <v>1.0322438777994791</v>
      </c>
      <c r="L647" s="49">
        <f>IFERROR(IF(Data_Entry!Q636/Data_Entry!$H636&lt;0,0,Data_Entry!Q636/Data_Entry!$H636),0)</f>
        <v>1.1743140168998887</v>
      </c>
      <c r="M647" s="49">
        <f>IFERROR(IF(Data_Entry!R636/Data_Entry!$H636&lt;0,0,Data_Entry!R636/Data_Entry!$H636),0)</f>
        <v>1.1693465295187555</v>
      </c>
      <c r="N647" s="49">
        <f>IFERROR(IF(Data_Entry!S636/Data_Entry!$H636&lt;0,0,Data_Entry!S636/Data_Entry!$H636),0)</f>
        <v>0.977601516607014</v>
      </c>
      <c r="O647" s="49">
        <f>IFERROR(IF(Data_Entry!T636/Data_Entry!$H636&lt;0,0,Data_Entry!T636/Data_Entry!$H636),0)</f>
        <v>1.1196716557074236</v>
      </c>
      <c r="P647" s="49">
        <f>IFERROR(IF(Data_Entry!U636/Data_Entry!$H636&lt;0,0,Data_Entry!U636/Data_Entry!$H636),0)</f>
        <v>1.0958277162779841</v>
      </c>
      <c r="Q647" s="49">
        <f>IFERROR(IF(Data_Entry!V636/Data_Entry!$H636&lt;0,0,Data_Entry!V636/Data_Entry!$H636),0)</f>
        <v>0.92593964784322869</v>
      </c>
      <c r="R647" s="49">
        <f>IFERROR(IF(Data_Entry!W636/Data_Entry!$H636&lt;0,0,Data_Entry!W636/Data_Entry!$H636),0)</f>
        <v>1.0223089030372128</v>
      </c>
      <c r="S647" s="49">
        <f>IFERROR(IF(Data_Entry!X636/Data_Entry!$H636&lt;0,0,Data_Entry!X636/Data_Entry!$H636),0)</f>
        <v>1.3799679944788033</v>
      </c>
      <c r="T647" s="49">
        <f>IFERROR(IF(Data_Entry!Y636/Data_Entry!$H636&lt;0,0,Data_Entry!Y636/Data_Entry!$H636),0)</f>
        <v>0.8494403421737774</v>
      </c>
      <c r="U647" s="49">
        <f>IFERROR(IF(Data_Entry!Z636/Data_Entry!$H636&lt;0,0,Data_Entry!Z636/Data_Entry!$H636),0)</f>
        <v>1.1415286001844096</v>
      </c>
      <c r="V647" s="49">
        <f>IFERROR(IF(Data_Entry!AA636/Data_Entry!$H636&lt;0,0,Data_Entry!AA636/Data_Entry!$H636),0)</f>
        <v>0.92196565793832208</v>
      </c>
      <c r="W647" s="49">
        <f>IFERROR(IF(Data_Entry!AB636/Data_Entry!$H636&lt;0,0,Data_Entry!AB636/Data_Entry!$H636),0)</f>
        <v>0.68054577121524851</v>
      </c>
      <c r="X647" s="49">
        <f>IFERROR(IF(Data_Entry!AC636/Data_Entry!$I636&lt;0,0,Data_Entry!AC636/Data_Entry!$I636),0)</f>
        <v>0.93877315149238627</v>
      </c>
      <c r="Y647" s="49">
        <f>IFERROR(IF(Data_Entry!AD636/Data_Entry!$I636&lt;0,0,Data_Entry!AD636/Data_Entry!$I636),0)</f>
        <v>0.76627466843884529</v>
      </c>
      <c r="Z647" s="49">
        <f>IFERROR(IF(Data_Entry!AE636/Data_Entry!$I636&lt;0,0,Data_Entry!AE636/Data_Entry!$I636),0)</f>
        <v>0.62498194111358307</v>
      </c>
      <c r="AA647" s="49">
        <f>IFERROR(IF(Data_Entry!AF636/Data_Entry!$I636&lt;0,0,Data_Entry!AF636/Data_Entry!$I636),0)</f>
        <v>0.15949608483342481</v>
      </c>
      <c r="AB647" s="49">
        <f>IFERROR(IF(Data_Entry!AG636/Data_Entry!$I636&lt;0,0,Data_Entry!AG636/Data_Entry!$I636),0)</f>
        <v>4.7675460140425896E-2</v>
      </c>
      <c r="AC647" s="49">
        <f>IFERROR(IF(Data_Entry!AI636/Data_Entry!$I636&lt;0,0,Data_Entry!AI636/Data_Entry!$I636),0)</f>
        <v>5.0535987748851451E-2</v>
      </c>
      <c r="AD647" s="49">
        <f>IFERROR(IF(Data_Entry!AM636/Data_Entry!$H636&lt;0,0,Data_Entry!AM636/Data_Entry!$H636),0)</f>
        <v>1.1415286001844096</v>
      </c>
      <c r="AE647" s="50">
        <f>Data_Entry!AK636</f>
        <v>0</v>
      </c>
      <c r="AF647" s="50">
        <f>Data_Entry!AL636</f>
        <v>0</v>
      </c>
      <c r="AG647" s="153">
        <f>(Data_Entry!O636-Data_Entry!Q636)/Data_Entry!O636</f>
        <v>7.1484681853888454E-2</v>
      </c>
      <c r="AH647" s="79" t="str">
        <f t="shared" si="18"/>
        <v>CAT1</v>
      </c>
      <c r="AI647" s="51">
        <f>SUBTOTAL(3,Tableau1[[#This Row],[ZS]])</f>
        <v>0</v>
      </c>
      <c r="AJ647" s="51" t="e">
        <f t="shared" ca="1" si="19"/>
        <v>#NAME?</v>
      </c>
      <c r="AK647" s="50" t="str">
        <f>IFERROR(IF((Data_Entry!O636-Data_Entry!Q636)/Data_Entry!O636&lt;=10%,"&lt;=10%","&gt;10%"),"&lt;=10%")</f>
        <v>&lt;=10%</v>
      </c>
    </row>
    <row r="648" spans="1:37" s="48" customFormat="1" ht="13" hidden="1" x14ac:dyDescent="0.3">
      <c r="A648" s="31" t="s">
        <v>16</v>
      </c>
      <c r="B648" s="48" t="str">
        <f>Data_Entry!B637</f>
        <v>Goma</v>
      </c>
      <c r="C648" s="48" t="str">
        <f>Data_Entry!C637</f>
        <v xml:space="preserve"> Rwanguba</v>
      </c>
      <c r="D648" s="48" t="str">
        <f>Data_Entry!D637</f>
        <v xml:space="preserve"> Tanda</v>
      </c>
      <c r="E648" s="49">
        <f>IFERROR(IF(Data_Entry!J637/Data_Entry!$I637&lt;0,0,Data_Entry!J637/Data_Entry!$I637),0)</f>
        <v>0.67967109867039877</v>
      </c>
      <c r="F648" s="49">
        <f>IFERROR(IF(Data_Entry!K637/Data_Entry!$H637&lt;0,0,Data_Entry!K637/Data_Entry!$H637),0)</f>
        <v>1.215108246895559</v>
      </c>
      <c r="G648" s="49">
        <f>IFERROR(IF(Data_Entry!L637/Data_Entry!$H637&lt;0,0,Data_Entry!L637/Data_Entry!$H637),0)</f>
        <v>1.2692467331433808</v>
      </c>
      <c r="H648" s="49">
        <f>IFERROR(IF(Data_Entry!M637/Data_Entry!$H637&lt;0,0,Data_Entry!M637/Data_Entry!$H637),0)</f>
        <v>1.1970620848129516</v>
      </c>
      <c r="I648" s="49">
        <f>IFERROR(IF(Data_Entry!N637/Data_Entry!$H637&lt;0,0,Data_Entry!N637/Data_Entry!$H637),0)</f>
        <v>1.0196081576673131</v>
      </c>
      <c r="J648" s="49">
        <f>IFERROR(IF(Data_Entry!O637/Data_Entry!$H637&lt;0,0,Data_Entry!O637/Data_Entry!$H637),0)</f>
        <v>1.1519466796064333</v>
      </c>
      <c r="K648" s="49">
        <f>IFERROR(IF(Data_Entry!P637/Data_Entry!$H637&lt;0,0,Data_Entry!P637/Data_Entry!$H637),0)</f>
        <v>1.1098389680803495</v>
      </c>
      <c r="L648" s="49">
        <f>IFERROR(IF(Data_Entry!Q637/Data_Entry!$H637&lt;0,0,Data_Entry!Q637/Data_Entry!$H637),0)</f>
        <v>0.93238504093471108</v>
      </c>
      <c r="M648" s="49">
        <f>IFERROR(IF(Data_Entry!R637/Data_Entry!$H637&lt;0,0,Data_Entry!R637/Data_Entry!$H637),0)</f>
        <v>1.2572159584216427</v>
      </c>
      <c r="N648" s="49">
        <f>IFERROR(IF(Data_Entry!S637/Data_Entry!$H637&lt;0,0,Data_Entry!S637/Data_Entry!$H637),0)</f>
        <v>1.1970620848129516</v>
      </c>
      <c r="O648" s="49">
        <f>IFERROR(IF(Data_Entry!T637/Data_Entry!$H637&lt;0,0,Data_Entry!T637/Data_Entry!$H637),0)</f>
        <v>1.0256235450281821</v>
      </c>
      <c r="P648" s="49">
        <f>IFERROR(IF(Data_Entry!U637/Data_Entry!$H637&lt;0,0,Data_Entry!U637/Data_Entry!$H637),0)</f>
        <v>1.1369082112042606</v>
      </c>
      <c r="Q648" s="49">
        <f>IFERROR(IF(Data_Entry!V637/Data_Entry!$H637&lt;0,0,Data_Entry!V637/Data_Entry!$H637),0)</f>
        <v>1.0857774186368732</v>
      </c>
      <c r="R648" s="49">
        <f>IFERROR(IF(Data_Entry!W637/Data_Entry!$H637&lt;0,0,Data_Entry!W637/Data_Entry!$H637),0)</f>
        <v>0.91734657253253826</v>
      </c>
      <c r="S648" s="49">
        <f>IFERROR(IF(Data_Entry!X637/Data_Entry!$H637&lt;0,0,Data_Entry!X637/Data_Entry!$H637),0)</f>
        <v>0.96546967141949114</v>
      </c>
      <c r="T648" s="49">
        <f>IFERROR(IF(Data_Entry!Y637/Data_Entry!$H637&lt;0,0,Data_Entry!Y637/Data_Entry!$H637),0)</f>
        <v>0.67372338441733959</v>
      </c>
      <c r="U648" s="49">
        <f>IFERROR(IF(Data_Entry!Z637/Data_Entry!$H637&lt;0,0,Data_Entry!Z637/Data_Entry!$H637),0)</f>
        <v>0.96546967141949114</v>
      </c>
      <c r="V648" s="49">
        <f>IFERROR(IF(Data_Entry!AA637/Data_Entry!$H637&lt;0,0,Data_Entry!AA637/Data_Entry!$H637),0)</f>
        <v>1.1098389680803495</v>
      </c>
      <c r="W648" s="49">
        <f>IFERROR(IF(Data_Entry!AB637/Data_Entry!$H637&lt;0,0,Data_Entry!AB637/Data_Entry!$H637),0)</f>
        <v>0.91734657253253826</v>
      </c>
      <c r="X648" s="49">
        <f>IFERROR(IF(Data_Entry!AC637/Data_Entry!$I637&lt;0,0,Data_Entry!AC637/Data_Entry!$I637),0)</f>
        <v>0.88698390482855127</v>
      </c>
      <c r="Y648" s="49">
        <f>IFERROR(IF(Data_Entry!AD637/Data_Entry!$I637&lt;0,0,Data_Entry!AD637/Data_Entry!$I637),0)</f>
        <v>0.70853743876836939</v>
      </c>
      <c r="Z648" s="49">
        <f>IFERROR(IF(Data_Entry!AE637/Data_Entry!$I637&lt;0,0,Data_Entry!AE637/Data_Entry!$I637),0)</f>
        <v>0.20206438068579424</v>
      </c>
      <c r="AA648" s="49">
        <f>IFERROR(IF(Data_Entry!AF637/Data_Entry!$I637&lt;0,0,Data_Entry!AF637/Data_Entry!$I637),0)</f>
        <v>7.6102169349195226E-2</v>
      </c>
      <c r="AB648" s="49">
        <f>IFERROR(IF(Data_Entry!AG637/Data_Entry!$I637&lt;0,0,Data_Entry!AG637/Data_Entry!$I637),0)</f>
        <v>4.7235829251224624E-2</v>
      </c>
      <c r="AC648" s="49">
        <f>IFERROR(IF(Data_Entry!AI637/Data_Entry!$I637&lt;0,0,Data_Entry!AI637/Data_Entry!$I637),0)</f>
        <v>0.15299160251924421</v>
      </c>
      <c r="AD648" s="49">
        <f>IFERROR(IF(Data_Entry!AM637/Data_Entry!$H637&lt;0,0,Data_Entry!AM637/Data_Entry!$H637),0)</f>
        <v>0.96546967141949114</v>
      </c>
      <c r="AE648" s="50">
        <f>Data_Entry!AK637</f>
        <v>0</v>
      </c>
      <c r="AF648" s="50">
        <f>Data_Entry!AL637</f>
        <v>62</v>
      </c>
      <c r="AG648" s="153">
        <f>(Data_Entry!O637-Data_Entry!Q637)/Data_Entry!O637</f>
        <v>0.1906005221932115</v>
      </c>
      <c r="AH648" s="79" t="str">
        <f t="shared" si="18"/>
        <v>CAT2</v>
      </c>
      <c r="AI648" s="51">
        <f>SUBTOTAL(3,Tableau1[[#This Row],[ZS]])</f>
        <v>0</v>
      </c>
      <c r="AJ648" s="51" t="e">
        <f t="shared" ca="1" si="19"/>
        <v>#NAME?</v>
      </c>
      <c r="AK648" s="50" t="str">
        <f>IFERROR(IF((Data_Entry!O637-Data_Entry!Q637)/Data_Entry!O637&lt;=10%,"&lt;=10%","&gt;10%"),"&lt;=10%")</f>
        <v>&gt;10%</v>
      </c>
    </row>
    <row r="649" spans="1:37" s="48" customFormat="1" ht="13" hidden="1" x14ac:dyDescent="0.3">
      <c r="A649" s="31" t="s">
        <v>16</v>
      </c>
      <c r="B649" s="48" t="str">
        <f>Data_Entry!B638</f>
        <v>Goma</v>
      </c>
      <c r="C649" s="48" t="str">
        <f>Data_Entry!C638</f>
        <v xml:space="preserve"> Rwanguba</v>
      </c>
      <c r="D649" s="48" t="str">
        <f>Data_Entry!D638</f>
        <v xml:space="preserve"> Tshengerero</v>
      </c>
      <c r="E649" s="49">
        <f>IFERROR(IF(Data_Entry!J638/Data_Entry!$I638&lt;0,0,Data_Entry!J638/Data_Entry!$I638),0)</f>
        <v>0.96263419900437841</v>
      </c>
      <c r="F649" s="49">
        <f>IFERROR(IF(Data_Entry!K638/Data_Entry!$H638&lt;0,0,Data_Entry!K638/Data_Entry!$H638),0)</f>
        <v>1.0393758108308526</v>
      </c>
      <c r="G649" s="49">
        <f>IFERROR(IF(Data_Entry!L638/Data_Entry!$H638&lt;0,0,Data_Entry!L638/Data_Entry!$H638),0)</f>
        <v>1.0084420069370774</v>
      </c>
      <c r="H649" s="49">
        <f>IFERROR(IF(Data_Entry!M638/Data_Entry!$H638&lt;0,0,Data_Entry!M638/Data_Entry!$H638),0)</f>
        <v>0.99400623178664882</v>
      </c>
      <c r="I649" s="49">
        <f>IFERROR(IF(Data_Entry!N638/Data_Entry!$H638&lt;0,0,Data_Entry!N638/Data_Entry!$H638),0)</f>
        <v>0.95276115992828159</v>
      </c>
      <c r="J649" s="49">
        <f>IFERROR(IF(Data_Entry!O638/Data_Entry!$H638&lt;0,0,Data_Entry!O638/Data_Entry!$H638),0)</f>
        <v>0.93007637040617963</v>
      </c>
      <c r="K649" s="49">
        <f>IFERROR(IF(Data_Entry!P638/Data_Entry!$H638&lt;0,0,Data_Entry!P638/Data_Entry!$H638),0)</f>
        <v>0.89914256651240432</v>
      </c>
      <c r="L649" s="49">
        <f>IFERROR(IF(Data_Entry!Q638/Data_Entry!$H638&lt;0,0,Data_Entry!Q638/Data_Entry!$H638),0)</f>
        <v>0.95276115992828159</v>
      </c>
      <c r="M649" s="49">
        <f>IFERROR(IF(Data_Entry!R638/Data_Entry!$H638&lt;0,0,Data_Entry!R638/Data_Entry!$H638),0)</f>
        <v>0.98575721741497535</v>
      </c>
      <c r="N649" s="49">
        <f>IFERROR(IF(Data_Entry!S638/Data_Entry!$H638&lt;0,0,Data_Entry!S638/Data_Entry!$H638),0)</f>
        <v>0.87233326980446568</v>
      </c>
      <c r="O649" s="49">
        <f>IFERROR(IF(Data_Entry!T638/Data_Entry!$H638&lt;0,0,Data_Entry!T638/Data_Entry!$H638),0)</f>
        <v>1.0001929925654038</v>
      </c>
      <c r="P649" s="49">
        <f>IFERROR(IF(Data_Entry!U638/Data_Entry!$H638&lt;0,0,Data_Entry!U638/Data_Entry!$H638),0)</f>
        <v>0.93420087759201642</v>
      </c>
      <c r="Q649" s="49">
        <f>IFERROR(IF(Data_Entry!V638/Data_Entry!$H638&lt;0,0,Data_Entry!V638/Data_Entry!$H638),0)</f>
        <v>0.82902594435318011</v>
      </c>
      <c r="R649" s="49">
        <f>IFERROR(IF(Data_Entry!W638/Data_Entry!$H638&lt;0,0,Data_Entry!W638/Data_Entry!$H638),0)</f>
        <v>0.83933721231777192</v>
      </c>
      <c r="S649" s="49">
        <f>IFERROR(IF(Data_Entry!X638/Data_Entry!$H638&lt;0,0,Data_Entry!X638/Data_Entry!$H638),0)</f>
        <v>1.0043174997512405</v>
      </c>
      <c r="T649" s="49">
        <f>IFERROR(IF(Data_Entry!Y638/Data_Entry!$H638&lt;0,0,Data_Entry!Y638/Data_Entry!$H638),0)</f>
        <v>0.89501805932656764</v>
      </c>
      <c r="U649" s="49">
        <f>IFERROR(IF(Data_Entry!Z638/Data_Entry!$H638&lt;0,0,Data_Entry!Z638/Data_Entry!$H638),0)</f>
        <v>0.93626313118493476</v>
      </c>
      <c r="V649" s="49">
        <f>IFERROR(IF(Data_Entry!AA638/Data_Entry!$H638&lt;0,0,Data_Entry!AA638/Data_Entry!$H638),0)</f>
        <v>1.9343938701574204</v>
      </c>
      <c r="W649" s="49">
        <f>IFERROR(IF(Data_Entry!AB638/Data_Entry!$H638&lt;0,0,Data_Entry!AB638/Data_Entry!$H638),0)</f>
        <v>0.78984312608773133</v>
      </c>
      <c r="X649" s="49">
        <f>IFERROR(IF(Data_Entry!AC638/Data_Entry!$I638&lt;0,0,Data_Entry!AC638/Data_Entry!$I638),0)</f>
        <v>0.58477778444191209</v>
      </c>
      <c r="Y649" s="49">
        <f>IFERROR(IF(Data_Entry!AD638/Data_Entry!$I638&lt;0,0,Data_Entry!AD638/Data_Entry!$I638),0)</f>
        <v>0.58657710070173341</v>
      </c>
      <c r="Z649" s="49">
        <f>IFERROR(IF(Data_Entry!AE638/Data_Entry!$I638&lt;0,0,Data_Entry!AE638/Data_Entry!$I638),0)</f>
        <v>0.35266598692496853</v>
      </c>
      <c r="AA649" s="49">
        <f>IFERROR(IF(Data_Entry!AF638/Data_Entry!$I638&lt;0,0,Data_Entry!AF638/Data_Entry!$I638),0)</f>
        <v>0.35626461944461107</v>
      </c>
      <c r="AB649" s="49">
        <f>IFERROR(IF(Data_Entry!AG638/Data_Entry!$I638&lt;0,0,Data_Entry!AG638/Data_Entry!$I638),0)</f>
        <v>0.30408444790979428</v>
      </c>
      <c r="AC649" s="49">
        <f>IFERROR(IF(Data_Entry!AI638/Data_Entry!$I638&lt;0,0,Data_Entry!AI638/Data_Entry!$I638),0)</f>
        <v>0.10490013794757992</v>
      </c>
      <c r="AD649" s="49">
        <f>IFERROR(IF(Data_Entry!AM638/Data_Entry!$H638&lt;0,0,Data_Entry!AM638/Data_Entry!$H638),0)</f>
        <v>0.93626313118493476</v>
      </c>
      <c r="AE649" s="50">
        <f>Data_Entry!AK638</f>
        <v>33.906416666666701</v>
      </c>
      <c r="AF649" s="50">
        <f>Data_Entry!AL638</f>
        <v>0</v>
      </c>
      <c r="AG649" s="153">
        <f>(Data_Entry!O638-Data_Entry!Q638)/Data_Entry!O638</f>
        <v>-2.4390243902439025E-2</v>
      </c>
      <c r="AH649" s="79" t="str">
        <f t="shared" si="18"/>
        <v>CAT1</v>
      </c>
      <c r="AI649" s="51">
        <f>SUBTOTAL(3,Tableau1[[#This Row],[ZS]])</f>
        <v>0</v>
      </c>
      <c r="AJ649" s="51" t="e">
        <f t="shared" ca="1" si="19"/>
        <v>#NAME?</v>
      </c>
      <c r="AK649" s="50" t="str">
        <f>IFERROR(IF((Data_Entry!O638-Data_Entry!Q638)/Data_Entry!O638&lt;=10%,"&lt;=10%","&gt;10%"),"&lt;=10%")</f>
        <v>&lt;=10%</v>
      </c>
    </row>
    <row r="650" spans="1:37" s="48" customFormat="1" ht="13" hidden="1" x14ac:dyDescent="0.3">
      <c r="A650" s="31" t="s">
        <v>16</v>
      </c>
      <c r="B650" s="48" t="str">
        <f>Data_Entry!B639</f>
        <v>Butembo</v>
      </c>
      <c r="C650" s="48" t="str">
        <f>Data_Entry!C639</f>
        <v xml:space="preserve"> Vuhovi</v>
      </c>
      <c r="D650" s="48" t="str">
        <f>Data_Entry!D639</f>
        <v xml:space="preserve"> Buhesi</v>
      </c>
      <c r="E650" s="49">
        <f>IFERROR(IF(Data_Entry!J639/Data_Entry!$I639&lt;0,0,Data_Entry!J639/Data_Entry!$I639),0)</f>
        <v>0.64547518650664948</v>
      </c>
      <c r="F650" s="49">
        <f>IFERROR(IF(Data_Entry!K639/Data_Entry!$H639&lt;0,0,Data_Entry!K639/Data_Entry!$H639),0)</f>
        <v>0.86991515539045339</v>
      </c>
      <c r="G650" s="49">
        <f>IFERROR(IF(Data_Entry!L639/Data_Entry!$H639&lt;0,0,Data_Entry!L639/Data_Entry!$H639),0)</f>
        <v>0.89593825832948404</v>
      </c>
      <c r="H650" s="49">
        <f>IFERROR(IF(Data_Entry!M639/Data_Entry!$H639&lt;0,0,Data_Entry!M639/Data_Entry!$H639),0)</f>
        <v>0.85504481085386441</v>
      </c>
      <c r="I650" s="49">
        <f>IFERROR(IF(Data_Entry!N639/Data_Entry!$H639&lt;0,0,Data_Entry!N639/Data_Entry!$H639),0)</f>
        <v>0.8587623969880116</v>
      </c>
      <c r="J650" s="49">
        <f>IFERROR(IF(Data_Entry!O639/Data_Entry!$H639&lt;0,0,Data_Entry!O639/Data_Entry!$H639),0)</f>
        <v>0.6468599873416192</v>
      </c>
      <c r="K650" s="49">
        <f>IFERROR(IF(Data_Entry!P639/Data_Entry!$H639&lt;0,0,Data_Entry!P639/Data_Entry!$H639),0)</f>
        <v>0.57250826465867444</v>
      </c>
      <c r="L650" s="49">
        <f>IFERROR(IF(Data_Entry!Q639/Data_Entry!$H639&lt;0,0,Data_Entry!Q639/Data_Entry!$H639),0)</f>
        <v>0.69147102095138602</v>
      </c>
      <c r="M650" s="49">
        <f>IFERROR(IF(Data_Entry!R639/Data_Entry!$H639&lt;0,0,Data_Entry!R639/Data_Entry!$H639),0)</f>
        <v>0.69147102095138602</v>
      </c>
      <c r="N650" s="49">
        <f>IFERROR(IF(Data_Entry!S639/Data_Entry!$H639&lt;0,0,Data_Entry!S639/Data_Entry!$H639),0)</f>
        <v>0.65057757347576639</v>
      </c>
      <c r="O650" s="49">
        <f>IFERROR(IF(Data_Entry!T639/Data_Entry!$H639&lt;0,0,Data_Entry!T639/Data_Entry!$H639),0)</f>
        <v>0.67660067641479704</v>
      </c>
      <c r="P650" s="49">
        <f>IFERROR(IF(Data_Entry!U639/Data_Entry!$H639&lt;0,0,Data_Entry!U639/Data_Entry!$H639),0)</f>
        <v>0.6468599873416192</v>
      </c>
      <c r="Q650" s="49">
        <f>IFERROR(IF(Data_Entry!V639/Data_Entry!$H639&lt;0,0,Data_Entry!V639/Data_Entry!$H639),0)</f>
        <v>0.62083688440258855</v>
      </c>
      <c r="R650" s="49">
        <f>IFERROR(IF(Data_Entry!W639/Data_Entry!$H639&lt;0,0,Data_Entry!W639/Data_Entry!$H639),0)</f>
        <v>0.6468599873416192</v>
      </c>
      <c r="S650" s="49">
        <f>IFERROR(IF(Data_Entry!X639/Data_Entry!$H639&lt;0,0,Data_Entry!X639/Data_Entry!$H639),0)</f>
        <v>0.92939653353680918</v>
      </c>
      <c r="T650" s="49">
        <f>IFERROR(IF(Data_Entry!Y639/Data_Entry!$H639&lt;0,0,Data_Entry!Y639/Data_Entry!$H639),0)</f>
        <v>0.35688826887813468</v>
      </c>
      <c r="U650" s="49">
        <f>IFERROR(IF(Data_Entry!Z639/Data_Entry!$H639&lt;0,0,Data_Entry!Z639/Data_Entry!$H639),0)</f>
        <v>0.71005895162212218</v>
      </c>
      <c r="V650" s="49">
        <f>IFERROR(IF(Data_Entry!AA639/Data_Entry!$H639&lt;0,0,Data_Entry!AA639/Data_Entry!$H639),0)</f>
        <v>0.82158653564653927</v>
      </c>
      <c r="W650" s="49">
        <f>IFERROR(IF(Data_Entry!AB639/Data_Entry!$H639&lt;0,0,Data_Entry!AB639/Data_Entry!$H639),0)</f>
        <v>0.55763792012208546</v>
      </c>
      <c r="X650" s="49">
        <f>IFERROR(IF(Data_Entry!AC639/Data_Entry!$I639&lt;0,0,Data_Entry!AC639/Data_Entry!$I639),0)</f>
        <v>0.14596172559195592</v>
      </c>
      <c r="Y650" s="49">
        <f>IFERROR(IF(Data_Entry!AD639/Data_Entry!$I639&lt;0,0,Data_Entry!AD639/Data_Entry!$I639),0)</f>
        <v>0.20759000973078173</v>
      </c>
      <c r="Z650" s="49">
        <f>IFERROR(IF(Data_Entry!AE639/Data_Entry!$I639&lt;0,0,Data_Entry!AE639/Data_Entry!$I639),0)</f>
        <v>0.18812844631852094</v>
      </c>
      <c r="AA650" s="49">
        <f>IFERROR(IF(Data_Entry!AF639/Data_Entry!$I639&lt;0,0,Data_Entry!AF639/Data_Entry!$I639),0)</f>
        <v>0.20759000973078173</v>
      </c>
      <c r="AB650" s="49">
        <f>IFERROR(IF(Data_Entry!AG639/Data_Entry!$I639&lt;0,0,Data_Entry!AG639/Data_Entry!$I639),0)</f>
        <v>0.17515407071034708</v>
      </c>
      <c r="AC650" s="49">
        <f>IFERROR(IF(Data_Entry!AI639/Data_Entry!$I639&lt;0,0,Data_Entry!AI639/Data_Entry!$I639),0)</f>
        <v>0.18910152448913398</v>
      </c>
      <c r="AD650" s="49">
        <f>IFERROR(IF(Data_Entry!AM639/Data_Entry!$H639&lt;0,0,Data_Entry!AM639/Data_Entry!$H639),0)</f>
        <v>0.71005895162212218</v>
      </c>
      <c r="AE650" s="50">
        <f>Data_Entry!AK639</f>
        <v>94.991750000000025</v>
      </c>
      <c r="AF650" s="50">
        <f>Data_Entry!AL639</f>
        <v>0</v>
      </c>
      <c r="AG650" s="153">
        <f>(Data_Entry!O639-Data_Entry!Q639)/Data_Entry!O639</f>
        <v>-6.8965517241379309E-2</v>
      </c>
      <c r="AH650" s="79" t="str">
        <f t="shared" si="18"/>
        <v>CAT3</v>
      </c>
      <c r="AI650" s="51">
        <f>SUBTOTAL(3,Tableau1[[#This Row],[ZS]])</f>
        <v>0</v>
      </c>
      <c r="AJ650" s="51" t="e">
        <f t="shared" ca="1" si="19"/>
        <v>#NAME?</v>
      </c>
      <c r="AK650" s="50" t="str">
        <f>IFERROR(IF((Data_Entry!O639-Data_Entry!Q639)/Data_Entry!O639&lt;=10%,"&lt;=10%","&gt;10%"),"&lt;=10%")</f>
        <v>&lt;=10%</v>
      </c>
    </row>
    <row r="651" spans="1:37" s="48" customFormat="1" ht="13" hidden="1" x14ac:dyDescent="0.3">
      <c r="A651" s="31" t="s">
        <v>16</v>
      </c>
      <c r="B651" s="48" t="str">
        <f>Data_Entry!B640</f>
        <v>Butembo</v>
      </c>
      <c r="C651" s="48" t="str">
        <f>Data_Entry!C640</f>
        <v xml:space="preserve"> Vuhovi</v>
      </c>
      <c r="D651" s="48" t="str">
        <f>Data_Entry!D640</f>
        <v xml:space="preserve"> Bukoroghoto</v>
      </c>
      <c r="E651" s="49">
        <f>IFERROR(IF(Data_Entry!J640/Data_Entry!$I640&lt;0,0,Data_Entry!J640/Data_Entry!$I640),0)</f>
        <v>0</v>
      </c>
      <c r="F651" s="49">
        <f>IFERROR(IF(Data_Entry!K640/Data_Entry!$H640&lt;0,0,Data_Entry!K640/Data_Entry!$H640),0)</f>
        <v>0</v>
      </c>
      <c r="G651" s="49">
        <f>IFERROR(IF(Data_Entry!L640/Data_Entry!$H640&lt;0,0,Data_Entry!L640/Data_Entry!$H640),0)</f>
        <v>0.18471463840983224</v>
      </c>
      <c r="H651" s="49">
        <f>IFERROR(IF(Data_Entry!M640/Data_Entry!$H640&lt;0,0,Data_Entry!M640/Data_Entry!$H640),0)</f>
        <v>0.24328269449099854</v>
      </c>
      <c r="I651" s="49">
        <f>IFERROR(IF(Data_Entry!N640/Data_Entry!$H640&lt;0,0,Data_Entry!N640/Data_Entry!$H640),0)</f>
        <v>0.26130363482366509</v>
      </c>
      <c r="J651" s="49">
        <f>IFERROR(IF(Data_Entry!O640/Data_Entry!$H640&lt;0,0,Data_Entry!O640/Data_Entry!$H640),0)</f>
        <v>0.22526175415833199</v>
      </c>
      <c r="K651" s="49">
        <f>IFERROR(IF(Data_Entry!P640/Data_Entry!$H640&lt;0,0,Data_Entry!P640/Data_Entry!$H640),0)</f>
        <v>0.18921987349299887</v>
      </c>
      <c r="L651" s="49">
        <f>IFERROR(IF(Data_Entry!Q640/Data_Entry!$H640&lt;0,0,Data_Entry!Q640/Data_Entry!$H640),0)</f>
        <v>0.24778792957416518</v>
      </c>
      <c r="M651" s="49">
        <f>IFERROR(IF(Data_Entry!R640/Data_Entry!$H640&lt;0,0,Data_Entry!R640/Data_Entry!$H640),0)</f>
        <v>0.2387774594078319</v>
      </c>
      <c r="N651" s="49">
        <f>IFERROR(IF(Data_Entry!S640/Data_Entry!$H640&lt;0,0,Data_Entry!S640/Data_Entry!$H640),0)</f>
        <v>0.18921987349299887</v>
      </c>
      <c r="O651" s="49">
        <f>IFERROR(IF(Data_Entry!T640/Data_Entry!$H640&lt;0,0,Data_Entry!T640/Data_Entry!$H640),0)</f>
        <v>0.25229316465733181</v>
      </c>
      <c r="P651" s="49">
        <f>IFERROR(IF(Data_Entry!U640/Data_Entry!$H640&lt;0,0,Data_Entry!U640/Data_Entry!$H640),0)</f>
        <v>0.14416752266133248</v>
      </c>
      <c r="Q651" s="49">
        <f>IFERROR(IF(Data_Entry!V640/Data_Entry!$H640&lt;0,0,Data_Entry!V640/Data_Entry!$H640),0)</f>
        <v>0.14867275774449912</v>
      </c>
      <c r="R651" s="49">
        <f>IFERROR(IF(Data_Entry!W640/Data_Entry!$H640&lt;0,0,Data_Entry!W640/Data_Entry!$H640),0)</f>
        <v>0.16669369807716566</v>
      </c>
      <c r="S651" s="49">
        <f>IFERROR(IF(Data_Entry!X640/Data_Entry!$H640&lt;0,0,Data_Entry!X640/Data_Entry!$H640),0)</f>
        <v>0.19823034365933215</v>
      </c>
      <c r="T651" s="49">
        <f>IFERROR(IF(Data_Entry!Y640/Data_Entry!$H640&lt;0,0,Data_Entry!Y640/Data_Entry!$H640),0)</f>
        <v>8.1094231496999514E-2</v>
      </c>
      <c r="U651" s="49">
        <f>IFERROR(IF(Data_Entry!Z640/Data_Entry!$H640&lt;0,0,Data_Entry!Z640/Data_Entry!$H640),0)</f>
        <v>0.16669369807716566</v>
      </c>
      <c r="V651" s="49">
        <f>IFERROR(IF(Data_Entry!AA640/Data_Entry!$H640&lt;0,0,Data_Entry!AA640/Data_Entry!$H640),0)</f>
        <v>0.24778792957416518</v>
      </c>
      <c r="W651" s="49">
        <f>IFERROR(IF(Data_Entry!AB640/Data_Entry!$H640&lt;0,0,Data_Entry!AB640/Data_Entry!$H640),0)</f>
        <v>0.32437692598799805</v>
      </c>
      <c r="X651" s="49">
        <f>IFERROR(IF(Data_Entry!AC640/Data_Entry!$I640&lt;0,0,Data_Entry!AC640/Data_Entry!$I640),0)</f>
        <v>0</v>
      </c>
      <c r="Y651" s="49">
        <f>IFERROR(IF(Data_Entry!AD640/Data_Entry!$I640&lt;0,0,Data_Entry!AD640/Data_Entry!$I640),0)</f>
        <v>0</v>
      </c>
      <c r="Z651" s="49">
        <f>IFERROR(IF(Data_Entry!AE640/Data_Entry!$I640&lt;0,0,Data_Entry!AE640/Data_Entry!$I640),0)</f>
        <v>0</v>
      </c>
      <c r="AA651" s="49">
        <f>IFERROR(IF(Data_Entry!AF640/Data_Entry!$I640&lt;0,0,Data_Entry!AF640/Data_Entry!$I640),0)</f>
        <v>0</v>
      </c>
      <c r="AB651" s="49">
        <f>IFERROR(IF(Data_Entry!AG640/Data_Entry!$I640&lt;0,0,Data_Entry!AG640/Data_Entry!$I640),0)</f>
        <v>0</v>
      </c>
      <c r="AC651" s="49">
        <f>IFERROR(IF(Data_Entry!AI640/Data_Entry!$I640&lt;0,0,Data_Entry!AI640/Data_Entry!$I640),0)</f>
        <v>0.16391509433962265</v>
      </c>
      <c r="AD651" s="49">
        <f>IFERROR(IF(Data_Entry!AM640/Data_Entry!$H640&lt;0,0,Data_Entry!AM640/Data_Entry!$H640),0)</f>
        <v>0.16669369807716566</v>
      </c>
      <c r="AE651" s="50">
        <f>Data_Entry!AK640</f>
        <v>171.964</v>
      </c>
      <c r="AF651" s="50">
        <f>Data_Entry!AL640</f>
        <v>6</v>
      </c>
      <c r="AG651" s="153">
        <f>(Data_Entry!O640-Data_Entry!Q640)/Data_Entry!O640</f>
        <v>-0.1</v>
      </c>
      <c r="AH651" s="79" t="str">
        <f t="shared" si="18"/>
        <v>CAT3</v>
      </c>
      <c r="AI651" s="51">
        <f>SUBTOTAL(3,Tableau1[[#This Row],[ZS]])</f>
        <v>0</v>
      </c>
      <c r="AJ651" s="51" t="e">
        <f t="shared" ca="1" si="19"/>
        <v>#NAME?</v>
      </c>
      <c r="AK651" s="50" t="str">
        <f>IFERROR(IF((Data_Entry!O640-Data_Entry!Q640)/Data_Entry!O640&lt;=10%,"&lt;=10%","&gt;10%"),"&lt;=10%")</f>
        <v>&lt;=10%</v>
      </c>
    </row>
    <row r="652" spans="1:37" s="48" customFormat="1" ht="13" hidden="1" x14ac:dyDescent="0.3">
      <c r="A652" s="31" t="s">
        <v>16</v>
      </c>
      <c r="B652" s="48" t="str">
        <f>Data_Entry!B641</f>
        <v>Butembo</v>
      </c>
      <c r="C652" s="48" t="str">
        <f>Data_Entry!C641</f>
        <v xml:space="preserve"> Vuhovi</v>
      </c>
      <c r="D652" s="48" t="str">
        <f>Data_Entry!D641</f>
        <v xml:space="preserve"> Bulambo</v>
      </c>
      <c r="E652" s="49">
        <f>IFERROR(IF(Data_Entry!J641/Data_Entry!$I641&lt;0,0,Data_Entry!J641/Data_Entry!$I641),0)</f>
        <v>0.98159206435374813</v>
      </c>
      <c r="F652" s="49">
        <f>IFERROR(IF(Data_Entry!K641/Data_Entry!$H641&lt;0,0,Data_Entry!K641/Data_Entry!$H641),0)</f>
        <v>0.99267695704070258</v>
      </c>
      <c r="G652" s="49">
        <f>IFERROR(IF(Data_Entry!L641/Data_Entry!$H641&lt;0,0,Data_Entry!L641/Data_Entry!$H641),0)</f>
        <v>0.95873928329572133</v>
      </c>
      <c r="H652" s="49">
        <f>IFERROR(IF(Data_Entry!M641/Data_Entry!$H641&lt;0,0,Data_Entry!M641/Data_Entry!$H641),0)</f>
        <v>0.95873928329572133</v>
      </c>
      <c r="I652" s="49">
        <f>IFERROR(IF(Data_Entry!N641/Data_Entry!$H641&lt;0,0,Data_Entry!N641/Data_Entry!$H641),0)</f>
        <v>0.98928318966620454</v>
      </c>
      <c r="J652" s="49">
        <f>IFERROR(IF(Data_Entry!O641/Data_Entry!$H641&lt;0,0,Data_Entry!O641/Data_Entry!$H641),0)</f>
        <v>0.8128072861923018</v>
      </c>
      <c r="K652" s="49">
        <f>IFERROR(IF(Data_Entry!P641/Data_Entry!$H641&lt;0,0,Data_Entry!P641/Data_Entry!$H641),0)</f>
        <v>0.81789793725404902</v>
      </c>
      <c r="L652" s="49">
        <f>IFERROR(IF(Data_Entry!Q641/Data_Entry!$H641&lt;0,0,Data_Entry!Q641/Data_Entry!$H641),0)</f>
        <v>0.82468547200304521</v>
      </c>
      <c r="M652" s="49">
        <f>IFERROR(IF(Data_Entry!R641/Data_Entry!$H641&lt;0,0,Data_Entry!R641/Data_Entry!$H641),0)</f>
        <v>0.73475063657884487</v>
      </c>
      <c r="N652" s="49">
        <f>IFERROR(IF(Data_Entry!S641/Data_Entry!$H641&lt;0,0,Data_Entry!S641/Data_Entry!$H641),0)</f>
        <v>0.80771663513055458</v>
      </c>
      <c r="O652" s="49">
        <f>IFERROR(IF(Data_Entry!T641/Data_Entry!$H641&lt;0,0,Data_Entry!T641/Data_Entry!$H641),0)</f>
        <v>0.77547584507282241</v>
      </c>
      <c r="P652" s="49">
        <f>IFERROR(IF(Data_Entry!U641/Data_Entry!$H641&lt;0,0,Data_Entry!U641/Data_Entry!$H641),0)</f>
        <v>0.82129170462854717</v>
      </c>
      <c r="Q652" s="49">
        <f>IFERROR(IF(Data_Entry!V641/Data_Entry!$H641&lt;0,0,Data_Entry!V641/Data_Entry!$H641),0)</f>
        <v>0.81620105356679995</v>
      </c>
      <c r="R652" s="49">
        <f>IFERROR(IF(Data_Entry!W641/Data_Entry!$H641&lt;0,0,Data_Entry!W641/Data_Entry!$H641),0)</f>
        <v>0.84504807625003397</v>
      </c>
      <c r="S652" s="49">
        <f>IFERROR(IF(Data_Entry!X641/Data_Entry!$H641&lt;0,0,Data_Entry!X641/Data_Entry!$H641),0)</f>
        <v>0.88407640105676255</v>
      </c>
      <c r="T652" s="49">
        <f>IFERROR(IF(Data_Entry!Y641/Data_Entry!$H641&lt;0,0,Data_Entry!Y641/Data_Entry!$H641),0)</f>
        <v>0.19514162403364241</v>
      </c>
      <c r="U652" s="49">
        <f>IFERROR(IF(Data_Entry!Z641/Data_Entry!$H641&lt;0,0,Data_Entry!Z641/Data_Entry!$H641),0)</f>
        <v>0.72117556708085229</v>
      </c>
      <c r="V652" s="49">
        <f>IFERROR(IF(Data_Entry!AA641/Data_Entry!$H641&lt;0,0,Data_Entry!AA641/Data_Entry!$H641),0)</f>
        <v>0.98928318966620454</v>
      </c>
      <c r="W652" s="49">
        <f>IFERROR(IF(Data_Entry!AB641/Data_Entry!$H641&lt;0,0,Data_Entry!AB641/Data_Entry!$H641),0)</f>
        <v>0.88747016843126059</v>
      </c>
      <c r="X652" s="49">
        <f>IFERROR(IF(Data_Entry!AC641/Data_Entry!$I641&lt;0,0,Data_Entry!AC641/Data_Entry!$I641),0)</f>
        <v>0.21467699748309726</v>
      </c>
      <c r="Y652" s="49">
        <f>IFERROR(IF(Data_Entry!AD641/Data_Entry!$I641&lt;0,0,Data_Entry!AD641/Data_Entry!$I641),0)</f>
        <v>0.17174159798647781</v>
      </c>
      <c r="Z652" s="49">
        <f>IFERROR(IF(Data_Entry!AE641/Data_Entry!$I641&lt;0,0,Data_Entry!AE641/Data_Entry!$I641),0)</f>
        <v>0.18358584612347628</v>
      </c>
      <c r="AA652" s="49">
        <f>IFERROR(IF(Data_Entry!AF641/Data_Entry!$I641&lt;0,0,Data_Entry!AF641/Data_Entry!$I641),0)</f>
        <v>0.13028672950698317</v>
      </c>
      <c r="AB652" s="49">
        <f>IFERROR(IF(Data_Entry!AG641/Data_Entry!$I641&lt;0,0,Data_Entry!AG641/Data_Entry!$I641),0)</f>
        <v>7.1065488821990819E-2</v>
      </c>
      <c r="AC652" s="49">
        <f>IFERROR(IF(Data_Entry!AI641/Data_Entry!$I641&lt;0,0,Data_Entry!AI641/Data_Entry!$I641),0)</f>
        <v>9.2533188570300545E-2</v>
      </c>
      <c r="AD652" s="49">
        <f>IFERROR(IF(Data_Entry!AM641/Data_Entry!$H641&lt;0,0,Data_Entry!AM641/Data_Entry!$H641),0)</f>
        <v>0.72117556708085229</v>
      </c>
      <c r="AE652" s="50">
        <f>Data_Entry!AK641</f>
        <v>110.31558333333339</v>
      </c>
      <c r="AF652" s="50">
        <f>Data_Entry!AL641</f>
        <v>0</v>
      </c>
      <c r="AG652" s="153">
        <f>(Data_Entry!O641-Data_Entry!Q641)/Data_Entry!O641</f>
        <v>-1.4613778705636743E-2</v>
      </c>
      <c r="AH652" s="79" t="str">
        <f t="shared" si="18"/>
        <v>CAT3</v>
      </c>
      <c r="AI652" s="51">
        <f>SUBTOTAL(3,Tableau1[[#This Row],[ZS]])</f>
        <v>0</v>
      </c>
      <c r="AJ652" s="51" t="e">
        <f t="shared" ca="1" si="19"/>
        <v>#NAME?</v>
      </c>
      <c r="AK652" s="50" t="str">
        <f>IFERROR(IF((Data_Entry!O641-Data_Entry!Q641)/Data_Entry!O641&lt;=10%,"&lt;=10%","&gt;10%"),"&lt;=10%")</f>
        <v>&lt;=10%</v>
      </c>
    </row>
    <row r="653" spans="1:37" s="48" customFormat="1" ht="13" hidden="1" x14ac:dyDescent="0.3">
      <c r="A653" s="31" t="s">
        <v>16</v>
      </c>
      <c r="B653" s="48" t="str">
        <f>Data_Entry!B642</f>
        <v>Butembo</v>
      </c>
      <c r="C653" s="48" t="str">
        <f>Data_Entry!C642</f>
        <v xml:space="preserve"> Vuhovi</v>
      </c>
      <c r="D653" s="48" t="str">
        <f>Data_Entry!D642</f>
        <v xml:space="preserve"> Bunyuka</v>
      </c>
      <c r="E653" s="49">
        <f>IFERROR(IF(Data_Entry!J642/Data_Entry!$I642&lt;0,0,Data_Entry!J642/Data_Entry!$I642),0)</f>
        <v>1.4799588900308323</v>
      </c>
      <c r="F653" s="49">
        <f>IFERROR(IF(Data_Entry!K642/Data_Entry!$H642&lt;0,0,Data_Entry!K642/Data_Entry!$H642),0)</f>
        <v>1.3516816509952088</v>
      </c>
      <c r="G653" s="49">
        <f>IFERROR(IF(Data_Entry!L642/Data_Entry!$H642&lt;0,0,Data_Entry!L642/Data_Entry!$H642),0)</f>
        <v>1.6284966296303931</v>
      </c>
      <c r="H653" s="49">
        <f>IFERROR(IF(Data_Entry!M642/Data_Entry!$H642&lt;0,0,Data_Entry!M642/Data_Entry!$H642),0)</f>
        <v>1.5048133413040341</v>
      </c>
      <c r="I653" s="49">
        <f>IFERROR(IF(Data_Entry!N642/Data_Entry!$H642&lt;0,0,Data_Entry!N642/Data_Entry!$H642),0)</f>
        <v>1.6019930678461733</v>
      </c>
      <c r="J653" s="49">
        <f>IFERROR(IF(Data_Entry!O642/Data_Entry!$H642&lt;0,0,Data_Entry!O642/Data_Entry!$H642),0)</f>
        <v>1.6284966296303931</v>
      </c>
      <c r="K653" s="49">
        <f>IFERROR(IF(Data_Entry!P642/Data_Entry!$H642&lt;0,0,Data_Entry!P642/Data_Entry!$H642),0)</f>
        <v>1.5048133413040341</v>
      </c>
      <c r="L653" s="49">
        <f>IFERROR(IF(Data_Entry!Q642/Data_Entry!$H642&lt;0,0,Data_Entry!Q642/Data_Entry!$H642),0)</f>
        <v>1.4959788207092941</v>
      </c>
      <c r="M653" s="49">
        <f>IFERROR(IF(Data_Entry!R642/Data_Entry!$H642&lt;0,0,Data_Entry!R642/Data_Entry!$H642),0)</f>
        <v>1.6284966296303931</v>
      </c>
      <c r="N653" s="49">
        <f>IFERROR(IF(Data_Entry!S642/Data_Entry!$H642&lt;0,0,Data_Entry!S642/Data_Entry!$H642),0)</f>
        <v>1.5048133413040341</v>
      </c>
      <c r="O653" s="49">
        <f>IFERROR(IF(Data_Entry!T642/Data_Entry!$H642&lt;0,0,Data_Entry!T642/Data_Entry!$H642),0)</f>
        <v>1.6019930678461733</v>
      </c>
      <c r="P653" s="49">
        <f>IFERROR(IF(Data_Entry!U642/Data_Entry!$H642&lt;0,0,Data_Entry!U642/Data_Entry!$H642),0)</f>
        <v>1.3192884088144956</v>
      </c>
      <c r="Q653" s="49">
        <f>IFERROR(IF(Data_Entry!V642/Data_Entry!$H642&lt;0,0,Data_Entry!V642/Data_Entry!$H642),0)</f>
        <v>1.2486122440565763</v>
      </c>
      <c r="R653" s="49">
        <f>IFERROR(IF(Data_Entry!W642/Data_Entry!$H642&lt;0,0,Data_Entry!W642/Data_Entry!$H642),0)</f>
        <v>1.2957296872285224</v>
      </c>
      <c r="S653" s="49">
        <f>IFERROR(IF(Data_Entry!X642/Data_Entry!$H642&lt;0,0,Data_Entry!X642/Data_Entry!$H642),0)</f>
        <v>1.5107030217005275</v>
      </c>
      <c r="T653" s="49">
        <f>IFERROR(IF(Data_Entry!Y642/Data_Entry!$H642&lt;0,0,Data_Entry!Y642/Data_Entry!$H642),0)</f>
        <v>0.34160146299661048</v>
      </c>
      <c r="U653" s="49">
        <f>IFERROR(IF(Data_Entry!Z642/Data_Entry!$H642&lt;0,0,Data_Entry!Z642/Data_Entry!$H642),0)</f>
        <v>1.3310677696074822</v>
      </c>
      <c r="V653" s="49">
        <f>IFERROR(IF(Data_Entry!AA642/Data_Entry!$H642&lt;0,0,Data_Entry!AA642/Data_Entry!$H642),0)</f>
        <v>1.6019930678461733</v>
      </c>
      <c r="W653" s="49">
        <f>IFERROR(IF(Data_Entry!AB642/Data_Entry!$H642&lt;0,0,Data_Entry!AB642/Data_Entry!$H642),0)</f>
        <v>1.4812546197180609</v>
      </c>
      <c r="X653" s="49">
        <f>IFERROR(IF(Data_Entry!AC642/Data_Entry!$I642&lt;0,0,Data_Entry!AC642/Data_Entry!$I642),0)</f>
        <v>0.66803699897225066</v>
      </c>
      <c r="Y653" s="49">
        <f>IFERROR(IF(Data_Entry!AD642/Data_Entry!$I642&lt;0,0,Data_Entry!AD642/Data_Entry!$I642),0)</f>
        <v>0.61921891058581702</v>
      </c>
      <c r="Z653" s="49">
        <f>IFERROR(IF(Data_Entry!AE642/Data_Entry!$I642&lt;0,0,Data_Entry!AE642/Data_Entry!$I642),0)</f>
        <v>0.61151079136690645</v>
      </c>
      <c r="AA653" s="49">
        <f>IFERROR(IF(Data_Entry!AF642/Data_Entry!$I642&lt;0,0,Data_Entry!AF642/Data_Entry!$I642),0)</f>
        <v>0.4984583761562178</v>
      </c>
      <c r="AB653" s="49">
        <f>IFERROR(IF(Data_Entry!AG642/Data_Entry!$I642&lt;0,0,Data_Entry!AG642/Data_Entry!$I642),0)</f>
        <v>0.4984583761562178</v>
      </c>
      <c r="AC653" s="49">
        <f>IFERROR(IF(Data_Entry!AI642/Data_Entry!$I642&lt;0,0,Data_Entry!AI642/Data_Entry!$I642),0)</f>
        <v>0.27826310380267211</v>
      </c>
      <c r="AD653" s="49">
        <f>IFERROR(IF(Data_Entry!AM642/Data_Entry!$H642&lt;0,0,Data_Entry!AM642/Data_Entry!$H642),0)</f>
        <v>1.3310677696074822</v>
      </c>
      <c r="AE653" s="50">
        <f>Data_Entry!AK642</f>
        <v>0</v>
      </c>
      <c r="AF653" s="50">
        <f>Data_Entry!AL642</f>
        <v>40</v>
      </c>
      <c r="AG653" s="153">
        <f>(Data_Entry!O642-Data_Entry!Q642)/Data_Entry!O642</f>
        <v>8.1374321880650996E-2</v>
      </c>
      <c r="AH653" s="79" t="str">
        <f t="shared" si="18"/>
        <v>CAT1</v>
      </c>
      <c r="AI653" s="51">
        <f>SUBTOTAL(3,Tableau1[[#This Row],[ZS]])</f>
        <v>0</v>
      </c>
      <c r="AJ653" s="51" t="e">
        <f t="shared" ca="1" si="19"/>
        <v>#NAME?</v>
      </c>
      <c r="AK653" s="50" t="str">
        <f>IFERROR(IF((Data_Entry!O642-Data_Entry!Q642)/Data_Entry!O642&lt;=10%,"&lt;=10%","&gt;10%"),"&lt;=10%")</f>
        <v>&lt;=10%</v>
      </c>
    </row>
    <row r="654" spans="1:37" s="48" customFormat="1" ht="13" hidden="1" x14ac:dyDescent="0.3">
      <c r="A654" s="31" t="s">
        <v>16</v>
      </c>
      <c r="B654" s="48" t="str">
        <f>Data_Entry!B643</f>
        <v>Butembo</v>
      </c>
      <c r="C654" s="48" t="str">
        <f>Data_Entry!C643</f>
        <v xml:space="preserve"> Vuhovi</v>
      </c>
      <c r="D654" s="48" t="str">
        <f>Data_Entry!D643</f>
        <v xml:space="preserve"> Isonga</v>
      </c>
      <c r="E654" s="49">
        <f>IFERROR(IF(Data_Entry!J643/Data_Entry!$I643&lt;0,0,Data_Entry!J643/Data_Entry!$I643),0)</f>
        <v>1.2993894712590714</v>
      </c>
      <c r="F654" s="49">
        <f>IFERROR(IF(Data_Entry!K643/Data_Entry!$H643&lt;0,0,Data_Entry!K643/Data_Entry!$H643),0)</f>
        <v>0.94267723635816314</v>
      </c>
      <c r="G654" s="49">
        <f>IFERROR(IF(Data_Entry!L643/Data_Entry!$H643&lt;0,0,Data_Entry!L643/Data_Entry!$H643),0)</f>
        <v>1.2753868491904561</v>
      </c>
      <c r="H654" s="49">
        <f>IFERROR(IF(Data_Entry!M643/Data_Entry!$H643&lt;0,0,Data_Entry!M643/Data_Entry!$H643),0)</f>
        <v>1.180326959809801</v>
      </c>
      <c r="I654" s="49">
        <f>IFERROR(IF(Data_Entry!N643/Data_Entry!$H643&lt;0,0,Data_Entry!N643/Data_Entry!$H643),0)</f>
        <v>1.2912301640872319</v>
      </c>
      <c r="J654" s="49">
        <f>IFERROR(IF(Data_Entry!O643/Data_Entry!$H643&lt;0,0,Data_Entry!O643/Data_Entry!$H643),0)</f>
        <v>1.2753868491904561</v>
      </c>
      <c r="K654" s="49">
        <f>IFERROR(IF(Data_Entry!P643/Data_Entry!$H643&lt;0,0,Data_Entry!P643/Data_Entry!$H643),0)</f>
        <v>1.180326959809801</v>
      </c>
      <c r="L654" s="49">
        <f>IFERROR(IF(Data_Entry!Q643/Data_Entry!$H643&lt;0,0,Data_Entry!Q643/Data_Entry!$H643),0)</f>
        <v>1.2912301640872319</v>
      </c>
      <c r="M654" s="49">
        <f>IFERROR(IF(Data_Entry!R643/Data_Entry!$H643&lt;0,0,Data_Entry!R643/Data_Entry!$H643),0)</f>
        <v>1.2753868491904561</v>
      </c>
      <c r="N654" s="49">
        <f>IFERROR(IF(Data_Entry!S643/Data_Entry!$H643&lt;0,0,Data_Entry!S643/Data_Entry!$H643),0)</f>
        <v>1.180326959809801</v>
      </c>
      <c r="O654" s="49">
        <f>IFERROR(IF(Data_Entry!T643/Data_Entry!$H643&lt;0,0,Data_Entry!T643/Data_Entry!$H643),0)</f>
        <v>1.2912301640872319</v>
      </c>
      <c r="P654" s="49">
        <f>IFERROR(IF(Data_Entry!U643/Data_Entry!$H643&lt;0,0,Data_Entry!U643/Data_Entry!$H643),0)</f>
        <v>1.2753868491904561</v>
      </c>
      <c r="Q654" s="49">
        <f>IFERROR(IF(Data_Entry!V643/Data_Entry!$H643&lt;0,0,Data_Entry!V643/Data_Entry!$H643),0)</f>
        <v>1.180326959809801</v>
      </c>
      <c r="R654" s="49">
        <f>IFERROR(IF(Data_Entry!W643/Data_Entry!$H643&lt;0,0,Data_Entry!W643/Data_Entry!$H643),0)</f>
        <v>1.2912301640872319</v>
      </c>
      <c r="S654" s="49">
        <f>IFERROR(IF(Data_Entry!X643/Data_Entry!$H643&lt;0,0,Data_Entry!X643/Data_Entry!$H643),0)</f>
        <v>1.6437439205404947</v>
      </c>
      <c r="T654" s="49">
        <f>IFERROR(IF(Data_Entry!Y643/Data_Entry!$H643&lt;0,0,Data_Entry!Y643/Data_Entry!$H643),0)</f>
        <v>0.85553900442589603</v>
      </c>
      <c r="U654" s="49">
        <f>IFERROR(IF(Data_Entry!Z643/Data_Entry!$H643&lt;0,0,Data_Entry!Z643/Data_Entry!$H643),0)</f>
        <v>1.4734282854001541</v>
      </c>
      <c r="V654" s="49">
        <f>IFERROR(IF(Data_Entry!AA643/Data_Entry!$H643&lt;0,0,Data_Entry!AA643/Data_Entry!$H643),0)</f>
        <v>1.2912301640872319</v>
      </c>
      <c r="W654" s="49">
        <f>IFERROR(IF(Data_Entry!AB643/Data_Entry!$H643&lt;0,0,Data_Entry!AB643/Data_Entry!$H643),0)</f>
        <v>1.6437439205404947</v>
      </c>
      <c r="X654" s="49">
        <f>IFERROR(IF(Data_Entry!AC643/Data_Entry!$I643&lt;0,0,Data_Entry!AC643/Data_Entry!$I643),0)</f>
        <v>0.15551203778366549</v>
      </c>
      <c r="Y654" s="49">
        <f>IFERROR(IF(Data_Entry!AD643/Data_Entry!$I643&lt;0,0,Data_Entry!AD643/Data_Entry!$I643),0)</f>
        <v>0.22462849902085014</v>
      </c>
      <c r="Z654" s="49">
        <f>IFERROR(IF(Data_Entry!AE643/Data_Entry!$I643&lt;0,0,Data_Entry!AE643/Data_Entry!$I643),0)</f>
        <v>0.20389356064969474</v>
      </c>
      <c r="AA654" s="49">
        <f>IFERROR(IF(Data_Entry!AF643/Data_Entry!$I643&lt;0,0,Data_Entry!AF643/Data_Entry!$I643),0)</f>
        <v>0.17970279921668011</v>
      </c>
      <c r="AB654" s="49">
        <f>IFERROR(IF(Data_Entry!AG643/Data_Entry!$I643&lt;0,0,Data_Entry!AG643/Data_Entry!$I643),0)</f>
        <v>0.15551203778366549</v>
      </c>
      <c r="AC654" s="49">
        <f>IFERROR(IF(Data_Entry!AI643/Data_Entry!$I643&lt;0,0,Data_Entry!AI643/Data_Entry!$I643),0)</f>
        <v>0.20147448450639327</v>
      </c>
      <c r="AD654" s="49">
        <f>IFERROR(IF(Data_Entry!AM643/Data_Entry!$H643&lt;0,0,Data_Entry!AM643/Data_Entry!$H643),0)</f>
        <v>1.4734282854001541</v>
      </c>
      <c r="AE654" s="50">
        <f>Data_Entry!AK643</f>
        <v>0</v>
      </c>
      <c r="AF654" s="50">
        <f>Data_Entry!AL643</f>
        <v>0</v>
      </c>
      <c r="AG654" s="153">
        <f>(Data_Entry!O643-Data_Entry!Q643)/Data_Entry!O643</f>
        <v>-1.2422360248447204E-2</v>
      </c>
      <c r="AH654" s="79" t="str">
        <f t="shared" si="18"/>
        <v>CAT1</v>
      </c>
      <c r="AI654" s="51">
        <f>SUBTOTAL(3,Tableau1[[#This Row],[ZS]])</f>
        <v>0</v>
      </c>
      <c r="AJ654" s="51" t="e">
        <f t="shared" ca="1" si="19"/>
        <v>#NAME?</v>
      </c>
      <c r="AK654" s="50" t="str">
        <f>IFERROR(IF((Data_Entry!O643-Data_Entry!Q643)/Data_Entry!O643&lt;=10%,"&lt;=10%","&gt;10%"),"&lt;=10%")</f>
        <v>&lt;=10%</v>
      </c>
    </row>
    <row r="655" spans="1:37" s="48" customFormat="1" ht="13" hidden="1" x14ac:dyDescent="0.3">
      <c r="A655" s="31" t="s">
        <v>16</v>
      </c>
      <c r="B655" s="48" t="str">
        <f>Data_Entry!B644</f>
        <v>Butembo</v>
      </c>
      <c r="C655" s="48" t="str">
        <f>Data_Entry!C644</f>
        <v xml:space="preserve"> Vuhovi</v>
      </c>
      <c r="D655" s="48" t="str">
        <f>Data_Entry!D644</f>
        <v xml:space="preserve"> Kahondo</v>
      </c>
      <c r="E655" s="49">
        <f>IFERROR(IF(Data_Entry!J644/Data_Entry!$I644&lt;0,0,Data_Entry!J644/Data_Entry!$I644),0)</f>
        <v>1.285451948581922</v>
      </c>
      <c r="F655" s="49">
        <f>IFERROR(IF(Data_Entry!K644/Data_Entry!$H644&lt;0,0,Data_Entry!K644/Data_Entry!$H644),0)</f>
        <v>1.0488474079028371</v>
      </c>
      <c r="G655" s="49">
        <f>IFERROR(IF(Data_Entry!L644/Data_Entry!$H644&lt;0,0,Data_Entry!L644/Data_Entry!$H644),0)</f>
        <v>1.0453395570402859</v>
      </c>
      <c r="H655" s="49">
        <f>IFERROR(IF(Data_Entry!M644/Data_Entry!$H644&lt;0,0,Data_Entry!M644/Data_Entry!$H644),0)</f>
        <v>0.90853337340078533</v>
      </c>
      <c r="I655" s="49">
        <f>IFERROR(IF(Data_Entry!N644/Data_Entry!$H644&lt;0,0,Data_Entry!N644/Data_Entry!$H644),0)</f>
        <v>0.93659618030119574</v>
      </c>
      <c r="J655" s="49">
        <f>IFERROR(IF(Data_Entry!O644/Data_Entry!$H644&lt;0,0,Data_Entry!O644/Data_Entry!$H644),0)</f>
        <v>1.0453395570402859</v>
      </c>
      <c r="K655" s="49">
        <f>IFERROR(IF(Data_Entry!P644/Data_Entry!$H644&lt;0,0,Data_Entry!P644/Data_Entry!$H644),0)</f>
        <v>0.91554907512588801</v>
      </c>
      <c r="L655" s="49">
        <f>IFERROR(IF(Data_Entry!Q644/Data_Entry!$H644&lt;0,0,Data_Entry!Q644/Data_Entry!$H644),0)</f>
        <v>0.93659618030119574</v>
      </c>
      <c r="M655" s="49">
        <f>IFERROR(IF(Data_Entry!R644/Data_Entry!$H644&lt;0,0,Data_Entry!R644/Data_Entry!$H644),0)</f>
        <v>1.0418317061777347</v>
      </c>
      <c r="N655" s="49">
        <f>IFERROR(IF(Data_Entry!S644/Data_Entry!$H644&lt;0,0,Data_Entry!S644/Data_Entry!$H644),0)</f>
        <v>0.8313606544246569</v>
      </c>
      <c r="O655" s="49">
        <f>IFERROR(IF(Data_Entry!T644/Data_Entry!$H644&lt;0,0,Data_Entry!T644/Data_Entry!$H644),0)</f>
        <v>0.85240775959996462</v>
      </c>
      <c r="P655" s="49">
        <f>IFERROR(IF(Data_Entry!U644/Data_Entry!$H644&lt;0,0,Data_Entry!U644/Data_Entry!$H644),0)</f>
        <v>0.9611511363390548</v>
      </c>
      <c r="Q655" s="49">
        <f>IFERROR(IF(Data_Entry!V644/Data_Entry!$H644&lt;0,0,Data_Entry!V644/Data_Entry!$H644),0)</f>
        <v>0.81732925097445175</v>
      </c>
      <c r="R655" s="49">
        <f>IFERROR(IF(Data_Entry!W644/Data_Entry!$H644&lt;0,0,Data_Entry!W644/Data_Entry!$H644),0)</f>
        <v>0.85240775959996462</v>
      </c>
      <c r="S655" s="49">
        <f>IFERROR(IF(Data_Entry!X644/Data_Entry!$H644&lt;0,0,Data_Entry!X644/Data_Entry!$H644),0)</f>
        <v>0.96816683806415738</v>
      </c>
      <c r="T655" s="49">
        <f>IFERROR(IF(Data_Entry!Y644/Data_Entry!$H644&lt;0,0,Data_Entry!Y644/Data_Entry!$H644),0)</f>
        <v>0.31219872676706523</v>
      </c>
      <c r="U655" s="49">
        <f>IFERROR(IF(Data_Entry!Z644/Data_Entry!$H644&lt;0,0,Data_Entry!Z644/Data_Entry!$H644),0)</f>
        <v>0.90151767167568275</v>
      </c>
      <c r="V655" s="49">
        <f>IFERROR(IF(Data_Entry!AA644/Data_Entry!$H644&lt;0,0,Data_Entry!AA644/Data_Entry!$H644),0)</f>
        <v>0.95413543461395223</v>
      </c>
      <c r="W655" s="49">
        <f>IFERROR(IF(Data_Entry!AB644/Data_Entry!$H644&lt;0,0,Data_Entry!AB644/Data_Entry!$H644),0)</f>
        <v>0.96816683806415738</v>
      </c>
      <c r="X655" s="49">
        <f>IFERROR(IF(Data_Entry!AC644/Data_Entry!$I644&lt;0,0,Data_Entry!AC644/Data_Entry!$I644),0)</f>
        <v>0.22036319118547235</v>
      </c>
      <c r="Y655" s="49">
        <f>IFERROR(IF(Data_Entry!AD644/Data_Entry!$I644&lt;0,0,Data_Entry!AD644/Data_Entry!$I644),0)</f>
        <v>0.28157518873699244</v>
      </c>
      <c r="Z655" s="49">
        <f>IFERROR(IF(Data_Entry!AE644/Data_Entry!$I644&lt;0,0,Data_Entry!AE644/Data_Entry!$I644),0)</f>
        <v>0.19281779228728829</v>
      </c>
      <c r="AA655" s="49">
        <f>IFERROR(IF(Data_Entry!AF644/Data_Entry!$I644&lt;0,0,Data_Entry!AF644/Data_Entry!$I644),0)</f>
        <v>0.16221179351152826</v>
      </c>
      <c r="AB655" s="49">
        <f>IFERROR(IF(Data_Entry!AG644/Data_Entry!$I644&lt;0,0,Data_Entry!AG644/Data_Entry!$I644),0)</f>
        <v>0.10099979596000816</v>
      </c>
      <c r="AC655" s="49">
        <f>IFERROR(IF(Data_Entry!AI644/Data_Entry!$I644&lt;0,0,Data_Entry!AI644/Data_Entry!$I644),0)</f>
        <v>0.17843297286268106</v>
      </c>
      <c r="AD655" s="49">
        <f>IFERROR(IF(Data_Entry!AM644/Data_Entry!$H644&lt;0,0,Data_Entry!AM644/Data_Entry!$H644),0)</f>
        <v>0.90151767167568275</v>
      </c>
      <c r="AE655" s="50">
        <f>Data_Entry!AK644</f>
        <v>0</v>
      </c>
      <c r="AF655" s="50">
        <f>Data_Entry!AL644</f>
        <v>22</v>
      </c>
      <c r="AG655" s="153">
        <f>(Data_Entry!O644-Data_Entry!Q644)/Data_Entry!O644</f>
        <v>0.1040268456375839</v>
      </c>
      <c r="AH655" s="79" t="str">
        <f t="shared" si="18"/>
        <v>CAT2</v>
      </c>
      <c r="AI655" s="51">
        <f>SUBTOTAL(3,Tableau1[[#This Row],[ZS]])</f>
        <v>0</v>
      </c>
      <c r="AJ655" s="51" t="e">
        <f t="shared" ca="1" si="19"/>
        <v>#NAME?</v>
      </c>
      <c r="AK655" s="50" t="str">
        <f>IFERROR(IF((Data_Entry!O644-Data_Entry!Q644)/Data_Entry!O644&lt;=10%,"&lt;=10%","&gt;10%"),"&lt;=10%")</f>
        <v>&gt;10%</v>
      </c>
    </row>
    <row r="656" spans="1:37" s="48" customFormat="1" ht="13" hidden="1" x14ac:dyDescent="0.3">
      <c r="A656" s="31" t="s">
        <v>16</v>
      </c>
      <c r="B656" s="48" t="str">
        <f>Data_Entry!B645</f>
        <v>Butembo</v>
      </c>
      <c r="C656" s="48" t="str">
        <f>Data_Entry!C645</f>
        <v xml:space="preserve"> Vuhovi</v>
      </c>
      <c r="D656" s="48" t="str">
        <f>Data_Entry!D645</f>
        <v xml:space="preserve"> Kasitu</v>
      </c>
      <c r="E656" s="49">
        <f>IFERROR(IF(Data_Entry!J645/Data_Entry!$I645&lt;0,0,Data_Entry!J645/Data_Entry!$I645),0)</f>
        <v>0.83545832774124262</v>
      </c>
      <c r="F656" s="49">
        <f>IFERROR(IF(Data_Entry!K645/Data_Entry!$H645&lt;0,0,Data_Entry!K645/Data_Entry!$H645),0)</f>
        <v>0.28380260106237548</v>
      </c>
      <c r="G656" s="49">
        <f>IFERROR(IF(Data_Entry!L645/Data_Entry!$H645&lt;0,0,Data_Entry!L645/Data_Entry!$H645),0)</f>
        <v>0.92985730266778299</v>
      </c>
      <c r="H656" s="49">
        <f>IFERROR(IF(Data_Entry!M645/Data_Entry!$H645&lt;0,0,Data_Entry!M645/Data_Entry!$H645),0)</f>
        <v>0.83294909742697187</v>
      </c>
      <c r="I656" s="49">
        <f>IFERROR(IF(Data_Entry!N645/Data_Entry!$H645&lt;0,0,Data_Entry!N645/Data_Entry!$H645),0)</f>
        <v>0.89293989114747407</v>
      </c>
      <c r="J656" s="49">
        <f>IFERROR(IF(Data_Entry!O645/Data_Entry!$H645&lt;0,0,Data_Entry!O645/Data_Entry!$H645),0)</f>
        <v>0.76603628904641186</v>
      </c>
      <c r="K656" s="49">
        <f>IFERROR(IF(Data_Entry!P645/Data_Entry!$H645&lt;0,0,Data_Entry!P645/Data_Entry!$H645),0)</f>
        <v>0.72681153930608355</v>
      </c>
      <c r="L656" s="49">
        <f>IFERROR(IF(Data_Entry!Q645/Data_Entry!$H645&lt;0,0,Data_Entry!Q645/Data_Entry!$H645),0)</f>
        <v>0.73604089218616076</v>
      </c>
      <c r="M656" s="49">
        <f>IFERROR(IF(Data_Entry!R645/Data_Entry!$H645&lt;0,0,Data_Entry!R645/Data_Entry!$H645),0)</f>
        <v>0.7614216126063732</v>
      </c>
      <c r="N656" s="49">
        <f>IFERROR(IF(Data_Entry!S645/Data_Entry!$H645&lt;0,0,Data_Entry!S645/Data_Entry!$H645),0)</f>
        <v>0.72681153930608355</v>
      </c>
      <c r="O656" s="49">
        <f>IFERROR(IF(Data_Entry!T645/Data_Entry!$H645&lt;0,0,Data_Entry!T645/Data_Entry!$H645),0)</f>
        <v>0.73373355396614148</v>
      </c>
      <c r="P656" s="49">
        <f>IFERROR(IF(Data_Entry!U645/Data_Entry!$H645&lt;0,0,Data_Entry!U645/Data_Entry!$H645),0)</f>
        <v>0.44300893824370802</v>
      </c>
      <c r="Q656" s="49">
        <f>IFERROR(IF(Data_Entry!V645/Data_Entry!$H645&lt;0,0,Data_Entry!V645/Data_Entry!$H645),0)</f>
        <v>0.4199355560435149</v>
      </c>
      <c r="R656" s="49">
        <f>IFERROR(IF(Data_Entry!W645/Data_Entry!$H645&lt;0,0,Data_Entry!W645/Data_Entry!$H645),0)</f>
        <v>0.42224289426353423</v>
      </c>
      <c r="S656" s="49">
        <f>IFERROR(IF(Data_Entry!X645/Data_Entry!$H645&lt;0,0,Data_Entry!X645/Data_Entry!$H645),0)</f>
        <v>0.88832521470743542</v>
      </c>
      <c r="T656" s="49">
        <f>IFERROR(IF(Data_Entry!Y645/Data_Entry!$H645&lt;0,0,Data_Entry!Y645/Data_Entry!$H645),0)</f>
        <v>0.26534389530222097</v>
      </c>
      <c r="U656" s="49">
        <f>IFERROR(IF(Data_Entry!Z645/Data_Entry!$H645&lt;0,0,Data_Entry!Z645/Data_Entry!$H645),0)</f>
        <v>0.7221968628660449</v>
      </c>
      <c r="V656" s="49">
        <f>IFERROR(IF(Data_Entry!AA645/Data_Entry!$H645&lt;0,0,Data_Entry!AA645/Data_Entry!$H645),0)</f>
        <v>0.899861905807532</v>
      </c>
      <c r="W656" s="49">
        <f>IFERROR(IF(Data_Entry!AB645/Data_Entry!$H645&lt;0,0,Data_Entry!AB645/Data_Entry!$H645),0)</f>
        <v>0.83756377386701053</v>
      </c>
      <c r="X656" s="49">
        <f>IFERROR(IF(Data_Entry!AC645/Data_Entry!$I645&lt;0,0,Data_Entry!AC645/Data_Entry!$I645),0)</f>
        <v>5.8381425312038646E-2</v>
      </c>
      <c r="Y656" s="49">
        <f>IFERROR(IF(Data_Entry!AD645/Data_Entry!$I645&lt;0,0,Data_Entry!AD645/Data_Entry!$I645),0)</f>
        <v>0.25164407462085625</v>
      </c>
      <c r="Z656" s="49">
        <f>IFERROR(IF(Data_Entry!AE645/Data_Entry!$I645&lt;0,0,Data_Entry!AE645/Data_Entry!$I645),0)</f>
        <v>0.29995973694806061</v>
      </c>
      <c r="AA656" s="49">
        <f>IFERROR(IF(Data_Entry!AF645/Data_Entry!$I645&lt;0,0,Data_Entry!AF645/Data_Entry!$I645),0)</f>
        <v>0.12682861360891154</v>
      </c>
      <c r="AB656" s="49">
        <f>IFERROR(IF(Data_Entry!AG645/Data_Entry!$I645&lt;0,0,Data_Entry!AG645/Data_Entry!$I645),0)</f>
        <v>7.6499798684740286E-2</v>
      </c>
      <c r="AC656" s="49">
        <f>IFERROR(IF(Data_Entry!AI645/Data_Entry!$I645&lt;0,0,Data_Entry!AI645/Data_Entry!$I645),0)</f>
        <v>0.11736679640316734</v>
      </c>
      <c r="AD656" s="49">
        <f>IFERROR(IF(Data_Entry!AM645/Data_Entry!$H645&lt;0,0,Data_Entry!AM645/Data_Entry!$H645),0)</f>
        <v>0.7221968628660449</v>
      </c>
      <c r="AE656" s="50">
        <f>Data_Entry!AK645</f>
        <v>101.39983333333328</v>
      </c>
      <c r="AF656" s="50">
        <f>Data_Entry!AL645</f>
        <v>0</v>
      </c>
      <c r="AG656" s="153">
        <f>(Data_Entry!O645-Data_Entry!Q645)/Data_Entry!O645</f>
        <v>3.9156626506024098E-2</v>
      </c>
      <c r="AH656" s="79" t="str">
        <f t="shared" ref="AH656:AH681" si="20">IFERROR(IF(AND(AG656&lt;=10%,J656&gt;=90%),"CAT1",IF(AND(AG656&lt;=10%,J656&lt;90%),"CAT3",IF(AND(AG656&gt;10%,J656&gt;=90%),"CAT2",IF(AND(AG656&gt;10%,J656&lt;90%),"CAT4",)))),"ND")</f>
        <v>CAT3</v>
      </c>
      <c r="AI656" s="51">
        <f>SUBTOTAL(3,Tableau1[[#This Row],[ZS]])</f>
        <v>0</v>
      </c>
      <c r="AJ656" s="51" t="e">
        <f t="shared" ca="1" si="19"/>
        <v>#NAME?</v>
      </c>
      <c r="AK656" s="50" t="str">
        <f>IFERROR(IF((Data_Entry!O645-Data_Entry!Q645)/Data_Entry!O645&lt;=10%,"&lt;=10%","&gt;10%"),"&lt;=10%")</f>
        <v>&lt;=10%</v>
      </c>
    </row>
    <row r="657" spans="1:37" s="48" customFormat="1" ht="13" hidden="1" x14ac:dyDescent="0.3">
      <c r="A657" s="31" t="s">
        <v>16</v>
      </c>
      <c r="B657" s="48" t="str">
        <f>Data_Entry!B646</f>
        <v>Butembo</v>
      </c>
      <c r="C657" s="48" t="str">
        <f>Data_Entry!C646</f>
        <v xml:space="preserve"> Vuhovi</v>
      </c>
      <c r="D657" s="48" t="str">
        <f>Data_Entry!D646</f>
        <v xml:space="preserve"> Katanda</v>
      </c>
      <c r="E657" s="49">
        <f>IFERROR(IF(Data_Entry!J646/Data_Entry!$I646&lt;0,0,Data_Entry!J646/Data_Entry!$I646),0)</f>
        <v>0.81300813008130079</v>
      </c>
      <c r="F657" s="49">
        <f>IFERROR(IF(Data_Entry!K646/Data_Entry!$H646&lt;0,0,Data_Entry!K646/Data_Entry!$H646),0)</f>
        <v>0.68721317585668695</v>
      </c>
      <c r="G657" s="49">
        <f>IFERROR(IF(Data_Entry!L646/Data_Entry!$H646&lt;0,0,Data_Entry!L646/Data_Entry!$H646),0)</f>
        <v>0.87357607100426304</v>
      </c>
      <c r="H657" s="49">
        <f>IFERROR(IF(Data_Entry!M646/Data_Entry!$H646&lt;0,0,Data_Entry!M646/Data_Entry!$H646),0)</f>
        <v>0.83280918769073076</v>
      </c>
      <c r="I657" s="49">
        <f>IFERROR(IF(Data_Entry!N646/Data_Entry!$H646&lt;0,0,Data_Entry!N646/Data_Entry!$H646),0)</f>
        <v>0.84445686863745428</v>
      </c>
      <c r="J657" s="49">
        <f>IFERROR(IF(Data_Entry!O646/Data_Entry!$H646&lt;0,0,Data_Entry!O646/Data_Entry!$H646),0)</f>
        <v>0.80951382579728381</v>
      </c>
      <c r="K657" s="49">
        <f>IFERROR(IF(Data_Entry!P646/Data_Entry!$H646&lt;0,0,Data_Entry!P646/Data_Entry!$H646),0)</f>
        <v>0.803689985323922</v>
      </c>
      <c r="L657" s="49">
        <f>IFERROR(IF(Data_Entry!Q646/Data_Entry!$H646&lt;0,0,Data_Entry!Q646/Data_Entry!$H646),0)</f>
        <v>0.76874694248375153</v>
      </c>
      <c r="M657" s="49">
        <f>IFERROR(IF(Data_Entry!R646/Data_Entry!$H646&lt;0,0,Data_Entry!R646/Data_Entry!$H646),0)</f>
        <v>0.78621846390383676</v>
      </c>
      <c r="N657" s="49">
        <f>IFERROR(IF(Data_Entry!S646/Data_Entry!$H646&lt;0,0,Data_Entry!S646/Data_Entry!$H646),0)</f>
        <v>0.76292310201038971</v>
      </c>
      <c r="O657" s="49">
        <f>IFERROR(IF(Data_Entry!T646/Data_Entry!$H646&lt;0,0,Data_Entry!T646/Data_Entry!$H646),0)</f>
        <v>0.76874694248375153</v>
      </c>
      <c r="P657" s="49">
        <f>IFERROR(IF(Data_Entry!U646/Data_Entry!$H646&lt;0,0,Data_Entry!U646/Data_Entry!$H646),0)</f>
        <v>0.87357607100426304</v>
      </c>
      <c r="Q657" s="49">
        <f>IFERROR(IF(Data_Entry!V646/Data_Entry!$H646&lt;0,0,Data_Entry!V646/Data_Entry!$H646),0)</f>
        <v>0.83280918769073076</v>
      </c>
      <c r="R657" s="49">
        <f>IFERROR(IF(Data_Entry!W646/Data_Entry!$H646&lt;0,0,Data_Entry!W646/Data_Entry!$H646),0)</f>
        <v>0.84445686863745428</v>
      </c>
      <c r="S657" s="49">
        <f>IFERROR(IF(Data_Entry!X646/Data_Entry!$H646&lt;0,0,Data_Entry!X646/Data_Entry!$H646),0)</f>
        <v>0.85610454958417781</v>
      </c>
      <c r="T657" s="49">
        <f>IFERROR(IF(Data_Entry!Y646/Data_Entry!$H646&lt;0,0,Data_Entry!Y646/Data_Entry!$H646),0)</f>
        <v>0.48920259976238734</v>
      </c>
      <c r="U657" s="49">
        <f>IFERROR(IF(Data_Entry!Z646/Data_Entry!$H646&lt;0,0,Data_Entry!Z646/Data_Entry!$H646),0)</f>
        <v>0.70468469727677219</v>
      </c>
      <c r="V657" s="49">
        <f>IFERROR(IF(Data_Entry!AA646/Data_Entry!$H646&lt;0,0,Data_Entry!AA646/Data_Entry!$H646),0)</f>
        <v>0.85610454958417781</v>
      </c>
      <c r="W657" s="49">
        <f>IFERROR(IF(Data_Entry!AB646/Data_Entry!$H646&lt;0,0,Data_Entry!AB646/Data_Entry!$H646),0)</f>
        <v>0.82116150674400723</v>
      </c>
      <c r="X657" s="49">
        <f>IFERROR(IF(Data_Entry!AC646/Data_Entry!$I646&lt;0,0,Data_Entry!AC646/Data_Entry!$I646),0)</f>
        <v>0.10670731707317073</v>
      </c>
      <c r="Y657" s="49">
        <f>IFERROR(IF(Data_Entry!AD646/Data_Entry!$I646&lt;0,0,Data_Entry!AD646/Data_Entry!$I646),0)</f>
        <v>0.21341463414634146</v>
      </c>
      <c r="Z657" s="49">
        <f>IFERROR(IF(Data_Entry!AE646/Data_Entry!$I646&lt;0,0,Data_Entry!AE646/Data_Entry!$I646),0)</f>
        <v>0.1524390243902439</v>
      </c>
      <c r="AA657" s="49">
        <f>IFERROR(IF(Data_Entry!AF646/Data_Entry!$I646&lt;0,0,Data_Entry!AF646/Data_Entry!$I646),0)</f>
        <v>0.1524390243902439</v>
      </c>
      <c r="AB657" s="49">
        <f>IFERROR(IF(Data_Entry!AG646/Data_Entry!$I646&lt;0,0,Data_Entry!AG646/Data_Entry!$I646),0)</f>
        <v>0.14227642276422764</v>
      </c>
      <c r="AC657" s="49">
        <f>IFERROR(IF(Data_Entry!AI646/Data_Entry!$I646&lt;0,0,Data_Entry!AI646/Data_Entry!$I646),0)</f>
        <v>0.29623983739837395</v>
      </c>
      <c r="AD657" s="49">
        <f>IFERROR(IF(Data_Entry!AM646/Data_Entry!$H646&lt;0,0,Data_Entry!AM646/Data_Entry!$H646),0)</f>
        <v>0.70468469727677219</v>
      </c>
      <c r="AE657" s="50">
        <f>Data_Entry!AK646</f>
        <v>32.707999999999998</v>
      </c>
      <c r="AF657" s="50">
        <f>Data_Entry!AL646</f>
        <v>0</v>
      </c>
      <c r="AG657" s="153">
        <f>(Data_Entry!O646-Data_Entry!Q646)/Data_Entry!O646</f>
        <v>5.0359712230215826E-2</v>
      </c>
      <c r="AH657" s="79" t="str">
        <f t="shared" si="20"/>
        <v>CAT3</v>
      </c>
      <c r="AI657" s="51">
        <f>SUBTOTAL(3,Tableau1[[#This Row],[ZS]])</f>
        <v>0</v>
      </c>
      <c r="AJ657" s="51" t="e">
        <f t="shared" ref="AJ657:AJ681" ca="1" si="21">_xlfn.IFS(L657&lt;50%,"&lt;50%",(AND(L657&lt;80%,L657&gt;50%)),"&gt;50%&lt;80%",(AND(L657&gt;=80%,L657&lt;95%)),"&gt;=80%&lt;95%",(AND(L657&gt;=95%,L657&lt;100%)),"95-100%",L657&gt;100%,"&gt;100%")</f>
        <v>#NAME?</v>
      </c>
      <c r="AK657" s="50" t="str">
        <f>IFERROR(IF((Data_Entry!O646-Data_Entry!Q646)/Data_Entry!O646&lt;=10%,"&lt;=10%","&gt;10%"),"&lt;=10%")</f>
        <v>&lt;=10%</v>
      </c>
    </row>
    <row r="658" spans="1:37" s="48" customFormat="1" ht="13" hidden="1" x14ac:dyDescent="0.3">
      <c r="A658" s="31" t="s">
        <v>16</v>
      </c>
      <c r="B658" s="48" t="str">
        <f>Data_Entry!B647</f>
        <v>Butembo</v>
      </c>
      <c r="C658" s="48" t="str">
        <f>Data_Entry!C647</f>
        <v xml:space="preserve"> Vuhovi</v>
      </c>
      <c r="D658" s="48" t="str">
        <f>Data_Entry!D647</f>
        <v xml:space="preserve"> Kibwe</v>
      </c>
      <c r="E658" s="49">
        <f>IFERROR(IF(Data_Entry!J647/Data_Entry!$I647&lt;0,0,Data_Entry!J647/Data_Entry!$I647),0)</f>
        <v>0.83852500420946285</v>
      </c>
      <c r="F658" s="49">
        <f>IFERROR(IF(Data_Entry!K647/Data_Entry!$H647&lt;0,0,Data_Entry!K647/Data_Entry!$H647),0)</f>
        <v>0.39368730131697083</v>
      </c>
      <c r="G658" s="49">
        <f>IFERROR(IF(Data_Entry!L647/Data_Entry!$H647&lt;0,0,Data_Entry!L647/Data_Entry!$H647),0)</f>
        <v>0.99000777242944138</v>
      </c>
      <c r="H658" s="49">
        <f>IFERROR(IF(Data_Entry!M647/Data_Entry!$H647&lt;0,0,Data_Entry!M647/Data_Entry!$H647),0)</f>
        <v>0.94079685976482008</v>
      </c>
      <c r="I658" s="49">
        <f>IFERROR(IF(Data_Entry!N647/Data_Entry!$H647&lt;0,0,Data_Entry!N647/Data_Entry!$H647),0)</f>
        <v>0.97842873415541287</v>
      </c>
      <c r="J658" s="49">
        <f>IFERROR(IF(Data_Entry!O647/Data_Entry!$H647&lt;0,0,Data_Entry!O647/Data_Entry!$H647),0)</f>
        <v>0.89158594710019867</v>
      </c>
      <c r="K658" s="49">
        <f>IFERROR(IF(Data_Entry!P647/Data_Entry!$H647&lt;0,0,Data_Entry!P647/Data_Entry!$H647),0)</f>
        <v>0.82500647702453445</v>
      </c>
      <c r="L658" s="49">
        <f>IFERROR(IF(Data_Entry!Q647/Data_Entry!$H647&lt;0,0,Data_Entry!Q647/Data_Entry!$H647),0)</f>
        <v>0.86553311098363439</v>
      </c>
      <c r="M658" s="49">
        <f>IFERROR(IF(Data_Entry!R647/Data_Entry!$H647&lt;0,0,Data_Entry!R647/Data_Entry!$H647),0)</f>
        <v>0.89158594710019867</v>
      </c>
      <c r="N658" s="49">
        <f>IFERROR(IF(Data_Entry!S647/Data_Entry!$H647&lt;0,0,Data_Entry!S647/Data_Entry!$H647),0)</f>
        <v>0.82500647702453445</v>
      </c>
      <c r="O658" s="49">
        <f>IFERROR(IF(Data_Entry!T647/Data_Entry!$H647&lt;0,0,Data_Entry!T647/Data_Entry!$H647),0)</f>
        <v>0.86553311098363439</v>
      </c>
      <c r="P658" s="49">
        <f>IFERROR(IF(Data_Entry!U647/Data_Entry!$H647&lt;0,0,Data_Entry!U647/Data_Entry!$H647),0)</f>
        <v>0.89158594710019867</v>
      </c>
      <c r="Q658" s="49">
        <f>IFERROR(IF(Data_Entry!V647/Data_Entry!$H647&lt;0,0,Data_Entry!V647/Data_Entry!$H647),0)</f>
        <v>0.82500647702453445</v>
      </c>
      <c r="R658" s="49">
        <f>IFERROR(IF(Data_Entry!W647/Data_Entry!$H647&lt;0,0,Data_Entry!W647/Data_Entry!$H647),0)</f>
        <v>0.86553311098363439</v>
      </c>
      <c r="S658" s="49">
        <f>IFERROR(IF(Data_Entry!X647/Data_Entry!$H647&lt;0,0,Data_Entry!X647/Data_Entry!$H647),0)</f>
        <v>1.0797453190531627</v>
      </c>
      <c r="T658" s="49">
        <f>IFERROR(IF(Data_Entry!Y647/Data_Entry!$H647&lt;0,0,Data_Entry!Y647/Data_Entry!$H647),0)</f>
        <v>0.26342312073414959</v>
      </c>
      <c r="U658" s="49">
        <f>IFERROR(IF(Data_Entry!Z647/Data_Entry!$H647&lt;0,0,Data_Entry!Z647/Data_Entry!$H647),0)</f>
        <v>1.0450082042310771</v>
      </c>
      <c r="V658" s="49">
        <f>IFERROR(IF(Data_Entry!AA647/Data_Entry!$H647&lt;0,0,Data_Entry!AA647/Data_Entry!$H647),0)</f>
        <v>0.97842873415541287</v>
      </c>
      <c r="W658" s="49">
        <f>IFERROR(IF(Data_Entry!AB647/Data_Entry!$H647&lt;0,0,Data_Entry!AB647/Data_Entry!$H647),0)</f>
        <v>0.98132349372391992</v>
      </c>
      <c r="X658" s="49">
        <f>IFERROR(IF(Data_Entry!AC647/Data_Entry!$I647&lt;0,0,Data_Entry!AC647/Data_Entry!$I647),0)</f>
        <v>0.22983667284054554</v>
      </c>
      <c r="Y658" s="49">
        <f>IFERROR(IF(Data_Entry!AD647/Data_Entry!$I647&lt;0,0,Data_Entry!AD647/Data_Entry!$I647),0)</f>
        <v>0.23488802828759051</v>
      </c>
      <c r="Z658" s="49">
        <f>IFERROR(IF(Data_Entry!AE647/Data_Entry!$I647&lt;0,0,Data_Entry!AE647/Data_Entry!$I647),0)</f>
        <v>0.19700286243475332</v>
      </c>
      <c r="AA658" s="49">
        <f>IFERROR(IF(Data_Entry!AF647/Data_Entry!$I647&lt;0,0,Data_Entry!AF647/Data_Entry!$I647),0)</f>
        <v>0.15659201885839366</v>
      </c>
      <c r="AB658" s="49">
        <f>IFERROR(IF(Data_Entry!AG647/Data_Entry!$I647&lt;0,0,Data_Entry!AG647/Data_Entry!$I647),0)</f>
        <v>0.12628388617612393</v>
      </c>
      <c r="AC658" s="49">
        <f>IFERROR(IF(Data_Entry!AI647/Data_Entry!$I647&lt;0,0,Data_Entry!AI647/Data_Entry!$I647),0)</f>
        <v>0.1472470112813605</v>
      </c>
      <c r="AD658" s="49">
        <f>IFERROR(IF(Data_Entry!AM647/Data_Entry!$H647&lt;0,0,Data_Entry!AM647/Data_Entry!$H647),0)</f>
        <v>1.0450082042310771</v>
      </c>
      <c r="AE658" s="50">
        <f>Data_Entry!AK647</f>
        <v>37.451833333333354</v>
      </c>
      <c r="AF658" s="50">
        <f>Data_Entry!AL647</f>
        <v>0</v>
      </c>
      <c r="AG658" s="153">
        <f>(Data_Entry!O647-Data_Entry!Q647)/Data_Entry!O647</f>
        <v>2.922077922077922E-2</v>
      </c>
      <c r="AH658" s="79" t="str">
        <f t="shared" si="20"/>
        <v>CAT3</v>
      </c>
      <c r="AI658" s="51">
        <f>SUBTOTAL(3,Tableau1[[#This Row],[ZS]])</f>
        <v>0</v>
      </c>
      <c r="AJ658" s="51" t="e">
        <f t="shared" ca="1" si="21"/>
        <v>#NAME?</v>
      </c>
      <c r="AK658" s="50" t="str">
        <f>IFERROR(IF((Data_Entry!O647-Data_Entry!Q647)/Data_Entry!O647&lt;=10%,"&lt;=10%","&gt;10%"),"&lt;=10%")</f>
        <v>&lt;=10%</v>
      </c>
    </row>
    <row r="659" spans="1:37" s="48" customFormat="1" ht="13" hidden="1" x14ac:dyDescent="0.3">
      <c r="A659" s="31" t="s">
        <v>16</v>
      </c>
      <c r="B659" s="48" t="str">
        <f>Data_Entry!B648</f>
        <v>Butembo</v>
      </c>
      <c r="C659" s="48" t="str">
        <f>Data_Entry!C648</f>
        <v xml:space="preserve"> Vuhovi</v>
      </c>
      <c r="D659" s="48" t="str">
        <f>Data_Entry!D648</f>
        <v xml:space="preserve"> Kighali</v>
      </c>
      <c r="E659" s="49">
        <f>IFERROR(IF(Data_Entry!J648/Data_Entry!$I648&lt;0,0,Data_Entry!J648/Data_Entry!$I648),0)</f>
        <v>0.66150773839241139</v>
      </c>
      <c r="F659" s="49">
        <f>IFERROR(IF(Data_Entry!K648/Data_Entry!$H648&lt;0,0,Data_Entry!K648/Data_Entry!$H648),0)</f>
        <v>0.10871944232648162</v>
      </c>
      <c r="G659" s="49">
        <f>IFERROR(IF(Data_Entry!L648/Data_Entry!$H648&lt;0,0,Data_Entry!L648/Data_Entry!$H648),0)</f>
        <v>0.93842044955489401</v>
      </c>
      <c r="H659" s="49">
        <f>IFERROR(IF(Data_Entry!M648/Data_Entry!$H648&lt;0,0,Data_Entry!M648/Data_Entry!$H648),0)</f>
        <v>0.96989186707045449</v>
      </c>
      <c r="I659" s="49">
        <f>IFERROR(IF(Data_Entry!N648/Data_Entry!$H648&lt;0,0,Data_Entry!N648/Data_Entry!$H648),0)</f>
        <v>0.99564120867409489</v>
      </c>
      <c r="J659" s="49">
        <f>IFERROR(IF(Data_Entry!O648/Data_Entry!$H648&lt;0,0,Data_Entry!O648/Data_Entry!$H648),0)</f>
        <v>0.9441425254668141</v>
      </c>
      <c r="K659" s="49">
        <f>IFERROR(IF(Data_Entry!P648/Data_Entry!$H648&lt;0,0,Data_Entry!P648/Data_Entry!$H648),0)</f>
        <v>0.9183931838631737</v>
      </c>
      <c r="L659" s="49">
        <f>IFERROR(IF(Data_Entry!Q648/Data_Entry!$H648&lt;0,0,Data_Entry!Q648/Data_Entry!$H648),0)</f>
        <v>0.96416979115853441</v>
      </c>
      <c r="M659" s="49">
        <f>IFERROR(IF(Data_Entry!R648/Data_Entry!$H648&lt;0,0,Data_Entry!R648/Data_Entry!$H648),0)</f>
        <v>0.93269837364297392</v>
      </c>
      <c r="N659" s="49">
        <f>IFERROR(IF(Data_Entry!S648/Data_Entry!$H648&lt;0,0,Data_Entry!S648/Data_Entry!$H648),0)</f>
        <v>0.92697629773105383</v>
      </c>
      <c r="O659" s="49">
        <f>IFERROR(IF(Data_Entry!T648/Data_Entry!$H648&lt;0,0,Data_Entry!T648/Data_Entry!$H648),0)</f>
        <v>0.96416979115853441</v>
      </c>
      <c r="P659" s="49">
        <f>IFERROR(IF(Data_Entry!U648/Data_Entry!$H648&lt;0,0,Data_Entry!U648/Data_Entry!$H648),0)</f>
        <v>0.83828412109629247</v>
      </c>
      <c r="Q659" s="49">
        <f>IFERROR(IF(Data_Entry!V648/Data_Entry!$H648&lt;0,0,Data_Entry!V648/Data_Entry!$H648),0)</f>
        <v>0.8211178933605322</v>
      </c>
      <c r="R659" s="49">
        <f>IFERROR(IF(Data_Entry!W648/Data_Entry!$H648&lt;0,0,Data_Entry!W648/Data_Entry!$H648),0)</f>
        <v>0.85831138678801278</v>
      </c>
      <c r="S659" s="49">
        <f>IFERROR(IF(Data_Entry!X648/Data_Entry!$H648&lt;0,0,Data_Entry!X648/Data_Entry!$H648),0)</f>
        <v>0.95844771524661432</v>
      </c>
      <c r="T659" s="49">
        <f>IFERROR(IF(Data_Entry!Y648/Data_Entry!$H648&lt;0,0,Data_Entry!Y648/Data_Entry!$H648),0)</f>
        <v>0.30613106128772455</v>
      </c>
      <c r="U659" s="49">
        <f>IFERROR(IF(Data_Entry!Z648/Data_Entry!$H648&lt;0,0,Data_Entry!Z648/Data_Entry!$H648),0)</f>
        <v>0.9183931838631737</v>
      </c>
      <c r="V659" s="49">
        <f>IFERROR(IF(Data_Entry!AA648/Data_Entry!$H648&lt;0,0,Data_Entry!AA648/Data_Entry!$H648),0)</f>
        <v>0.9899191327621748</v>
      </c>
      <c r="W659" s="49">
        <f>IFERROR(IF(Data_Entry!AB648/Data_Entry!$H648&lt;0,0,Data_Entry!AB648/Data_Entry!$H648),0)</f>
        <v>0.98133601889429467</v>
      </c>
      <c r="X659" s="49">
        <f>IFERROR(IF(Data_Entry!AC648/Data_Entry!$I648&lt;0,0,Data_Entry!AC648/Data_Entry!$I648),0)</f>
        <v>0.16225661507738393</v>
      </c>
      <c r="Y659" s="49">
        <f>IFERROR(IF(Data_Entry!AD648/Data_Entry!$I648&lt;0,0,Data_Entry!AD648/Data_Entry!$I648),0)</f>
        <v>0.23964053919121317</v>
      </c>
      <c r="Z659" s="49">
        <f>IFERROR(IF(Data_Entry!AE648/Data_Entry!$I648&lt;0,0,Data_Entry!AE648/Data_Entry!$I648),0)</f>
        <v>0.18721917124313528</v>
      </c>
      <c r="AA659" s="49">
        <f>IFERROR(IF(Data_Entry!AF648/Data_Entry!$I648&lt;0,0,Data_Entry!AF648/Data_Entry!$I648),0)</f>
        <v>0.16724912631053418</v>
      </c>
      <c r="AB659" s="49">
        <f>IFERROR(IF(Data_Entry!AG648/Data_Entry!$I648&lt;0,0,Data_Entry!AG648/Data_Entry!$I648),0)</f>
        <v>0.16724912631053418</v>
      </c>
      <c r="AC659" s="49">
        <f>IFERROR(IF(Data_Entry!AI648/Data_Entry!$I648&lt;0,0,Data_Entry!AI648/Data_Entry!$I648),0)</f>
        <v>0.14553170244633049</v>
      </c>
      <c r="AD659" s="49">
        <f>IFERROR(IF(Data_Entry!AM648/Data_Entry!$H648&lt;0,0,Data_Entry!AM648/Data_Entry!$H648),0)</f>
        <v>0.9183931838631737</v>
      </c>
      <c r="AE659" s="50">
        <f>Data_Entry!AK648</f>
        <v>19.523500000000013</v>
      </c>
      <c r="AF659" s="50">
        <f>Data_Entry!AL648</f>
        <v>0</v>
      </c>
      <c r="AG659" s="153">
        <f>(Data_Entry!O648-Data_Entry!Q648)/Data_Entry!O648</f>
        <v>-2.1212121212121213E-2</v>
      </c>
      <c r="AH659" s="79" t="str">
        <f t="shared" si="20"/>
        <v>CAT1</v>
      </c>
      <c r="AI659" s="51">
        <f>SUBTOTAL(3,Tableau1[[#This Row],[ZS]])</f>
        <v>0</v>
      </c>
      <c r="AJ659" s="51" t="e">
        <f t="shared" ca="1" si="21"/>
        <v>#NAME?</v>
      </c>
      <c r="AK659" s="50" t="str">
        <f>IFERROR(IF((Data_Entry!O648-Data_Entry!Q648)/Data_Entry!O648&lt;=10%,"&lt;=10%","&gt;10%"),"&lt;=10%")</f>
        <v>&lt;=10%</v>
      </c>
    </row>
    <row r="660" spans="1:37" s="48" customFormat="1" ht="13" hidden="1" x14ac:dyDescent="0.3">
      <c r="A660" s="31" t="s">
        <v>16</v>
      </c>
      <c r="B660" s="48" t="str">
        <f>Data_Entry!B649</f>
        <v>Butembo</v>
      </c>
      <c r="C660" s="48" t="str">
        <f>Data_Entry!C649</f>
        <v xml:space="preserve"> Vuhovi</v>
      </c>
      <c r="D660" s="48" t="str">
        <f>Data_Entry!D649</f>
        <v xml:space="preserve"> Lulinda</v>
      </c>
      <c r="E660" s="49">
        <f>IFERROR(IF(Data_Entry!J649/Data_Entry!$I649&lt;0,0,Data_Entry!J649/Data_Entry!$I649),0)</f>
        <v>0.65976714100905565</v>
      </c>
      <c r="F660" s="49">
        <f>IFERROR(IF(Data_Entry!K649/Data_Entry!$H649&lt;0,0,Data_Entry!K649/Data_Entry!$H649),0)</f>
        <v>0.36798069247091958</v>
      </c>
      <c r="G660" s="49">
        <f>IFERROR(IF(Data_Entry!L649/Data_Entry!$H649&lt;0,0,Data_Entry!L649/Data_Entry!$H649),0)</f>
        <v>0.6429552758557826</v>
      </c>
      <c r="H660" s="49">
        <f>IFERROR(IF(Data_Entry!M649/Data_Entry!$H649&lt;0,0,Data_Entry!M649/Data_Entry!$H649),0)</f>
        <v>0.74000512881514602</v>
      </c>
      <c r="I660" s="49">
        <f>IFERROR(IF(Data_Entry!N649/Data_Entry!$H649&lt;0,0,Data_Entry!N649/Data_Entry!$H649),0)</f>
        <v>0.67530522684223704</v>
      </c>
      <c r="J660" s="49">
        <f>IFERROR(IF(Data_Entry!O649/Data_Entry!$H649&lt;0,0,Data_Entry!O649/Data_Entry!$H649),0)</f>
        <v>0.61869281261594178</v>
      </c>
      <c r="K660" s="49">
        <f>IFERROR(IF(Data_Entry!P649/Data_Entry!$H649&lt;0,0,Data_Entry!P649/Data_Entry!$H649),0)</f>
        <v>0.68339271458885065</v>
      </c>
      <c r="L660" s="49">
        <f>IFERROR(IF(Data_Entry!Q649/Data_Entry!$H649&lt;0,0,Data_Entry!Q649/Data_Entry!$H649),0)</f>
        <v>0.71978640944861194</v>
      </c>
      <c r="M660" s="49">
        <f>IFERROR(IF(Data_Entry!R649/Data_Entry!$H649&lt;0,0,Data_Entry!R649/Data_Entry!$H649),0)</f>
        <v>0.57825537388287362</v>
      </c>
      <c r="N660" s="49">
        <f>IFERROR(IF(Data_Entry!S649/Data_Entry!$H649&lt;0,0,Data_Entry!S649/Data_Entry!$H649),0)</f>
        <v>0.67126148296893029</v>
      </c>
      <c r="O660" s="49">
        <f>IFERROR(IF(Data_Entry!T649/Data_Entry!$H649&lt;0,0,Data_Entry!T649/Data_Entry!$H649),0)</f>
        <v>0.65104276360239621</v>
      </c>
      <c r="P660" s="49">
        <f>IFERROR(IF(Data_Entry!U649/Data_Entry!$H649&lt;0,0,Data_Entry!U649/Data_Entry!$H649),0)</f>
        <v>0.63082404423586214</v>
      </c>
      <c r="Q660" s="49">
        <f>IFERROR(IF(Data_Entry!V649/Data_Entry!$H649&lt;0,0,Data_Entry!V649/Data_Entry!$H649),0)</f>
        <v>0.68743645846215751</v>
      </c>
      <c r="R660" s="49">
        <f>IFERROR(IF(Data_Entry!W649/Data_Entry!$H649&lt;0,0,Data_Entry!W649/Data_Entry!$H649),0)</f>
        <v>0.62678030036255539</v>
      </c>
      <c r="S660" s="49">
        <f>IFERROR(IF(Data_Entry!X649/Data_Entry!$H649&lt;0,0,Data_Entry!X649/Data_Entry!$H649),0)</f>
        <v>0.68339271458885065</v>
      </c>
      <c r="T660" s="49">
        <f>IFERROR(IF(Data_Entry!Y649/Data_Entry!$H649&lt;0,0,Data_Entry!Y649/Data_Entry!$H649),0)</f>
        <v>0.28710581500478344</v>
      </c>
      <c r="U660" s="49">
        <f>IFERROR(IF(Data_Entry!Z649/Data_Entry!$H649&lt;0,0,Data_Entry!Z649/Data_Entry!$H649),0)</f>
        <v>0.5984740932494077</v>
      </c>
      <c r="V660" s="49">
        <f>IFERROR(IF(Data_Entry!AA649/Data_Entry!$H649&lt;0,0,Data_Entry!AA649/Data_Entry!$H649),0)</f>
        <v>0.63082404423586214</v>
      </c>
      <c r="W660" s="49">
        <f>IFERROR(IF(Data_Entry!AB649/Data_Entry!$H649&lt;0,0,Data_Entry!AB649/Data_Entry!$H649),0)</f>
        <v>0.61869281261594178</v>
      </c>
      <c r="X660" s="49">
        <f>IFERROR(IF(Data_Entry!AC649/Data_Entry!$I649&lt;0,0,Data_Entry!AC649/Data_Entry!$I649),0)</f>
        <v>0.18699282606139009</v>
      </c>
      <c r="Y660" s="49">
        <f>IFERROR(IF(Data_Entry!AD649/Data_Entry!$I649&lt;0,0,Data_Entry!AD649/Data_Entry!$I649),0)</f>
        <v>0.18699282606139009</v>
      </c>
      <c r="Z660" s="49">
        <f>IFERROR(IF(Data_Entry!AE649/Data_Entry!$I649&lt;0,0,Data_Entry!AE649/Data_Entry!$I649),0)</f>
        <v>0.13054216159002704</v>
      </c>
      <c r="AA660" s="49">
        <f>IFERROR(IF(Data_Entry!AF649/Data_Entry!$I649&lt;0,0,Data_Entry!AF649/Data_Entry!$I649),0)</f>
        <v>9.878866282488534E-2</v>
      </c>
      <c r="AB660" s="49">
        <f>IFERROR(IF(Data_Entry!AG649/Data_Entry!$I649&lt;0,0,Data_Entry!AG649/Data_Entry!$I649),0)</f>
        <v>0.11995766200164648</v>
      </c>
      <c r="AC660" s="49">
        <f>IFERROR(IF(Data_Entry!AI649/Data_Entry!$I649&lt;0,0,Data_Entry!AI649/Data_Entry!$I649),0)</f>
        <v>0.2056921086675291</v>
      </c>
      <c r="AD660" s="49">
        <f>IFERROR(IF(Data_Entry!AM649/Data_Entry!$H649&lt;0,0,Data_Entry!AM649/Data_Entry!$H649),0)</f>
        <v>0.5984740932494077</v>
      </c>
      <c r="AE660" s="50">
        <f>Data_Entry!AK649</f>
        <v>94.295583333333326</v>
      </c>
      <c r="AF660" s="50">
        <f>Data_Entry!AL649</f>
        <v>0</v>
      </c>
      <c r="AG660" s="153">
        <f>(Data_Entry!O649-Data_Entry!Q649)/Data_Entry!O649</f>
        <v>-0.16339869281045752</v>
      </c>
      <c r="AH660" s="79" t="str">
        <f t="shared" si="20"/>
        <v>CAT3</v>
      </c>
      <c r="AI660" s="51">
        <f>SUBTOTAL(3,Tableau1[[#This Row],[ZS]])</f>
        <v>0</v>
      </c>
      <c r="AJ660" s="51" t="e">
        <f t="shared" ca="1" si="21"/>
        <v>#NAME?</v>
      </c>
      <c r="AK660" s="50" t="str">
        <f>IFERROR(IF((Data_Entry!O649-Data_Entry!Q649)/Data_Entry!O649&lt;=10%,"&lt;=10%","&gt;10%"),"&lt;=10%")</f>
        <v>&lt;=10%</v>
      </c>
    </row>
    <row r="661" spans="1:37" s="48" customFormat="1" ht="13" hidden="1" x14ac:dyDescent="0.3">
      <c r="A661" s="31" t="s">
        <v>16</v>
      </c>
      <c r="B661" s="48" t="str">
        <f>Data_Entry!B650</f>
        <v>Butembo</v>
      </c>
      <c r="C661" s="48" t="str">
        <f>Data_Entry!C650</f>
        <v xml:space="preserve"> Vuhovi</v>
      </c>
      <c r="D661" s="48" t="str">
        <f>Data_Entry!D650</f>
        <v xml:space="preserve"> Musenda</v>
      </c>
      <c r="E661" s="49">
        <f>IFERROR(IF(Data_Entry!J650/Data_Entry!$I650&lt;0,0,Data_Entry!J650/Data_Entry!$I650),0)</f>
        <v>1.0627400768245836</v>
      </c>
      <c r="F661" s="49">
        <f>IFERROR(IF(Data_Entry!K650/Data_Entry!$H650&lt;0,0,Data_Entry!K650/Data_Entry!$H650),0)</f>
        <v>1.0223710938025476</v>
      </c>
      <c r="G661" s="49">
        <f>IFERROR(IF(Data_Entry!L650/Data_Entry!$H650&lt;0,0,Data_Entry!L650/Data_Entry!$H650),0)</f>
        <v>1.1593394700057598</v>
      </c>
      <c r="H661" s="49">
        <f>IFERROR(IF(Data_Entry!M650/Data_Entry!$H650&lt;0,0,Data_Entry!M650/Data_Entry!$H650),0)</f>
        <v>0.99791245519483129</v>
      </c>
      <c r="I661" s="49">
        <f>IFERROR(IF(Data_Entry!N650/Data_Entry!$H650&lt;0,0,Data_Entry!N650/Data_Entry!$H650),0)</f>
        <v>1.0957470096256972</v>
      </c>
      <c r="J661" s="49">
        <f>IFERROR(IF(Data_Entry!O650/Data_Entry!$H650&lt;0,0,Data_Entry!O650/Data_Entry!$H650),0)</f>
        <v>1.0859635541826105</v>
      </c>
      <c r="K661" s="49">
        <f>IFERROR(IF(Data_Entry!P650/Data_Entry!$H650&lt;0,0,Data_Entry!P650/Data_Entry!$H650),0)</f>
        <v>0.9392117225363118</v>
      </c>
      <c r="L661" s="49">
        <f>IFERROR(IF(Data_Entry!Q650/Data_Entry!$H650&lt;0,0,Data_Entry!Q650/Data_Entry!$H650),0)</f>
        <v>0.99791245519483129</v>
      </c>
      <c r="M661" s="49">
        <f>IFERROR(IF(Data_Entry!R650/Data_Entry!$H650&lt;0,0,Data_Entry!R650/Data_Entry!$H650),0)</f>
        <v>1.1593394700057598</v>
      </c>
      <c r="N661" s="49">
        <f>IFERROR(IF(Data_Entry!S650/Data_Entry!$H650&lt;0,0,Data_Entry!S650/Data_Entry!$H650),0)</f>
        <v>1.0419380046887208</v>
      </c>
      <c r="O661" s="49">
        <f>IFERROR(IF(Data_Entry!T650/Data_Entry!$H650&lt;0,0,Data_Entry!T650/Data_Entry!$H650),0)</f>
        <v>1.0957470096256972</v>
      </c>
      <c r="P661" s="49">
        <f>IFERROR(IF(Data_Entry!U650/Data_Entry!$H650&lt;0,0,Data_Entry!U650/Data_Entry!$H650),0)</f>
        <v>1.1593394700057598</v>
      </c>
      <c r="Q661" s="49">
        <f>IFERROR(IF(Data_Entry!V650/Data_Entry!$H650&lt;0,0,Data_Entry!V650/Data_Entry!$H650),0)</f>
        <v>1.0419380046887208</v>
      </c>
      <c r="R661" s="49">
        <f>IFERROR(IF(Data_Entry!W650/Data_Entry!$H650&lt;0,0,Data_Entry!W650/Data_Entry!$H650),0)</f>
        <v>1.0957470096256972</v>
      </c>
      <c r="S661" s="49">
        <f>IFERROR(IF(Data_Entry!X650/Data_Entry!$H650&lt;0,0,Data_Entry!X650/Data_Entry!$H650),0)</f>
        <v>1.1202056482334135</v>
      </c>
      <c r="T661" s="49">
        <f>IFERROR(IF(Data_Entry!Y650/Data_Entry!$H650&lt;0,0,Data_Entry!Y650/Data_Entry!$H650),0)</f>
        <v>0.65549151468680089</v>
      </c>
      <c r="U661" s="49">
        <f>IFERROR(IF(Data_Entry!Z650/Data_Entry!$H650&lt;0,0,Data_Entry!Z650/Data_Entry!$H650),0)</f>
        <v>1.0028041829163745</v>
      </c>
      <c r="V661" s="49">
        <f>IFERROR(IF(Data_Entry!AA650/Data_Entry!$H650&lt;0,0,Data_Entry!AA650/Data_Entry!$H650),0)</f>
        <v>1.1789063808919331</v>
      </c>
      <c r="W661" s="49">
        <f>IFERROR(IF(Data_Entry!AB650/Data_Entry!$H650&lt;0,0,Data_Entry!AB650/Data_Entry!$H650),0)</f>
        <v>0.9245365393716819</v>
      </c>
      <c r="X661" s="49">
        <f>IFERROR(IF(Data_Entry!AC650/Data_Entry!$I650&lt;0,0,Data_Entry!AC650/Data_Entry!$I650),0)</f>
        <v>9.8164746052069984E-2</v>
      </c>
      <c r="Y661" s="49">
        <f>IFERROR(IF(Data_Entry!AD650/Data_Entry!$I650&lt;0,0,Data_Entry!AD650/Data_Entry!$I650),0)</f>
        <v>0.14511310285958171</v>
      </c>
      <c r="Z661" s="49">
        <f>IFERROR(IF(Data_Entry!AE650/Data_Entry!$I650&lt;0,0,Data_Entry!AE650/Data_Entry!$I650),0)</f>
        <v>0.20913358941527951</v>
      </c>
      <c r="AA661" s="49">
        <f>IFERROR(IF(Data_Entry!AF650/Data_Entry!$I650&lt;0,0,Data_Entry!AF650/Data_Entry!$I650),0)</f>
        <v>0.15364916773367476</v>
      </c>
      <c r="AB661" s="49">
        <f>IFERROR(IF(Data_Entry!AG650/Data_Entry!$I650&lt;0,0,Data_Entry!AG650/Data_Entry!$I650),0)</f>
        <v>0.18779342723004691</v>
      </c>
      <c r="AC661" s="49">
        <f>IFERROR(IF(Data_Entry!AI650/Data_Entry!$I650&lt;0,0,Data_Entry!AI650/Data_Entry!$I650),0)</f>
        <v>0.24882629107981216</v>
      </c>
      <c r="AD661" s="49">
        <f>IFERROR(IF(Data_Entry!AM650/Data_Entry!$H650&lt;0,0,Data_Entry!AM650/Data_Entry!$H650),0)</f>
        <v>1.0028041829163745</v>
      </c>
      <c r="AE661" s="50">
        <f>Data_Entry!AK650</f>
        <v>0</v>
      </c>
      <c r="AF661" s="50">
        <f>Data_Entry!AL650</f>
        <v>0</v>
      </c>
      <c r="AG661" s="153">
        <f>(Data_Entry!O650-Data_Entry!Q650)/Data_Entry!O650</f>
        <v>8.1081081081081086E-2</v>
      </c>
      <c r="AH661" s="79" t="str">
        <f t="shared" si="20"/>
        <v>CAT1</v>
      </c>
      <c r="AI661" s="51">
        <f>SUBTOTAL(3,Tableau1[[#This Row],[ZS]])</f>
        <v>0</v>
      </c>
      <c r="AJ661" s="51" t="e">
        <f t="shared" ca="1" si="21"/>
        <v>#NAME?</v>
      </c>
      <c r="AK661" s="50" t="str">
        <f>IFERROR(IF((Data_Entry!O650-Data_Entry!Q650)/Data_Entry!O650&lt;=10%,"&lt;=10%","&gt;10%"),"&lt;=10%")</f>
        <v>&lt;=10%</v>
      </c>
    </row>
    <row r="662" spans="1:37" s="48" customFormat="1" ht="13" hidden="1" x14ac:dyDescent="0.3">
      <c r="A662" s="31" t="s">
        <v>16</v>
      </c>
      <c r="B662" s="48" t="str">
        <f>Data_Entry!B651</f>
        <v>Butembo</v>
      </c>
      <c r="C662" s="48" t="str">
        <f>Data_Entry!C651</f>
        <v xml:space="preserve"> Vuhovi</v>
      </c>
      <c r="D662" s="48" t="str">
        <f>Data_Entry!D651</f>
        <v xml:space="preserve"> Mutendero</v>
      </c>
      <c r="E662" s="49">
        <f>IFERROR(IF(Data_Entry!J651/Data_Entry!$I651&lt;0,0,Data_Entry!J651/Data_Entry!$I651),0)</f>
        <v>0.59149992697531761</v>
      </c>
      <c r="F662" s="49">
        <f>IFERROR(IF(Data_Entry!K651/Data_Entry!$H651&lt;0,0,Data_Entry!K651/Data_Entry!$H651),0)</f>
        <v>0.34147931685723532</v>
      </c>
      <c r="G662" s="49">
        <f>IFERROR(IF(Data_Entry!L651/Data_Entry!$H651&lt;0,0,Data_Entry!L651/Data_Entry!$H651),0)</f>
        <v>0.8788070654414144</v>
      </c>
      <c r="H662" s="49">
        <f>IFERROR(IF(Data_Entry!M651/Data_Entry!$H651&lt;0,0,Data_Entry!M651/Data_Entry!$H651),0)</f>
        <v>0.79594811355693817</v>
      </c>
      <c r="I662" s="49">
        <f>IFERROR(IF(Data_Entry!N651/Data_Entry!$H651&lt;0,0,Data_Entry!N651/Data_Entry!$H651),0)</f>
        <v>0.85872004680275349</v>
      </c>
      <c r="J662" s="49">
        <f>IFERROR(IF(Data_Entry!O651/Data_Entry!$H651&lt;0,0,Data_Entry!O651/Data_Entry!$H651),0)</f>
        <v>0.84867653748342309</v>
      </c>
      <c r="K662" s="49">
        <f>IFERROR(IF(Data_Entry!P651/Data_Entry!$H651&lt;0,0,Data_Entry!P651/Data_Entry!$H651),0)</f>
        <v>0.75577407627961635</v>
      </c>
      <c r="L662" s="49">
        <f>IFERROR(IF(Data_Entry!Q651/Data_Entry!$H651&lt;0,0,Data_Entry!Q651/Data_Entry!$H651),0)</f>
        <v>0.82356776418509692</v>
      </c>
      <c r="M662" s="49">
        <f>IFERROR(IF(Data_Entry!R651/Data_Entry!$H651&lt;0,0,Data_Entry!R651/Data_Entry!$H651),0)</f>
        <v>0.770839340258612</v>
      </c>
      <c r="N662" s="49">
        <f>IFERROR(IF(Data_Entry!S651/Data_Entry!$H651&lt;0,0,Data_Entry!S651/Data_Entry!$H651),0)</f>
        <v>0.71560003900229452</v>
      </c>
      <c r="O662" s="49">
        <f>IFERROR(IF(Data_Entry!T651/Data_Entry!$H651&lt;0,0,Data_Entry!T651/Data_Entry!$H651),0)</f>
        <v>0.75828495360944903</v>
      </c>
      <c r="P662" s="49">
        <f>IFERROR(IF(Data_Entry!U651/Data_Entry!$H651&lt;0,0,Data_Entry!U651/Data_Entry!$H651),0)</f>
        <v>0.8788070654414144</v>
      </c>
      <c r="Q662" s="49">
        <f>IFERROR(IF(Data_Entry!V651/Data_Entry!$H651&lt;0,0,Data_Entry!V651/Data_Entry!$H651),0)</f>
        <v>0.79594811355693817</v>
      </c>
      <c r="R662" s="49">
        <f>IFERROR(IF(Data_Entry!W651/Data_Entry!$H651&lt;0,0,Data_Entry!W651/Data_Entry!$H651),0)</f>
        <v>0.85872004680275349</v>
      </c>
      <c r="S662" s="49">
        <f>IFERROR(IF(Data_Entry!X651/Data_Entry!$H651&lt;0,0,Data_Entry!X651/Data_Entry!$H651),0)</f>
        <v>0.81101337753593383</v>
      </c>
      <c r="T662" s="49">
        <f>IFERROR(IF(Data_Entry!Y651/Data_Entry!$H651&lt;0,0,Data_Entry!Y651/Data_Entry!$H651),0)</f>
        <v>0.15567439444962197</v>
      </c>
      <c r="U662" s="49">
        <f>IFERROR(IF(Data_Entry!Z651/Data_Entry!$H651&lt;0,0,Data_Entry!Z651/Data_Entry!$H651),0)</f>
        <v>0.78590460423760777</v>
      </c>
      <c r="V662" s="49">
        <f>IFERROR(IF(Data_Entry!AA651/Data_Entry!$H651&lt;0,0,Data_Entry!AA651/Data_Entry!$H651),0)</f>
        <v>0.85872004680275349</v>
      </c>
      <c r="W662" s="49">
        <f>IFERROR(IF(Data_Entry!AB651/Data_Entry!$H651&lt;0,0,Data_Entry!AB651/Data_Entry!$H651),0)</f>
        <v>0.81101337753593383</v>
      </c>
      <c r="X662" s="49">
        <f>IFERROR(IF(Data_Entry!AC651/Data_Entry!$I651&lt;0,0,Data_Entry!AC651/Data_Entry!$I651),0)</f>
        <v>0.14239813056813203</v>
      </c>
      <c r="Y662" s="49">
        <f>IFERROR(IF(Data_Entry!AD651/Data_Entry!$I651&lt;0,0,Data_Entry!AD651/Data_Entry!$I651),0)</f>
        <v>9.2011099751716077E-2</v>
      </c>
      <c r="Z662" s="49">
        <f>IFERROR(IF(Data_Entry!AE651/Data_Entry!$I651&lt;0,0,Data_Entry!AE651/Data_Entry!$I651),0)</f>
        <v>7.8866656930042356E-2</v>
      </c>
      <c r="AA662" s="49">
        <f>IFERROR(IF(Data_Entry!AF651/Data_Entry!$I651&lt;0,0,Data_Entry!AF651/Data_Entry!$I651),0)</f>
        <v>6.3531473638089669E-2</v>
      </c>
      <c r="AB662" s="49">
        <f>IFERROR(IF(Data_Entry!AG651/Data_Entry!$I651&lt;0,0,Data_Entry!AG651/Data_Entry!$I651),0)</f>
        <v>6.3531473638089669E-2</v>
      </c>
      <c r="AC662" s="49">
        <f>IFERROR(IF(Data_Entry!AI651/Data_Entry!$I651&lt;0,0,Data_Entry!AI651/Data_Entry!$I651),0)</f>
        <v>0.12772016941726302</v>
      </c>
      <c r="AD662" s="49">
        <f>IFERROR(IF(Data_Entry!AM651/Data_Entry!$H651&lt;0,0,Data_Entry!AM651/Data_Entry!$H651),0)</f>
        <v>0.78590460423760777</v>
      </c>
      <c r="AE662" s="50">
        <f>Data_Entry!AK651</f>
        <v>60.26716666666664</v>
      </c>
      <c r="AF662" s="50">
        <f>Data_Entry!AL651</f>
        <v>15</v>
      </c>
      <c r="AG662" s="153">
        <f>(Data_Entry!O651-Data_Entry!Q651)/Data_Entry!O651</f>
        <v>2.9585798816568046E-2</v>
      </c>
      <c r="AH662" s="79" t="str">
        <f t="shared" si="20"/>
        <v>CAT3</v>
      </c>
      <c r="AI662" s="51">
        <f>SUBTOTAL(3,Tableau1[[#This Row],[ZS]])</f>
        <v>0</v>
      </c>
      <c r="AJ662" s="51" t="e">
        <f t="shared" ca="1" si="21"/>
        <v>#NAME?</v>
      </c>
      <c r="AK662" s="50" t="str">
        <f>IFERROR(IF((Data_Entry!O651-Data_Entry!Q651)/Data_Entry!O651&lt;=10%,"&lt;=10%","&gt;10%"),"&lt;=10%")</f>
        <v>&lt;=10%</v>
      </c>
    </row>
    <row r="663" spans="1:37" s="48" customFormat="1" ht="13" hidden="1" x14ac:dyDescent="0.3">
      <c r="A663" s="31" t="s">
        <v>16</v>
      </c>
      <c r="B663" s="48" t="str">
        <f>Data_Entry!B652</f>
        <v>Butembo</v>
      </c>
      <c r="C663" s="48" t="str">
        <f>Data_Entry!C652</f>
        <v xml:space="preserve"> Vuhovi</v>
      </c>
      <c r="D663" s="48" t="str">
        <f>Data_Entry!D652</f>
        <v xml:space="preserve"> Vuhovi</v>
      </c>
      <c r="E663" s="49">
        <f>IFERROR(IF(Data_Entry!J652/Data_Entry!$I652&lt;0,0,Data_Entry!J652/Data_Entry!$I652),0)</f>
        <v>0.94110854503464214</v>
      </c>
      <c r="F663" s="49">
        <f>IFERROR(IF(Data_Entry!K652/Data_Entry!$H652&lt;0,0,Data_Entry!K652/Data_Entry!$H652),0)</f>
        <v>1.7304472693343569</v>
      </c>
      <c r="G663" s="49">
        <f>IFERROR(IF(Data_Entry!L652/Data_Entry!$H652&lt;0,0,Data_Entry!L652/Data_Entry!$H652),0)</f>
        <v>1.0025344600541304</v>
      </c>
      <c r="H663" s="49">
        <f>IFERROR(IF(Data_Entry!M652/Data_Entry!$H652&lt;0,0,Data_Entry!M652/Data_Entry!$H652),0)</f>
        <v>0.92643448453847022</v>
      </c>
      <c r="I663" s="49">
        <f>IFERROR(IF(Data_Entry!N652/Data_Entry!$H652&lt;0,0,Data_Entry!N652/Data_Entry!$H652),0)</f>
        <v>1.0025344600541304</v>
      </c>
      <c r="J663" s="49">
        <f>IFERROR(IF(Data_Entry!O652/Data_Entry!$H652&lt;0,0,Data_Entry!O652/Data_Entry!$H652),0)</f>
        <v>0.98929968170358074</v>
      </c>
      <c r="K663" s="49">
        <f>IFERROR(IF(Data_Entry!P652/Data_Entry!$H652&lt;0,0,Data_Entry!P652/Data_Entry!$H652),0)</f>
        <v>0.86026059278572242</v>
      </c>
      <c r="L663" s="49">
        <f>IFERROR(IF(Data_Entry!Q652/Data_Entry!$H652&lt;0,0,Data_Entry!Q652/Data_Entry!$H652),0)</f>
        <v>0.98268229252830597</v>
      </c>
      <c r="M663" s="49">
        <f>IFERROR(IF(Data_Entry!R652/Data_Entry!$H652&lt;0,0,Data_Entry!R652/Data_Entry!$H652),0)</f>
        <v>1.0025344600541304</v>
      </c>
      <c r="N663" s="49">
        <f>IFERROR(IF(Data_Entry!S652/Data_Entry!$H652&lt;0,0,Data_Entry!S652/Data_Entry!$H652),0)</f>
        <v>0.92643448453847022</v>
      </c>
      <c r="O663" s="49">
        <f>IFERROR(IF(Data_Entry!T652/Data_Entry!$H652&lt;0,0,Data_Entry!T652/Data_Entry!$H652),0)</f>
        <v>1.0025344600541304</v>
      </c>
      <c r="P663" s="49">
        <f>IFERROR(IF(Data_Entry!U652/Data_Entry!$H652&lt;0,0,Data_Entry!U652/Data_Entry!$H652),0)</f>
        <v>0.98268229252830597</v>
      </c>
      <c r="Q663" s="49">
        <f>IFERROR(IF(Data_Entry!V652/Data_Entry!$H652&lt;0,0,Data_Entry!V652/Data_Entry!$H652),0)</f>
        <v>0.86687798196099719</v>
      </c>
      <c r="R663" s="49">
        <f>IFERROR(IF(Data_Entry!W652/Data_Entry!$H652&lt;0,0,Data_Entry!W652/Data_Entry!$H652),0)</f>
        <v>0.96283012500248155</v>
      </c>
      <c r="S663" s="49">
        <f>IFERROR(IF(Data_Entry!X652/Data_Entry!$H652&lt;0,0,Data_Entry!X652/Data_Entry!$H652),0)</f>
        <v>0.98929968170358074</v>
      </c>
      <c r="T663" s="49">
        <f>IFERROR(IF(Data_Entry!Y652/Data_Entry!$H652&lt;0,0,Data_Entry!Y652/Data_Entry!$H652),0)</f>
        <v>0.88011276031154673</v>
      </c>
      <c r="U663" s="49">
        <f>IFERROR(IF(Data_Entry!Z652/Data_Entry!$H652&lt;0,0,Data_Entry!Z652/Data_Entry!$H652),0)</f>
        <v>0.98929968170358074</v>
      </c>
      <c r="V663" s="49">
        <f>IFERROR(IF(Data_Entry!AA652/Data_Entry!$H652&lt;0,0,Data_Entry!AA652/Data_Entry!$H652),0)</f>
        <v>1.0025344600541304</v>
      </c>
      <c r="W663" s="49">
        <f>IFERROR(IF(Data_Entry!AB652/Data_Entry!$H652&lt;0,0,Data_Entry!AB652/Data_Entry!$H652),0)</f>
        <v>0.98929968170358074</v>
      </c>
      <c r="X663" s="49">
        <f>IFERROR(IF(Data_Entry!AC652/Data_Entry!$I652&lt;0,0,Data_Entry!AC652/Data_Entry!$I652),0)</f>
        <v>0.19053117782909931</v>
      </c>
      <c r="Y663" s="49">
        <f>IFERROR(IF(Data_Entry!AD652/Data_Entry!$I652&lt;0,0,Data_Entry!AD652/Data_Entry!$I652),0)</f>
        <v>0.33198614318706698</v>
      </c>
      <c r="Z663" s="49">
        <f>IFERROR(IF(Data_Entry!AE652/Data_Entry!$I652&lt;0,0,Data_Entry!AE652/Data_Entry!$I652),0)</f>
        <v>0.27136258660508084</v>
      </c>
      <c r="AA663" s="49">
        <f>IFERROR(IF(Data_Entry!AF652/Data_Entry!$I652&lt;0,0,Data_Entry!AF652/Data_Entry!$I652),0)</f>
        <v>0.19053117782909931</v>
      </c>
      <c r="AB663" s="49">
        <f>IFERROR(IF(Data_Entry!AG652/Data_Entry!$I652&lt;0,0,Data_Entry!AG652/Data_Entry!$I652),0)</f>
        <v>0.15011547344110857</v>
      </c>
      <c r="AC663" s="49">
        <f>IFERROR(IF(Data_Entry!AI652/Data_Entry!$I652&lt;0,0,Data_Entry!AI652/Data_Entry!$I652),0)</f>
        <v>0.16830254041570439</v>
      </c>
      <c r="AD663" s="49">
        <f>IFERROR(IF(Data_Entry!AM652/Data_Entry!$H652&lt;0,0,Data_Entry!AM652/Data_Entry!$H652),0)</f>
        <v>0.98929968170358074</v>
      </c>
      <c r="AE663" s="50">
        <f>Data_Entry!AK652</f>
        <v>3.2339999999999804</v>
      </c>
      <c r="AF663" s="50">
        <f>Data_Entry!AL652</f>
        <v>0</v>
      </c>
      <c r="AG663" s="153">
        <f>(Data_Entry!O652-Data_Entry!Q652)/Data_Entry!O652</f>
        <v>6.688963210702341E-3</v>
      </c>
      <c r="AH663" s="79" t="str">
        <f t="shared" si="20"/>
        <v>CAT1</v>
      </c>
      <c r="AI663" s="51">
        <f>SUBTOTAL(3,Tableau1[[#This Row],[ZS]])</f>
        <v>0</v>
      </c>
      <c r="AJ663" s="51" t="e">
        <f t="shared" ca="1" si="21"/>
        <v>#NAME?</v>
      </c>
      <c r="AK663" s="50" t="str">
        <f>IFERROR(IF((Data_Entry!O652-Data_Entry!Q652)/Data_Entry!O652&lt;=10%,"&lt;=10%","&gt;10%"),"&lt;=10%")</f>
        <v>&lt;=10%</v>
      </c>
    </row>
    <row r="664" spans="1:37" s="48" customFormat="1" ht="13" hidden="1" x14ac:dyDescent="0.3">
      <c r="A664" s="31" t="s">
        <v>16</v>
      </c>
      <c r="B664" s="48" t="str">
        <f>Data_Entry!B653</f>
        <v>Goma</v>
      </c>
      <c r="C664" s="48" t="str">
        <f>Data_Entry!C653</f>
        <v xml:space="preserve"> Walikale</v>
      </c>
      <c r="D664" s="48" t="str">
        <f>Data_Entry!D653</f>
        <v xml:space="preserve"> 8ème CEPAC</v>
      </c>
      <c r="E664" s="49">
        <f>IFERROR(IF(Data_Entry!J653/Data_Entry!$I653&lt;0,0,Data_Entry!J653/Data_Entry!$I653),0)</f>
        <v>2.6110469147215163</v>
      </c>
      <c r="F664" s="49">
        <f>IFERROR(IF(Data_Entry!K653/Data_Entry!$H653&lt;0,0,Data_Entry!K653/Data_Entry!$H653),0)</f>
        <v>3.3311193856394476</v>
      </c>
      <c r="G664" s="49">
        <f>IFERROR(IF(Data_Entry!L653/Data_Entry!$H653&lt;0,0,Data_Entry!L653/Data_Entry!$H653),0)</f>
        <v>1.4239899663802218</v>
      </c>
      <c r="H664" s="49">
        <f>IFERROR(IF(Data_Entry!M653/Data_Entry!$H653&lt;0,0,Data_Entry!M653/Data_Entry!$H653),0)</f>
        <v>1.2237413773580033</v>
      </c>
      <c r="I664" s="49">
        <f>IFERROR(IF(Data_Entry!N653/Data_Entry!$H653&lt;0,0,Data_Entry!N653/Data_Entry!$H653),0)</f>
        <v>1.0505104551086235</v>
      </c>
      <c r="J664" s="49">
        <f>IFERROR(IF(Data_Entry!O653/Data_Entry!$H653&lt;0,0,Data_Entry!O653/Data_Entry!$H653),0)</f>
        <v>1.4239899663802218</v>
      </c>
      <c r="K664" s="49">
        <f>IFERROR(IF(Data_Entry!P653/Data_Entry!$H653&lt;0,0,Data_Entry!P653/Data_Entry!$H653),0)</f>
        <v>1.2237413773580033</v>
      </c>
      <c r="L664" s="49">
        <f>IFERROR(IF(Data_Entry!Q653/Data_Entry!$H653&lt;0,0,Data_Entry!Q653/Data_Entry!$H653),0)</f>
        <v>1.0505104551086235</v>
      </c>
      <c r="M664" s="49">
        <f>IFERROR(IF(Data_Entry!R653/Data_Entry!$H653&lt;0,0,Data_Entry!R653/Data_Entry!$H653),0)</f>
        <v>1.4239899663802218</v>
      </c>
      <c r="N664" s="49">
        <f>IFERROR(IF(Data_Entry!S653/Data_Entry!$H653&lt;0,0,Data_Entry!S653/Data_Entry!$H653),0)</f>
        <v>1.2237413773580033</v>
      </c>
      <c r="O664" s="49">
        <f>IFERROR(IF(Data_Entry!T653/Data_Entry!$H653&lt;0,0,Data_Entry!T653/Data_Entry!$H653),0)</f>
        <v>0.99329657253084669</v>
      </c>
      <c r="P664" s="49">
        <f>IFERROR(IF(Data_Entry!U653/Data_Entry!$H653&lt;0,0,Data_Entry!U653/Data_Entry!$H653),0)</f>
        <v>1.3826688289629387</v>
      </c>
      <c r="Q664" s="49">
        <f>IFERROR(IF(Data_Entry!V653/Data_Entry!$H653&lt;0,0,Data_Entry!V653/Data_Entry!$H653),0)</f>
        <v>1.1522240241357822</v>
      </c>
      <c r="R664" s="49">
        <f>IFERROR(IF(Data_Entry!W653/Data_Entry!$H653&lt;0,0,Data_Entry!W653/Data_Entry!$H653),0)</f>
        <v>0.98693947446664931</v>
      </c>
      <c r="S664" s="49">
        <f>IFERROR(IF(Data_Entry!X653/Data_Entry!$H653&lt;0,0,Data_Entry!X653/Data_Entry!$H653),0)</f>
        <v>0.89476155253578671</v>
      </c>
      <c r="T664" s="49">
        <f>IFERROR(IF(Data_Entry!Y653/Data_Entry!$H653&lt;0,0,Data_Entry!Y653/Data_Entry!$H653),0)</f>
        <v>0.5594246296493729</v>
      </c>
      <c r="U664" s="49">
        <f>IFERROR(IF(Data_Entry!Z653/Data_Entry!$H653&lt;0,0,Data_Entry!Z653/Data_Entry!$H653),0)</f>
        <v>0.8359583954419606</v>
      </c>
      <c r="V664" s="49">
        <f>IFERROR(IF(Data_Entry!AA653/Data_Entry!$H653&lt;0,0,Data_Entry!AA653/Data_Entry!$H653),0)</f>
        <v>1.1061350631703508</v>
      </c>
      <c r="W664" s="49">
        <f>IFERROR(IF(Data_Entry!AB653/Data_Entry!$H653&lt;0,0,Data_Entry!AB653/Data_Entry!$H653),0)</f>
        <v>0.56101390416542218</v>
      </c>
      <c r="X664" s="49">
        <f>IFERROR(IF(Data_Entry!AC653/Data_Entry!$I653&lt;0,0,Data_Entry!AC653/Data_Entry!$I653),0)</f>
        <v>0.38687312225560438</v>
      </c>
      <c r="Y664" s="49">
        <f>IFERROR(IF(Data_Entry!AD653/Data_Entry!$I653&lt;0,0,Data_Entry!AD653/Data_Entry!$I653),0)</f>
        <v>0.24682227871504508</v>
      </c>
      <c r="Z664" s="49">
        <f>IFERROR(IF(Data_Entry!AE653/Data_Entry!$I653&lt;0,0,Data_Entry!AE653/Data_Entry!$I653),0)</f>
        <v>0.32586087358446963</v>
      </c>
      <c r="AA664" s="49">
        <f>IFERROR(IF(Data_Entry!AF653/Data_Entry!$I653&lt;0,0,Data_Entry!AF653/Data_Entry!$I653),0)</f>
        <v>0.28980818118789003</v>
      </c>
      <c r="AB664" s="49">
        <f>IFERROR(IF(Data_Entry!AG653/Data_Entry!$I653&lt;0,0,Data_Entry!AG653/Data_Entry!$I653),0)</f>
        <v>0.36468685001155537</v>
      </c>
      <c r="AC664" s="49">
        <f>IFERROR(IF(Data_Entry!AI653/Data_Entry!$I653&lt;0,0,Data_Entry!AI653/Data_Entry!$I653),0)</f>
        <v>6.9332100762653115E-2</v>
      </c>
      <c r="AD664" s="49">
        <f>IFERROR(IF(Data_Entry!AM653/Data_Entry!$H653&lt;0,0,Data_Entry!AM653/Data_Entry!$H653),0)</f>
        <v>0.8359583954419606</v>
      </c>
      <c r="AE664" s="50">
        <f>Data_Entry!AK653</f>
        <v>0</v>
      </c>
      <c r="AF664" s="50">
        <f>Data_Entry!AL653</f>
        <v>333</v>
      </c>
      <c r="AG664" s="153">
        <f>(Data_Entry!O653-Data_Entry!Q653)/Data_Entry!O653</f>
        <v>0.2622767857142857</v>
      </c>
      <c r="AH664" s="79" t="str">
        <f t="shared" si="20"/>
        <v>CAT2</v>
      </c>
      <c r="AI664" s="51">
        <f>SUBTOTAL(3,Tableau1[[#This Row],[ZS]])</f>
        <v>0</v>
      </c>
      <c r="AJ664" s="51" t="e">
        <f t="shared" ca="1" si="21"/>
        <v>#NAME?</v>
      </c>
      <c r="AK664" s="50" t="str">
        <f>IFERROR(IF((Data_Entry!O653-Data_Entry!Q653)/Data_Entry!O653&lt;=10%,"&lt;=10%","&gt;10%"),"&lt;=10%")</f>
        <v>&gt;10%</v>
      </c>
    </row>
    <row r="665" spans="1:37" s="48" customFormat="1" ht="13" hidden="1" x14ac:dyDescent="0.3">
      <c r="A665" s="31" t="s">
        <v>16</v>
      </c>
      <c r="B665" s="48" t="str">
        <f>Data_Entry!B654</f>
        <v>Goma</v>
      </c>
      <c r="C665" s="48" t="str">
        <f>Data_Entry!C654</f>
        <v xml:space="preserve"> Walikale</v>
      </c>
      <c r="D665" s="48" t="str">
        <f>Data_Entry!D654</f>
        <v xml:space="preserve"> Bilobilo</v>
      </c>
      <c r="E665" s="49">
        <f>IFERROR(IF(Data_Entry!J654/Data_Entry!$I654&lt;0,0,Data_Entry!J654/Data_Entry!$I654),0)</f>
        <v>0.98660170523751523</v>
      </c>
      <c r="F665" s="49">
        <f>IFERROR(IF(Data_Entry!K654/Data_Entry!$H654&lt;0,0,Data_Entry!K654/Data_Entry!$H654),0)</f>
        <v>1.1536195447771589</v>
      </c>
      <c r="G665" s="49">
        <f>IFERROR(IF(Data_Entry!L654/Data_Entry!$H654&lt;0,0,Data_Entry!L654/Data_Entry!$H654),0)</f>
        <v>1.041938004688721</v>
      </c>
      <c r="H665" s="49">
        <f>IFERROR(IF(Data_Entry!M654/Data_Entry!$H654&lt;0,0,Data_Entry!M654/Data_Entry!$H654),0)</f>
        <v>0.99117366828488562</v>
      </c>
      <c r="I665" s="49">
        <f>IFERROR(IF(Data_Entry!N654/Data_Entry!$H654&lt;0,0,Data_Entry!N654/Data_Entry!$H654),0)</f>
        <v>1.0229013785372827</v>
      </c>
      <c r="J665" s="49">
        <f>IFERROR(IF(Data_Entry!O654/Data_Entry!$H654&lt;0,0,Data_Entry!O654/Data_Entry!$H654),0)</f>
        <v>1.041938004688721</v>
      </c>
      <c r="K665" s="49">
        <f>IFERROR(IF(Data_Entry!P654/Data_Entry!$H654&lt;0,0,Data_Entry!P654/Data_Entry!$H654),0)</f>
        <v>0.99117366828488562</v>
      </c>
      <c r="L665" s="49">
        <f>IFERROR(IF(Data_Entry!Q654/Data_Entry!$H654&lt;0,0,Data_Entry!Q654/Data_Entry!$H654),0)</f>
        <v>1.0229013785372827</v>
      </c>
      <c r="M665" s="49">
        <f>IFERROR(IF(Data_Entry!R654/Data_Entry!$H654&lt;0,0,Data_Entry!R654/Data_Entry!$H654),0)</f>
        <v>1.041938004688721</v>
      </c>
      <c r="N665" s="49">
        <f>IFERROR(IF(Data_Entry!S654/Data_Entry!$H654&lt;0,0,Data_Entry!S654/Data_Entry!$H654),0)</f>
        <v>0.99117366828488562</v>
      </c>
      <c r="O665" s="49">
        <f>IFERROR(IF(Data_Entry!T654/Data_Entry!$H654&lt;0,0,Data_Entry!T654/Data_Entry!$H654),0)</f>
        <v>1.0229013785372827</v>
      </c>
      <c r="P665" s="49">
        <f>IFERROR(IF(Data_Entry!U654/Data_Entry!$H654&lt;0,0,Data_Entry!U654/Data_Entry!$H654),0)</f>
        <v>1.041938004688721</v>
      </c>
      <c r="Q665" s="49">
        <f>IFERROR(IF(Data_Entry!V654/Data_Entry!$H654&lt;0,0,Data_Entry!V654/Data_Entry!$H654),0)</f>
        <v>0.99117366828488562</v>
      </c>
      <c r="R665" s="49">
        <f>IFERROR(IF(Data_Entry!W654/Data_Entry!$H654&lt;0,0,Data_Entry!W654/Data_Entry!$H654),0)</f>
        <v>1.0229013785372827</v>
      </c>
      <c r="S665" s="49">
        <f>IFERROR(IF(Data_Entry!X654/Data_Entry!$H654&lt;0,0,Data_Entry!X654/Data_Entry!$H654),0)</f>
        <v>0.91629627208922848</v>
      </c>
      <c r="T665" s="49">
        <f>IFERROR(IF(Data_Entry!Y654/Data_Entry!$H654&lt;0,0,Data_Entry!Y654/Data_Entry!$H654),0)</f>
        <v>1.0495526551492964</v>
      </c>
      <c r="U665" s="49">
        <f>IFERROR(IF(Data_Entry!Z654/Data_Entry!$H654&lt;0,0,Data_Entry!Z654/Data_Entry!$H654),0)</f>
        <v>0.88837588706711901</v>
      </c>
      <c r="V665" s="49">
        <f>IFERROR(IF(Data_Entry!AA654/Data_Entry!$H654&lt;0,0,Data_Entry!AA654/Data_Entry!$H654),0)</f>
        <v>1.0229013785372827</v>
      </c>
      <c r="W665" s="49">
        <f>IFERROR(IF(Data_Entry!AB654/Data_Entry!$H654&lt;0,0,Data_Entry!AB654/Data_Entry!$H654),0)</f>
        <v>0.94421665711133795</v>
      </c>
      <c r="X665" s="49">
        <f>IFERROR(IF(Data_Entry!AC654/Data_Entry!$I654&lt;0,0,Data_Entry!AC654/Data_Entry!$I654),0)</f>
        <v>0.40969992248920384</v>
      </c>
      <c r="Y665" s="49">
        <f>IFERROR(IF(Data_Entry!AD654/Data_Entry!$I654&lt;0,0,Data_Entry!AD654/Data_Entry!$I654),0)</f>
        <v>0.25024914184475694</v>
      </c>
      <c r="Z665" s="49">
        <f>IFERROR(IF(Data_Entry!AE654/Data_Entry!$I654&lt;0,0,Data_Entry!AE654/Data_Entry!$I654),0)</f>
        <v>0.20263536706898461</v>
      </c>
      <c r="AA665" s="49">
        <f>IFERROR(IF(Data_Entry!AF654/Data_Entry!$I654&lt;0,0,Data_Entry!AF654/Data_Entry!$I654),0)</f>
        <v>0.146163215590743</v>
      </c>
      <c r="AB665" s="49">
        <f>IFERROR(IF(Data_Entry!AG654/Data_Entry!$I654&lt;0,0,Data_Entry!AG654/Data_Entry!$I654),0)</f>
        <v>9.3012955375927353E-2</v>
      </c>
      <c r="AC665" s="49">
        <f>IFERROR(IF(Data_Entry!AI654/Data_Entry!$I654&lt;0,0,Data_Entry!AI654/Data_Entry!$I654),0)</f>
        <v>5.071420662163658E-2</v>
      </c>
      <c r="AD665" s="49">
        <f>IFERROR(IF(Data_Entry!AM654/Data_Entry!$H654&lt;0,0,Data_Entry!AM654/Data_Entry!$H654),0)</f>
        <v>0.88837588706711901</v>
      </c>
      <c r="AE665" s="50">
        <f>Data_Entry!AK654</f>
        <v>0</v>
      </c>
      <c r="AF665" s="50">
        <f>Data_Entry!AL654</f>
        <v>99</v>
      </c>
      <c r="AG665" s="153">
        <f>(Data_Entry!O654-Data_Entry!Q654)/Data_Entry!O654</f>
        <v>1.8270401948842874E-2</v>
      </c>
      <c r="AH665" s="79" t="str">
        <f t="shared" si="20"/>
        <v>CAT1</v>
      </c>
      <c r="AI665" s="51">
        <f>SUBTOTAL(3,Tableau1[[#This Row],[ZS]])</f>
        <v>0</v>
      </c>
      <c r="AJ665" s="51" t="e">
        <f t="shared" ca="1" si="21"/>
        <v>#NAME?</v>
      </c>
      <c r="AK665" s="50" t="str">
        <f>IFERROR(IF((Data_Entry!O654-Data_Entry!Q654)/Data_Entry!O654&lt;=10%,"&lt;=10%","&gt;10%"),"&lt;=10%")</f>
        <v>&lt;=10%</v>
      </c>
    </row>
    <row r="666" spans="1:37" s="48" customFormat="1" ht="13" hidden="1" x14ac:dyDescent="0.3">
      <c r="A666" s="31" t="s">
        <v>16</v>
      </c>
      <c r="B666" s="48" t="str">
        <f>Data_Entry!B655</f>
        <v>Goma</v>
      </c>
      <c r="C666" s="48" t="str">
        <f>Data_Entry!C655</f>
        <v xml:space="preserve"> Walikale</v>
      </c>
      <c r="D666" s="48" t="str">
        <f>Data_Entry!D655</f>
        <v xml:space="preserve"> Biruwe</v>
      </c>
      <c r="E666" s="49">
        <f>IFERROR(IF(Data_Entry!J655/Data_Entry!$I655&lt;0,0,Data_Entry!J655/Data_Entry!$I655),0)</f>
        <v>1.1954941860465116</v>
      </c>
      <c r="F666" s="49">
        <f>IFERROR(IF(Data_Entry!K655/Data_Entry!$H655&lt;0,0,Data_Entry!K655/Data_Entry!$H655),0)</f>
        <v>0.28736589591523953</v>
      </c>
      <c r="G666" s="49">
        <f>IFERROR(IF(Data_Entry!L655/Data_Entry!$H655&lt;0,0,Data_Entry!L655/Data_Entry!$H655),0)</f>
        <v>1.0703338442060371</v>
      </c>
      <c r="H666" s="49">
        <f>IFERROR(IF(Data_Entry!M655/Data_Entry!$H655&lt;0,0,Data_Entry!M655/Data_Entry!$H655),0)</f>
        <v>0.97454521223429058</v>
      </c>
      <c r="I666" s="49">
        <f>IFERROR(IF(Data_Entry!N655/Data_Entry!$H655&lt;0,0,Data_Entry!N655/Data_Entry!$H655),0)</f>
        <v>0.94122742720063957</v>
      </c>
      <c r="J666" s="49">
        <f>IFERROR(IF(Data_Entry!O655/Data_Entry!$H655&lt;0,0,Data_Entry!O655/Data_Entry!$H655),0)</f>
        <v>1.0703338442060371</v>
      </c>
      <c r="K666" s="49">
        <f>IFERROR(IF(Data_Entry!P655/Data_Entry!$H655&lt;0,0,Data_Entry!P655/Data_Entry!$H655),0)</f>
        <v>0.98703938162190963</v>
      </c>
      <c r="L666" s="49">
        <f>IFERROR(IF(Data_Entry!Q655/Data_Entry!$H655&lt;0,0,Data_Entry!Q655/Data_Entry!$H655),0)</f>
        <v>0.94955687345905238</v>
      </c>
      <c r="M666" s="49">
        <f>IFERROR(IF(Data_Entry!R655/Data_Entry!$H655&lt;0,0,Data_Entry!R655/Data_Entry!$H655),0)</f>
        <v>1.045345505430799</v>
      </c>
      <c r="N666" s="49">
        <f>IFERROR(IF(Data_Entry!S655/Data_Entry!$H655&lt;0,0,Data_Entry!S655/Data_Entry!$H655),0)</f>
        <v>0.99120410475111609</v>
      </c>
      <c r="O666" s="49">
        <f>IFERROR(IF(Data_Entry!T655/Data_Entry!$H655&lt;0,0,Data_Entry!T655/Data_Entry!$H655),0)</f>
        <v>0.95788631971746507</v>
      </c>
      <c r="P666" s="49">
        <f>IFERROR(IF(Data_Entry!U655/Data_Entry!$H655&lt;0,0,Data_Entry!U655/Data_Entry!$H655),0)</f>
        <v>1.0703338442060371</v>
      </c>
      <c r="Q666" s="49">
        <f>IFERROR(IF(Data_Entry!V655/Data_Entry!$H655&lt;0,0,Data_Entry!V655/Data_Entry!$H655),0)</f>
        <v>0.96205104284667142</v>
      </c>
      <c r="R666" s="49">
        <f>IFERROR(IF(Data_Entry!W655/Data_Entry!$H655&lt;0,0,Data_Entry!W655/Data_Entry!$H655),0)</f>
        <v>0.94122742720063957</v>
      </c>
      <c r="S666" s="49">
        <f>IFERROR(IF(Data_Entry!X655/Data_Entry!$H655&lt;0,0,Data_Entry!X655/Data_Entry!$H655),0)</f>
        <v>0.84543879522889309</v>
      </c>
      <c r="T666" s="49">
        <f>IFERROR(IF(Data_Entry!Y655/Data_Entry!$H655&lt;0,0,Data_Entry!Y655/Data_Entry!$H655),0)</f>
        <v>0.59139068434730457</v>
      </c>
      <c r="U666" s="49">
        <f>IFERROR(IF(Data_Entry!Z655/Data_Entry!$H655&lt;0,0,Data_Entry!Z655/Data_Entry!$H655),0)</f>
        <v>0.82461517958286124</v>
      </c>
      <c r="V666" s="49">
        <f>IFERROR(IF(Data_Entry!AA655/Data_Entry!$H655&lt;0,0,Data_Entry!AA655/Data_Entry!$H655),0)</f>
        <v>0.94122742720063957</v>
      </c>
      <c r="W666" s="49">
        <f>IFERROR(IF(Data_Entry!AB655/Data_Entry!$H655&lt;0,0,Data_Entry!AB655/Data_Entry!$H655),0)</f>
        <v>0.75381488638635297</v>
      </c>
      <c r="X666" s="49">
        <f>IFERROR(IF(Data_Entry!AC655/Data_Entry!$I655&lt;0,0,Data_Entry!AC655/Data_Entry!$I655),0)</f>
        <v>0.60319767441860472</v>
      </c>
      <c r="Y666" s="49">
        <f>IFERROR(IF(Data_Entry!AD655/Data_Entry!$I655&lt;0,0,Data_Entry!AD655/Data_Entry!$I655),0)</f>
        <v>0.45058139534883723</v>
      </c>
      <c r="Z666" s="49">
        <f>IFERROR(IF(Data_Entry!AE655/Data_Entry!$I655&lt;0,0,Data_Entry!AE655/Data_Entry!$I655),0)</f>
        <v>0.35973837209302328</v>
      </c>
      <c r="AA666" s="49">
        <f>IFERROR(IF(Data_Entry!AF655/Data_Entry!$I655&lt;0,0,Data_Entry!AF655/Data_Entry!$I655),0)</f>
        <v>0.17805232558139536</v>
      </c>
      <c r="AB666" s="49">
        <f>IFERROR(IF(Data_Entry!AG655/Data_Entry!$I655&lt;0,0,Data_Entry!AG655/Data_Entry!$I655),0)</f>
        <v>0.10537790697674419</v>
      </c>
      <c r="AC666" s="49">
        <f>IFERROR(IF(Data_Entry!AI655/Data_Entry!$I655&lt;0,0,Data_Entry!AI655/Data_Entry!$I655),0)</f>
        <v>0.18168604651162792</v>
      </c>
      <c r="AD666" s="49">
        <f>IFERROR(IF(Data_Entry!AM655/Data_Entry!$H655&lt;0,0,Data_Entry!AM655/Data_Entry!$H655),0)</f>
        <v>0.82461517958286124</v>
      </c>
      <c r="AE666" s="50">
        <f>Data_Entry!AK655</f>
        <v>0</v>
      </c>
      <c r="AF666" s="50">
        <f>Data_Entry!AL655</f>
        <v>54</v>
      </c>
      <c r="AG666" s="153">
        <f>(Data_Entry!O655-Data_Entry!Q655)/Data_Entry!O655</f>
        <v>0.11284046692607004</v>
      </c>
      <c r="AH666" s="79" t="str">
        <f t="shared" si="20"/>
        <v>CAT2</v>
      </c>
      <c r="AI666" s="51">
        <f>SUBTOTAL(3,Tableau1[[#This Row],[ZS]])</f>
        <v>0</v>
      </c>
      <c r="AJ666" s="51" t="e">
        <f t="shared" ca="1" si="21"/>
        <v>#NAME?</v>
      </c>
      <c r="AK666" s="50" t="str">
        <f>IFERROR(IF((Data_Entry!O655-Data_Entry!Q655)/Data_Entry!O655&lt;=10%,"&lt;=10%","&gt;10%"),"&lt;=10%")</f>
        <v>&gt;10%</v>
      </c>
    </row>
    <row r="667" spans="1:37" s="48" customFormat="1" ht="13" hidden="1" x14ac:dyDescent="0.3">
      <c r="A667" s="31" t="s">
        <v>16</v>
      </c>
      <c r="B667" s="48" t="str">
        <f>Data_Entry!B656</f>
        <v>Goma</v>
      </c>
      <c r="C667" s="48" t="str">
        <f>Data_Entry!C656</f>
        <v xml:space="preserve"> Walikale</v>
      </c>
      <c r="D667" s="48" t="str">
        <f>Data_Entry!D656</f>
        <v xml:space="preserve"> Bisie</v>
      </c>
      <c r="E667" s="49">
        <f>IFERROR(IF(Data_Entry!J656/Data_Entry!$I656&lt;0,0,Data_Entry!J656/Data_Entry!$I656),0)</f>
        <v>1.2175079657890322</v>
      </c>
      <c r="F667" s="49">
        <f>IFERROR(IF(Data_Entry!K656/Data_Entry!$H656&lt;0,0,Data_Entry!K656/Data_Entry!$H656),0)</f>
        <v>1.4473205589194491</v>
      </c>
      <c r="G667" s="49">
        <f>IFERROR(IF(Data_Entry!L656/Data_Entry!$H656&lt;0,0,Data_Entry!L656/Data_Entry!$H656),0)</f>
        <v>1.4300219068208104</v>
      </c>
      <c r="H667" s="49">
        <f>IFERROR(IF(Data_Entry!M656/Data_Entry!$H656&lt;0,0,Data_Entry!M656/Data_Entry!$H656),0)</f>
        <v>1.2916326900316997</v>
      </c>
      <c r="I667" s="49">
        <f>IFERROR(IF(Data_Entry!N656/Data_Entry!$H656&lt;0,0,Data_Entry!N656/Data_Entry!$H656),0)</f>
        <v>1.3781259505248937</v>
      </c>
      <c r="J667" s="49">
        <f>IFERROR(IF(Data_Entry!O656/Data_Entry!$H656&lt;0,0,Data_Entry!O656/Data_Entry!$H656),0)</f>
        <v>1.4300219068208104</v>
      </c>
      <c r="K667" s="49">
        <f>IFERROR(IF(Data_Entry!P656/Data_Entry!$H656&lt;0,0,Data_Entry!P656/Data_Entry!$H656),0)</f>
        <v>1.2858664726654867</v>
      </c>
      <c r="L667" s="49">
        <f>IFERROR(IF(Data_Entry!Q656/Data_Entry!$H656&lt;0,0,Data_Entry!Q656/Data_Entry!$H656),0)</f>
        <v>1.3781259505248937</v>
      </c>
      <c r="M667" s="49">
        <f>IFERROR(IF(Data_Entry!R656/Data_Entry!$H656&lt;0,0,Data_Entry!R656/Data_Entry!$H656),0)</f>
        <v>1.4357881241870232</v>
      </c>
      <c r="N667" s="49">
        <f>IFERROR(IF(Data_Entry!S656/Data_Entry!$H656&lt;0,0,Data_Entry!S656/Data_Entry!$H656),0)</f>
        <v>1.2916326900316997</v>
      </c>
      <c r="O667" s="49">
        <f>IFERROR(IF(Data_Entry!T656/Data_Entry!$H656&lt;0,0,Data_Entry!T656/Data_Entry!$H656),0)</f>
        <v>1.3781259505248937</v>
      </c>
      <c r="P667" s="49">
        <f>IFERROR(IF(Data_Entry!U656/Data_Entry!$H656&lt;0,0,Data_Entry!U656/Data_Entry!$H656),0)</f>
        <v>1.4242556894545975</v>
      </c>
      <c r="Q667" s="49">
        <f>IFERROR(IF(Data_Entry!V656/Data_Entry!$H656&lt;0,0,Data_Entry!V656/Data_Entry!$H656),0)</f>
        <v>1.3089313421303386</v>
      </c>
      <c r="R667" s="49">
        <f>IFERROR(IF(Data_Entry!W656/Data_Entry!$H656&lt;0,0,Data_Entry!W656/Data_Entry!$H656),0)</f>
        <v>1.4357881241870232</v>
      </c>
      <c r="S667" s="49">
        <f>IFERROR(IF(Data_Entry!X656/Data_Entry!$H656&lt;0,0,Data_Entry!X656/Data_Entry!$H656),0)</f>
        <v>1.1878407774398667</v>
      </c>
      <c r="T667" s="49">
        <f>IFERROR(IF(Data_Entry!Y656/Data_Entry!$H656&lt;0,0,Data_Entry!Y656/Data_Entry!$H656),0)</f>
        <v>0.65734877974827566</v>
      </c>
      <c r="U667" s="49">
        <f>IFERROR(IF(Data_Entry!Z656/Data_Entry!$H656&lt;0,0,Data_Entry!Z656/Data_Entry!$H656),0)</f>
        <v>1.2455029511019962</v>
      </c>
      <c r="V667" s="49">
        <f>IFERROR(IF(Data_Entry!AA656/Data_Entry!$H656&lt;0,0,Data_Entry!AA656/Data_Entry!$H656),0)</f>
        <v>1.3781259505248937</v>
      </c>
      <c r="W667" s="49">
        <f>IFERROR(IF(Data_Entry!AB656/Data_Entry!$H656&lt;0,0,Data_Entry!AB656/Data_Entry!$H656),0)</f>
        <v>0.84186773546708993</v>
      </c>
      <c r="X667" s="49">
        <f>IFERROR(IF(Data_Entry!AC656/Data_Entry!$I656&lt;0,0,Data_Entry!AC656/Data_Entry!$I656),0)</f>
        <v>0.58862988428643293</v>
      </c>
      <c r="Y667" s="49">
        <f>IFERROR(IF(Data_Entry!AD656/Data_Entry!$I656&lt;0,0,Data_Entry!AD656/Data_Entry!$I656),0)</f>
        <v>0.24148918329699814</v>
      </c>
      <c r="Z667" s="49">
        <f>IFERROR(IF(Data_Entry!AE656/Data_Entry!$I656&lt;0,0,Data_Entry!AE656/Data_Entry!$I656),0)</f>
        <v>0.17105483816870701</v>
      </c>
      <c r="AA667" s="49">
        <f>IFERROR(IF(Data_Entry!AF656/Data_Entry!$I656&lt;0,0,Data_Entry!AF656/Data_Entry!$I656),0)</f>
        <v>0.14589971490860304</v>
      </c>
      <c r="AB667" s="49">
        <f>IFERROR(IF(Data_Entry!AG656/Data_Entry!$I656&lt;0,0,Data_Entry!AG656/Data_Entry!$I656),0)</f>
        <v>0.10565151769243669</v>
      </c>
      <c r="AC667" s="49">
        <f>IFERROR(IF(Data_Entry!AI656/Data_Entry!$I656&lt;0,0,Data_Entry!AI656/Data_Entry!$I656),0)</f>
        <v>0.20979372798926715</v>
      </c>
      <c r="AD667" s="49">
        <f>IFERROR(IF(Data_Entry!AM656/Data_Entry!$H656&lt;0,0,Data_Entry!AM656/Data_Entry!$H656),0)</f>
        <v>1.1878407774398667</v>
      </c>
      <c r="AE667" s="50">
        <f>Data_Entry!AK656</f>
        <v>0</v>
      </c>
      <c r="AF667" s="50">
        <f>Data_Entry!AL656</f>
        <v>42</v>
      </c>
      <c r="AG667" s="153">
        <f>(Data_Entry!O656-Data_Entry!Q656)/Data_Entry!O656</f>
        <v>3.6290322580645164E-2</v>
      </c>
      <c r="AH667" s="79" t="str">
        <f t="shared" si="20"/>
        <v>CAT1</v>
      </c>
      <c r="AI667" s="51">
        <f>SUBTOTAL(3,Tableau1[[#This Row],[ZS]])</f>
        <v>0</v>
      </c>
      <c r="AJ667" s="51" t="e">
        <f t="shared" ca="1" si="21"/>
        <v>#NAME?</v>
      </c>
      <c r="AK667" s="50" t="str">
        <f>IFERROR(IF((Data_Entry!O656-Data_Entry!Q656)/Data_Entry!O656&lt;=10%,"&lt;=10%","&gt;10%"),"&lt;=10%")</f>
        <v>&lt;=10%</v>
      </c>
    </row>
    <row r="668" spans="1:37" s="48" customFormat="1" ht="13" hidden="1" x14ac:dyDescent="0.3">
      <c r="A668" s="31" t="s">
        <v>16</v>
      </c>
      <c r="B668" s="48" t="str">
        <f>Data_Entry!B657</f>
        <v>Goma</v>
      </c>
      <c r="C668" s="48" t="str">
        <f>Data_Entry!C657</f>
        <v xml:space="preserve"> Walikale</v>
      </c>
      <c r="D668" s="48" t="str">
        <f>Data_Entry!D657</f>
        <v xml:space="preserve"> Boboro</v>
      </c>
      <c r="E668" s="49">
        <f>IFERROR(IF(Data_Entry!J657/Data_Entry!$I657&lt;0,0,Data_Entry!J657/Data_Entry!$I657),0)</f>
        <v>0.94719798506791397</v>
      </c>
      <c r="F668" s="49">
        <f>IFERROR(IF(Data_Entry!K657/Data_Entry!$H657&lt;0,0,Data_Entry!K657/Data_Entry!$H657),0)</f>
        <v>0.87529540575586628</v>
      </c>
      <c r="G668" s="49">
        <f>IFERROR(IF(Data_Entry!L657/Data_Entry!$H657&lt;0,0,Data_Entry!L657/Data_Entry!$H657),0)</f>
        <v>1.1381933191454374</v>
      </c>
      <c r="H668" s="49">
        <f>IFERROR(IF(Data_Entry!M657/Data_Entry!$H657&lt;0,0,Data_Entry!M657/Data_Entry!$H657),0)</f>
        <v>1.5990378967342151</v>
      </c>
      <c r="I668" s="49">
        <f>IFERROR(IF(Data_Entry!N657/Data_Entry!$H657&lt;0,0,Data_Entry!N657/Data_Entry!$H657),0)</f>
        <v>1.2990249838072927</v>
      </c>
      <c r="J668" s="49">
        <f>IFERROR(IF(Data_Entry!O657/Data_Entry!$H657&lt;0,0,Data_Entry!O657/Data_Entry!$H657),0)</f>
        <v>1.1381933191454374</v>
      </c>
      <c r="K668" s="49">
        <f>IFERROR(IF(Data_Entry!P657/Data_Entry!$H657&lt;0,0,Data_Entry!P657/Data_Entry!$H657),0)</f>
        <v>1.196958735079577</v>
      </c>
      <c r="L668" s="49">
        <f>IFERROR(IF(Data_Entry!Q657/Data_Entry!$H657&lt;0,0,Data_Entry!Q657/Data_Entry!$H657),0)</f>
        <v>1.2990249838072927</v>
      </c>
      <c r="M668" s="49">
        <f>IFERROR(IF(Data_Entry!R657/Data_Entry!$H657&lt;0,0,Data_Entry!R657/Data_Entry!$H657),0)</f>
        <v>1.1381933191454374</v>
      </c>
      <c r="N668" s="49">
        <f>IFERROR(IF(Data_Entry!S657/Data_Entry!$H657&lt;0,0,Data_Entry!S657/Data_Entry!$H657),0)</f>
        <v>1.14128623577355</v>
      </c>
      <c r="O668" s="49">
        <f>IFERROR(IF(Data_Entry!T657/Data_Entry!$H657&lt;0,0,Data_Entry!T657/Data_Entry!$H657),0)</f>
        <v>1.2990249838072927</v>
      </c>
      <c r="P668" s="49">
        <f>IFERROR(IF(Data_Entry!U657/Data_Entry!$H657&lt;0,0,Data_Entry!U657/Data_Entry!$H657),0)</f>
        <v>1.1381933191454374</v>
      </c>
      <c r="Q668" s="49">
        <f>IFERROR(IF(Data_Entry!V657/Data_Entry!$H657&lt;0,0,Data_Entry!V657/Data_Entry!$H657),0)</f>
        <v>1.14128623577355</v>
      </c>
      <c r="R668" s="49">
        <f>IFERROR(IF(Data_Entry!W657/Data_Entry!$H657&lt;0,0,Data_Entry!W657/Data_Entry!$H657),0)</f>
        <v>1.6361528962715663</v>
      </c>
      <c r="S668" s="49">
        <f>IFERROR(IF(Data_Entry!X657/Data_Entry!$H657&lt;0,0,Data_Entry!X657/Data_Entry!$H657),0)</f>
        <v>1.1320074858892122</v>
      </c>
      <c r="T668" s="49">
        <f>IFERROR(IF(Data_Entry!Y657/Data_Entry!$H657&lt;0,0,Data_Entry!Y657/Data_Entry!$H657),0)</f>
        <v>0.64641957527553384</v>
      </c>
      <c r="U668" s="49">
        <f>IFERROR(IF(Data_Entry!Z657/Data_Entry!$H657&lt;0,0,Data_Entry!Z657/Data_Entry!$H657),0)</f>
        <v>1.1134499861205367</v>
      </c>
      <c r="V668" s="49">
        <f>IFERROR(IF(Data_Entry!AA657/Data_Entry!$H657&lt;0,0,Data_Entry!AA657/Data_Entry!$H657),0)</f>
        <v>1.2990249838072927</v>
      </c>
      <c r="W668" s="49">
        <f>IFERROR(IF(Data_Entry!AB657/Data_Entry!$H657&lt;0,0,Data_Entry!AB657/Data_Entry!$H657),0)</f>
        <v>0.85673790598719068</v>
      </c>
      <c r="X668" s="49">
        <f>IFERROR(IF(Data_Entry!AC657/Data_Entry!$I657&lt;0,0,Data_Entry!AC657/Data_Entry!$I657),0)</f>
        <v>0.60447962579832692</v>
      </c>
      <c r="Y668" s="49">
        <f>IFERROR(IF(Data_Entry!AD657/Data_Entry!$I657&lt;0,0,Data_Entry!AD657/Data_Entry!$I657),0)</f>
        <v>0.1862013133039489</v>
      </c>
      <c r="Z668" s="49">
        <f>IFERROR(IF(Data_Entry!AE657/Data_Entry!$I657&lt;0,0,Data_Entry!AE657/Data_Entry!$I657),0)</f>
        <v>0.12953134838535577</v>
      </c>
      <c r="AA668" s="49">
        <f>IFERROR(IF(Data_Entry!AF657/Data_Entry!$I657&lt;0,0,Data_Entry!AF657/Data_Entry!$I657),0)</f>
        <v>0.1619141854816947</v>
      </c>
      <c r="AB668" s="49">
        <f>IFERROR(IF(Data_Entry!AG657/Data_Entry!$I657&lt;0,0,Data_Entry!AG657/Data_Entry!$I657),0)</f>
        <v>0.11064136007915805</v>
      </c>
      <c r="AC668" s="49">
        <f>IFERROR(IF(Data_Entry!AI657/Data_Entry!$I657&lt;0,0,Data_Entry!AI657/Data_Entry!$I657),0)</f>
        <v>0.13492848790141226</v>
      </c>
      <c r="AD668" s="49">
        <f>IFERROR(IF(Data_Entry!AM657/Data_Entry!$H657&lt;0,0,Data_Entry!AM657/Data_Entry!$H657),0)</f>
        <v>1.1134499861205367</v>
      </c>
      <c r="AE668" s="50">
        <f>Data_Entry!AK657</f>
        <v>0</v>
      </c>
      <c r="AF668" s="50">
        <f>Data_Entry!AL657</f>
        <v>2</v>
      </c>
      <c r="AG668" s="153">
        <f>(Data_Entry!O657-Data_Entry!Q657)/Data_Entry!O657</f>
        <v>-0.14130434782608695</v>
      </c>
      <c r="AH668" s="79" t="str">
        <f t="shared" si="20"/>
        <v>CAT1</v>
      </c>
      <c r="AI668" s="51">
        <f>SUBTOTAL(3,Tableau1[[#This Row],[ZS]])</f>
        <v>0</v>
      </c>
      <c r="AJ668" s="51" t="e">
        <f t="shared" ca="1" si="21"/>
        <v>#NAME?</v>
      </c>
      <c r="AK668" s="50" t="str">
        <f>IFERROR(IF((Data_Entry!O657-Data_Entry!Q657)/Data_Entry!O657&lt;=10%,"&lt;=10%","&gt;10%"),"&lt;=10%")</f>
        <v>&lt;=10%</v>
      </c>
    </row>
    <row r="669" spans="1:37" s="48" customFormat="1" ht="13" hidden="1" x14ac:dyDescent="0.3">
      <c r="A669" s="31" t="s">
        <v>16</v>
      </c>
      <c r="B669" s="48" t="str">
        <f>Data_Entry!B658</f>
        <v>Goma</v>
      </c>
      <c r="C669" s="48" t="str">
        <f>Data_Entry!C658</f>
        <v xml:space="preserve"> Walikale</v>
      </c>
      <c r="D669" s="48" t="str">
        <f>Data_Entry!D658</f>
        <v xml:space="preserve"> Eliba</v>
      </c>
      <c r="E669" s="49">
        <f>IFERROR(IF(Data_Entry!J658/Data_Entry!$I658&lt;0,0,Data_Entry!J658/Data_Entry!$I658),0)</f>
        <v>1.1292962356792144</v>
      </c>
      <c r="F669" s="49">
        <f>IFERROR(IF(Data_Entry!K658/Data_Entry!$H658&lt;0,0,Data_Entry!K658/Data_Entry!$H658),0)</f>
        <v>1.24930242591646</v>
      </c>
      <c r="G669" s="49">
        <f>IFERROR(IF(Data_Entry!L658/Data_Entry!$H658&lt;0,0,Data_Entry!L658/Data_Entry!$H658),0)</f>
        <v>1.0429611843987263</v>
      </c>
      <c r="H669" s="49">
        <f>IFERROR(IF(Data_Entry!M658/Data_Entry!$H658&lt;0,0,Data_Entry!M658/Data_Entry!$H658),0)</f>
        <v>1.0279545486519821</v>
      </c>
      <c r="I669" s="49">
        <f>IFERROR(IF(Data_Entry!N658/Data_Entry!$H658&lt;0,0,Data_Entry!N658/Data_Entry!$H658),0)</f>
        <v>1.0579678201454705</v>
      </c>
      <c r="J669" s="49">
        <f>IFERROR(IF(Data_Entry!O658/Data_Entry!$H658&lt;0,0,Data_Entry!O658/Data_Entry!$H658),0)</f>
        <v>1.1067393863223896</v>
      </c>
      <c r="K669" s="49">
        <f>IFERROR(IF(Data_Entry!P658/Data_Entry!$H658&lt;0,0,Data_Entry!P658/Data_Entry!$H658),0)</f>
        <v>1.1142427041957617</v>
      </c>
      <c r="L669" s="49">
        <f>IFERROR(IF(Data_Entry!Q658/Data_Entry!$H658&lt;0,0,Data_Entry!Q658/Data_Entry!$H658),0)</f>
        <v>1.133000998879192</v>
      </c>
      <c r="M669" s="49">
        <f>IFERROR(IF(Data_Entry!R658/Data_Entry!$H658&lt;0,0,Data_Entry!R658/Data_Entry!$H658),0)</f>
        <v>1.1067393863223896</v>
      </c>
      <c r="N669" s="49">
        <f>IFERROR(IF(Data_Entry!S658/Data_Entry!$H658&lt;0,0,Data_Entry!S658/Data_Entry!$H658),0)</f>
        <v>1.1142427041957617</v>
      </c>
      <c r="O669" s="49">
        <f>IFERROR(IF(Data_Entry!T658/Data_Entry!$H658&lt;0,0,Data_Entry!T658/Data_Entry!$H658),0)</f>
        <v>1.0767261148289009</v>
      </c>
      <c r="P669" s="49">
        <f>IFERROR(IF(Data_Entry!U658/Data_Entry!$H658&lt;0,0,Data_Entry!U658/Data_Entry!$H658),0)</f>
        <v>1.1480076346259362</v>
      </c>
      <c r="Q669" s="49">
        <f>IFERROR(IF(Data_Entry!V658/Data_Entry!$H658&lt;0,0,Data_Entry!V658/Data_Entry!$H658),0)</f>
        <v>1.1104910452590755</v>
      </c>
      <c r="R669" s="49">
        <f>IFERROR(IF(Data_Entry!W658/Data_Entry!$H658&lt;0,0,Data_Entry!W658/Data_Entry!$H658),0)</f>
        <v>1.1442559756892501</v>
      </c>
      <c r="S669" s="49">
        <f>IFERROR(IF(Data_Entry!X658/Data_Entry!$H658&lt;0,0,Data_Entry!X658/Data_Entry!$H658),0)</f>
        <v>1.0879810916389592</v>
      </c>
      <c r="T669" s="49">
        <f>IFERROR(IF(Data_Entry!Y658/Data_Entry!$H658&lt;0,0,Data_Entry!Y658/Data_Entry!$H658),0)</f>
        <v>0.96417634672831898</v>
      </c>
      <c r="U669" s="49">
        <f>IFERROR(IF(Data_Entry!Z658/Data_Entry!$H658&lt;0,0,Data_Entry!Z658/Data_Entry!$H658),0)</f>
        <v>1.1254976810058199</v>
      </c>
      <c r="V669" s="49">
        <f>IFERROR(IF(Data_Entry!AA658/Data_Entry!$H658&lt;0,0,Data_Entry!AA658/Data_Entry!$H658),0)</f>
        <v>1.0579678201454705</v>
      </c>
      <c r="W669" s="49">
        <f>IFERROR(IF(Data_Entry!AB658/Data_Entry!$H658&lt;0,0,Data_Entry!AB658/Data_Entry!$H658),0)</f>
        <v>0.91915643948808623</v>
      </c>
      <c r="X669" s="49">
        <f>IFERROR(IF(Data_Entry!AC658/Data_Entry!$I658&lt;0,0,Data_Entry!AC658/Data_Entry!$I658),0)</f>
        <v>0.56301145662847796</v>
      </c>
      <c r="Y669" s="49">
        <f>IFERROR(IF(Data_Entry!AD658/Data_Entry!$I658&lt;0,0,Data_Entry!AD658/Data_Entry!$I658),0)</f>
        <v>0.37970540098199673</v>
      </c>
      <c r="Z669" s="49">
        <f>IFERROR(IF(Data_Entry!AE658/Data_Entry!$I658&lt;0,0,Data_Entry!AE658/Data_Entry!$I658),0)</f>
        <v>0.48772504091653029</v>
      </c>
      <c r="AA669" s="49">
        <f>IFERROR(IF(Data_Entry!AF658/Data_Entry!$I658&lt;0,0,Data_Entry!AF658/Data_Entry!$I658),0)</f>
        <v>0.42553191489361702</v>
      </c>
      <c r="AB669" s="49">
        <f>IFERROR(IF(Data_Entry!AG658/Data_Entry!$I658&lt;0,0,Data_Entry!AG658/Data_Entry!$I658),0)</f>
        <v>0.54337152209492634</v>
      </c>
      <c r="AC669" s="49">
        <f>IFERROR(IF(Data_Entry!AI658/Data_Entry!$I658&lt;0,0,Data_Entry!AI658/Data_Entry!$I658),0)</f>
        <v>0.16366612111292964</v>
      </c>
      <c r="AD669" s="49">
        <f>IFERROR(IF(Data_Entry!AM658/Data_Entry!$H658&lt;0,0,Data_Entry!AM658/Data_Entry!$H658),0)</f>
        <v>1.0879810916389592</v>
      </c>
      <c r="AE669" s="50">
        <f>Data_Entry!AK658</f>
        <v>0</v>
      </c>
      <c r="AF669" s="50">
        <f>Data_Entry!AL658</f>
        <v>5</v>
      </c>
      <c r="AG669" s="153">
        <f>(Data_Entry!O658-Data_Entry!Q658)/Data_Entry!O658</f>
        <v>-2.3728813559322035E-2</v>
      </c>
      <c r="AH669" s="79" t="str">
        <f t="shared" si="20"/>
        <v>CAT1</v>
      </c>
      <c r="AI669" s="51">
        <f>SUBTOTAL(3,Tableau1[[#This Row],[ZS]])</f>
        <v>0</v>
      </c>
      <c r="AJ669" s="51" t="e">
        <f t="shared" ca="1" si="21"/>
        <v>#NAME?</v>
      </c>
      <c r="AK669" s="50" t="str">
        <f>IFERROR(IF((Data_Entry!O658-Data_Entry!Q658)/Data_Entry!O658&lt;=10%,"&lt;=10%","&gt;10%"),"&lt;=10%")</f>
        <v>&lt;=10%</v>
      </c>
    </row>
    <row r="670" spans="1:37" s="48" customFormat="1" ht="13" hidden="1" x14ac:dyDescent="0.3">
      <c r="A670" s="31" t="s">
        <v>16</v>
      </c>
      <c r="B670" s="48" t="str">
        <f>Data_Entry!B659</f>
        <v>Goma</v>
      </c>
      <c r="C670" s="48" t="str">
        <f>Data_Entry!C659</f>
        <v xml:space="preserve"> Walikale</v>
      </c>
      <c r="D670" s="48" t="str">
        <f>Data_Entry!D659</f>
        <v xml:space="preserve"> Kirundu</v>
      </c>
      <c r="E670" s="49">
        <f>IFERROR(IF(Data_Entry!J659/Data_Entry!$I659&lt;0,0,Data_Entry!J659/Data_Entry!$I659),0)</f>
        <v>0.84188292094146044</v>
      </c>
      <c r="F670" s="49">
        <f>IFERROR(IF(Data_Entry!K659/Data_Entry!$H659&lt;0,0,Data_Entry!K659/Data_Entry!$H659),0)</f>
        <v>0.26457176552370515</v>
      </c>
      <c r="G670" s="49">
        <f>IFERROR(IF(Data_Entry!L659/Data_Entry!$H659&lt;0,0,Data_Entry!L659/Data_Entry!$H659),0)</f>
        <v>1.3072957825877194</v>
      </c>
      <c r="H670" s="49">
        <f>IFERROR(IF(Data_Entry!M659/Data_Entry!$H659&lt;0,0,Data_Entry!M659/Data_Entry!$H659),0)</f>
        <v>1.2865450558799778</v>
      </c>
      <c r="I670" s="49">
        <f>IFERROR(IF(Data_Entry!N659/Data_Entry!$H659&lt;0,0,Data_Entry!N659/Data_Entry!$H659),0)</f>
        <v>1.3384218726493318</v>
      </c>
      <c r="J670" s="49">
        <f>IFERROR(IF(Data_Entry!O659/Data_Entry!$H659&lt;0,0,Data_Entry!O659/Data_Entry!$H659),0)</f>
        <v>1.3072957825877194</v>
      </c>
      <c r="K670" s="49">
        <f>IFERROR(IF(Data_Entry!P659/Data_Entry!$H659&lt;0,0,Data_Entry!P659/Data_Entry!$H659),0)</f>
        <v>1.2865450558799778</v>
      </c>
      <c r="L670" s="49">
        <f>IFERROR(IF(Data_Entry!Q659/Data_Entry!$H659&lt;0,0,Data_Entry!Q659/Data_Entry!$H659),0)</f>
        <v>1.3384218726493318</v>
      </c>
      <c r="M670" s="49">
        <f>IFERROR(IF(Data_Entry!R659/Data_Entry!$H659&lt;0,0,Data_Entry!R659/Data_Entry!$H659),0)</f>
        <v>1.3072957825877194</v>
      </c>
      <c r="N670" s="49">
        <f>IFERROR(IF(Data_Entry!S659/Data_Entry!$H659&lt;0,0,Data_Entry!S659/Data_Entry!$H659),0)</f>
        <v>1.2865450558799778</v>
      </c>
      <c r="O670" s="49">
        <f>IFERROR(IF(Data_Entry!T659/Data_Entry!$H659&lt;0,0,Data_Entry!T659/Data_Entry!$H659),0)</f>
        <v>1.3384218726493318</v>
      </c>
      <c r="P670" s="49">
        <f>IFERROR(IF(Data_Entry!U659/Data_Entry!$H659&lt;0,0,Data_Entry!U659/Data_Entry!$H659),0)</f>
        <v>1.3072957825877194</v>
      </c>
      <c r="Q670" s="49">
        <f>IFERROR(IF(Data_Entry!V659/Data_Entry!$H659&lt;0,0,Data_Entry!V659/Data_Entry!$H659),0)</f>
        <v>1.2865450558799778</v>
      </c>
      <c r="R670" s="49">
        <f>IFERROR(IF(Data_Entry!W659/Data_Entry!$H659&lt;0,0,Data_Entry!W659/Data_Entry!$H659),0)</f>
        <v>1.3384218726493318</v>
      </c>
      <c r="S670" s="49">
        <f>IFERROR(IF(Data_Entry!X659/Data_Entry!$H659&lt;0,0,Data_Entry!X659/Data_Entry!$H659),0)</f>
        <v>1.5874305931422308</v>
      </c>
      <c r="T670" s="49">
        <f>IFERROR(IF(Data_Entry!Y659/Data_Entry!$H659&lt;0,0,Data_Entry!Y659/Data_Entry!$H659),0)</f>
        <v>0.47726671427805628</v>
      </c>
      <c r="U670" s="49">
        <f>IFERROR(IF(Data_Entry!Z659/Data_Entry!$H659&lt;0,0,Data_Entry!Z659/Data_Entry!$H659),0)</f>
        <v>1.5874305931422308</v>
      </c>
      <c r="V670" s="49">
        <f>IFERROR(IF(Data_Entry!AA659/Data_Entry!$H659&lt;0,0,Data_Entry!AA659/Data_Entry!$H659),0)</f>
        <v>1.3384218726493318</v>
      </c>
      <c r="W670" s="49">
        <f>IFERROR(IF(Data_Entry!AB659/Data_Entry!$H659&lt;0,0,Data_Entry!AB659/Data_Entry!$H659),0)</f>
        <v>1.1983544673720761</v>
      </c>
      <c r="X670" s="49">
        <f>IFERROR(IF(Data_Entry!AC659/Data_Entry!$I659&lt;0,0,Data_Entry!AC659/Data_Entry!$I659),0)</f>
        <v>0.171997585998793</v>
      </c>
      <c r="Y670" s="49">
        <f>IFERROR(IF(Data_Entry!AD659/Data_Entry!$I659&lt;0,0,Data_Entry!AD659/Data_Entry!$I659),0)</f>
        <v>0.27157513578756787</v>
      </c>
      <c r="Z670" s="49">
        <f>IFERROR(IF(Data_Entry!AE659/Data_Entry!$I659&lt;0,0,Data_Entry!AE659/Data_Entry!$I659),0)</f>
        <v>0.13126131563065782</v>
      </c>
      <c r="AA670" s="49">
        <f>IFERROR(IF(Data_Entry!AF659/Data_Entry!$I659&lt;0,0,Data_Entry!AF659/Data_Entry!$I659),0)</f>
        <v>0.16294508147254072</v>
      </c>
      <c r="AB670" s="49">
        <f>IFERROR(IF(Data_Entry!AG659/Data_Entry!$I659&lt;0,0,Data_Entry!AG659/Data_Entry!$I659),0)</f>
        <v>0.11315630657815329</v>
      </c>
      <c r="AC670" s="49">
        <f>IFERROR(IF(Data_Entry!AI659/Data_Entry!$I659&lt;0,0,Data_Entry!AI659/Data_Entry!$I659),0)</f>
        <v>0.26388050694025345</v>
      </c>
      <c r="AD670" s="49">
        <f>IFERROR(IF(Data_Entry!AM659/Data_Entry!$H659&lt;0,0,Data_Entry!AM659/Data_Entry!$H659),0)</f>
        <v>1.5874305931422308</v>
      </c>
      <c r="AE670" s="50">
        <f>Data_Entry!AK659</f>
        <v>0</v>
      </c>
      <c r="AF670" s="50">
        <f>Data_Entry!AL659</f>
        <v>0</v>
      </c>
      <c r="AG670" s="153">
        <f>(Data_Entry!O659-Data_Entry!Q659)/Data_Entry!O659</f>
        <v>-2.3809523809523808E-2</v>
      </c>
      <c r="AH670" s="79" t="str">
        <f t="shared" si="20"/>
        <v>CAT1</v>
      </c>
      <c r="AI670" s="51">
        <f>SUBTOTAL(3,Tableau1[[#This Row],[ZS]])</f>
        <v>0</v>
      </c>
      <c r="AJ670" s="51" t="e">
        <f t="shared" ca="1" si="21"/>
        <v>#NAME?</v>
      </c>
      <c r="AK670" s="50" t="str">
        <f>IFERROR(IF((Data_Entry!O659-Data_Entry!Q659)/Data_Entry!O659&lt;=10%,"&lt;=10%","&gt;10%"),"&lt;=10%")</f>
        <v>&lt;=10%</v>
      </c>
    </row>
    <row r="671" spans="1:37" s="48" customFormat="1" ht="13" hidden="1" x14ac:dyDescent="0.3">
      <c r="A671" s="31" t="s">
        <v>16</v>
      </c>
      <c r="B671" s="48" t="str">
        <f>Data_Entry!B660</f>
        <v>Goma</v>
      </c>
      <c r="C671" s="48" t="str">
        <f>Data_Entry!C660</f>
        <v xml:space="preserve"> Walikale</v>
      </c>
      <c r="D671" s="48" t="str">
        <f>Data_Entry!D660</f>
        <v xml:space="preserve"> Kumbwa Aire de Santé</v>
      </c>
      <c r="E671" s="49">
        <f>IFERROR(IF(Data_Entry!J660/Data_Entry!$I660&lt;0,0,Data_Entry!J660/Data_Entry!$I660),0)</f>
        <v>1.0039006364196263</v>
      </c>
      <c r="F671" s="49">
        <f>IFERROR(IF(Data_Entry!K660/Data_Entry!$H660&lt;0,0,Data_Entry!K660/Data_Entry!$H660),0)</f>
        <v>1.2635450202620149</v>
      </c>
      <c r="G671" s="49">
        <f>IFERROR(IF(Data_Entry!L660/Data_Entry!$H660&lt;0,0,Data_Entry!L660/Data_Entry!$H660),0)</f>
        <v>1.2635450202620149</v>
      </c>
      <c r="H671" s="49">
        <f>IFERROR(IF(Data_Entry!M660/Data_Entry!$H660&lt;0,0,Data_Entry!M660/Data_Entry!$H660),0)</f>
        <v>1.2776628417174565</v>
      </c>
      <c r="I671" s="49">
        <f>IFERROR(IF(Data_Entry!N660/Data_Entry!$H660&lt;0,0,Data_Entry!N660/Data_Entry!$H660),0)</f>
        <v>1.2494271988065735</v>
      </c>
      <c r="J671" s="49">
        <f>IFERROR(IF(Data_Entry!O660/Data_Entry!$H660&lt;0,0,Data_Entry!O660/Data_Entry!$H660),0)</f>
        <v>1.2635450202620149</v>
      </c>
      <c r="K671" s="49">
        <f>IFERROR(IF(Data_Entry!P660/Data_Entry!$H660&lt;0,0,Data_Entry!P660/Data_Entry!$H660),0)</f>
        <v>1.2776628417174565</v>
      </c>
      <c r="L671" s="49">
        <f>IFERROR(IF(Data_Entry!Q660/Data_Entry!$H660&lt;0,0,Data_Entry!Q660/Data_Entry!$H660),0)</f>
        <v>1.2494271988065735</v>
      </c>
      <c r="M671" s="49">
        <f>IFERROR(IF(Data_Entry!R660/Data_Entry!$H660&lt;0,0,Data_Entry!R660/Data_Entry!$H660),0)</f>
        <v>1.2635450202620149</v>
      </c>
      <c r="N671" s="49">
        <f>IFERROR(IF(Data_Entry!S660/Data_Entry!$H660&lt;0,0,Data_Entry!S660/Data_Entry!$H660),0)</f>
        <v>1.2776628417174565</v>
      </c>
      <c r="O671" s="49">
        <f>IFERROR(IF(Data_Entry!T660/Data_Entry!$H660&lt;0,0,Data_Entry!T660/Data_Entry!$H660),0)</f>
        <v>1.2494271988065735</v>
      </c>
      <c r="P671" s="49">
        <f>IFERROR(IF(Data_Entry!U660/Data_Entry!$H660&lt;0,0,Data_Entry!U660/Data_Entry!$H660),0)</f>
        <v>1.4823712528213584</v>
      </c>
      <c r="Q671" s="49">
        <f>IFERROR(IF(Data_Entry!V660/Data_Entry!$H660&lt;0,0,Data_Entry!V660/Data_Entry!$H660),0)</f>
        <v>1.5035479850045206</v>
      </c>
      <c r="R671" s="49">
        <f>IFERROR(IF(Data_Entry!W660/Data_Entry!$H660&lt;0,0,Data_Entry!W660/Data_Entry!$H660),0)</f>
        <v>1.7153153068361433</v>
      </c>
      <c r="S671" s="49">
        <f>IFERROR(IF(Data_Entry!X660/Data_Entry!$H660&lt;0,0,Data_Entry!X660/Data_Entry!$H660),0)</f>
        <v>1.1929559129848075</v>
      </c>
      <c r="T671" s="49">
        <f>IFERROR(IF(Data_Entry!Y660/Data_Entry!$H660&lt;0,0,Data_Entry!Y660/Data_Entry!$H660),0)</f>
        <v>0.64236087622258864</v>
      </c>
      <c r="U671" s="49">
        <f>IFERROR(IF(Data_Entry!Z660/Data_Entry!$H660&lt;0,0,Data_Entry!Z660/Data_Entry!$H660),0)</f>
        <v>1.1929559129848075</v>
      </c>
      <c r="V671" s="49">
        <f>IFERROR(IF(Data_Entry!AA660/Data_Entry!$H660&lt;0,0,Data_Entry!AA660/Data_Entry!$H660),0)</f>
        <v>1.2494271988065735</v>
      </c>
      <c r="W671" s="49">
        <f>IFERROR(IF(Data_Entry!AB660/Data_Entry!$H660&lt;0,0,Data_Entry!AB660/Data_Entry!$H660),0)</f>
        <v>0.54353612603449808</v>
      </c>
      <c r="X671" s="49">
        <f>IFERROR(IF(Data_Entry!AC660/Data_Entry!$I660&lt;0,0,Data_Entry!AC660/Data_Entry!$I660),0)</f>
        <v>0.4680763703551632</v>
      </c>
      <c r="Y671" s="49">
        <f>IFERROR(IF(Data_Entry!AD660/Data_Entry!$I660&lt;0,0,Data_Entry!AD660/Data_Entry!$I660),0)</f>
        <v>0.27099158283719976</v>
      </c>
      <c r="Z671" s="49">
        <f>IFERROR(IF(Data_Entry!AE660/Data_Entry!$I660&lt;0,0,Data_Entry!AE660/Data_Entry!$I660),0)</f>
        <v>0.22787928556764522</v>
      </c>
      <c r="AA671" s="49">
        <f>IFERROR(IF(Data_Entry!AF660/Data_Entry!$I660&lt;0,0,Data_Entry!AF660/Data_Entry!$I660),0)</f>
        <v>0.25867378361732701</v>
      </c>
      <c r="AB671" s="49">
        <f>IFERROR(IF(Data_Entry!AG660/Data_Entry!$I660&lt;0,0,Data_Entry!AG660/Data_Entry!$I660),0)</f>
        <v>0.22787928556764522</v>
      </c>
      <c r="AC671" s="49">
        <f>IFERROR(IF(Data_Entry!AI660/Data_Entry!$I660&lt;0,0,Data_Entry!AI660/Data_Entry!$I660),0)</f>
        <v>0.3079449804968179</v>
      </c>
      <c r="AD671" s="49">
        <f>IFERROR(IF(Data_Entry!AM660/Data_Entry!$H660&lt;0,0,Data_Entry!AM660/Data_Entry!$H660),0)</f>
        <v>1.1929559129848075</v>
      </c>
      <c r="AE671" s="50">
        <f>Data_Entry!AK660</f>
        <v>0</v>
      </c>
      <c r="AF671" s="50">
        <f>Data_Entry!AL660</f>
        <v>10</v>
      </c>
      <c r="AG671" s="153">
        <f>(Data_Entry!O660-Data_Entry!Q660)/Data_Entry!O660</f>
        <v>1.11731843575419E-2</v>
      </c>
      <c r="AH671" s="79" t="str">
        <f t="shared" si="20"/>
        <v>CAT1</v>
      </c>
      <c r="AI671" s="51">
        <f>SUBTOTAL(3,Tableau1[[#This Row],[ZS]])</f>
        <v>0</v>
      </c>
      <c r="AJ671" s="51" t="e">
        <f t="shared" ca="1" si="21"/>
        <v>#NAME?</v>
      </c>
      <c r="AK671" s="50" t="str">
        <f>IFERROR(IF((Data_Entry!O660-Data_Entry!Q660)/Data_Entry!O660&lt;=10%,"&lt;=10%","&gt;10%"),"&lt;=10%")</f>
        <v>&lt;=10%</v>
      </c>
    </row>
    <row r="672" spans="1:37" s="48" customFormat="1" ht="13" hidden="1" x14ac:dyDescent="0.3">
      <c r="A672" s="31" t="s">
        <v>16</v>
      </c>
      <c r="B672" s="48" t="str">
        <f>Data_Entry!B661</f>
        <v>Goma</v>
      </c>
      <c r="C672" s="48" t="str">
        <f>Data_Entry!C661</f>
        <v xml:space="preserve"> Walikale</v>
      </c>
      <c r="D672" s="48" t="str">
        <f>Data_Entry!D661</f>
        <v xml:space="preserve"> Moria</v>
      </c>
      <c r="E672" s="49">
        <f>IFERROR(IF(Data_Entry!J661/Data_Entry!$I661&lt;0,0,Data_Entry!J661/Data_Entry!$I661),0)</f>
        <v>1.3722847629617885</v>
      </c>
      <c r="F672" s="49">
        <f>IFERROR(IF(Data_Entry!K661/Data_Entry!$H661&lt;0,0,Data_Entry!K661/Data_Entry!$H661),0)</f>
        <v>0.85591894756496956</v>
      </c>
      <c r="G672" s="49">
        <f>IFERROR(IF(Data_Entry!L661/Data_Entry!$H661&lt;0,0,Data_Entry!L661/Data_Entry!$H661),0)</f>
        <v>1.5482865038754863</v>
      </c>
      <c r="H672" s="49">
        <f>IFERROR(IF(Data_Entry!M661/Data_Entry!$H661&lt;0,0,Data_Entry!M661/Data_Entry!$H661),0)</f>
        <v>1.4801400908527975</v>
      </c>
      <c r="I672" s="49">
        <f>IFERROR(IF(Data_Entry!N661/Data_Entry!$H661&lt;0,0,Data_Entry!N661/Data_Entry!$H661),0)</f>
        <v>1.6736759038372333</v>
      </c>
      <c r="J672" s="49">
        <f>IFERROR(IF(Data_Entry!O661/Data_Entry!$H661&lt;0,0,Data_Entry!O661/Data_Entry!$H661),0)</f>
        <v>1.5482865038754863</v>
      </c>
      <c r="K672" s="49">
        <f>IFERROR(IF(Data_Entry!P661/Data_Entry!$H661&lt;0,0,Data_Entry!P661/Data_Entry!$H661),0)</f>
        <v>1.4801400908527975</v>
      </c>
      <c r="L672" s="49">
        <f>IFERROR(IF(Data_Entry!Q661/Data_Entry!$H661&lt;0,0,Data_Entry!Q661/Data_Entry!$H661),0)</f>
        <v>1.6736759038372333</v>
      </c>
      <c r="M672" s="49">
        <f>IFERROR(IF(Data_Entry!R661/Data_Entry!$H661&lt;0,0,Data_Entry!R661/Data_Entry!$H661),0)</f>
        <v>1.5210279386664107</v>
      </c>
      <c r="N672" s="49">
        <f>IFERROR(IF(Data_Entry!S661/Data_Entry!$H661&lt;0,0,Data_Entry!S661/Data_Entry!$H661),0)</f>
        <v>1.5482865038754863</v>
      </c>
      <c r="O672" s="49">
        <f>IFERROR(IF(Data_Entry!T661/Data_Entry!$H661&lt;0,0,Data_Entry!T661/Data_Entry!$H661),0)</f>
        <v>1.6736759038372333</v>
      </c>
      <c r="P672" s="49">
        <f>IFERROR(IF(Data_Entry!U661/Data_Entry!$H661&lt;0,0,Data_Entry!U661/Data_Entry!$H661),0)</f>
        <v>1.4528815256437222</v>
      </c>
      <c r="Q672" s="49">
        <f>IFERROR(IF(Data_Entry!V661/Data_Entry!$H661&lt;0,0,Data_Entry!V661/Data_Entry!$H661),0)</f>
        <v>1.3983643952255711</v>
      </c>
      <c r="R672" s="49">
        <f>IFERROR(IF(Data_Entry!W661/Data_Entry!$H661&lt;0,0,Data_Entry!W661/Data_Entry!$H661),0)</f>
        <v>1.531931364750041</v>
      </c>
      <c r="S672" s="49">
        <f>IFERROR(IF(Data_Entry!X661/Data_Entry!$H661&lt;0,0,Data_Entry!X661/Data_Entry!$H661),0)</f>
        <v>1.4583332386855372</v>
      </c>
      <c r="T672" s="49">
        <f>IFERROR(IF(Data_Entry!Y661/Data_Entry!$H661&lt;0,0,Data_Entry!Y661/Data_Entry!$H661),0)</f>
        <v>1.17757001703206</v>
      </c>
      <c r="U672" s="49">
        <f>IFERROR(IF(Data_Entry!Z661/Data_Entry!$H661&lt;0,0,Data_Entry!Z661/Data_Entry!$H661),0)</f>
        <v>1.4610590952064448</v>
      </c>
      <c r="V672" s="49">
        <f>IFERROR(IF(Data_Entry!AA661/Data_Entry!$H661&lt;0,0,Data_Entry!AA661/Data_Entry!$H661),0)</f>
        <v>1.6736759038372333</v>
      </c>
      <c r="W672" s="49">
        <f>IFERROR(IF(Data_Entry!AB661/Data_Entry!$H661&lt;0,0,Data_Entry!AB661/Data_Entry!$H661),0)</f>
        <v>1.297507703951992</v>
      </c>
      <c r="X672" s="49">
        <f>IFERROR(IF(Data_Entry!AC661/Data_Entry!$I661&lt;0,0,Data_Entry!AC661/Data_Entry!$I661),0)</f>
        <v>0.27826224829554463</v>
      </c>
      <c r="Y672" s="49">
        <f>IFERROR(IF(Data_Entry!AD661/Data_Entry!$I661&lt;0,0,Data_Entry!AD661/Data_Entry!$I661),0)</f>
        <v>0.31393689551292214</v>
      </c>
      <c r="Z672" s="49">
        <f>IFERROR(IF(Data_Entry!AE661/Data_Entry!$I661&lt;0,0,Data_Entry!AE661/Data_Entry!$I661),0)</f>
        <v>0.22356112256223243</v>
      </c>
      <c r="AA672" s="49">
        <f>IFERROR(IF(Data_Entry!AF661/Data_Entry!$I661&lt;0,0,Data_Entry!AF661/Data_Entry!$I661),0)</f>
        <v>0.18788647534485492</v>
      </c>
      <c r="AB672" s="49">
        <f>IFERROR(IF(Data_Entry!AG661/Data_Entry!$I661&lt;0,0,Data_Entry!AG661/Data_Entry!$I661),0)</f>
        <v>0.17361661645790391</v>
      </c>
      <c r="AC672" s="49">
        <f>IFERROR(IF(Data_Entry!AI661/Data_Entry!$I661&lt;0,0,Data_Entry!AI661/Data_Entry!$I661),0)</f>
        <v>7.9197716822578076E-2</v>
      </c>
      <c r="AD672" s="49">
        <f>IFERROR(IF(Data_Entry!AM661/Data_Entry!$H661&lt;0,0,Data_Entry!AM661/Data_Entry!$H661),0)</f>
        <v>1.4583332386855372</v>
      </c>
      <c r="AE672" s="50">
        <f>Data_Entry!AK661</f>
        <v>0</v>
      </c>
      <c r="AF672" s="50">
        <f>Data_Entry!AL661</f>
        <v>33</v>
      </c>
      <c r="AG672" s="153">
        <f>(Data_Entry!O661-Data_Entry!Q661)/Data_Entry!O661</f>
        <v>-8.098591549295775E-2</v>
      </c>
      <c r="AH672" s="79" t="str">
        <f t="shared" si="20"/>
        <v>CAT1</v>
      </c>
      <c r="AI672" s="51">
        <f>SUBTOTAL(3,Tableau1[[#This Row],[ZS]])</f>
        <v>0</v>
      </c>
      <c r="AJ672" s="51" t="e">
        <f t="shared" ca="1" si="21"/>
        <v>#NAME?</v>
      </c>
      <c r="AK672" s="50" t="str">
        <f>IFERROR(IF((Data_Entry!O661-Data_Entry!Q661)/Data_Entry!O661&lt;=10%,"&lt;=10%","&gt;10%"),"&lt;=10%")</f>
        <v>&lt;=10%</v>
      </c>
    </row>
    <row r="673" spans="1:37" s="48" customFormat="1" ht="13" hidden="1" x14ac:dyDescent="0.3">
      <c r="A673" s="31" t="s">
        <v>16</v>
      </c>
      <c r="B673" s="48" t="str">
        <f>Data_Entry!B662</f>
        <v>Goma</v>
      </c>
      <c r="C673" s="48" t="str">
        <f>Data_Entry!C662</f>
        <v xml:space="preserve"> Walikale</v>
      </c>
      <c r="D673" s="48" t="str">
        <f>Data_Entry!D662</f>
        <v xml:space="preserve"> Mpofi</v>
      </c>
      <c r="E673" s="49">
        <f>IFERROR(IF(Data_Entry!J662/Data_Entry!$I662&lt;0,0,Data_Entry!J662/Data_Entry!$I662),0)</f>
        <v>0.80220212347620923</v>
      </c>
      <c r="F673" s="49">
        <f>IFERROR(IF(Data_Entry!K662/Data_Entry!$H662&lt;0,0,Data_Entry!K662/Data_Entry!$H662),0)</f>
        <v>0.53746054960693268</v>
      </c>
      <c r="G673" s="49">
        <f>IFERROR(IF(Data_Entry!L662/Data_Entry!$H662&lt;0,0,Data_Entry!L662/Data_Entry!$H662),0)</f>
        <v>0.94647140811283736</v>
      </c>
      <c r="H673" s="49">
        <f>IFERROR(IF(Data_Entry!M662/Data_Entry!$H662&lt;0,0,Data_Entry!M662/Data_Entry!$H662),0)</f>
        <v>0.84506375724360483</v>
      </c>
      <c r="I673" s="49">
        <f>IFERROR(IF(Data_Entry!N662/Data_Entry!$H662&lt;0,0,Data_Entry!N662/Data_Entry!$H662),0)</f>
        <v>1.0106962536633515</v>
      </c>
      <c r="J673" s="49">
        <f>IFERROR(IF(Data_Entry!O662/Data_Entry!$H662&lt;0,0,Data_Entry!O662/Data_Entry!$H662),0)</f>
        <v>0.94647140811283736</v>
      </c>
      <c r="K673" s="49">
        <f>IFERROR(IF(Data_Entry!P662/Data_Entry!$H662&lt;0,0,Data_Entry!P662/Data_Entry!$H662),0)</f>
        <v>0.84506375724360483</v>
      </c>
      <c r="L673" s="49">
        <f>IFERROR(IF(Data_Entry!Q662/Data_Entry!$H662&lt;0,0,Data_Entry!Q662/Data_Entry!$H662),0)</f>
        <v>1.0106962536633515</v>
      </c>
      <c r="M673" s="49">
        <f>IFERROR(IF(Data_Entry!R662/Data_Entry!$H662&lt;0,0,Data_Entry!R662/Data_Entry!$H662),0)</f>
        <v>0.94647140811283736</v>
      </c>
      <c r="N673" s="49">
        <f>IFERROR(IF(Data_Entry!S662/Data_Entry!$H662&lt;0,0,Data_Entry!S662/Data_Entry!$H662),0)</f>
        <v>0.84506375724360483</v>
      </c>
      <c r="O673" s="49">
        <f>IFERROR(IF(Data_Entry!T662/Data_Entry!$H662&lt;0,0,Data_Entry!T662/Data_Entry!$H662),0)</f>
        <v>1.0106962536633515</v>
      </c>
      <c r="P673" s="49">
        <f>IFERROR(IF(Data_Entry!U662/Data_Entry!$H662&lt;0,0,Data_Entry!U662/Data_Entry!$H662),0)</f>
        <v>0.94647140811283736</v>
      </c>
      <c r="Q673" s="49">
        <f>IFERROR(IF(Data_Entry!V662/Data_Entry!$H662&lt;0,0,Data_Entry!V662/Data_Entry!$H662),0)</f>
        <v>0.8416835022146304</v>
      </c>
      <c r="R673" s="49">
        <f>IFERROR(IF(Data_Entry!W662/Data_Entry!$H662&lt;0,0,Data_Entry!W662/Data_Entry!$H662),0)</f>
        <v>1.0106962536633515</v>
      </c>
      <c r="S673" s="49">
        <f>IFERROR(IF(Data_Entry!X662/Data_Entry!$H662&lt;0,0,Data_Entry!X662/Data_Entry!$H662),0)</f>
        <v>0.88900707262027223</v>
      </c>
      <c r="T673" s="49">
        <f>IFERROR(IF(Data_Entry!Y662/Data_Entry!$H662&lt;0,0,Data_Entry!Y662/Data_Entry!$H662),0)</f>
        <v>0.32788473781051869</v>
      </c>
      <c r="U673" s="49">
        <f>IFERROR(IF(Data_Entry!Z662/Data_Entry!$H662&lt;0,0,Data_Entry!Z662/Data_Entry!$H662),0)</f>
        <v>0.88900707262027223</v>
      </c>
      <c r="V673" s="49">
        <f>IFERROR(IF(Data_Entry!AA662/Data_Entry!$H662&lt;0,0,Data_Entry!AA662/Data_Entry!$H662),0)</f>
        <v>1.0106962536633515</v>
      </c>
      <c r="W673" s="49">
        <f>IFERROR(IF(Data_Entry!AB662/Data_Entry!$H662&lt;0,0,Data_Entry!AB662/Data_Entry!$H662),0)</f>
        <v>0.23999810705718377</v>
      </c>
      <c r="X673" s="49">
        <f>IFERROR(IF(Data_Entry!AC662/Data_Entry!$I662&lt;0,0,Data_Entry!AC662/Data_Entry!$I662),0)</f>
        <v>0.28018088871411717</v>
      </c>
      <c r="Y673" s="49">
        <f>IFERROR(IF(Data_Entry!AD662/Data_Entry!$I662&lt;0,0,Data_Entry!AD662/Data_Entry!$I662),0)</f>
        <v>0.13566653558788833</v>
      </c>
      <c r="Z673" s="49">
        <f>IFERROR(IF(Data_Entry!AE662/Data_Entry!$I662&lt;0,0,Data_Entry!AE662/Data_Entry!$I662),0)</f>
        <v>0.14746362563900905</v>
      </c>
      <c r="AA673" s="49">
        <f>IFERROR(IF(Data_Entry!AF662/Data_Entry!$I662&lt;0,0,Data_Entry!AF662/Data_Entry!$I662),0)</f>
        <v>0.10617381046008652</v>
      </c>
      <c r="AB673" s="49">
        <f>IFERROR(IF(Data_Entry!AG662/Data_Entry!$I662&lt;0,0,Data_Entry!AG662/Data_Entry!$I662),0)</f>
        <v>0.14746362563900905</v>
      </c>
      <c r="AC673" s="49">
        <f>IFERROR(IF(Data_Entry!AI662/Data_Entry!$I662&lt;0,0,Data_Entry!AI662/Data_Entry!$I662),0)</f>
        <v>0.14746362563900905</v>
      </c>
      <c r="AD673" s="49">
        <f>IFERROR(IF(Data_Entry!AM662/Data_Entry!$H662&lt;0,0,Data_Entry!AM662/Data_Entry!$H662),0)</f>
        <v>0.88900707262027223</v>
      </c>
      <c r="AE673" s="50">
        <f>Data_Entry!AK662</f>
        <v>15.835666666666668</v>
      </c>
      <c r="AF673" s="50">
        <f>Data_Entry!AL662</f>
        <v>17</v>
      </c>
      <c r="AG673" s="153">
        <f>(Data_Entry!O662-Data_Entry!Q662)/Data_Entry!O662</f>
        <v>-6.7857142857142852E-2</v>
      </c>
      <c r="AH673" s="79" t="str">
        <f t="shared" si="20"/>
        <v>CAT1</v>
      </c>
      <c r="AI673" s="51">
        <f>SUBTOTAL(3,Tableau1[[#This Row],[ZS]])</f>
        <v>0</v>
      </c>
      <c r="AJ673" s="51" t="e">
        <f t="shared" ca="1" si="21"/>
        <v>#NAME?</v>
      </c>
      <c r="AK673" s="50" t="str">
        <f>IFERROR(IF((Data_Entry!O662-Data_Entry!Q662)/Data_Entry!O662&lt;=10%,"&lt;=10%","&gt;10%"),"&lt;=10%")</f>
        <v>&lt;=10%</v>
      </c>
    </row>
    <row r="674" spans="1:37" s="48" customFormat="1" ht="13" hidden="1" x14ac:dyDescent="0.3">
      <c r="A674" s="31" t="s">
        <v>16</v>
      </c>
      <c r="B674" s="48" t="str">
        <f>Data_Entry!B663</f>
        <v>Goma</v>
      </c>
      <c r="C674" s="48" t="str">
        <f>Data_Entry!C663</f>
        <v xml:space="preserve"> Walikale</v>
      </c>
      <c r="D674" s="48" t="str">
        <f>Data_Entry!D663</f>
        <v xml:space="preserve"> Mundindi</v>
      </c>
      <c r="E674" s="49">
        <f>IFERROR(IF(Data_Entry!J663/Data_Entry!$I663&lt;0,0,Data_Entry!J663/Data_Entry!$I663),0)</f>
        <v>0.79931338159564147</v>
      </c>
      <c r="F674" s="49">
        <f>IFERROR(IF(Data_Entry!K663/Data_Entry!$H663&lt;0,0,Data_Entry!K663/Data_Entry!$H663),0)</f>
        <v>0.93151543832869532</v>
      </c>
      <c r="G674" s="49">
        <f>IFERROR(IF(Data_Entry!L663/Data_Entry!$H663&lt;0,0,Data_Entry!L663/Data_Entry!$H663),0)</f>
        <v>0.92638312186407445</v>
      </c>
      <c r="H674" s="49">
        <f>IFERROR(IF(Data_Entry!M663/Data_Entry!$H663&lt;0,0,Data_Entry!M663/Data_Entry!$H663),0)</f>
        <v>0.86479532428862349</v>
      </c>
      <c r="I674" s="49">
        <f>IFERROR(IF(Data_Entry!N663/Data_Entry!$H663&lt;0,0,Data_Entry!N663/Data_Entry!$H663),0)</f>
        <v>0.9007215395409699</v>
      </c>
      <c r="J674" s="49">
        <f>IFERROR(IF(Data_Entry!O663/Data_Entry!$H663&lt;0,0,Data_Entry!O663/Data_Entry!$H663),0)</f>
        <v>0.92638312186407445</v>
      </c>
      <c r="K674" s="49">
        <f>IFERROR(IF(Data_Entry!P663/Data_Entry!$H663&lt;0,0,Data_Entry!P663/Data_Entry!$H663),0)</f>
        <v>0.86736148252093392</v>
      </c>
      <c r="L674" s="49">
        <f>IFERROR(IF(Data_Entry!Q663/Data_Entry!$H663&lt;0,0,Data_Entry!Q663/Data_Entry!$H663),0)</f>
        <v>0.9007215395409699</v>
      </c>
      <c r="M674" s="49">
        <f>IFERROR(IF(Data_Entry!R663/Data_Entry!$H663&lt;0,0,Data_Entry!R663/Data_Entry!$H663),0)</f>
        <v>0.92638312186407445</v>
      </c>
      <c r="N674" s="49">
        <f>IFERROR(IF(Data_Entry!S663/Data_Entry!$H663&lt;0,0,Data_Entry!S663/Data_Entry!$H663),0)</f>
        <v>0.86736148252093392</v>
      </c>
      <c r="O674" s="49">
        <f>IFERROR(IF(Data_Entry!T663/Data_Entry!$H663&lt;0,0,Data_Entry!T663/Data_Entry!$H663),0)</f>
        <v>0.9007215395409699</v>
      </c>
      <c r="P674" s="49">
        <f>IFERROR(IF(Data_Entry!U663/Data_Entry!$H663&lt;0,0,Data_Entry!U663/Data_Entry!$H663),0)</f>
        <v>0.87249379898555479</v>
      </c>
      <c r="Q674" s="49">
        <f>IFERROR(IF(Data_Entry!V663/Data_Entry!$H663&lt;0,0,Data_Entry!V663/Data_Entry!$H663),0)</f>
        <v>0.79294289378393068</v>
      </c>
      <c r="R674" s="49">
        <f>IFERROR(IF(Data_Entry!W663/Data_Entry!$H663&lt;0,0,Data_Entry!W663/Data_Entry!$H663),0)</f>
        <v>0.82886910903627709</v>
      </c>
      <c r="S674" s="49">
        <f>IFERROR(IF(Data_Entry!X663/Data_Entry!$H663&lt;0,0,Data_Entry!X663/Data_Entry!$H663),0)</f>
        <v>0.8442660584301398</v>
      </c>
      <c r="T674" s="49">
        <f>IFERROR(IF(Data_Entry!Y663/Data_Entry!$H663&lt;0,0,Data_Entry!Y663/Data_Entry!$H663),0)</f>
        <v>0.49270238060360744</v>
      </c>
      <c r="U674" s="49">
        <f>IFERROR(IF(Data_Entry!Z663/Data_Entry!$H663&lt;0,0,Data_Entry!Z663/Data_Entry!$H663),0)</f>
        <v>0.8442660584301398</v>
      </c>
      <c r="V674" s="49">
        <f>IFERROR(IF(Data_Entry!AA663/Data_Entry!$H663&lt;0,0,Data_Entry!AA663/Data_Entry!$H663),0)</f>
        <v>0.9007215395409699</v>
      </c>
      <c r="W674" s="49">
        <f>IFERROR(IF(Data_Entry!AB663/Data_Entry!$H663&lt;0,0,Data_Entry!AB663/Data_Entry!$H663),0)</f>
        <v>0.3900560513111892</v>
      </c>
      <c r="X674" s="49">
        <f>IFERROR(IF(Data_Entry!AC663/Data_Entry!$I663&lt;0,0,Data_Entry!AC663/Data_Entry!$I663),0)</f>
        <v>0.29106649749981345</v>
      </c>
      <c r="Y674" s="49">
        <f>IFERROR(IF(Data_Entry!AD663/Data_Entry!$I663&lt;0,0,Data_Entry!AD663/Data_Entry!$I663),0)</f>
        <v>0.19031270990372418</v>
      </c>
      <c r="Z674" s="49">
        <f>IFERROR(IF(Data_Entry!AE663/Data_Entry!$I663&lt;0,0,Data_Entry!AE663/Data_Entry!$I663),0)</f>
        <v>0.14553324874990672</v>
      </c>
      <c r="AA674" s="49">
        <f>IFERROR(IF(Data_Entry!AF663/Data_Entry!$I663&lt;0,0,Data_Entry!AF663/Data_Entry!$I663),0)</f>
        <v>0.15672811403836107</v>
      </c>
      <c r="AB674" s="49">
        <f>IFERROR(IF(Data_Entry!AG663/Data_Entry!$I663&lt;0,0,Data_Entry!AG663/Data_Entry!$I663),0)</f>
        <v>0.16792297932681544</v>
      </c>
      <c r="AC674" s="49">
        <f>IFERROR(IF(Data_Entry!AI663/Data_Entry!$I663&lt;0,0,Data_Entry!AI663/Data_Entry!$I663),0)</f>
        <v>9.3365176505709385E-2</v>
      </c>
      <c r="AD674" s="49">
        <f>IFERROR(IF(Data_Entry!AM663/Data_Entry!$H663&lt;0,0,Data_Entry!AM663/Data_Entry!$H663),0)</f>
        <v>0.8442660584301398</v>
      </c>
      <c r="AE674" s="50">
        <f>Data_Entry!AK663</f>
        <v>28.68758333333335</v>
      </c>
      <c r="AF674" s="50">
        <f>Data_Entry!AL663</f>
        <v>32</v>
      </c>
      <c r="AG674" s="153">
        <f>(Data_Entry!O663-Data_Entry!Q663)/Data_Entry!O663</f>
        <v>2.7700831024930747E-2</v>
      </c>
      <c r="AH674" s="79" t="str">
        <f t="shared" si="20"/>
        <v>CAT1</v>
      </c>
      <c r="AI674" s="51">
        <f>SUBTOTAL(3,Tableau1[[#This Row],[ZS]])</f>
        <v>0</v>
      </c>
      <c r="AJ674" s="51" t="e">
        <f t="shared" ca="1" si="21"/>
        <v>#NAME?</v>
      </c>
      <c r="AK674" s="50" t="str">
        <f>IFERROR(IF((Data_Entry!O663-Data_Entry!Q663)/Data_Entry!O663&lt;=10%,"&lt;=10%","&gt;10%"),"&lt;=10%")</f>
        <v>&lt;=10%</v>
      </c>
    </row>
    <row r="675" spans="1:37" s="48" customFormat="1" ht="13" hidden="1" x14ac:dyDescent="0.3">
      <c r="A675" s="31" t="s">
        <v>16</v>
      </c>
      <c r="B675" s="48" t="str">
        <f>Data_Entry!B664</f>
        <v>Goma</v>
      </c>
      <c r="C675" s="48" t="str">
        <f>Data_Entry!C664</f>
        <v xml:space="preserve"> Walikale</v>
      </c>
      <c r="D675" s="48" t="str">
        <f>Data_Entry!D664</f>
        <v xml:space="preserve"> Mutakato</v>
      </c>
      <c r="E675" s="49">
        <f>IFERROR(IF(Data_Entry!J664/Data_Entry!$I664&lt;0,0,Data_Entry!J664/Data_Entry!$I664),0)</f>
        <v>0.85212201591511927</v>
      </c>
      <c r="F675" s="49">
        <f>IFERROR(IF(Data_Entry!K664/Data_Entry!$H664&lt;0,0,Data_Entry!K664/Data_Entry!$H664),0)</f>
        <v>1.0146458619929621</v>
      </c>
      <c r="G675" s="49">
        <f>IFERROR(IF(Data_Entry!L664/Data_Entry!$H664&lt;0,0,Data_Entry!L664/Data_Entry!$H664),0)</f>
        <v>1.1134503279548238</v>
      </c>
      <c r="H675" s="49">
        <f>IFERROR(IF(Data_Entry!M664/Data_Entry!$H664&lt;0,0,Data_Entry!M664/Data_Entry!$H664),0)</f>
        <v>1.1210506714903516</v>
      </c>
      <c r="I675" s="49">
        <f>IFERROR(IF(Data_Entry!N664/Data_Entry!$H664&lt;0,0,Data_Entry!N664/Data_Entry!$H664),0)</f>
        <v>1.1172504997225876</v>
      </c>
      <c r="J675" s="49">
        <f>IFERROR(IF(Data_Entry!O664/Data_Entry!$H664&lt;0,0,Data_Entry!O664/Data_Entry!$H664),0)</f>
        <v>1.1134503279548238</v>
      </c>
      <c r="K675" s="49">
        <f>IFERROR(IF(Data_Entry!P664/Data_Entry!$H664&lt;0,0,Data_Entry!P664/Data_Entry!$H664),0)</f>
        <v>1.1210506714903516</v>
      </c>
      <c r="L675" s="49">
        <f>IFERROR(IF(Data_Entry!Q664/Data_Entry!$H664&lt;0,0,Data_Entry!Q664/Data_Entry!$H664),0)</f>
        <v>1.1172504997225876</v>
      </c>
      <c r="M675" s="49">
        <f>IFERROR(IF(Data_Entry!R664/Data_Entry!$H664&lt;0,0,Data_Entry!R664/Data_Entry!$H664),0)</f>
        <v>1.1134503279548238</v>
      </c>
      <c r="N675" s="49">
        <f>IFERROR(IF(Data_Entry!S664/Data_Entry!$H664&lt;0,0,Data_Entry!S664/Data_Entry!$H664),0)</f>
        <v>1.1172504997225876</v>
      </c>
      <c r="O675" s="49">
        <f>IFERROR(IF(Data_Entry!T664/Data_Entry!$H664&lt;0,0,Data_Entry!T664/Data_Entry!$H664),0)</f>
        <v>1.1172504997225876</v>
      </c>
      <c r="P675" s="49">
        <f>IFERROR(IF(Data_Entry!U664/Data_Entry!$H664&lt;0,0,Data_Entry!U664/Data_Entry!$H664),0)</f>
        <v>1.1172504997225876</v>
      </c>
      <c r="Q675" s="49">
        <f>IFERROR(IF(Data_Entry!V664/Data_Entry!$H664&lt;0,0,Data_Entry!V664/Data_Entry!$H664),0)</f>
        <v>1.1210506714903516</v>
      </c>
      <c r="R675" s="49">
        <f>IFERROR(IF(Data_Entry!W664/Data_Entry!$H664&lt;0,0,Data_Entry!W664/Data_Entry!$H664),0)</f>
        <v>1.1210506714903516</v>
      </c>
      <c r="S675" s="49">
        <f>IFERROR(IF(Data_Entry!X664/Data_Entry!$H664&lt;0,0,Data_Entry!X664/Data_Entry!$H664),0)</f>
        <v>1.0868491255804764</v>
      </c>
      <c r="T675" s="49">
        <f>IFERROR(IF(Data_Entry!Y664/Data_Entry!$H664&lt;0,0,Data_Entry!Y664/Data_Entry!$H664),0)</f>
        <v>1.02224620552849</v>
      </c>
      <c r="U675" s="49">
        <f>IFERROR(IF(Data_Entry!Z664/Data_Entry!$H664&lt;0,0,Data_Entry!Z664/Data_Entry!$H664),0)</f>
        <v>1.1248508432581155</v>
      </c>
      <c r="V675" s="49">
        <f>IFERROR(IF(Data_Entry!AA664/Data_Entry!$H664&lt;0,0,Data_Entry!AA664/Data_Entry!$H664),0)</f>
        <v>1.1172504997225876</v>
      </c>
      <c r="W675" s="49">
        <f>IFERROR(IF(Data_Entry!AB664/Data_Entry!$H664&lt;0,0,Data_Entry!AB664/Data_Entry!$H664),0)</f>
        <v>1.1324511867936433</v>
      </c>
      <c r="X675" s="49">
        <f>IFERROR(IF(Data_Entry!AC664/Data_Entry!$I664&lt;0,0,Data_Entry!AC664/Data_Entry!$I664),0)</f>
        <v>0.52055702917771884</v>
      </c>
      <c r="Y675" s="49">
        <f>IFERROR(IF(Data_Entry!AD664/Data_Entry!$I664&lt;0,0,Data_Entry!AD664/Data_Entry!$I664),0)</f>
        <v>0.43766578249336868</v>
      </c>
      <c r="Z675" s="49">
        <f>IFERROR(IF(Data_Entry!AE664/Data_Entry!$I664&lt;0,0,Data_Entry!AE664/Data_Entry!$I664),0)</f>
        <v>0.33156498673740048</v>
      </c>
      <c r="AA675" s="49">
        <f>IFERROR(IF(Data_Entry!AF664/Data_Entry!$I664&lt;0,0,Data_Entry!AF664/Data_Entry!$I664),0)</f>
        <v>0.20225464190981432</v>
      </c>
      <c r="AB675" s="49">
        <f>IFERROR(IF(Data_Entry!AG664/Data_Entry!$I664&lt;0,0,Data_Entry!AG664/Data_Entry!$I664),0)</f>
        <v>0.13925729442970822</v>
      </c>
      <c r="AC675" s="49">
        <f>IFERROR(IF(Data_Entry!AI664/Data_Entry!$I664&lt;0,0,Data_Entry!AI664/Data_Entry!$I664),0)</f>
        <v>0.12433687002652519</v>
      </c>
      <c r="AD675" s="49">
        <f>IFERROR(IF(Data_Entry!AM664/Data_Entry!$H664&lt;0,0,Data_Entry!AM664/Data_Entry!$H664),0)</f>
        <v>1.0868491255804764</v>
      </c>
      <c r="AE675" s="50">
        <f>Data_Entry!AK664</f>
        <v>0</v>
      </c>
      <c r="AF675" s="50">
        <f>Data_Entry!AL664</f>
        <v>7</v>
      </c>
      <c r="AG675" s="153">
        <f>(Data_Entry!O664-Data_Entry!Q664)/Data_Entry!O664</f>
        <v>-3.4129692832764505E-3</v>
      </c>
      <c r="AH675" s="79" t="str">
        <f t="shared" si="20"/>
        <v>CAT1</v>
      </c>
      <c r="AI675" s="51">
        <f>SUBTOTAL(3,Tableau1[[#This Row],[ZS]])</f>
        <v>0</v>
      </c>
      <c r="AJ675" s="51" t="e">
        <f t="shared" ca="1" si="21"/>
        <v>#NAME?</v>
      </c>
      <c r="AK675" s="50" t="str">
        <f>IFERROR(IF((Data_Entry!O664-Data_Entry!Q664)/Data_Entry!O664&lt;=10%,"&lt;=10%","&gt;10%"),"&lt;=10%")</f>
        <v>&lt;=10%</v>
      </c>
    </row>
    <row r="676" spans="1:37" s="48" customFormat="1" ht="13" hidden="1" x14ac:dyDescent="0.3">
      <c r="A676" s="31" t="s">
        <v>16</v>
      </c>
      <c r="B676" s="48" t="str">
        <f>Data_Entry!B665</f>
        <v>Goma</v>
      </c>
      <c r="C676" s="48" t="str">
        <f>Data_Entry!C665</f>
        <v xml:space="preserve"> Walikale</v>
      </c>
      <c r="D676" s="48" t="str">
        <f>Data_Entry!D665</f>
        <v xml:space="preserve"> Ndjingala</v>
      </c>
      <c r="E676" s="49">
        <f>IFERROR(IF(Data_Entry!J665/Data_Entry!$I665&lt;0,0,Data_Entry!J665/Data_Entry!$I665),0)</f>
        <v>0.79497907949790791</v>
      </c>
      <c r="F676" s="49">
        <f>IFERROR(IF(Data_Entry!K665/Data_Entry!$H665&lt;0,0,Data_Entry!K665/Data_Entry!$H665),0)</f>
        <v>0.47955305655129415</v>
      </c>
      <c r="G676" s="49">
        <f>IFERROR(IF(Data_Entry!L665/Data_Entry!$H665&lt;0,0,Data_Entry!L665/Data_Entry!$H665),0)</f>
        <v>0.80191927789966411</v>
      </c>
      <c r="H676" s="49">
        <f>IFERROR(IF(Data_Entry!M665/Data_Entry!$H665&lt;0,0,Data_Entry!M665/Data_Entry!$H665),0)</f>
        <v>0.8951657055624157</v>
      </c>
      <c r="I676" s="49">
        <f>IFERROR(IF(Data_Entry!N665/Data_Entry!$H665&lt;0,0,Data_Entry!N665/Data_Entry!$H665),0)</f>
        <v>0.87651642002986541</v>
      </c>
      <c r="J676" s="49">
        <f>IFERROR(IF(Data_Entry!O665/Data_Entry!$H665&lt;0,0,Data_Entry!O665/Data_Entry!$H665),0)</f>
        <v>0.80191927789966411</v>
      </c>
      <c r="K676" s="49">
        <f>IFERROR(IF(Data_Entry!P665/Data_Entry!$H665&lt;0,0,Data_Entry!P665/Data_Entry!$H665),0)</f>
        <v>0.8951657055624157</v>
      </c>
      <c r="L676" s="49">
        <f>IFERROR(IF(Data_Entry!Q665/Data_Entry!$H665&lt;0,0,Data_Entry!Q665/Data_Entry!$H665),0)</f>
        <v>0.87651642002986541</v>
      </c>
      <c r="M676" s="49">
        <f>IFERROR(IF(Data_Entry!R665/Data_Entry!$H665&lt;0,0,Data_Entry!R665/Data_Entry!$H665),0)</f>
        <v>0.80191927789966411</v>
      </c>
      <c r="N676" s="49">
        <f>IFERROR(IF(Data_Entry!S665/Data_Entry!$H665&lt;0,0,Data_Entry!S665/Data_Entry!$H665),0)</f>
        <v>0.8951657055624157</v>
      </c>
      <c r="O676" s="49">
        <f>IFERROR(IF(Data_Entry!T665/Data_Entry!$H665&lt;0,0,Data_Entry!T665/Data_Entry!$H665),0)</f>
        <v>0.87651642002986541</v>
      </c>
      <c r="P676" s="49">
        <f>IFERROR(IF(Data_Entry!U665/Data_Entry!$H665&lt;0,0,Data_Entry!U665/Data_Entry!$H665),0)</f>
        <v>0.6340757081067111</v>
      </c>
      <c r="Q676" s="49">
        <f>IFERROR(IF(Data_Entry!V665/Data_Entry!$H665&lt;0,0,Data_Entry!V665/Data_Entry!$H665),0)</f>
        <v>0.67137427917181181</v>
      </c>
      <c r="R676" s="49">
        <f>IFERROR(IF(Data_Entry!W665/Data_Entry!$H665&lt;0,0,Data_Entry!W665/Data_Entry!$H665),0)</f>
        <v>0.67137427917181181</v>
      </c>
      <c r="S676" s="49">
        <f>IFERROR(IF(Data_Entry!X665/Data_Entry!$H665&lt;0,0,Data_Entry!X665/Data_Entry!$H665),0)</f>
        <v>0.59677713704161051</v>
      </c>
      <c r="T676" s="49">
        <f>IFERROR(IF(Data_Entry!Y665/Data_Entry!$H665&lt;0,0,Data_Entry!Y665/Data_Entry!$H665),0)</f>
        <v>0.5328367295014379</v>
      </c>
      <c r="U676" s="49">
        <f>IFERROR(IF(Data_Entry!Z665/Data_Entry!$H665&lt;0,0,Data_Entry!Z665/Data_Entry!$H665),0)</f>
        <v>0.59677713704161051</v>
      </c>
      <c r="V676" s="49">
        <f>IFERROR(IF(Data_Entry!AA665/Data_Entry!$H665&lt;0,0,Data_Entry!AA665/Data_Entry!$H665),0)</f>
        <v>0.87651642002986541</v>
      </c>
      <c r="W676" s="49">
        <f>IFERROR(IF(Data_Entry!AB665/Data_Entry!$H665&lt;0,0,Data_Entry!AB665/Data_Entry!$H665),0)</f>
        <v>0.4662321383137582</v>
      </c>
      <c r="X676" s="49">
        <f>IFERROR(IF(Data_Entry!AC665/Data_Entry!$I665&lt;0,0,Data_Entry!AC665/Data_Entry!$I665),0)</f>
        <v>0.15806601580660157</v>
      </c>
      <c r="Y676" s="49">
        <f>IFERROR(IF(Data_Entry!AD665/Data_Entry!$I665&lt;0,0,Data_Entry!AD665/Data_Entry!$I665),0)</f>
        <v>3.4867503486750343E-2</v>
      </c>
      <c r="Z676" s="49">
        <f>IFERROR(IF(Data_Entry!AE665/Data_Entry!$I665&lt;0,0,Data_Entry!AE665/Data_Entry!$I665),0)</f>
        <v>4.6490004649000459E-2</v>
      </c>
      <c r="AA676" s="49">
        <f>IFERROR(IF(Data_Entry!AF665/Data_Entry!$I665&lt;0,0,Data_Entry!AF665/Data_Entry!$I665),0)</f>
        <v>9.7629009762900967E-2</v>
      </c>
      <c r="AB676" s="49">
        <f>IFERROR(IF(Data_Entry!AG665/Data_Entry!$I665&lt;0,0,Data_Entry!AG665/Data_Entry!$I665),0)</f>
        <v>0.11622501162250115</v>
      </c>
      <c r="AC676" s="49">
        <f>IFERROR(IF(Data_Entry!AI665/Data_Entry!$I665&lt;0,0,Data_Entry!AI665/Data_Entry!$I665),0)</f>
        <v>9.6931659693165972E-2</v>
      </c>
      <c r="AD676" s="49">
        <f>IFERROR(IF(Data_Entry!AM665/Data_Entry!$H665&lt;0,0,Data_Entry!AM665/Data_Entry!$H665),0)</f>
        <v>0.59677713704161051</v>
      </c>
      <c r="AE676" s="50">
        <f>Data_Entry!AK665</f>
        <v>74.349500000000035</v>
      </c>
      <c r="AF676" s="50">
        <f>Data_Entry!AL665</f>
        <v>77</v>
      </c>
      <c r="AG676" s="153">
        <f>(Data_Entry!O665-Data_Entry!Q665)/Data_Entry!O665</f>
        <v>-9.3023255813953487E-2</v>
      </c>
      <c r="AH676" s="79" t="str">
        <f t="shared" si="20"/>
        <v>CAT3</v>
      </c>
      <c r="AI676" s="51">
        <f>SUBTOTAL(3,Tableau1[[#This Row],[ZS]])</f>
        <v>0</v>
      </c>
      <c r="AJ676" s="51" t="e">
        <f t="shared" ca="1" si="21"/>
        <v>#NAME?</v>
      </c>
      <c r="AK676" s="50" t="str">
        <f>IFERROR(IF((Data_Entry!O665-Data_Entry!Q665)/Data_Entry!O665&lt;=10%,"&lt;=10%","&gt;10%"),"&lt;=10%")</f>
        <v>&lt;=10%</v>
      </c>
    </row>
    <row r="677" spans="1:37" s="48" customFormat="1" ht="13" hidden="1" x14ac:dyDescent="0.3">
      <c r="A677" s="31" t="s">
        <v>16</v>
      </c>
      <c r="B677" s="48" t="str">
        <f>Data_Entry!B666</f>
        <v>Goma</v>
      </c>
      <c r="C677" s="48" t="str">
        <f>Data_Entry!C666</f>
        <v xml:space="preserve"> Walikale</v>
      </c>
      <c r="D677" s="48" t="str">
        <f>Data_Entry!D666</f>
        <v xml:space="preserve"> Ndofia</v>
      </c>
      <c r="E677" s="49">
        <f>IFERROR(IF(Data_Entry!J666/Data_Entry!$I666&lt;0,0,Data_Entry!J666/Data_Entry!$I666),0)</f>
        <v>1.3552054248105303</v>
      </c>
      <c r="F677" s="49">
        <f>IFERROR(IF(Data_Entry!K666/Data_Entry!$H666&lt;0,0,Data_Entry!K666/Data_Entry!$H666),0)</f>
        <v>1.6252487304887293</v>
      </c>
      <c r="G677" s="49">
        <f>IFERROR(IF(Data_Entry!L666/Data_Entry!$H666&lt;0,0,Data_Entry!L666/Data_Entry!$H666),0)</f>
        <v>1.5635304242676382</v>
      </c>
      <c r="H677" s="49">
        <f>IFERROR(IF(Data_Entry!M666/Data_Entry!$H666&lt;0,0,Data_Entry!M666/Data_Entry!$H666),0)</f>
        <v>1.4983833232564867</v>
      </c>
      <c r="I677" s="49">
        <f>IFERROR(IF(Data_Entry!N666/Data_Entry!$H666&lt;0,0,Data_Entry!N666/Data_Entry!$H666),0)</f>
        <v>1.4846681440962441</v>
      </c>
      <c r="J677" s="49">
        <f>IFERROR(IF(Data_Entry!O666/Data_Entry!$H666&lt;0,0,Data_Entry!O666/Data_Entry!$H666),0)</f>
        <v>1.5120985024167291</v>
      </c>
      <c r="K677" s="49">
        <f>IFERROR(IF(Data_Entry!P666/Data_Entry!$H666&lt;0,0,Data_Entry!P666/Data_Entry!$H666),0)</f>
        <v>1.4709529649360018</v>
      </c>
      <c r="L677" s="49">
        <f>IFERROR(IF(Data_Entry!Q666/Data_Entry!$H666&lt;0,0,Data_Entry!Q666/Data_Entry!$H666),0)</f>
        <v>1.4846681440962441</v>
      </c>
      <c r="M677" s="49">
        <f>IFERROR(IF(Data_Entry!R666/Data_Entry!$H666&lt;0,0,Data_Entry!R666/Data_Entry!$H666),0)</f>
        <v>1.5120985024167291</v>
      </c>
      <c r="N677" s="49">
        <f>IFERROR(IF(Data_Entry!S666/Data_Entry!$H666&lt;0,0,Data_Entry!S666/Data_Entry!$H666),0)</f>
        <v>1.4709529649360018</v>
      </c>
      <c r="O677" s="49">
        <f>IFERROR(IF(Data_Entry!T666/Data_Entry!$H666&lt;0,0,Data_Entry!T666/Data_Entry!$H666),0)</f>
        <v>1.4846681440962441</v>
      </c>
      <c r="P677" s="49">
        <f>IFERROR(IF(Data_Entry!U666/Data_Entry!$H666&lt;0,0,Data_Entry!U666/Data_Entry!$H666),0)</f>
        <v>1.5120985024167291</v>
      </c>
      <c r="Q677" s="49">
        <f>IFERROR(IF(Data_Entry!V666/Data_Entry!$H666&lt;0,0,Data_Entry!V666/Data_Entry!$H666),0)</f>
        <v>1.4709529649360018</v>
      </c>
      <c r="R677" s="49">
        <f>IFERROR(IF(Data_Entry!W666/Data_Entry!$H666&lt;0,0,Data_Entry!W666/Data_Entry!$H666),0)</f>
        <v>1.4846681440962441</v>
      </c>
      <c r="S677" s="49">
        <f>IFERROR(IF(Data_Entry!X666/Data_Entry!$H666&lt;0,0,Data_Entry!X666/Data_Entry!$H666),0)</f>
        <v>1.2755116619025471</v>
      </c>
      <c r="T677" s="49">
        <f>IFERROR(IF(Data_Entry!Y666/Data_Entry!$H666&lt;0,0,Data_Entry!Y666/Data_Entry!$H666),0)</f>
        <v>0.57603752473018255</v>
      </c>
      <c r="U677" s="49">
        <f>IFERROR(IF(Data_Entry!Z666/Data_Entry!$H666&lt;0,0,Data_Entry!Z666/Data_Entry!$H666),0)</f>
        <v>1.2960844306429107</v>
      </c>
      <c r="V677" s="49">
        <f>IFERROR(IF(Data_Entry!AA666/Data_Entry!$H666&lt;0,0,Data_Entry!AA666/Data_Entry!$H666),0)</f>
        <v>1.4846681440962441</v>
      </c>
      <c r="W677" s="49">
        <f>IFERROR(IF(Data_Entry!AB666/Data_Entry!$H666&lt;0,0,Data_Entry!AB666/Data_Entry!$H666),0)</f>
        <v>0.69604534238230387</v>
      </c>
      <c r="X677" s="49">
        <f>IFERROR(IF(Data_Entry!AC666/Data_Entry!$I666&lt;0,0,Data_Entry!AC666/Data_Entry!$I666),0)</f>
        <v>0.62824092540885512</v>
      </c>
      <c r="Y677" s="49">
        <f>IFERROR(IF(Data_Entry!AD666/Data_Entry!$I666&lt;0,0,Data_Entry!AD666/Data_Entry!$I666),0)</f>
        <v>0.59832469086557627</v>
      </c>
      <c r="Z677" s="49">
        <f>IFERROR(IF(Data_Entry!AE666/Data_Entry!$I666&lt;0,0,Data_Entry!AE666/Data_Entry!$I666),0)</f>
        <v>0.69704826485839644</v>
      </c>
      <c r="AA677" s="49">
        <f>IFERROR(IF(Data_Entry!AF666/Data_Entry!$I666&lt;0,0,Data_Entry!AF666/Data_Entry!$I666),0)</f>
        <v>0.66114878340646177</v>
      </c>
      <c r="AB677" s="49">
        <f>IFERROR(IF(Data_Entry!AG666/Data_Entry!$I666&lt;0,0,Data_Entry!AG666/Data_Entry!$I666),0)</f>
        <v>0.6761069006781012</v>
      </c>
      <c r="AC677" s="49">
        <f>IFERROR(IF(Data_Entry!AI666/Data_Entry!$I666&lt;0,0,Data_Entry!AI666/Data_Entry!$I666),0)</f>
        <v>0.12475069804547267</v>
      </c>
      <c r="AD677" s="49">
        <f>IFERROR(IF(Data_Entry!AM666/Data_Entry!$H666&lt;0,0,Data_Entry!AM666/Data_Entry!$H666),0)</f>
        <v>1.2755116619025471</v>
      </c>
      <c r="AE677" s="50">
        <f>Data_Entry!AK666</f>
        <v>0</v>
      </c>
      <c r="AF677" s="50">
        <f>Data_Entry!AL666</f>
        <v>69</v>
      </c>
      <c r="AG677" s="153">
        <f>(Data_Entry!O666-Data_Entry!Q666)/Data_Entry!O666</f>
        <v>1.8140589569160998E-2</v>
      </c>
      <c r="AH677" s="79" t="str">
        <f t="shared" si="20"/>
        <v>CAT1</v>
      </c>
      <c r="AI677" s="51">
        <f>SUBTOTAL(3,Tableau1[[#This Row],[ZS]])</f>
        <v>0</v>
      </c>
      <c r="AJ677" s="51" t="e">
        <f t="shared" ca="1" si="21"/>
        <v>#NAME?</v>
      </c>
      <c r="AK677" s="50" t="str">
        <f>IFERROR(IF((Data_Entry!O666-Data_Entry!Q666)/Data_Entry!O666&lt;=10%,"&lt;=10%","&gt;10%"),"&lt;=10%")</f>
        <v>&lt;=10%</v>
      </c>
    </row>
    <row r="678" spans="1:37" s="48" customFormat="1" ht="13" hidden="1" x14ac:dyDescent="0.3">
      <c r="A678" s="31" t="s">
        <v>16</v>
      </c>
      <c r="B678" s="48" t="str">
        <f>Data_Entry!B667</f>
        <v>Goma</v>
      </c>
      <c r="C678" s="48" t="str">
        <f>Data_Entry!C667</f>
        <v xml:space="preserve"> Walikale</v>
      </c>
      <c r="D678" s="48" t="str">
        <f>Data_Entry!D667</f>
        <v xml:space="preserve"> Nyasi</v>
      </c>
      <c r="E678" s="49">
        <f>IFERROR(IF(Data_Entry!J667/Data_Entry!$I667&lt;0,0,Data_Entry!J667/Data_Entry!$I667),0)</f>
        <v>1.1450960566228512</v>
      </c>
      <c r="F678" s="49">
        <f>IFERROR(IF(Data_Entry!K667/Data_Entry!$H667&lt;0,0,Data_Entry!K667/Data_Entry!$H667),0)</f>
        <v>0.66056130327586249</v>
      </c>
      <c r="G678" s="49">
        <f>IFERROR(IF(Data_Entry!L667/Data_Entry!$H667&lt;0,0,Data_Entry!L667/Data_Entry!$H667),0)</f>
        <v>1.1559822807327595</v>
      </c>
      <c r="H678" s="49">
        <f>IFERROR(IF(Data_Entry!M667/Data_Entry!$H667&lt;0,0,Data_Entry!M667/Data_Entry!$H667),0)</f>
        <v>1.2037860592593022</v>
      </c>
      <c r="I678" s="49">
        <f>IFERROR(IF(Data_Entry!N667/Data_Entry!$H667&lt;0,0,Data_Entry!N667/Data_Entry!$H667),0)</f>
        <v>1.0907953100147467</v>
      </c>
      <c r="J678" s="49">
        <f>IFERROR(IF(Data_Entry!O667/Data_Entry!$H667&lt;0,0,Data_Entry!O667/Data_Entry!$H667),0)</f>
        <v>1.1472906846370243</v>
      </c>
      <c r="K678" s="49">
        <f>IFERROR(IF(Data_Entry!P667/Data_Entry!$H667&lt;0,0,Data_Entry!P667/Data_Entry!$H667),0)</f>
        <v>1.1994402612114345</v>
      </c>
      <c r="L678" s="49">
        <f>IFERROR(IF(Data_Entry!Q667/Data_Entry!$H667&lt;0,0,Data_Entry!Q667/Data_Entry!$H667),0)</f>
        <v>1.1038327041583493</v>
      </c>
      <c r="M678" s="49">
        <f>IFERROR(IF(Data_Entry!R667/Data_Entry!$H667&lt;0,0,Data_Entry!R667/Data_Entry!$H667),0)</f>
        <v>1.1472906846370243</v>
      </c>
      <c r="N678" s="49">
        <f>IFERROR(IF(Data_Entry!S667/Data_Entry!$H667&lt;0,0,Data_Entry!S667/Data_Entry!$H667),0)</f>
        <v>1.1994402612114345</v>
      </c>
      <c r="O678" s="49">
        <f>IFERROR(IF(Data_Entry!T667/Data_Entry!$H667&lt;0,0,Data_Entry!T667/Data_Entry!$H667),0)</f>
        <v>1.0907953100147467</v>
      </c>
      <c r="P678" s="49">
        <f>IFERROR(IF(Data_Entry!U667/Data_Entry!$H667&lt;0,0,Data_Entry!U667/Data_Entry!$H667),0)</f>
        <v>0.96476716662658868</v>
      </c>
      <c r="Q678" s="49">
        <f>IFERROR(IF(Data_Entry!V667/Data_Entry!$H667&lt;0,0,Data_Entry!V667/Data_Entry!$H667),0)</f>
        <v>0.93869237833938357</v>
      </c>
      <c r="R678" s="49">
        <f>IFERROR(IF(Data_Entry!W667/Data_Entry!$H667&lt;0,0,Data_Entry!W667/Data_Entry!$H667),0)</f>
        <v>0.95172977248298618</v>
      </c>
      <c r="S678" s="49">
        <f>IFERROR(IF(Data_Entry!X667/Data_Entry!$H667&lt;0,0,Data_Entry!X667/Data_Entry!$H667),0)</f>
        <v>1.0299541373446015</v>
      </c>
      <c r="T678" s="49">
        <f>IFERROR(IF(Data_Entry!Y667/Data_Entry!$H667&lt;0,0,Data_Entry!Y667/Data_Entry!$H667),0)</f>
        <v>0.52584156379196956</v>
      </c>
      <c r="U678" s="49">
        <f>IFERROR(IF(Data_Entry!Z667/Data_Entry!$H667&lt;0,0,Data_Entry!Z667/Data_Entry!$H667),0)</f>
        <v>1.1081785022062167</v>
      </c>
      <c r="V678" s="49">
        <f>IFERROR(IF(Data_Entry!AA667/Data_Entry!$H667&lt;0,0,Data_Entry!AA667/Data_Entry!$H667),0)</f>
        <v>1.0907953100147467</v>
      </c>
      <c r="W678" s="49">
        <f>IFERROR(IF(Data_Entry!AB667/Data_Entry!$H667&lt;0,0,Data_Entry!AB667/Data_Entry!$H667),0)</f>
        <v>0.51714996769623445</v>
      </c>
      <c r="X678" s="49">
        <f>IFERROR(IF(Data_Entry!AC667/Data_Entry!$I667&lt;0,0,Data_Entry!AC667/Data_Entry!$I667),0)</f>
        <v>0.28058645096056622</v>
      </c>
      <c r="Y678" s="49">
        <f>IFERROR(IF(Data_Entry!AD667/Data_Entry!$I667&lt;0,0,Data_Entry!AD667/Data_Entry!$I667),0)</f>
        <v>0.32608695652173914</v>
      </c>
      <c r="Z678" s="49">
        <f>IFERROR(IF(Data_Entry!AE667/Data_Entry!$I667&lt;0,0,Data_Entry!AE667/Data_Entry!$I667),0)</f>
        <v>0.19716885743174922</v>
      </c>
      <c r="AA678" s="49">
        <f>IFERROR(IF(Data_Entry!AF667/Data_Entry!$I667&lt;0,0,Data_Entry!AF667/Data_Entry!$I667),0)</f>
        <v>0.1895854398382204</v>
      </c>
      <c r="AB678" s="49">
        <f>IFERROR(IF(Data_Entry!AG667/Data_Entry!$I667&lt;0,0,Data_Entry!AG667/Data_Entry!$I667),0)</f>
        <v>0.14787664307381193</v>
      </c>
      <c r="AC678" s="49">
        <f>IFERROR(IF(Data_Entry!AI667/Data_Entry!$I667&lt;0,0,Data_Entry!AI667/Data_Entry!$I667),0)</f>
        <v>0.17366026289180989</v>
      </c>
      <c r="AD678" s="49">
        <f>IFERROR(IF(Data_Entry!AM667/Data_Entry!$H667&lt;0,0,Data_Entry!AM667/Data_Entry!$H667),0)</f>
        <v>1.0299541373446015</v>
      </c>
      <c r="AE678" s="50">
        <f>Data_Entry!AK667</f>
        <v>0</v>
      </c>
      <c r="AF678" s="50">
        <f>Data_Entry!AL667</f>
        <v>27</v>
      </c>
      <c r="AG678" s="153">
        <f>(Data_Entry!O667-Data_Entry!Q667)/Data_Entry!O667</f>
        <v>3.787878787878788E-2</v>
      </c>
      <c r="AH678" s="79" t="str">
        <f t="shared" si="20"/>
        <v>CAT1</v>
      </c>
      <c r="AI678" s="51">
        <f>SUBTOTAL(3,Tableau1[[#This Row],[ZS]])</f>
        <v>0</v>
      </c>
      <c r="AJ678" s="51" t="e">
        <f t="shared" ca="1" si="21"/>
        <v>#NAME?</v>
      </c>
      <c r="AK678" s="50" t="str">
        <f>IFERROR(IF((Data_Entry!O667-Data_Entry!Q667)/Data_Entry!O667&lt;=10%,"&lt;=10%","&gt;10%"),"&lt;=10%")</f>
        <v>&lt;=10%</v>
      </c>
    </row>
    <row r="679" spans="1:37" s="48" customFormat="1" ht="13" hidden="1" x14ac:dyDescent="0.3">
      <c r="A679" s="31" t="s">
        <v>16</v>
      </c>
      <c r="B679" s="48" t="str">
        <f>Data_Entry!B668</f>
        <v>Goma</v>
      </c>
      <c r="C679" s="48" t="str">
        <f>Data_Entry!C668</f>
        <v xml:space="preserve"> Walikale</v>
      </c>
      <c r="D679" s="48" t="str">
        <f>Data_Entry!D668</f>
        <v xml:space="preserve"> Obaye</v>
      </c>
      <c r="E679" s="49">
        <f>IFERROR(IF(Data_Entry!J668/Data_Entry!$I668&lt;0,0,Data_Entry!J668/Data_Entry!$I668),0)</f>
        <v>1.8590831918505941</v>
      </c>
      <c r="F679" s="49">
        <f>IFERROR(IF(Data_Entry!K668/Data_Entry!$H668&lt;0,0,Data_Entry!K668/Data_Entry!$H668),0)</f>
        <v>1.5469860528018446</v>
      </c>
      <c r="G679" s="49">
        <f>IFERROR(IF(Data_Entry!L668/Data_Entry!$H668&lt;0,0,Data_Entry!L668/Data_Entry!$H668),0)</f>
        <v>1.6734691891944482</v>
      </c>
      <c r="H679" s="49">
        <f>IFERROR(IF(Data_Entry!M668/Data_Entry!$H668&lt;0,0,Data_Entry!M668/Data_Entry!$H668),0)</f>
        <v>1.4788797485904428</v>
      </c>
      <c r="I679" s="49">
        <f>IFERROR(IF(Data_Entry!N668/Data_Entry!$H668&lt;0,0,Data_Entry!N668/Data_Entry!$H668),0)</f>
        <v>1.4788797485904428</v>
      </c>
      <c r="J679" s="49">
        <f>IFERROR(IF(Data_Entry!O668/Data_Entry!$H668&lt;0,0,Data_Entry!O668/Data_Entry!$H668),0)</f>
        <v>1.6053628849830464</v>
      </c>
      <c r="K679" s="49">
        <f>IFERROR(IF(Data_Entry!P668/Data_Entry!$H668&lt;0,0,Data_Entry!P668/Data_Entry!$H668),0)</f>
        <v>1.4788797485904428</v>
      </c>
      <c r="L679" s="49">
        <f>IFERROR(IF(Data_Entry!Q668/Data_Entry!$H668&lt;0,0,Data_Entry!Q668/Data_Entry!$H668),0)</f>
        <v>1.4788797485904428</v>
      </c>
      <c r="M679" s="49">
        <f>IFERROR(IF(Data_Entry!R668/Data_Entry!$H668&lt;0,0,Data_Entry!R668/Data_Entry!$H668),0)</f>
        <v>1.6734691891944482</v>
      </c>
      <c r="N679" s="49">
        <f>IFERROR(IF(Data_Entry!S668/Data_Entry!$H668&lt;0,0,Data_Entry!S668/Data_Entry!$H668),0)</f>
        <v>1.4788797485904428</v>
      </c>
      <c r="O679" s="49">
        <f>IFERROR(IF(Data_Entry!T668/Data_Entry!$H668&lt;0,0,Data_Entry!T668/Data_Entry!$H668),0)</f>
        <v>1.4788797485904428</v>
      </c>
      <c r="P679" s="49">
        <f>IFERROR(IF(Data_Entry!U668/Data_Entry!$H668&lt;0,0,Data_Entry!U668/Data_Entry!$H668),0)</f>
        <v>1.4886092206206429</v>
      </c>
      <c r="Q679" s="49">
        <f>IFERROR(IF(Data_Entry!V668/Data_Entry!$H668&lt;0,0,Data_Entry!V668/Data_Entry!$H668),0)</f>
        <v>1.3232081961072382</v>
      </c>
      <c r="R679" s="49">
        <f>IFERROR(IF(Data_Entry!W668/Data_Entry!$H668&lt;0,0,Data_Entry!W668/Data_Entry!$H668),0)</f>
        <v>1.3621260842280394</v>
      </c>
      <c r="S679" s="49">
        <f>IFERROR(IF(Data_Entry!X668/Data_Entry!$H668&lt;0,0,Data_Entry!X668/Data_Entry!$H668),0)</f>
        <v>1.1772661156542339</v>
      </c>
      <c r="T679" s="49">
        <f>IFERROR(IF(Data_Entry!Y668/Data_Entry!$H668&lt;0,0,Data_Entry!Y668/Data_Entry!$H668),0)</f>
        <v>0.49620307354021431</v>
      </c>
      <c r="U679" s="49">
        <f>IFERROR(IF(Data_Entry!Z668/Data_Entry!$H668&lt;0,0,Data_Entry!Z668/Data_Entry!$H668),0)</f>
        <v>1.1967250597146346</v>
      </c>
      <c r="V679" s="49">
        <f>IFERROR(IF(Data_Entry!AA668/Data_Entry!$H668&lt;0,0,Data_Entry!AA668/Data_Entry!$H668),0)</f>
        <v>1.4788797485904428</v>
      </c>
      <c r="W679" s="49">
        <f>IFERROR(IF(Data_Entry!AB668/Data_Entry!$H668&lt;0,0,Data_Entry!AB668/Data_Entry!$H668),0)</f>
        <v>1.1967250597146346</v>
      </c>
      <c r="X679" s="49">
        <f>IFERROR(IF(Data_Entry!AC668/Data_Entry!$I668&lt;0,0,Data_Entry!AC668/Data_Entry!$I668),0)</f>
        <v>0.43293718166383699</v>
      </c>
      <c r="Y679" s="49">
        <f>IFERROR(IF(Data_Entry!AD668/Data_Entry!$I668&lt;0,0,Data_Entry!AD668/Data_Entry!$I668),0)</f>
        <v>0.365025466893039</v>
      </c>
      <c r="Z679" s="49">
        <f>IFERROR(IF(Data_Entry!AE668/Data_Entry!$I668&lt;0,0,Data_Entry!AE668/Data_Entry!$I668),0)</f>
        <v>0.30560271646859083</v>
      </c>
      <c r="AA679" s="49">
        <f>IFERROR(IF(Data_Entry!AF668/Data_Entry!$I668&lt;0,0,Data_Entry!AF668/Data_Entry!$I668),0)</f>
        <v>0.16129032258064516</v>
      </c>
      <c r="AB679" s="49">
        <f>IFERROR(IF(Data_Entry!AG668/Data_Entry!$I668&lt;0,0,Data_Entry!AG668/Data_Entry!$I668),0)</f>
        <v>9.3378607809847192E-2</v>
      </c>
      <c r="AC679" s="49">
        <f>IFERROR(IF(Data_Entry!AI668/Data_Entry!$I668&lt;0,0,Data_Entry!AI668/Data_Entry!$I668),0)</f>
        <v>0.4949066213921901</v>
      </c>
      <c r="AD679" s="49">
        <f>IFERROR(IF(Data_Entry!AM668/Data_Entry!$H668&lt;0,0,Data_Entry!AM668/Data_Entry!$H668),0)</f>
        <v>1.1772661156542339</v>
      </c>
      <c r="AE679" s="50">
        <f>Data_Entry!AK668</f>
        <v>0</v>
      </c>
      <c r="AF679" s="50">
        <f>Data_Entry!AL668</f>
        <v>44</v>
      </c>
      <c r="AG679" s="153">
        <f>(Data_Entry!O668-Data_Entry!Q668)/Data_Entry!O668</f>
        <v>7.8787878787878782E-2</v>
      </c>
      <c r="AH679" s="79" t="str">
        <f t="shared" si="20"/>
        <v>CAT1</v>
      </c>
      <c r="AI679" s="51">
        <f>SUBTOTAL(3,Tableau1[[#This Row],[ZS]])</f>
        <v>0</v>
      </c>
      <c r="AJ679" s="51" t="e">
        <f t="shared" ca="1" si="21"/>
        <v>#NAME?</v>
      </c>
      <c r="AK679" s="50" t="str">
        <f>IFERROR(IF((Data_Entry!O668-Data_Entry!Q668)/Data_Entry!O668&lt;=10%,"&lt;=10%","&gt;10%"),"&lt;=10%")</f>
        <v>&lt;=10%</v>
      </c>
    </row>
    <row r="680" spans="1:37" s="48" customFormat="1" ht="13" hidden="1" x14ac:dyDescent="0.3">
      <c r="A680" s="31" t="s">
        <v>16</v>
      </c>
      <c r="B680" s="48" t="str">
        <f>Data_Entry!B669</f>
        <v>Goma</v>
      </c>
      <c r="C680" s="48" t="str">
        <f>Data_Entry!C669</f>
        <v xml:space="preserve"> Walikale</v>
      </c>
      <c r="D680" s="48" t="str">
        <f>Data_Entry!D669</f>
        <v xml:space="preserve"> Sacré Coeur</v>
      </c>
      <c r="E680" s="49">
        <f>IFERROR(IF(Data_Entry!J669/Data_Entry!$I669&lt;0,0,Data_Entry!J669/Data_Entry!$I669),0)</f>
        <v>0.92537599386914449</v>
      </c>
      <c r="F680" s="49">
        <f>IFERROR(IF(Data_Entry!K669/Data_Entry!$H669&lt;0,0,Data_Entry!K669/Data_Entry!$H669),0)</f>
        <v>1.0606028583027445</v>
      </c>
      <c r="G680" s="49">
        <f>IFERROR(IF(Data_Entry!L669/Data_Entry!$H669&lt;0,0,Data_Entry!L669/Data_Entry!$H669),0)</f>
        <v>1.2285865408289556</v>
      </c>
      <c r="H680" s="49">
        <f>IFERROR(IF(Data_Entry!M669/Data_Entry!$H669&lt;0,0,Data_Entry!M669/Data_Entry!$H669),0)</f>
        <v>1.2746997085812488</v>
      </c>
      <c r="I680" s="49">
        <f>IFERROR(IF(Data_Entry!N669/Data_Entry!$H669&lt;0,0,Data_Entry!N669/Data_Entry!$H669),0)</f>
        <v>1.2187051477391786</v>
      </c>
      <c r="J680" s="49">
        <f>IFERROR(IF(Data_Entry!O669/Data_Entry!$H669&lt;0,0,Data_Entry!O669/Data_Entry!$H669),0)</f>
        <v>1.2285865408289556</v>
      </c>
      <c r="K680" s="49">
        <f>IFERROR(IF(Data_Entry!P669/Data_Entry!$H669&lt;0,0,Data_Entry!P669/Data_Entry!$H669),0)</f>
        <v>1.2746997085812488</v>
      </c>
      <c r="L680" s="49">
        <f>IFERROR(IF(Data_Entry!Q669/Data_Entry!$H669&lt;0,0,Data_Entry!Q669/Data_Entry!$H669),0)</f>
        <v>1.2187051477391786</v>
      </c>
      <c r="M680" s="49">
        <f>IFERROR(IF(Data_Entry!R669/Data_Entry!$H669&lt;0,0,Data_Entry!R669/Data_Entry!$H669),0)</f>
        <v>1.2285865408289556</v>
      </c>
      <c r="N680" s="49">
        <f>IFERROR(IF(Data_Entry!S669/Data_Entry!$H669&lt;0,0,Data_Entry!S669/Data_Entry!$H669),0)</f>
        <v>1.2746997085812488</v>
      </c>
      <c r="O680" s="49">
        <f>IFERROR(IF(Data_Entry!T669/Data_Entry!$H669&lt;0,0,Data_Entry!T669/Data_Entry!$H669),0)</f>
        <v>1.2187051477391786</v>
      </c>
      <c r="P680" s="49">
        <f>IFERROR(IF(Data_Entry!U669/Data_Entry!$H669&lt;0,0,Data_Entry!U669/Data_Entry!$H669),0)</f>
        <v>1.1824733730766623</v>
      </c>
      <c r="Q680" s="49">
        <f>IFERROR(IF(Data_Entry!V669/Data_Entry!$H669&lt;0,0,Data_Entry!V669/Data_Entry!$H669),0)</f>
        <v>1.2746997085812488</v>
      </c>
      <c r="R680" s="49">
        <f>IFERROR(IF(Data_Entry!W669/Data_Entry!$H669&lt;0,0,Data_Entry!W669/Data_Entry!$H669),0)</f>
        <v>1.2187051477391786</v>
      </c>
      <c r="S680" s="49">
        <f>IFERROR(IF(Data_Entry!X669/Data_Entry!$H669&lt;0,0,Data_Entry!X669/Data_Entry!$H669),0)</f>
        <v>1.3274004717267269</v>
      </c>
      <c r="T680" s="49">
        <f>IFERROR(IF(Data_Entry!Y669/Data_Entry!$H669&lt;0,0,Data_Entry!Y669/Data_Entry!$H669),0)</f>
        <v>0.72463549325032239</v>
      </c>
      <c r="U680" s="49">
        <f>IFERROR(IF(Data_Entry!Z669/Data_Entry!$H669&lt;0,0,Data_Entry!Z669/Data_Entry!$H669),0)</f>
        <v>1.3274004717267269</v>
      </c>
      <c r="V680" s="49">
        <f>IFERROR(IF(Data_Entry!AA669/Data_Entry!$H669&lt;0,0,Data_Entry!AA669/Data_Entry!$H669),0)</f>
        <v>1.1923547661664395</v>
      </c>
      <c r="W680" s="49">
        <f>IFERROR(IF(Data_Entry!AB669/Data_Entry!$H669&lt;0,0,Data_Entry!AB669/Data_Entry!$H669),0)</f>
        <v>0.97167032049475044</v>
      </c>
      <c r="X680" s="49">
        <f>IFERROR(IF(Data_Entry!AC669/Data_Entry!$I669&lt;0,0,Data_Entry!AC669/Data_Entry!$I669),0)</f>
        <v>0.90238528594692968</v>
      </c>
      <c r="Y680" s="49">
        <f>IFERROR(IF(Data_Entry!AD669/Data_Entry!$I669&lt;0,0,Data_Entry!AD669/Data_Entry!$I669),0)</f>
        <v>0.66098285276367463</v>
      </c>
      <c r="Z680" s="49">
        <f>IFERROR(IF(Data_Entry!AE669/Data_Entry!$I669&lt;0,0,Data_Entry!AE669/Data_Entry!$I669),0)</f>
        <v>0.4368234505220806</v>
      </c>
      <c r="AA680" s="49">
        <f>IFERROR(IF(Data_Entry!AF669/Data_Entry!$I669&lt;0,0,Data_Entry!AF669/Data_Entry!$I669),0)</f>
        <v>0.16955647092633391</v>
      </c>
      <c r="AB680" s="49">
        <f>IFERROR(IF(Data_Entry!AG669/Data_Entry!$I669&lt;0,0,Data_Entry!AG669/Data_Entry!$I669),0)</f>
        <v>1.4369192451384231E-2</v>
      </c>
      <c r="AC680" s="49">
        <f>IFERROR(IF(Data_Entry!AI669/Data_Entry!$I669&lt;0,0,Data_Entry!AI669/Data_Entry!$I669),0)</f>
        <v>0.16754478398314013</v>
      </c>
      <c r="AD680" s="49">
        <f>IFERROR(IF(Data_Entry!AM669/Data_Entry!$H669&lt;0,0,Data_Entry!AM669/Data_Entry!$H669),0)</f>
        <v>1.3274004717267269</v>
      </c>
      <c r="AE680" s="50">
        <f>Data_Entry!AK669</f>
        <v>0</v>
      </c>
      <c r="AF680" s="50">
        <f>Data_Entry!AL669</f>
        <v>0</v>
      </c>
      <c r="AG680" s="153">
        <f>(Data_Entry!O669-Data_Entry!Q669)/Data_Entry!O669</f>
        <v>8.0428954423592495E-3</v>
      </c>
      <c r="AH680" s="79" t="str">
        <f t="shared" si="20"/>
        <v>CAT1</v>
      </c>
      <c r="AI680" s="51">
        <f>SUBTOTAL(3,Tableau1[[#This Row],[ZS]])</f>
        <v>0</v>
      </c>
      <c r="AJ680" s="51" t="e">
        <f t="shared" ca="1" si="21"/>
        <v>#NAME?</v>
      </c>
      <c r="AK680" s="50" t="str">
        <f>IFERROR(IF((Data_Entry!O669-Data_Entry!Q669)/Data_Entry!O669&lt;=10%,"&lt;=10%","&gt;10%"),"&lt;=10%")</f>
        <v>&lt;=10%</v>
      </c>
    </row>
    <row r="681" spans="1:37" s="48" customFormat="1" ht="13" hidden="1" x14ac:dyDescent="0.3">
      <c r="A681" s="31" t="s">
        <v>16</v>
      </c>
      <c r="B681" s="48" t="str">
        <f>Data_Entry!B670</f>
        <v>Goma</v>
      </c>
      <c r="C681" s="48" t="str">
        <f>Data_Entry!C670</f>
        <v xml:space="preserve"> Walikale</v>
      </c>
      <c r="D681" s="48" t="str">
        <f>Data_Entry!D670</f>
        <v xml:space="preserve"> Santé Plus</v>
      </c>
      <c r="E681" s="49">
        <f>IFERROR(IF(Data_Entry!J670/Data_Entry!$I670&lt;0,0,Data_Entry!J670/Data_Entry!$I670),0)</f>
        <v>0.77171282602850222</v>
      </c>
      <c r="F681" s="49">
        <f>IFERROR(IF(Data_Entry!K670/Data_Entry!$H670&lt;0,0,Data_Entry!K670/Data_Entry!$H670),0)</f>
        <v>0.4915515539732081</v>
      </c>
      <c r="G681" s="49">
        <f>IFERROR(IF(Data_Entry!L670/Data_Entry!$H670&lt;0,0,Data_Entry!L670/Data_Entry!$H670),0)</f>
        <v>0.98926676379561007</v>
      </c>
      <c r="H681" s="49">
        <f>IFERROR(IF(Data_Entry!M670/Data_Entry!$H670&lt;0,0,Data_Entry!M670/Data_Entry!$H670),0)</f>
        <v>0.94920300077585018</v>
      </c>
      <c r="I681" s="49">
        <f>IFERROR(IF(Data_Entry!N670/Data_Entry!$H670&lt;0,0,Data_Entry!N670/Data_Entry!$H670),0)</f>
        <v>0.97848036605952082</v>
      </c>
      <c r="J681" s="49">
        <f>IFERROR(IF(Data_Entry!O670/Data_Entry!$H670&lt;0,0,Data_Entry!O670/Data_Entry!$H670),0)</f>
        <v>1.0031349894562962</v>
      </c>
      <c r="K681" s="49">
        <f>IFERROR(IF(Data_Entry!P670/Data_Entry!$H670&lt;0,0,Data_Entry!P670/Data_Entry!$H670),0)</f>
        <v>0.94920300077585018</v>
      </c>
      <c r="L681" s="49">
        <f>IFERROR(IF(Data_Entry!Q670/Data_Entry!$H670&lt;0,0,Data_Entry!Q670/Data_Entry!$H670),0)</f>
        <v>0.97848036605952082</v>
      </c>
      <c r="M681" s="49">
        <f>IFERROR(IF(Data_Entry!R670/Data_Entry!$H670&lt;0,0,Data_Entry!R670/Data_Entry!$H670),0)</f>
        <v>1.0046759034185946</v>
      </c>
      <c r="N681" s="49">
        <f>IFERROR(IF(Data_Entry!S670/Data_Entry!$H670&lt;0,0,Data_Entry!S670/Data_Entry!$H670),0)</f>
        <v>0.94920300077585018</v>
      </c>
      <c r="O681" s="49">
        <f>IFERROR(IF(Data_Entry!T670/Data_Entry!$H670&lt;0,0,Data_Entry!T670/Data_Entry!$H670),0)</f>
        <v>0.97848036605952082</v>
      </c>
      <c r="P681" s="49">
        <f>IFERROR(IF(Data_Entry!U670/Data_Entry!$H670&lt;0,0,Data_Entry!U670/Data_Entry!$H670),0)</f>
        <v>1.0046759034185946</v>
      </c>
      <c r="Q681" s="49">
        <f>IFERROR(IF(Data_Entry!V670/Data_Entry!$H670&lt;0,0,Data_Entry!V670/Data_Entry!$H670),0)</f>
        <v>0.91992563549217943</v>
      </c>
      <c r="R681" s="49">
        <f>IFERROR(IF(Data_Entry!W670/Data_Entry!$H670&lt;0,0,Data_Entry!W670/Data_Entry!$H670),0)</f>
        <v>0.88602552832161341</v>
      </c>
      <c r="S681" s="49">
        <f>IFERROR(IF(Data_Entry!X670/Data_Entry!$H670&lt;0,0,Data_Entry!X670/Data_Entry!$H670),0)</f>
        <v>0.75042509963934911</v>
      </c>
      <c r="T681" s="49">
        <f>IFERROR(IF(Data_Entry!Y670/Data_Entry!$H670&lt;0,0,Data_Entry!Y670/Data_Entry!$H670),0)</f>
        <v>0.42683316755667289</v>
      </c>
      <c r="U681" s="49">
        <f>IFERROR(IF(Data_Entry!Z670/Data_Entry!$H670&lt;0,0,Data_Entry!Z670/Data_Entry!$H670),0)</f>
        <v>0.75042509963934911</v>
      </c>
      <c r="V681" s="49">
        <f>IFERROR(IF(Data_Entry!AA670/Data_Entry!$H670&lt;0,0,Data_Entry!AA670/Data_Entry!$H670),0)</f>
        <v>1.5470776181476518</v>
      </c>
      <c r="W681" s="49">
        <f>IFERROR(IF(Data_Entry!AB670/Data_Entry!$H670&lt;0,0,Data_Entry!AB670/Data_Entry!$H670),0)</f>
        <v>0.66105208982603847</v>
      </c>
      <c r="X681" s="49">
        <f>IFERROR(IF(Data_Entry!AC670/Data_Entry!$I670&lt;0,0,Data_Entry!AC670/Data_Entry!$I670),0)</f>
        <v>0.33880075289056194</v>
      </c>
      <c r="Y681" s="49">
        <f>IFERROR(IF(Data_Entry!AD670/Data_Entry!$I670&lt;0,0,Data_Entry!AD670/Data_Entry!$I670),0)</f>
        <v>0.28636730303845115</v>
      </c>
      <c r="Z681" s="49">
        <f>IFERROR(IF(Data_Entry!AE670/Data_Entry!$I670&lt;0,0,Data_Entry!AE670/Data_Entry!$I670),0)</f>
        <v>0.30653401452003226</v>
      </c>
      <c r="AA681" s="49">
        <f>IFERROR(IF(Data_Entry!AF670/Data_Entry!$I670&lt;0,0,Data_Entry!AF670/Data_Entry!$I670),0)</f>
        <v>0.19091153535896746</v>
      </c>
      <c r="AB681" s="49">
        <f>IFERROR(IF(Data_Entry!AG670/Data_Entry!$I670&lt;0,0,Data_Entry!AG670/Data_Entry!$I670),0)</f>
        <v>8.6044635654745891E-2</v>
      </c>
      <c r="AC681" s="49">
        <f>IFERROR(IF(Data_Entry!AI670/Data_Entry!$I670&lt;0,0,Data_Entry!AI670/Data_Entry!$I670),0)</f>
        <v>5.6063457918795377E-2</v>
      </c>
      <c r="AD681" s="49">
        <f>IFERROR(IF(Data_Entry!AM670/Data_Entry!$H670&lt;0,0,Data_Entry!AM670/Data_Entry!$H670),0)</f>
        <v>0.75042509963934911</v>
      </c>
      <c r="AE681" s="50">
        <f>Data_Entry!AK670</f>
        <v>0</v>
      </c>
      <c r="AF681" s="50">
        <f>Data_Entry!AL670</f>
        <v>164</v>
      </c>
      <c r="AG681" s="153">
        <f>(Data_Entry!O670-Data_Entry!Q670)/Data_Entry!O670</f>
        <v>2.4577572964669739E-2</v>
      </c>
      <c r="AH681" s="79" t="str">
        <f t="shared" si="20"/>
        <v>CAT1</v>
      </c>
      <c r="AI681" s="51">
        <f>SUBTOTAL(3,Tableau1[[#This Row],[ZS]])</f>
        <v>0</v>
      </c>
      <c r="AJ681" s="51" t="e">
        <f t="shared" ca="1" si="21"/>
        <v>#NAME?</v>
      </c>
      <c r="AK681" s="50" t="str">
        <f>IFERROR(IF((Data_Entry!O670-Data_Entry!Q670)/Data_Entry!O670&lt;=10%,"&lt;=10%","&gt;10%"),"&lt;=10%")</f>
        <v>&lt;=10%</v>
      </c>
    </row>
  </sheetData>
  <sheetProtection password="EF87" sheet="1" selectLockedCells="1" sort="0" autoFilter="0" pivotTables="0"/>
  <mergeCells count="27">
    <mergeCell ref="Q2:R2"/>
    <mergeCell ref="H2:I2"/>
    <mergeCell ref="N2:O2"/>
    <mergeCell ref="E2:F2"/>
    <mergeCell ref="K2:L2"/>
    <mergeCell ref="Q10:R10"/>
    <mergeCell ref="A5:C6"/>
    <mergeCell ref="A3:C4"/>
    <mergeCell ref="B7:C7"/>
    <mergeCell ref="Q7:R7"/>
    <mergeCell ref="N9:O9"/>
    <mergeCell ref="N10:O11"/>
    <mergeCell ref="E7:F7"/>
    <mergeCell ref="T12:V12"/>
    <mergeCell ref="T1:W1"/>
    <mergeCell ref="T13:U13"/>
    <mergeCell ref="V13:W13"/>
    <mergeCell ref="T7:V7"/>
    <mergeCell ref="T8:V8"/>
    <mergeCell ref="T9:V9"/>
    <mergeCell ref="T10:V10"/>
    <mergeCell ref="T11:V11"/>
    <mergeCell ref="T2:V2"/>
    <mergeCell ref="T3:V3"/>
    <mergeCell ref="T4:V4"/>
    <mergeCell ref="T5:V5"/>
    <mergeCell ref="T6:V6"/>
  </mergeCells>
  <conditionalFormatting sqref="B13">
    <cfRule type="cellIs" dxfId="185" priority="126" operator="equal">
      <formula>"CAT2"</formula>
    </cfRule>
    <cfRule type="cellIs" dxfId="184" priority="125" operator="equal">
      <formula>"CAT3"</formula>
    </cfRule>
    <cfRule type="cellIs" dxfId="183" priority="124" operator="equal">
      <formula>"CAT4"</formula>
    </cfRule>
    <cfRule type="cellIs" dxfId="182" priority="127" operator="equal">
      <formula>"CAT1"</formula>
    </cfRule>
  </conditionalFormatting>
  <conditionalFormatting sqref="E16:AD681">
    <cfRule type="cellIs" dxfId="181" priority="70" stopIfTrue="1" operator="lessThan">
      <formula>0.8</formula>
    </cfRule>
    <cfRule type="cellIs" dxfId="180" priority="65" stopIfTrue="1" operator="equal">
      <formula>#VALUE!</formula>
    </cfRule>
    <cfRule type="cellIs" dxfId="179" priority="66" stopIfTrue="1" operator="equal">
      <formula>0</formula>
    </cfRule>
    <cfRule type="cellIs" dxfId="178" priority="67" stopIfTrue="1" operator="greaterThan">
      <formula>1</formula>
    </cfRule>
    <cfRule type="cellIs" dxfId="177" priority="68" stopIfTrue="1" operator="between">
      <formula>0.895</formula>
      <formula>1</formula>
    </cfRule>
    <cfRule type="cellIs" dxfId="176" priority="69" stopIfTrue="1" operator="between">
      <formula>0.8</formula>
      <formula>0.894</formula>
    </cfRule>
  </conditionalFormatting>
  <conditionalFormatting sqref="F3:F4">
    <cfRule type="cellIs" dxfId="175" priority="62" stopIfTrue="1" operator="between">
      <formula>0.895</formula>
      <formula>1</formula>
    </cfRule>
    <cfRule type="cellIs" dxfId="174" priority="63" stopIfTrue="1" operator="between">
      <formula>0.8</formula>
      <formula>0.894</formula>
    </cfRule>
    <cfRule type="cellIs" dxfId="173" priority="64" stopIfTrue="1" operator="lessThan">
      <formula>0.8</formula>
    </cfRule>
    <cfRule type="cellIs" dxfId="172" priority="61" stopIfTrue="1" operator="greaterThan">
      <formula>1</formula>
    </cfRule>
    <cfRule type="cellIs" dxfId="171" priority="60" stopIfTrue="1" operator="equal">
      <formula>0</formula>
    </cfRule>
    <cfRule type="cellIs" dxfId="170" priority="59" stopIfTrue="1" operator="equal">
      <formula>#VALUE!</formula>
    </cfRule>
  </conditionalFormatting>
  <conditionalFormatting sqref="F8">
    <cfRule type="cellIs" dxfId="169" priority="21" stopIfTrue="1" operator="between">
      <formula>0</formula>
      <formula>0.1</formula>
    </cfRule>
    <cfRule type="cellIs" dxfId="168" priority="22" stopIfTrue="1" operator="greaterThan">
      <formula>0.1</formula>
    </cfRule>
    <cfRule type="cellIs" dxfId="167" priority="20" stopIfTrue="1" operator="equal">
      <formula>"CAT1"</formula>
    </cfRule>
    <cfRule type="cellIs" dxfId="166" priority="17" stopIfTrue="1" operator="equal">
      <formula>"CAT4"</formula>
    </cfRule>
    <cfRule type="cellIs" dxfId="165" priority="18" stopIfTrue="1" operator="equal">
      <formula>"CAT3"</formula>
    </cfRule>
    <cfRule type="cellIs" dxfId="164" priority="19" stopIfTrue="1" operator="equal">
      <formula>"CAT2"</formula>
    </cfRule>
  </conditionalFormatting>
  <conditionalFormatting sqref="F11">
    <cfRule type="cellIs" dxfId="163" priority="102" operator="greaterThan">
      <formula>0.1</formula>
    </cfRule>
    <cfRule type="cellIs" dxfId="162" priority="103" operator="between">
      <formula>0</formula>
      <formula>0.1</formula>
    </cfRule>
  </conditionalFormatting>
  <conditionalFormatting sqref="F12">
    <cfRule type="cellIs" dxfId="161" priority="6" stopIfTrue="1" operator="lessThan">
      <formula>0.8</formula>
    </cfRule>
    <cfRule type="cellIs" dxfId="160" priority="5" stopIfTrue="1" operator="between">
      <formula>0.8</formula>
      <formula>0.894</formula>
    </cfRule>
    <cfRule type="cellIs" dxfId="159" priority="4" stopIfTrue="1" operator="between">
      <formula>0.895</formula>
      <formula>1</formula>
    </cfRule>
    <cfRule type="cellIs" dxfId="158" priority="3" stopIfTrue="1" operator="greaterThan">
      <formula>1</formula>
    </cfRule>
    <cfRule type="cellIs" dxfId="157" priority="2" stopIfTrue="1" operator="equal">
      <formula>0</formula>
    </cfRule>
    <cfRule type="cellIs" dxfId="156" priority="1" stopIfTrue="1" operator="equal">
      <formula>#VALUE!</formula>
    </cfRule>
  </conditionalFormatting>
  <conditionalFormatting sqref="I3:I6">
    <cfRule type="cellIs" dxfId="155" priority="58" stopIfTrue="1" operator="lessThan">
      <formula>0.8</formula>
    </cfRule>
    <cfRule type="cellIs" dxfId="154" priority="57" stopIfTrue="1" operator="between">
      <formula>0.8</formula>
      <formula>0.894</formula>
    </cfRule>
    <cfRule type="cellIs" dxfId="153" priority="56" stopIfTrue="1" operator="between">
      <formula>0.895</formula>
      <formula>1</formula>
    </cfRule>
    <cfRule type="cellIs" dxfId="152" priority="55" stopIfTrue="1" operator="greaterThan">
      <formula>1</formula>
    </cfRule>
    <cfRule type="cellIs" dxfId="151" priority="54" stopIfTrue="1" operator="equal">
      <formula>0</formula>
    </cfRule>
    <cfRule type="cellIs" dxfId="150" priority="53" stopIfTrue="1" operator="equal">
      <formula>#VALUE!</formula>
    </cfRule>
  </conditionalFormatting>
  <conditionalFormatting sqref="L3:L6">
    <cfRule type="cellIs" dxfId="149" priority="47" stopIfTrue="1" operator="equal">
      <formula>#VALUE!</formula>
    </cfRule>
    <cfRule type="cellIs" dxfId="148" priority="48" stopIfTrue="1" operator="equal">
      <formula>0</formula>
    </cfRule>
    <cfRule type="cellIs" dxfId="147" priority="49" stopIfTrue="1" operator="greaterThan">
      <formula>1</formula>
    </cfRule>
    <cfRule type="cellIs" dxfId="146" priority="50" stopIfTrue="1" operator="between">
      <formula>0.895</formula>
      <formula>1</formula>
    </cfRule>
    <cfRule type="cellIs" dxfId="145" priority="51" stopIfTrue="1" operator="between">
      <formula>0.8</formula>
      <formula>0.894</formula>
    </cfRule>
    <cfRule type="cellIs" dxfId="144" priority="52" stopIfTrue="1" operator="lessThan">
      <formula>0.8</formula>
    </cfRule>
  </conditionalFormatting>
  <conditionalFormatting sqref="N10:O11">
    <cfRule type="cellIs" dxfId="143" priority="74" operator="equal">
      <formula>4</formula>
    </cfRule>
    <cfRule type="cellIs" dxfId="142" priority="75" operator="equal">
      <formula>3</formula>
    </cfRule>
    <cfRule type="cellIs" dxfId="141" priority="76" operator="equal">
      <formula>2</formula>
    </cfRule>
    <cfRule type="cellIs" dxfId="140" priority="77" operator="equal">
      <formula>1</formula>
    </cfRule>
  </conditionalFormatting>
  <conditionalFormatting sqref="O3:O7">
    <cfRule type="cellIs" dxfId="139" priority="46" stopIfTrue="1" operator="lessThan">
      <formula>0.8</formula>
    </cfRule>
    <cfRule type="cellIs" dxfId="138" priority="45" stopIfTrue="1" operator="between">
      <formula>0.8</formula>
      <formula>0.894</formula>
    </cfRule>
    <cfRule type="cellIs" dxfId="137" priority="44" stopIfTrue="1" operator="between">
      <formula>0.895</formula>
      <formula>1</formula>
    </cfRule>
    <cfRule type="cellIs" dxfId="136" priority="43" stopIfTrue="1" operator="greaterThan">
      <formula>1</formula>
    </cfRule>
    <cfRule type="cellIs" dxfId="135" priority="42" stopIfTrue="1" operator="equal">
      <formula>0</formula>
    </cfRule>
    <cfRule type="cellIs" dxfId="134" priority="41" stopIfTrue="1" operator="equal">
      <formula>#VALUE!</formula>
    </cfRule>
  </conditionalFormatting>
  <conditionalFormatting sqref="R3:R5">
    <cfRule type="cellIs" dxfId="133" priority="40" stopIfTrue="1" operator="lessThan">
      <formula>0.8</formula>
    </cfRule>
    <cfRule type="cellIs" dxfId="132" priority="39" stopIfTrue="1" operator="between">
      <formula>0.8</formula>
      <formula>0.894</formula>
    </cfRule>
    <cfRule type="cellIs" dxfId="131" priority="38" stopIfTrue="1" operator="between">
      <formula>0.895</formula>
      <formula>1</formula>
    </cfRule>
    <cfRule type="cellIs" dxfId="130" priority="37" stopIfTrue="1" operator="greaterThan">
      <formula>1</formula>
    </cfRule>
    <cfRule type="cellIs" dxfId="129" priority="36" stopIfTrue="1" operator="equal">
      <formula>0</formula>
    </cfRule>
    <cfRule type="cellIs" dxfId="128" priority="35" stopIfTrue="1" operator="equal">
      <formula>#VALUE!</formula>
    </cfRule>
  </conditionalFormatting>
  <conditionalFormatting sqref="R8">
    <cfRule type="cellIs" dxfId="127" priority="30" stopIfTrue="1" operator="equal">
      <formula>0</formula>
    </cfRule>
    <cfRule type="cellIs" dxfId="126" priority="29" stopIfTrue="1" operator="equal">
      <formula>#VALUE!</formula>
    </cfRule>
    <cfRule type="cellIs" dxfId="125" priority="34" stopIfTrue="1" operator="lessThan">
      <formula>0.8</formula>
    </cfRule>
    <cfRule type="cellIs" dxfId="124" priority="33" stopIfTrue="1" operator="between">
      <formula>0.8</formula>
      <formula>0.894</formula>
    </cfRule>
    <cfRule type="cellIs" dxfId="123" priority="32" stopIfTrue="1" operator="between">
      <formula>0.895</formula>
      <formula>1</formula>
    </cfRule>
    <cfRule type="cellIs" dxfId="122" priority="31" stopIfTrue="1" operator="greaterThan">
      <formula>1</formula>
    </cfRule>
  </conditionalFormatting>
  <conditionalFormatting sqref="R11:R12">
    <cfRule type="cellIs" dxfId="121" priority="28" stopIfTrue="1" operator="lessThan">
      <formula>0.8</formula>
    </cfRule>
    <cfRule type="cellIs" dxfId="120" priority="27" stopIfTrue="1" operator="between">
      <formula>0.8</formula>
      <formula>0.894</formula>
    </cfRule>
    <cfRule type="cellIs" dxfId="119" priority="26" stopIfTrue="1" operator="between">
      <formula>0.895</formula>
      <formula>1</formula>
    </cfRule>
    <cfRule type="cellIs" dxfId="118" priority="25" stopIfTrue="1" operator="greaterThan">
      <formula>1</formula>
    </cfRule>
    <cfRule type="cellIs" dxfId="117" priority="24" stopIfTrue="1" operator="equal">
      <formula>0</formula>
    </cfRule>
    <cfRule type="cellIs" dxfId="116" priority="23" stopIfTrue="1" operator="equal">
      <formula>#VALUE!</formula>
    </cfRule>
  </conditionalFormatting>
  <conditionalFormatting sqref="W3:W12">
    <cfRule type="cellIs" dxfId="115" priority="72" operator="between">
      <formula>0.5</formula>
      <formula>0.8</formula>
    </cfRule>
    <cfRule type="cellIs" dxfId="114" priority="73" operator="lessThan">
      <formula>0.5</formula>
    </cfRule>
    <cfRule type="cellIs" dxfId="113" priority="71" operator="greaterThan">
      <formula>0.8</formula>
    </cfRule>
  </conditionalFormatting>
  <conditionalFormatting sqref="AE16:AF681">
    <cfRule type="cellIs" dxfId="112" priority="144" stopIfTrue="1" operator="greaterThan">
      <formula>0</formula>
    </cfRule>
  </conditionalFormatting>
  <conditionalFormatting sqref="AG16:AG681">
    <cfRule type="cellIs" dxfId="111" priority="88" operator="greaterThan">
      <formula>0.1</formula>
    </cfRule>
    <cfRule type="cellIs" dxfId="110" priority="89" operator="between">
      <formula>0</formula>
      <formula>0.1</formula>
    </cfRule>
  </conditionalFormatting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AF197"/>
  <sheetViews>
    <sheetView showGridLines="0" zoomScale="55" zoomScaleNormal="55" workbookViewId="0">
      <pane ySplit="6" topLeftCell="A53" activePane="bottomLeft" state="frozen"/>
      <selection pane="bottomLeft" activeCell="B2" sqref="B2:B3"/>
    </sheetView>
  </sheetViews>
  <sheetFormatPr baseColWidth="10" defaultColWidth="11.453125" defaultRowHeight="12.5" x14ac:dyDescent="0.25"/>
  <cols>
    <col min="1" max="1" width="23.453125" style="31" customWidth="1"/>
    <col min="2" max="2" width="11.453125" style="31"/>
    <col min="3" max="14" width="7.1796875" style="31" customWidth="1"/>
    <col min="15" max="15" width="9" style="31" customWidth="1"/>
    <col min="16" max="16" width="4.453125" style="31" customWidth="1"/>
    <col min="17" max="17" width="23.26953125" style="31" customWidth="1"/>
    <col min="18" max="18" width="11.26953125" style="31" customWidth="1"/>
    <col min="19" max="30" width="7.54296875" style="31" customWidth="1"/>
    <col min="31" max="16384" width="11.453125" style="31"/>
  </cols>
  <sheetData>
    <row r="2" spans="1:31" x14ac:dyDescent="0.25">
      <c r="A2" s="326" t="s">
        <v>948</v>
      </c>
      <c r="B2" s="327" t="s">
        <v>7</v>
      </c>
      <c r="C2" s="327" t="s">
        <v>946</v>
      </c>
      <c r="D2" s="327"/>
      <c r="E2" s="327" t="s">
        <v>8</v>
      </c>
      <c r="F2" s="327"/>
      <c r="G2" s="327" t="s">
        <v>944</v>
      </c>
      <c r="H2" s="327"/>
      <c r="I2" s="328" t="s">
        <v>14</v>
      </c>
      <c r="J2" s="328"/>
      <c r="K2" s="329" t="s">
        <v>947</v>
      </c>
      <c r="L2" s="329"/>
    </row>
    <row r="3" spans="1:31" x14ac:dyDescent="0.25">
      <c r="A3" s="326"/>
      <c r="B3" s="327"/>
      <c r="C3" s="327"/>
      <c r="D3" s="327"/>
      <c r="E3" s="327"/>
      <c r="F3" s="327"/>
      <c r="G3" s="327"/>
      <c r="H3" s="327"/>
      <c r="I3" s="328"/>
      <c r="J3" s="328"/>
      <c r="K3" s="329"/>
      <c r="L3" s="329"/>
    </row>
    <row r="4" spans="1:31" x14ac:dyDescent="0.25">
      <c r="A4" s="326"/>
      <c r="B4" s="327" t="s">
        <v>942</v>
      </c>
      <c r="C4" s="327" t="s">
        <v>722</v>
      </c>
      <c r="D4" s="327"/>
      <c r="E4" s="327" t="s">
        <v>755</v>
      </c>
      <c r="F4" s="327"/>
      <c r="G4" s="327" t="s">
        <v>13</v>
      </c>
      <c r="H4" s="327"/>
      <c r="I4" s="328" t="s">
        <v>783</v>
      </c>
      <c r="J4" s="328"/>
      <c r="K4" s="330"/>
      <c r="L4" s="331"/>
    </row>
    <row r="5" spans="1:31" x14ac:dyDescent="0.25">
      <c r="A5" s="326"/>
      <c r="B5" s="327"/>
      <c r="C5" s="327"/>
      <c r="D5" s="327"/>
      <c r="E5" s="327"/>
      <c r="F5" s="327"/>
      <c r="G5" s="327"/>
      <c r="H5" s="327"/>
      <c r="I5" s="328"/>
      <c r="J5" s="328"/>
      <c r="K5" s="332"/>
      <c r="L5" s="333"/>
    </row>
    <row r="7" spans="1:31" ht="13" thickBot="1" x14ac:dyDescent="0.3"/>
    <row r="8" spans="1:31" ht="21.5" x14ac:dyDescent="0.6">
      <c r="A8" s="154" t="s">
        <v>922</v>
      </c>
      <c r="B8" s="155">
        <v>2024</v>
      </c>
      <c r="C8" s="156"/>
      <c r="D8" s="157" t="s">
        <v>923</v>
      </c>
      <c r="E8" s="156"/>
      <c r="F8" s="156"/>
      <c r="G8" s="334" t="s">
        <v>7</v>
      </c>
      <c r="H8" s="335"/>
      <c r="I8" s="336"/>
      <c r="J8" s="156"/>
      <c r="K8" s="156"/>
      <c r="L8" s="156"/>
      <c r="M8" s="156"/>
      <c r="N8" s="156"/>
      <c r="O8" s="158"/>
      <c r="Q8" s="154" t="s">
        <v>922</v>
      </c>
      <c r="R8" s="155">
        <v>2024</v>
      </c>
      <c r="S8" s="156"/>
      <c r="T8" s="157" t="s">
        <v>923</v>
      </c>
      <c r="U8" s="156"/>
      <c r="V8" s="156"/>
      <c r="W8" s="334" t="s">
        <v>942</v>
      </c>
      <c r="X8" s="335"/>
      <c r="Y8" s="336"/>
      <c r="Z8" s="156"/>
      <c r="AA8" s="156"/>
      <c r="AB8" s="156"/>
      <c r="AC8" s="156"/>
      <c r="AD8" s="156"/>
      <c r="AE8" s="158"/>
    </row>
    <row r="9" spans="1:31" ht="18" x14ac:dyDescent="0.4">
      <c r="A9" s="159" t="s">
        <v>924</v>
      </c>
      <c r="B9" s="160">
        <v>432092</v>
      </c>
      <c r="O9" s="142"/>
      <c r="Q9" s="159" t="s">
        <v>924</v>
      </c>
      <c r="R9" s="160">
        <v>377000</v>
      </c>
      <c r="AE9" s="142"/>
    </row>
    <row r="10" spans="1:31" ht="18" x14ac:dyDescent="0.4">
      <c r="A10" s="161"/>
      <c r="O10" s="162">
        <v>1</v>
      </c>
      <c r="Q10" s="161"/>
      <c r="AE10" s="162">
        <v>1</v>
      </c>
    </row>
    <row r="11" spans="1:31" x14ac:dyDescent="0.25">
      <c r="A11" s="161"/>
      <c r="O11" s="163"/>
      <c r="Q11" s="161"/>
      <c r="AE11" s="163"/>
    </row>
    <row r="12" spans="1:31" ht="18" x14ac:dyDescent="0.4">
      <c r="A12" s="161"/>
      <c r="O12" s="164">
        <f>N35</f>
        <v>0.98</v>
      </c>
      <c r="Q12" s="161"/>
      <c r="AE12" s="164">
        <f>AD35</f>
        <v>0.95</v>
      </c>
    </row>
    <row r="13" spans="1:31" x14ac:dyDescent="0.25">
      <c r="A13" s="161"/>
      <c r="O13" s="142"/>
      <c r="Q13" s="161"/>
      <c r="AE13" s="142"/>
    </row>
    <row r="14" spans="1:31" x14ac:dyDescent="0.25">
      <c r="A14" s="161"/>
      <c r="O14" s="142"/>
      <c r="Q14" s="161"/>
      <c r="AE14" s="142"/>
    </row>
    <row r="15" spans="1:31" x14ac:dyDescent="0.25">
      <c r="A15" s="161"/>
      <c r="O15" s="142"/>
      <c r="Q15" s="161"/>
      <c r="AE15" s="142"/>
    </row>
    <row r="16" spans="1:31" x14ac:dyDescent="0.25">
      <c r="A16" s="161"/>
      <c r="O16" s="142"/>
      <c r="Q16" s="161"/>
      <c r="AE16" s="142"/>
    </row>
    <row r="17" spans="1:32" x14ac:dyDescent="0.25">
      <c r="A17" s="161"/>
      <c r="O17" s="142"/>
      <c r="Q17" s="161"/>
      <c r="AE17" s="142"/>
    </row>
    <row r="18" spans="1:32" x14ac:dyDescent="0.25">
      <c r="A18" s="161"/>
      <c r="O18" s="142"/>
      <c r="Q18" s="161"/>
      <c r="AE18" s="142"/>
    </row>
    <row r="19" spans="1:32" x14ac:dyDescent="0.25">
      <c r="A19" s="161"/>
      <c r="O19" s="142"/>
      <c r="Q19" s="161"/>
      <c r="AE19" s="142"/>
    </row>
    <row r="20" spans="1:32" x14ac:dyDescent="0.25">
      <c r="A20" s="161"/>
      <c r="O20" s="142"/>
      <c r="Q20" s="161"/>
      <c r="AE20" s="142"/>
    </row>
    <row r="21" spans="1:32" x14ac:dyDescent="0.25">
      <c r="A21" s="161"/>
      <c r="O21" s="142"/>
      <c r="Q21" s="161"/>
      <c r="AE21" s="142"/>
    </row>
    <row r="22" spans="1:32" x14ac:dyDescent="0.25">
      <c r="A22" s="161"/>
      <c r="O22" s="142"/>
      <c r="Q22" s="161"/>
      <c r="AE22" s="142"/>
    </row>
    <row r="23" spans="1:32" x14ac:dyDescent="0.25">
      <c r="A23" s="161"/>
      <c r="O23" s="142"/>
      <c r="Q23" s="161"/>
      <c r="AE23" s="142"/>
    </row>
    <row r="24" spans="1:32" x14ac:dyDescent="0.25">
      <c r="A24" s="161"/>
      <c r="O24" s="142"/>
      <c r="Q24" s="161"/>
      <c r="AE24" s="142"/>
    </row>
    <row r="25" spans="1:32" x14ac:dyDescent="0.25">
      <c r="A25" s="161"/>
      <c r="O25" s="142"/>
      <c r="Q25" s="161"/>
      <c r="AE25" s="142"/>
      <c r="AF25" s="103"/>
    </row>
    <row r="26" spans="1:32" x14ac:dyDescent="0.25">
      <c r="A26" s="161"/>
      <c r="O26" s="142"/>
      <c r="Q26" s="161"/>
      <c r="AE26" s="142"/>
      <c r="AF26" s="165"/>
    </row>
    <row r="27" spans="1:32" x14ac:dyDescent="0.25">
      <c r="A27" s="161"/>
      <c r="O27" s="142"/>
      <c r="Q27" s="161"/>
      <c r="AE27" s="142"/>
      <c r="AF27" s="147"/>
    </row>
    <row r="28" spans="1:32" x14ac:dyDescent="0.25">
      <c r="A28" s="161"/>
      <c r="O28" s="142"/>
      <c r="Q28" s="161"/>
      <c r="AE28" s="142"/>
      <c r="AF28" s="147"/>
    </row>
    <row r="29" spans="1:32" x14ac:dyDescent="0.25">
      <c r="A29" s="161"/>
      <c r="O29" s="142"/>
      <c r="Q29" s="161"/>
      <c r="AE29" s="142"/>
    </row>
    <row r="30" spans="1:32" x14ac:dyDescent="0.25">
      <c r="A30" s="161"/>
      <c r="B30" s="166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8"/>
      <c r="O30" s="169"/>
      <c r="Q30" s="161"/>
      <c r="R30" s="166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8"/>
      <c r="AE30" s="169"/>
    </row>
    <row r="31" spans="1:32" x14ac:dyDescent="0.25">
      <c r="A31" s="170"/>
      <c r="B31" s="171"/>
      <c r="C31" s="171" t="s">
        <v>925</v>
      </c>
      <c r="D31" s="171" t="s">
        <v>926</v>
      </c>
      <c r="E31" s="171" t="s">
        <v>927</v>
      </c>
      <c r="F31" s="171" t="s">
        <v>928</v>
      </c>
      <c r="G31" s="171" t="s">
        <v>929</v>
      </c>
      <c r="H31" s="171" t="s">
        <v>930</v>
      </c>
      <c r="I31" s="171" t="s">
        <v>931</v>
      </c>
      <c r="J31" s="171" t="s">
        <v>932</v>
      </c>
      <c r="K31" s="171" t="s">
        <v>933</v>
      </c>
      <c r="L31" s="171" t="s">
        <v>934</v>
      </c>
      <c r="M31" s="171" t="s">
        <v>935</v>
      </c>
      <c r="N31" s="171" t="s">
        <v>936</v>
      </c>
      <c r="O31" s="142"/>
      <c r="Q31" s="170"/>
      <c r="R31" s="171"/>
      <c r="S31" s="171" t="s">
        <v>925</v>
      </c>
      <c r="T31" s="171" t="s">
        <v>926</v>
      </c>
      <c r="U31" s="171" t="s">
        <v>927</v>
      </c>
      <c r="V31" s="171" t="s">
        <v>928</v>
      </c>
      <c r="W31" s="171" t="s">
        <v>929</v>
      </c>
      <c r="X31" s="171" t="s">
        <v>930</v>
      </c>
      <c r="Y31" s="171" t="s">
        <v>931</v>
      </c>
      <c r="Z31" s="171" t="s">
        <v>932</v>
      </c>
      <c r="AA31" s="171" t="s">
        <v>933</v>
      </c>
      <c r="AB31" s="171" t="s">
        <v>934</v>
      </c>
      <c r="AC31" s="171" t="s">
        <v>935</v>
      </c>
      <c r="AD31" s="171" t="s">
        <v>936</v>
      </c>
      <c r="AE31" s="142"/>
    </row>
    <row r="32" spans="1:32" x14ac:dyDescent="0.25">
      <c r="A32" s="172" t="s">
        <v>937</v>
      </c>
      <c r="B32" s="173">
        <v>0</v>
      </c>
      <c r="C32" s="174">
        <v>27149</v>
      </c>
      <c r="D32" s="174">
        <v>20612</v>
      </c>
      <c r="E32" s="174">
        <v>19113</v>
      </c>
      <c r="F32" s="174">
        <v>17022</v>
      </c>
      <c r="G32" s="174">
        <v>16914</v>
      </c>
      <c r="H32" s="174">
        <v>71324</v>
      </c>
      <c r="I32" s="174">
        <v>33373</v>
      </c>
      <c r="J32" s="174">
        <v>37006</v>
      </c>
      <c r="K32" s="174">
        <v>28422</v>
      </c>
      <c r="L32" s="174">
        <v>47576</v>
      </c>
      <c r="M32" s="174" t="s">
        <v>2</v>
      </c>
      <c r="N32" s="174" t="s">
        <v>2</v>
      </c>
      <c r="O32" s="142"/>
      <c r="Q32" s="172" t="s">
        <v>937</v>
      </c>
      <c r="R32" s="173">
        <v>0</v>
      </c>
      <c r="S32" s="174">
        <v>29763</v>
      </c>
      <c r="T32" s="174">
        <v>27245</v>
      </c>
      <c r="U32" s="174">
        <v>28092</v>
      </c>
      <c r="V32" s="174">
        <v>28628</v>
      </c>
      <c r="W32" s="174">
        <v>31382</v>
      </c>
      <c r="X32" s="174">
        <v>31241</v>
      </c>
      <c r="Y32" s="174">
        <v>31211</v>
      </c>
      <c r="Z32" s="174">
        <v>34563</v>
      </c>
      <c r="AA32" s="174">
        <v>32142</v>
      </c>
      <c r="AB32" s="174">
        <v>38804</v>
      </c>
      <c r="AC32" s="174" t="s">
        <v>2</v>
      </c>
      <c r="AD32" s="174" t="s">
        <v>2</v>
      </c>
      <c r="AE32" s="142"/>
    </row>
    <row r="33" spans="1:31" x14ac:dyDescent="0.25">
      <c r="A33" s="175" t="s">
        <v>938</v>
      </c>
      <c r="B33" s="176">
        <f>IF(B32="","",B32)</f>
        <v>0</v>
      </c>
      <c r="C33" s="177">
        <f>IF(C32="","",C32)</f>
        <v>27149</v>
      </c>
      <c r="D33" s="177">
        <f t="shared" ref="D33:N33" si="0">IF(D32="","",D32+C33)</f>
        <v>47761</v>
      </c>
      <c r="E33" s="177">
        <f t="shared" si="0"/>
        <v>66874</v>
      </c>
      <c r="F33" s="177">
        <f t="shared" si="0"/>
        <v>83896</v>
      </c>
      <c r="G33" s="177">
        <f t="shared" si="0"/>
        <v>100810</v>
      </c>
      <c r="H33" s="177">
        <f t="shared" si="0"/>
        <v>172134</v>
      </c>
      <c r="I33" s="177">
        <f t="shared" si="0"/>
        <v>205507</v>
      </c>
      <c r="J33" s="177">
        <f t="shared" si="0"/>
        <v>242513</v>
      </c>
      <c r="K33" s="177">
        <f t="shared" si="0"/>
        <v>270935</v>
      </c>
      <c r="L33" s="177">
        <f t="shared" si="0"/>
        <v>318511</v>
      </c>
      <c r="M33" s="177" t="str">
        <f t="shared" si="0"/>
        <v/>
      </c>
      <c r="N33" s="177" t="str">
        <f t="shared" si="0"/>
        <v/>
      </c>
      <c r="O33" s="178"/>
      <c r="P33" s="103"/>
      <c r="Q33" s="175" t="s">
        <v>938</v>
      </c>
      <c r="R33" s="176">
        <f>IF(R32="","",R32)</f>
        <v>0</v>
      </c>
      <c r="S33" s="177">
        <f>IF(S32="","",S32)</f>
        <v>29763</v>
      </c>
      <c r="T33" s="177">
        <f t="shared" ref="T33:AD33" si="1">IF(T32="","",T32+S33)</f>
        <v>57008</v>
      </c>
      <c r="U33" s="177">
        <f t="shared" si="1"/>
        <v>85100</v>
      </c>
      <c r="V33" s="177">
        <f t="shared" si="1"/>
        <v>113728</v>
      </c>
      <c r="W33" s="177">
        <f t="shared" si="1"/>
        <v>145110</v>
      </c>
      <c r="X33" s="177">
        <f t="shared" si="1"/>
        <v>176351</v>
      </c>
      <c r="Y33" s="177">
        <f t="shared" si="1"/>
        <v>207562</v>
      </c>
      <c r="Z33" s="177">
        <f t="shared" si="1"/>
        <v>242125</v>
      </c>
      <c r="AA33" s="177">
        <f t="shared" si="1"/>
        <v>274267</v>
      </c>
      <c r="AB33" s="177">
        <f t="shared" si="1"/>
        <v>313071</v>
      </c>
      <c r="AC33" s="177" t="str">
        <f t="shared" si="1"/>
        <v/>
      </c>
      <c r="AD33" s="177" t="str">
        <f t="shared" si="1"/>
        <v/>
      </c>
      <c r="AE33" s="178"/>
    </row>
    <row r="34" spans="1:31" x14ac:dyDescent="0.25">
      <c r="A34" s="179" t="s">
        <v>939</v>
      </c>
      <c r="B34" s="180">
        <v>0</v>
      </c>
      <c r="C34" s="181">
        <v>8.3299999999999999E-2</v>
      </c>
      <c r="D34" s="181">
        <v>0.16669999999999999</v>
      </c>
      <c r="E34" s="181">
        <v>0.25009999999999999</v>
      </c>
      <c r="F34" s="181">
        <v>0.33350000000000002</v>
      </c>
      <c r="G34" s="181">
        <v>0.41689999999999999</v>
      </c>
      <c r="H34" s="181">
        <v>0.50029999999999997</v>
      </c>
      <c r="I34" s="181">
        <v>0.5837</v>
      </c>
      <c r="J34" s="181">
        <v>0.66710000000000003</v>
      </c>
      <c r="K34" s="181">
        <v>0.75049999999999994</v>
      </c>
      <c r="L34" s="181">
        <v>0.83389999999999997</v>
      </c>
      <c r="M34" s="181">
        <v>0.9173</v>
      </c>
      <c r="N34" s="181">
        <v>1.0006999999999999</v>
      </c>
      <c r="O34" s="182"/>
      <c r="P34" s="165"/>
      <c r="Q34" s="179" t="s">
        <v>939</v>
      </c>
      <c r="R34" s="180">
        <v>0</v>
      </c>
      <c r="S34" s="181">
        <v>8.3299999999999999E-2</v>
      </c>
      <c r="T34" s="181">
        <v>0.16669999999999999</v>
      </c>
      <c r="U34" s="181">
        <v>0.25009999999999999</v>
      </c>
      <c r="V34" s="181">
        <v>0.33350000000000002</v>
      </c>
      <c r="W34" s="181">
        <v>0.41689999999999999</v>
      </c>
      <c r="X34" s="181">
        <v>0.50029999999999997</v>
      </c>
      <c r="Y34" s="181">
        <v>0.5837</v>
      </c>
      <c r="Z34" s="181">
        <v>0.66710000000000003</v>
      </c>
      <c r="AA34" s="181">
        <v>0.75049999999999994</v>
      </c>
      <c r="AB34" s="181">
        <v>0.83389999999999997</v>
      </c>
      <c r="AC34" s="181">
        <v>0.9173</v>
      </c>
      <c r="AD34" s="181">
        <v>1.0006999999999999</v>
      </c>
      <c r="AE34" s="182"/>
    </row>
    <row r="35" spans="1:31" x14ac:dyDescent="0.25">
      <c r="A35" s="179" t="s">
        <v>940</v>
      </c>
      <c r="B35" s="180">
        <v>0</v>
      </c>
      <c r="C35" s="181">
        <f>IF($N$35="","",$N$35/12)</f>
        <v>8.1666666666666665E-2</v>
      </c>
      <c r="D35" s="181">
        <f>IF($N$35="","",$N$35*2/12)</f>
        <v>0.16333333333333333</v>
      </c>
      <c r="E35" s="181">
        <f>IF($N$35="","",$N$35*3/12)</f>
        <v>0.245</v>
      </c>
      <c r="F35" s="181">
        <f>IF($N$35="","",$N$35*4/12)</f>
        <v>0.32666666666666666</v>
      </c>
      <c r="G35" s="181">
        <f>IF($N$35="","",$N$35*5/12)</f>
        <v>0.40833333333333338</v>
      </c>
      <c r="H35" s="181">
        <f>IF($N$35="","",$N$35*6/12)</f>
        <v>0.49</v>
      </c>
      <c r="I35" s="181">
        <f>IF($N$35="","",$N$35*7/12)</f>
        <v>0.57166666666666666</v>
      </c>
      <c r="J35" s="181">
        <f>IF($N$35="","",$N$35*8/12)</f>
        <v>0.65333333333333332</v>
      </c>
      <c r="K35" s="181">
        <f>IF($N$35="","",$N$35*9/12)</f>
        <v>0.73499999999999999</v>
      </c>
      <c r="L35" s="181">
        <f>IF($N$35="","",$N$35*10/12)</f>
        <v>0.81666666666666676</v>
      </c>
      <c r="M35" s="181">
        <f>IF($N$35="","",$N$35*11/12)</f>
        <v>0.89833333333333332</v>
      </c>
      <c r="N35" s="181">
        <v>0.98</v>
      </c>
      <c r="O35" s="182"/>
      <c r="P35" s="147"/>
      <c r="Q35" s="179" t="s">
        <v>940</v>
      </c>
      <c r="R35" s="180">
        <v>0</v>
      </c>
      <c r="S35" s="181">
        <f>IF($AD$35="","",$AD$35/12)</f>
        <v>7.9166666666666663E-2</v>
      </c>
      <c r="T35" s="181">
        <f>IF($AD$35="","",$AD$35*2/12)</f>
        <v>0.15833333333333333</v>
      </c>
      <c r="U35" s="181">
        <f>IF($AD$35="","",$AD$35*3/12)</f>
        <v>0.23749999999999996</v>
      </c>
      <c r="V35" s="181">
        <f>IF($AD$35="","",$AD$35*4/12)</f>
        <v>0.31666666666666665</v>
      </c>
      <c r="W35" s="181">
        <f>IF($AD$35="","",$AD$35*5/12)</f>
        <v>0.39583333333333331</v>
      </c>
      <c r="X35" s="181">
        <f>IF($AD$35="","",$AD$35*6/12)</f>
        <v>0.47499999999999992</v>
      </c>
      <c r="Y35" s="181">
        <f>IF($AD$35="","",$AD$35*7/12)</f>
        <v>0.55416666666666659</v>
      </c>
      <c r="Z35" s="181">
        <f>IF($AD$35="","",$AD$35*8/12)</f>
        <v>0.6333333333333333</v>
      </c>
      <c r="AA35" s="181">
        <f>IF($AD$35="","",$AD$35*9/12)</f>
        <v>0.71249999999999991</v>
      </c>
      <c r="AB35" s="181">
        <f>IF($AD$35="","",$AD$35*10/12)</f>
        <v>0.79166666666666663</v>
      </c>
      <c r="AC35" s="181">
        <f>IF($AD$35="","",$AD$35*11/12)</f>
        <v>0.87083333333333324</v>
      </c>
      <c r="AD35" s="181">
        <v>0.95</v>
      </c>
      <c r="AE35" s="182"/>
    </row>
    <row r="36" spans="1:31" x14ac:dyDescent="0.25">
      <c r="A36" s="179" t="s">
        <v>941</v>
      </c>
      <c r="B36" s="180" t="e">
        <f>IF(B33="","",B33/$B$7)</f>
        <v>#DIV/0!</v>
      </c>
      <c r="C36" s="181">
        <f>IF(C33="","",C33/$B$9)</f>
        <v>6.2831526619331071E-2</v>
      </c>
      <c r="D36" s="181">
        <f>IF(D33="","",D33/$B$9)</f>
        <v>0.11053433065180564</v>
      </c>
      <c r="E36" s="181">
        <f t="shared" ref="E36:N36" si="2">IF(E33="","",E33/$B$9)</f>
        <v>0.1547679660812975</v>
      </c>
      <c r="F36" s="181">
        <f t="shared" si="2"/>
        <v>0.19416235431343326</v>
      </c>
      <c r="G36" s="181">
        <f t="shared" si="2"/>
        <v>0.23330679577497385</v>
      </c>
      <c r="H36" s="181">
        <f t="shared" si="2"/>
        <v>0.39837349453357157</v>
      </c>
      <c r="I36" s="181">
        <f t="shared" si="2"/>
        <v>0.47560936096942319</v>
      </c>
      <c r="J36" s="181">
        <f t="shared" si="2"/>
        <v>0.56125315904946171</v>
      </c>
      <c r="K36" s="181">
        <f t="shared" si="2"/>
        <v>0.62703081751108558</v>
      </c>
      <c r="L36" s="181">
        <f t="shared" si="2"/>
        <v>0.73713699860214954</v>
      </c>
      <c r="M36" s="181" t="str">
        <f t="shared" si="2"/>
        <v/>
      </c>
      <c r="N36" s="181" t="str">
        <f t="shared" si="2"/>
        <v/>
      </c>
      <c r="O36" s="182"/>
      <c r="P36" s="147"/>
      <c r="Q36" s="179" t="s">
        <v>941</v>
      </c>
      <c r="R36" s="180" t="e">
        <f>IF(R33="","",R33/$B$7)</f>
        <v>#DIV/0!</v>
      </c>
      <c r="S36" s="181">
        <f>IF(S33="","",S33/$B$9)</f>
        <v>6.8881164196513703E-2</v>
      </c>
      <c r="T36" s="181">
        <f>IF(T33="","",T33/$B$9)</f>
        <v>0.13193486572304047</v>
      </c>
      <c r="U36" s="181">
        <f t="shared" ref="U36:AD36" si="3">IF(U33="","",U33/$B$9)</f>
        <v>0.1969487979411792</v>
      </c>
      <c r="V36" s="181">
        <f t="shared" si="3"/>
        <v>0.26320320672449388</v>
      </c>
      <c r="W36" s="181">
        <f t="shared" si="3"/>
        <v>0.33583125815798487</v>
      </c>
      <c r="X36" s="181">
        <f t="shared" si="3"/>
        <v>0.40813299019653221</v>
      </c>
      <c r="Y36" s="181">
        <f t="shared" si="3"/>
        <v>0.48036529257658089</v>
      </c>
      <c r="Z36" s="181">
        <f t="shared" si="3"/>
        <v>0.56035520213287915</v>
      </c>
      <c r="AA36" s="181">
        <f t="shared" si="3"/>
        <v>0.63474213824833603</v>
      </c>
      <c r="AB36" s="181">
        <f t="shared" si="3"/>
        <v>0.72454708719439376</v>
      </c>
      <c r="AC36" s="181" t="str">
        <f t="shared" si="3"/>
        <v/>
      </c>
      <c r="AD36" s="181" t="str">
        <f t="shared" si="3"/>
        <v/>
      </c>
      <c r="AE36" s="182"/>
    </row>
    <row r="37" spans="1:31" ht="13" thickBot="1" x14ac:dyDescent="0.3">
      <c r="A37" s="183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5"/>
      <c r="Q37" s="183"/>
      <c r="R37" s="184"/>
      <c r="S37" s="184"/>
      <c r="T37" s="184"/>
      <c r="U37" s="184"/>
      <c r="V37" s="184"/>
      <c r="W37" s="184"/>
      <c r="X37" s="184"/>
      <c r="Y37" s="184"/>
      <c r="Z37" s="184"/>
      <c r="AA37" s="184"/>
      <c r="AB37" s="184"/>
      <c r="AC37" s="184"/>
      <c r="AD37" s="184"/>
      <c r="AE37" s="185"/>
    </row>
    <row r="39" spans="1:31" ht="13" thickBot="1" x14ac:dyDescent="0.3"/>
    <row r="40" spans="1:31" ht="21.5" x14ac:dyDescent="0.6">
      <c r="A40" s="154" t="s">
        <v>922</v>
      </c>
      <c r="B40" s="155">
        <v>2024</v>
      </c>
      <c r="C40" s="156"/>
      <c r="D40" s="157" t="s">
        <v>923</v>
      </c>
      <c r="E40" s="156"/>
      <c r="F40" s="156"/>
      <c r="G40" s="334" t="s">
        <v>753</v>
      </c>
      <c r="H40" s="335"/>
      <c r="I40" s="336"/>
      <c r="J40" s="156"/>
      <c r="K40" s="156"/>
      <c r="L40" s="156"/>
      <c r="M40" s="156"/>
      <c r="N40" s="156"/>
      <c r="O40" s="158"/>
      <c r="Q40" s="154" t="s">
        <v>922</v>
      </c>
      <c r="R40" s="155">
        <v>2024</v>
      </c>
      <c r="S40" s="156"/>
      <c r="T40" s="157" t="s">
        <v>923</v>
      </c>
      <c r="U40" s="156"/>
      <c r="V40" s="156"/>
      <c r="W40" s="334" t="s">
        <v>722</v>
      </c>
      <c r="X40" s="335"/>
      <c r="Y40" s="336"/>
      <c r="Z40" s="156"/>
      <c r="AA40" s="156"/>
      <c r="AB40" s="156"/>
      <c r="AC40" s="156"/>
      <c r="AD40" s="156"/>
      <c r="AE40" s="158"/>
    </row>
    <row r="41" spans="1:31" ht="18" x14ac:dyDescent="0.4">
      <c r="A41" s="159" t="s">
        <v>924</v>
      </c>
      <c r="B41" s="160">
        <f>R9</f>
        <v>377000</v>
      </c>
      <c r="O41" s="142"/>
      <c r="Q41" s="159" t="s">
        <v>924</v>
      </c>
      <c r="R41" s="160">
        <f>R9</f>
        <v>377000</v>
      </c>
      <c r="AE41" s="142"/>
    </row>
    <row r="42" spans="1:31" ht="18" x14ac:dyDescent="0.4">
      <c r="A42" s="161"/>
      <c r="O42" s="162">
        <v>1</v>
      </c>
      <c r="Q42" s="161"/>
      <c r="AE42" s="142"/>
    </row>
    <row r="43" spans="1:31" ht="18" x14ac:dyDescent="0.4">
      <c r="A43" s="161"/>
      <c r="O43" s="164">
        <f>N67</f>
        <v>0.95</v>
      </c>
      <c r="Q43" s="161"/>
      <c r="AE43" s="162">
        <v>1</v>
      </c>
    </row>
    <row r="44" spans="1:31" ht="18" x14ac:dyDescent="0.4">
      <c r="A44" s="161"/>
      <c r="O44" s="142"/>
      <c r="Q44" s="161"/>
      <c r="AE44" s="164">
        <f>AD67</f>
        <v>0.95</v>
      </c>
    </row>
    <row r="45" spans="1:31" x14ac:dyDescent="0.25">
      <c r="A45" s="161"/>
      <c r="O45" s="142"/>
      <c r="Q45" s="161"/>
      <c r="AE45" s="142"/>
    </row>
    <row r="46" spans="1:31" x14ac:dyDescent="0.25">
      <c r="A46" s="161"/>
      <c r="O46" s="142"/>
      <c r="Q46" s="161"/>
      <c r="AE46" s="142"/>
    </row>
    <row r="47" spans="1:31" x14ac:dyDescent="0.25">
      <c r="A47" s="161"/>
      <c r="O47" s="142"/>
      <c r="Q47" s="161"/>
      <c r="AE47" s="142"/>
    </row>
    <row r="48" spans="1:31" x14ac:dyDescent="0.25">
      <c r="A48" s="161"/>
      <c r="O48" s="142"/>
      <c r="Q48" s="161"/>
      <c r="AE48" s="142"/>
    </row>
    <row r="49" spans="1:31" x14ac:dyDescent="0.25">
      <c r="A49" s="161"/>
      <c r="O49" s="142"/>
      <c r="Q49" s="161"/>
      <c r="AE49" s="142"/>
    </row>
    <row r="50" spans="1:31" x14ac:dyDescent="0.25">
      <c r="A50" s="161"/>
      <c r="O50" s="142"/>
      <c r="Q50" s="161"/>
      <c r="AE50" s="142"/>
    </row>
    <row r="51" spans="1:31" x14ac:dyDescent="0.25">
      <c r="A51" s="161"/>
      <c r="O51" s="142"/>
      <c r="Q51" s="161"/>
      <c r="AE51" s="142"/>
    </row>
    <row r="52" spans="1:31" x14ac:dyDescent="0.25">
      <c r="A52" s="161"/>
      <c r="O52" s="142"/>
      <c r="Q52" s="161"/>
      <c r="AE52" s="142"/>
    </row>
    <row r="53" spans="1:31" x14ac:dyDescent="0.25">
      <c r="A53" s="161"/>
      <c r="O53" s="142"/>
      <c r="Q53" s="161"/>
      <c r="AE53" s="142"/>
    </row>
    <row r="54" spans="1:31" x14ac:dyDescent="0.25">
      <c r="A54" s="161"/>
      <c r="O54" s="142"/>
      <c r="Q54" s="161"/>
      <c r="AE54" s="142"/>
    </row>
    <row r="55" spans="1:31" x14ac:dyDescent="0.25">
      <c r="A55" s="161"/>
      <c r="O55" s="142" t="s">
        <v>784</v>
      </c>
      <c r="Q55" s="161"/>
      <c r="AE55" s="142"/>
    </row>
    <row r="56" spans="1:31" x14ac:dyDescent="0.25">
      <c r="A56" s="161"/>
      <c r="O56" s="142"/>
      <c r="Q56" s="161"/>
      <c r="AE56" s="142"/>
    </row>
    <row r="57" spans="1:31" x14ac:dyDescent="0.25">
      <c r="A57" s="161"/>
      <c r="O57" s="142"/>
      <c r="Q57" s="161"/>
      <c r="AE57" s="142"/>
    </row>
    <row r="58" spans="1:31" x14ac:dyDescent="0.25">
      <c r="A58" s="161"/>
      <c r="O58" s="142"/>
      <c r="Q58" s="161"/>
      <c r="AE58" s="142"/>
    </row>
    <row r="59" spans="1:31" x14ac:dyDescent="0.25">
      <c r="A59" s="161"/>
      <c r="O59" s="142"/>
      <c r="Q59" s="161"/>
      <c r="AE59" s="142"/>
    </row>
    <row r="60" spans="1:31" x14ac:dyDescent="0.25">
      <c r="A60" s="161"/>
      <c r="O60" s="142"/>
      <c r="Q60" s="161"/>
      <c r="AE60" s="142"/>
    </row>
    <row r="61" spans="1:31" x14ac:dyDescent="0.25">
      <c r="A61" s="161"/>
      <c r="O61" s="142"/>
      <c r="Q61" s="161"/>
      <c r="AE61" s="142"/>
    </row>
    <row r="62" spans="1:31" x14ac:dyDescent="0.25">
      <c r="A62" s="161"/>
      <c r="B62" s="166"/>
      <c r="C62" s="167"/>
      <c r="D62" s="167"/>
      <c r="E62" s="167"/>
      <c r="F62" s="167"/>
      <c r="G62" s="167"/>
      <c r="H62" s="167"/>
      <c r="I62" s="167"/>
      <c r="J62" s="167"/>
      <c r="K62" s="167"/>
      <c r="L62" s="167"/>
      <c r="M62" s="167"/>
      <c r="N62" s="168"/>
      <c r="O62" s="169"/>
      <c r="Q62" s="161"/>
      <c r="R62" s="166"/>
      <c r="S62" s="167"/>
      <c r="T62" s="167"/>
      <c r="U62" s="167"/>
      <c r="V62" s="167"/>
      <c r="W62" s="167"/>
      <c r="X62" s="167"/>
      <c r="Y62" s="167"/>
      <c r="Z62" s="167"/>
      <c r="AA62" s="167"/>
      <c r="AB62" s="167"/>
      <c r="AC62" s="167"/>
      <c r="AD62" s="168"/>
      <c r="AE62" s="142"/>
    </row>
    <row r="63" spans="1:31" x14ac:dyDescent="0.25">
      <c r="A63" s="170"/>
      <c r="B63" s="171"/>
      <c r="C63" s="171" t="s">
        <v>925</v>
      </c>
      <c r="D63" s="171" t="s">
        <v>926</v>
      </c>
      <c r="E63" s="171" t="s">
        <v>927</v>
      </c>
      <c r="F63" s="171" t="s">
        <v>928</v>
      </c>
      <c r="G63" s="171" t="s">
        <v>929</v>
      </c>
      <c r="H63" s="171" t="s">
        <v>930</v>
      </c>
      <c r="I63" s="171" t="s">
        <v>931</v>
      </c>
      <c r="J63" s="171" t="s">
        <v>932</v>
      </c>
      <c r="K63" s="171" t="s">
        <v>933</v>
      </c>
      <c r="L63" s="171" t="s">
        <v>934</v>
      </c>
      <c r="M63" s="171" t="s">
        <v>935</v>
      </c>
      <c r="N63" s="171" t="s">
        <v>936</v>
      </c>
      <c r="O63" s="142"/>
      <c r="Q63" s="170"/>
      <c r="R63" s="171"/>
      <c r="S63" s="171" t="s">
        <v>925</v>
      </c>
      <c r="T63" s="171" t="s">
        <v>926</v>
      </c>
      <c r="U63" s="171" t="s">
        <v>927</v>
      </c>
      <c r="V63" s="171" t="s">
        <v>928</v>
      </c>
      <c r="W63" s="171" t="s">
        <v>929</v>
      </c>
      <c r="X63" s="171" t="s">
        <v>930</v>
      </c>
      <c r="Y63" s="171" t="s">
        <v>931</v>
      </c>
      <c r="Z63" s="171" t="s">
        <v>932</v>
      </c>
      <c r="AA63" s="171" t="s">
        <v>933</v>
      </c>
      <c r="AB63" s="171" t="s">
        <v>934</v>
      </c>
      <c r="AC63" s="171" t="s">
        <v>935</v>
      </c>
      <c r="AD63" s="171" t="s">
        <v>936</v>
      </c>
      <c r="AE63" s="142"/>
    </row>
    <row r="64" spans="1:31" x14ac:dyDescent="0.25">
      <c r="A64" s="172" t="s">
        <v>937</v>
      </c>
      <c r="B64" s="173">
        <v>0</v>
      </c>
      <c r="C64" s="174">
        <v>31077</v>
      </c>
      <c r="D64" s="174">
        <v>22012</v>
      </c>
      <c r="E64" s="174">
        <v>18740</v>
      </c>
      <c r="F64" s="174">
        <v>33660</v>
      </c>
      <c r="G64" s="174">
        <v>32364</v>
      </c>
      <c r="H64" s="174">
        <v>37805</v>
      </c>
      <c r="I64" s="174">
        <v>31839</v>
      </c>
      <c r="J64" s="174">
        <v>32808</v>
      </c>
      <c r="K64" s="174">
        <v>32394</v>
      </c>
      <c r="L64" s="174">
        <v>38563</v>
      </c>
      <c r="M64" s="174" t="s">
        <v>2</v>
      </c>
      <c r="N64" s="174" t="s">
        <v>2</v>
      </c>
      <c r="O64" s="142"/>
      <c r="Q64" s="172" t="s">
        <v>937</v>
      </c>
      <c r="R64" s="173">
        <v>0</v>
      </c>
      <c r="S64" s="174">
        <v>28201</v>
      </c>
      <c r="T64" s="174">
        <v>20219</v>
      </c>
      <c r="U64" s="174">
        <v>17979</v>
      </c>
      <c r="V64" s="174">
        <v>34743</v>
      </c>
      <c r="W64" s="174">
        <v>32489</v>
      </c>
      <c r="X64" s="174">
        <v>35832</v>
      </c>
      <c r="Y64" s="174">
        <v>32303</v>
      </c>
      <c r="Z64" s="174">
        <v>32655</v>
      </c>
      <c r="AA64" s="174">
        <v>32150</v>
      </c>
      <c r="AB64" s="174">
        <v>38490</v>
      </c>
      <c r="AC64" s="174" t="s">
        <v>2</v>
      </c>
      <c r="AD64" s="174" t="s">
        <v>2</v>
      </c>
      <c r="AE64" s="142"/>
    </row>
    <row r="65" spans="1:31" x14ac:dyDescent="0.25">
      <c r="A65" s="175" t="s">
        <v>938</v>
      </c>
      <c r="B65" s="176">
        <f>IF(B64="","",B64)</f>
        <v>0</v>
      </c>
      <c r="C65" s="177">
        <f>IF(C64="","",C64)</f>
        <v>31077</v>
      </c>
      <c r="D65" s="177">
        <f t="shared" ref="D65:N65" si="4">IF(D64="","",D64+C65)</f>
        <v>53089</v>
      </c>
      <c r="E65" s="177">
        <f t="shared" si="4"/>
        <v>71829</v>
      </c>
      <c r="F65" s="177">
        <f t="shared" si="4"/>
        <v>105489</v>
      </c>
      <c r="G65" s="177">
        <f t="shared" si="4"/>
        <v>137853</v>
      </c>
      <c r="H65" s="177">
        <f t="shared" si="4"/>
        <v>175658</v>
      </c>
      <c r="I65" s="177">
        <f t="shared" si="4"/>
        <v>207497</v>
      </c>
      <c r="J65" s="177">
        <f t="shared" si="4"/>
        <v>240305</v>
      </c>
      <c r="K65" s="177">
        <f t="shared" si="4"/>
        <v>272699</v>
      </c>
      <c r="L65" s="177">
        <f t="shared" si="4"/>
        <v>311262</v>
      </c>
      <c r="M65" s="177" t="str">
        <f t="shared" si="4"/>
        <v/>
      </c>
      <c r="N65" s="177" t="str">
        <f t="shared" si="4"/>
        <v/>
      </c>
      <c r="O65" s="178"/>
      <c r="P65" s="103"/>
      <c r="Q65" s="175" t="s">
        <v>938</v>
      </c>
      <c r="R65" s="176">
        <f>IF(R64="","",R64)</f>
        <v>0</v>
      </c>
      <c r="S65" s="177">
        <f>IF(S64="","",S64)</f>
        <v>28201</v>
      </c>
      <c r="T65" s="177">
        <f t="shared" ref="T65:AD65" si="5">IF(T64="","",T64+S65)</f>
        <v>48420</v>
      </c>
      <c r="U65" s="177">
        <f t="shared" si="5"/>
        <v>66399</v>
      </c>
      <c r="V65" s="177">
        <f t="shared" si="5"/>
        <v>101142</v>
      </c>
      <c r="W65" s="177">
        <f t="shared" si="5"/>
        <v>133631</v>
      </c>
      <c r="X65" s="177">
        <f t="shared" si="5"/>
        <v>169463</v>
      </c>
      <c r="Y65" s="177">
        <f t="shared" si="5"/>
        <v>201766</v>
      </c>
      <c r="Z65" s="177">
        <f t="shared" si="5"/>
        <v>234421</v>
      </c>
      <c r="AA65" s="177">
        <f t="shared" si="5"/>
        <v>266571</v>
      </c>
      <c r="AB65" s="177">
        <f t="shared" si="5"/>
        <v>305061</v>
      </c>
      <c r="AC65" s="177" t="str">
        <f t="shared" si="5"/>
        <v/>
      </c>
      <c r="AD65" s="177" t="str">
        <f t="shared" si="5"/>
        <v/>
      </c>
      <c r="AE65" s="142"/>
    </row>
    <row r="66" spans="1:31" x14ac:dyDescent="0.25">
      <c r="A66" s="179" t="s">
        <v>939</v>
      </c>
      <c r="B66" s="180">
        <v>0</v>
      </c>
      <c r="C66" s="181">
        <v>8.3299999999999999E-2</v>
      </c>
      <c r="D66" s="181">
        <v>0.16669999999999999</v>
      </c>
      <c r="E66" s="181">
        <v>0.25009999999999999</v>
      </c>
      <c r="F66" s="181">
        <v>0.33350000000000002</v>
      </c>
      <c r="G66" s="181">
        <v>0.41689999999999999</v>
      </c>
      <c r="H66" s="181">
        <v>0.50029999999999997</v>
      </c>
      <c r="I66" s="181">
        <v>0.5837</v>
      </c>
      <c r="J66" s="181">
        <v>0.66710000000000003</v>
      </c>
      <c r="K66" s="181">
        <v>0.75049999999999994</v>
      </c>
      <c r="L66" s="181">
        <v>0.83389999999999997</v>
      </c>
      <c r="M66" s="181">
        <v>0.9173</v>
      </c>
      <c r="N66" s="181">
        <v>1.0006999999999999</v>
      </c>
      <c r="O66" s="182"/>
      <c r="P66" s="165"/>
      <c r="Q66" s="179" t="s">
        <v>939</v>
      </c>
      <c r="R66" s="180">
        <v>0</v>
      </c>
      <c r="S66" s="181">
        <v>8.3299999999999999E-2</v>
      </c>
      <c r="T66" s="181">
        <v>0.16669999999999999</v>
      </c>
      <c r="U66" s="181">
        <v>0.25009999999999999</v>
      </c>
      <c r="V66" s="181">
        <v>0.33350000000000002</v>
      </c>
      <c r="W66" s="181">
        <v>0.41689999999999999</v>
      </c>
      <c r="X66" s="181">
        <v>0.50029999999999997</v>
      </c>
      <c r="Y66" s="181">
        <v>0.5837</v>
      </c>
      <c r="Z66" s="181">
        <v>0.66710000000000003</v>
      </c>
      <c r="AA66" s="181">
        <v>0.75049999999999994</v>
      </c>
      <c r="AB66" s="181">
        <v>0.83389999999999997</v>
      </c>
      <c r="AC66" s="181">
        <v>0.9173</v>
      </c>
      <c r="AD66" s="181">
        <v>1.0006999999999999</v>
      </c>
      <c r="AE66" s="142"/>
    </row>
    <row r="67" spans="1:31" x14ac:dyDescent="0.25">
      <c r="A67" s="179" t="s">
        <v>940</v>
      </c>
      <c r="B67" s="180">
        <v>0</v>
      </c>
      <c r="C67" s="181">
        <f>IF($N$67="","",$N$67/12)</f>
        <v>7.9166666666666663E-2</v>
      </c>
      <c r="D67" s="181">
        <f>IF($N$67="","",$N$67*2/12)</f>
        <v>0.15833333333333333</v>
      </c>
      <c r="E67" s="181">
        <f>IF($N$67="","",$N$67*3/12)</f>
        <v>0.23749999999999996</v>
      </c>
      <c r="F67" s="181">
        <f>IF($N$67="","",$N$67*4/12)</f>
        <v>0.31666666666666665</v>
      </c>
      <c r="G67" s="181">
        <f>IF($N$67="","",$N$67*5/12)</f>
        <v>0.39583333333333331</v>
      </c>
      <c r="H67" s="181">
        <f>IF($N$67="","",$N$67*6/12)</f>
        <v>0.47499999999999992</v>
      </c>
      <c r="I67" s="181">
        <f>IF($N$67="","",$N$67*7/12)</f>
        <v>0.55416666666666659</v>
      </c>
      <c r="J67" s="181">
        <f>IF($N$67="","",$N$67*8/12)</f>
        <v>0.6333333333333333</v>
      </c>
      <c r="K67" s="181">
        <f>IF($N$67="","",$N$67*9/12)</f>
        <v>0.71249999999999991</v>
      </c>
      <c r="L67" s="181">
        <f>IF($N$67="","",$N$67*10/12)</f>
        <v>0.79166666666666663</v>
      </c>
      <c r="M67" s="181">
        <f>IF($N$67="","",$N$67*11/12)</f>
        <v>0.87083333333333324</v>
      </c>
      <c r="N67" s="181">
        <v>0.95</v>
      </c>
      <c r="O67" s="182"/>
      <c r="P67" s="147"/>
      <c r="Q67" s="179" t="s">
        <v>940</v>
      </c>
      <c r="R67" s="180">
        <v>0</v>
      </c>
      <c r="S67" s="181">
        <f>IF($AD$67="","",$AD$67/12)</f>
        <v>7.9166666666666663E-2</v>
      </c>
      <c r="T67" s="181">
        <f>IF($AD$67="","",$AD$67*2/12)</f>
        <v>0.15833333333333333</v>
      </c>
      <c r="U67" s="181">
        <f>IF($AD$67="","",$AD$67*3/12)</f>
        <v>0.23749999999999996</v>
      </c>
      <c r="V67" s="181">
        <f>IF($AD$67="","",$AD$67*4/12)</f>
        <v>0.31666666666666665</v>
      </c>
      <c r="W67" s="181">
        <f>IF($AD$67="","",$AD$67*5/12)</f>
        <v>0.39583333333333331</v>
      </c>
      <c r="X67" s="181">
        <f>IF($AD$67="","",$AD$67*6/12)</f>
        <v>0.47499999999999992</v>
      </c>
      <c r="Y67" s="181">
        <f>IF($AD$67="","",$AD$67*7/12)</f>
        <v>0.55416666666666659</v>
      </c>
      <c r="Z67" s="181">
        <f>IF($AD$67="","",$AD$67*8/12)</f>
        <v>0.6333333333333333</v>
      </c>
      <c r="AA67" s="181">
        <f>IF($AD$67="","",$AD$67*9/12)</f>
        <v>0.71249999999999991</v>
      </c>
      <c r="AB67" s="181">
        <f>IF($AD$67="","",$AD$67*10/12)</f>
        <v>0.79166666666666663</v>
      </c>
      <c r="AC67" s="181">
        <f>IF($AD$67="","",$AD$67*11/12)</f>
        <v>0.87083333333333324</v>
      </c>
      <c r="AD67" s="181">
        <v>0.95</v>
      </c>
      <c r="AE67" s="142"/>
    </row>
    <row r="68" spans="1:31" x14ac:dyDescent="0.25">
      <c r="A68" s="179" t="s">
        <v>941</v>
      </c>
      <c r="B68" s="180" t="e">
        <f>IF(B65="","",B65/$B$7)</f>
        <v>#DIV/0!</v>
      </c>
      <c r="C68" s="181">
        <f>IF(C65="","",C65/$B$41)</f>
        <v>8.2432360742705574E-2</v>
      </c>
      <c r="D68" s="181">
        <f t="shared" ref="D68:N68" si="6">IF(D65="","",D65/$B$41)</f>
        <v>0.14081962864721487</v>
      </c>
      <c r="E68" s="181">
        <f t="shared" si="6"/>
        <v>0.19052785145888596</v>
      </c>
      <c r="F68" s="181">
        <f t="shared" si="6"/>
        <v>0.27981167108753313</v>
      </c>
      <c r="G68" s="181">
        <f t="shared" si="6"/>
        <v>0.36565782493368698</v>
      </c>
      <c r="H68" s="181">
        <f t="shared" si="6"/>
        <v>0.46593633952254643</v>
      </c>
      <c r="I68" s="181">
        <f t="shared" si="6"/>
        <v>0.55038992042440316</v>
      </c>
      <c r="J68" s="181">
        <f t="shared" si="6"/>
        <v>0.63741379310344826</v>
      </c>
      <c r="K68" s="181">
        <f t="shared" si="6"/>
        <v>0.72333952254641909</v>
      </c>
      <c r="L68" s="181">
        <f t="shared" si="6"/>
        <v>0.82562864721485407</v>
      </c>
      <c r="M68" s="181" t="str">
        <f t="shared" si="6"/>
        <v/>
      </c>
      <c r="N68" s="181" t="str">
        <f t="shared" si="6"/>
        <v/>
      </c>
      <c r="O68" s="182"/>
      <c r="P68" s="147"/>
      <c r="Q68" s="179" t="s">
        <v>941</v>
      </c>
      <c r="R68" s="180" t="e">
        <f>IF(R65="","",R65/$B$7)</f>
        <v>#DIV/0!</v>
      </c>
      <c r="S68" s="181">
        <f>IF(S65="","",S65/$R$9)</f>
        <v>7.4803713527851465E-2</v>
      </c>
      <c r="T68" s="181">
        <f t="shared" ref="T68:AD68" si="7">IF(T65="","",T65/$R$9)</f>
        <v>0.12843501326259946</v>
      </c>
      <c r="U68" s="181">
        <f t="shared" si="7"/>
        <v>0.17612466843501326</v>
      </c>
      <c r="V68" s="181">
        <f t="shared" si="7"/>
        <v>0.26828116710875333</v>
      </c>
      <c r="W68" s="181">
        <f>IF(W65="","",W65/$R$9)</f>
        <v>0.35445888594164454</v>
      </c>
      <c r="X68" s="181">
        <f t="shared" si="7"/>
        <v>0.44950397877984083</v>
      </c>
      <c r="Y68" s="181">
        <f t="shared" si="7"/>
        <v>0.53518832891246682</v>
      </c>
      <c r="Z68" s="181">
        <f t="shared" si="7"/>
        <v>0.62180636604774531</v>
      </c>
      <c r="AA68" s="181">
        <f t="shared" si="7"/>
        <v>0.7070848806366048</v>
      </c>
      <c r="AB68" s="181">
        <f t="shared" si="7"/>
        <v>0.8091803713527852</v>
      </c>
      <c r="AC68" s="181" t="str">
        <f t="shared" si="7"/>
        <v/>
      </c>
      <c r="AD68" s="181" t="str">
        <f t="shared" si="7"/>
        <v/>
      </c>
      <c r="AE68" s="142"/>
    </row>
    <row r="69" spans="1:31" ht="13" thickBot="1" x14ac:dyDescent="0.3">
      <c r="A69" s="183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Q69" s="183"/>
      <c r="R69" s="184"/>
      <c r="S69" s="184"/>
      <c r="T69" s="184"/>
      <c r="U69" s="184"/>
      <c r="V69" s="184"/>
      <c r="W69" s="184"/>
      <c r="X69" s="184"/>
      <c r="Y69" s="184"/>
      <c r="Z69" s="184"/>
      <c r="AA69" s="184"/>
      <c r="AB69" s="184"/>
      <c r="AC69" s="184"/>
      <c r="AD69" s="184"/>
      <c r="AE69" s="185"/>
    </row>
    <row r="71" spans="1:31" ht="13" thickBot="1" x14ac:dyDescent="0.3">
      <c r="O71" s="31" t="s">
        <v>943</v>
      </c>
    </row>
    <row r="72" spans="1:31" ht="21.5" x14ac:dyDescent="0.6">
      <c r="A72" s="154" t="s">
        <v>922</v>
      </c>
      <c r="B72" s="155">
        <v>2024</v>
      </c>
      <c r="C72" s="156"/>
      <c r="D72" s="157" t="s">
        <v>923</v>
      </c>
      <c r="E72" s="156"/>
      <c r="F72" s="156"/>
      <c r="G72" s="334" t="s">
        <v>8</v>
      </c>
      <c r="H72" s="335"/>
      <c r="I72" s="336"/>
      <c r="J72" s="156"/>
      <c r="K72" s="156"/>
      <c r="L72" s="156"/>
      <c r="M72" s="156"/>
      <c r="N72" s="156"/>
      <c r="O72" s="158"/>
      <c r="Q72" s="154" t="s">
        <v>922</v>
      </c>
      <c r="R72" s="155">
        <v>2024</v>
      </c>
      <c r="S72" s="156"/>
      <c r="T72" s="157" t="s">
        <v>923</v>
      </c>
      <c r="U72" s="156"/>
      <c r="V72" s="156"/>
      <c r="W72" s="334" t="s">
        <v>755</v>
      </c>
      <c r="X72" s="335"/>
      <c r="Y72" s="336"/>
      <c r="Z72" s="156"/>
      <c r="AA72" s="156"/>
      <c r="AB72" s="156"/>
      <c r="AC72" s="156"/>
      <c r="AD72" s="156"/>
      <c r="AE72" s="158"/>
    </row>
    <row r="73" spans="1:31" ht="18" x14ac:dyDescent="0.4">
      <c r="A73" s="159" t="s">
        <v>924</v>
      </c>
      <c r="B73" s="160">
        <f>R9</f>
        <v>377000</v>
      </c>
      <c r="O73" s="142"/>
      <c r="Q73" s="159" t="s">
        <v>924</v>
      </c>
      <c r="R73" s="160">
        <f>+R9</f>
        <v>377000</v>
      </c>
      <c r="AE73" s="142"/>
    </row>
    <row r="74" spans="1:31" ht="18" x14ac:dyDescent="0.4">
      <c r="A74" s="161"/>
      <c r="O74" s="162">
        <v>1</v>
      </c>
      <c r="Q74" s="161"/>
      <c r="AE74" s="142"/>
    </row>
    <row r="75" spans="1:31" ht="18" x14ac:dyDescent="0.4">
      <c r="A75" s="161"/>
      <c r="O75" s="164">
        <f>N99</f>
        <v>0.95</v>
      </c>
      <c r="Q75" s="161"/>
      <c r="AE75" s="162">
        <v>1</v>
      </c>
    </row>
    <row r="76" spans="1:31" ht="18" x14ac:dyDescent="0.4">
      <c r="A76" s="161"/>
      <c r="O76" s="142"/>
      <c r="Q76" s="161"/>
      <c r="AE76" s="164">
        <f>AD99</f>
        <v>0.95</v>
      </c>
    </row>
    <row r="77" spans="1:31" x14ac:dyDescent="0.25">
      <c r="A77" s="161"/>
      <c r="O77" s="142"/>
      <c r="Q77" s="161"/>
      <c r="AE77" s="142"/>
    </row>
    <row r="78" spans="1:31" x14ac:dyDescent="0.25">
      <c r="A78" s="161"/>
      <c r="O78" s="142"/>
      <c r="Q78" s="161"/>
      <c r="AE78" s="142"/>
    </row>
    <row r="79" spans="1:31" x14ac:dyDescent="0.25">
      <c r="A79" s="161"/>
      <c r="O79" s="142"/>
      <c r="Q79" s="161"/>
      <c r="AE79" s="142"/>
    </row>
    <row r="80" spans="1:31" x14ac:dyDescent="0.25">
      <c r="A80" s="161"/>
      <c r="O80" s="142"/>
      <c r="Q80" s="161"/>
      <c r="AE80" s="142"/>
    </row>
    <row r="81" spans="1:31" x14ac:dyDescent="0.25">
      <c r="A81" s="161"/>
      <c r="O81" s="142"/>
      <c r="Q81" s="161"/>
      <c r="AE81" s="142"/>
    </row>
    <row r="82" spans="1:31" x14ac:dyDescent="0.25">
      <c r="A82" s="161"/>
      <c r="O82" s="142"/>
      <c r="Q82" s="161"/>
      <c r="AE82" s="142"/>
    </row>
    <row r="83" spans="1:31" x14ac:dyDescent="0.25">
      <c r="A83" s="161"/>
      <c r="O83" s="142"/>
      <c r="Q83" s="161"/>
      <c r="AE83" s="142"/>
    </row>
    <row r="84" spans="1:31" x14ac:dyDescent="0.25">
      <c r="A84" s="161"/>
      <c r="O84" s="142"/>
      <c r="Q84" s="161"/>
      <c r="AE84" s="142"/>
    </row>
    <row r="85" spans="1:31" x14ac:dyDescent="0.25">
      <c r="A85" s="161"/>
      <c r="O85" s="142"/>
      <c r="Q85" s="161"/>
      <c r="AE85" s="142"/>
    </row>
    <row r="86" spans="1:31" x14ac:dyDescent="0.25">
      <c r="A86" s="161"/>
      <c r="O86" s="142"/>
      <c r="Q86" s="161"/>
      <c r="AE86" s="142"/>
    </row>
    <row r="87" spans="1:31" x14ac:dyDescent="0.25">
      <c r="A87" s="161"/>
      <c r="O87" s="142"/>
      <c r="Q87" s="161"/>
      <c r="AE87" s="142"/>
    </row>
    <row r="88" spans="1:31" x14ac:dyDescent="0.25">
      <c r="A88" s="161"/>
      <c r="O88" s="142"/>
      <c r="Q88" s="161"/>
      <c r="AE88" s="142"/>
    </row>
    <row r="89" spans="1:31" x14ac:dyDescent="0.25">
      <c r="A89" s="161"/>
      <c r="O89" s="142"/>
      <c r="Q89" s="161"/>
      <c r="AE89" s="142"/>
    </row>
    <row r="90" spans="1:31" x14ac:dyDescent="0.25">
      <c r="A90" s="161"/>
      <c r="O90" s="142"/>
      <c r="Q90" s="161"/>
      <c r="AE90" s="142"/>
    </row>
    <row r="91" spans="1:31" x14ac:dyDescent="0.25">
      <c r="A91" s="161"/>
      <c r="O91" s="142"/>
      <c r="Q91" s="161"/>
      <c r="AE91" s="142"/>
    </row>
    <row r="92" spans="1:31" x14ac:dyDescent="0.25">
      <c r="A92" s="161"/>
      <c r="O92" s="142"/>
      <c r="Q92" s="161"/>
      <c r="AE92" s="142"/>
    </row>
    <row r="93" spans="1:31" x14ac:dyDescent="0.25">
      <c r="A93" s="161"/>
      <c r="O93" s="142"/>
      <c r="Q93" s="161"/>
      <c r="AE93" s="142"/>
    </row>
    <row r="94" spans="1:31" x14ac:dyDescent="0.25">
      <c r="A94" s="161"/>
      <c r="B94" s="166"/>
      <c r="C94" s="167"/>
      <c r="D94" s="167"/>
      <c r="E94" s="167"/>
      <c r="F94" s="167"/>
      <c r="G94" s="167"/>
      <c r="H94" s="167"/>
      <c r="I94" s="167"/>
      <c r="J94" s="167"/>
      <c r="K94" s="167"/>
      <c r="L94" s="167"/>
      <c r="M94" s="167"/>
      <c r="N94" s="168"/>
      <c r="O94" s="169"/>
      <c r="Q94" s="161"/>
      <c r="R94" s="166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8"/>
      <c r="AE94" s="142"/>
    </row>
    <row r="95" spans="1:31" x14ac:dyDescent="0.25">
      <c r="A95" s="170"/>
      <c r="B95" s="171"/>
      <c r="C95" s="171" t="s">
        <v>925</v>
      </c>
      <c r="D95" s="171" t="s">
        <v>926</v>
      </c>
      <c r="E95" s="171" t="s">
        <v>927</v>
      </c>
      <c r="F95" s="171" t="s">
        <v>928</v>
      </c>
      <c r="G95" s="171" t="s">
        <v>929</v>
      </c>
      <c r="H95" s="171" t="s">
        <v>930</v>
      </c>
      <c r="I95" s="171" t="s">
        <v>931</v>
      </c>
      <c r="J95" s="171" t="s">
        <v>932</v>
      </c>
      <c r="K95" s="171" t="s">
        <v>933</v>
      </c>
      <c r="L95" s="171" t="s">
        <v>934</v>
      </c>
      <c r="M95" s="171" t="s">
        <v>935</v>
      </c>
      <c r="N95" s="171" t="s">
        <v>936</v>
      </c>
      <c r="O95" s="142"/>
      <c r="Q95" s="170"/>
      <c r="R95" s="171"/>
      <c r="S95" s="171" t="s">
        <v>925</v>
      </c>
      <c r="T95" s="171" t="s">
        <v>926</v>
      </c>
      <c r="U95" s="171" t="s">
        <v>927</v>
      </c>
      <c r="V95" s="171" t="s">
        <v>928</v>
      </c>
      <c r="W95" s="171" t="s">
        <v>929</v>
      </c>
      <c r="X95" s="171" t="s">
        <v>930</v>
      </c>
      <c r="Y95" s="171" t="s">
        <v>931</v>
      </c>
      <c r="Z95" s="171" t="s">
        <v>932</v>
      </c>
      <c r="AA95" s="171" t="s">
        <v>933</v>
      </c>
      <c r="AB95" s="171" t="s">
        <v>934</v>
      </c>
      <c r="AC95" s="171" t="s">
        <v>935</v>
      </c>
      <c r="AD95" s="171" t="s">
        <v>936</v>
      </c>
      <c r="AE95" s="142"/>
    </row>
    <row r="96" spans="1:31" x14ac:dyDescent="0.25">
      <c r="A96" s="172" t="s">
        <v>937</v>
      </c>
      <c r="B96" s="173">
        <v>0</v>
      </c>
      <c r="C96" s="174">
        <v>29944</v>
      </c>
      <c r="D96" s="174">
        <v>26786</v>
      </c>
      <c r="E96" s="174">
        <v>25535</v>
      </c>
      <c r="F96" s="174">
        <v>33304</v>
      </c>
      <c r="G96" s="174">
        <v>31560</v>
      </c>
      <c r="H96" s="174">
        <v>34690</v>
      </c>
      <c r="I96" s="174">
        <v>31261</v>
      </c>
      <c r="J96" s="174">
        <v>32643</v>
      </c>
      <c r="K96" s="174">
        <v>32353</v>
      </c>
      <c r="L96" s="174">
        <v>36248</v>
      </c>
      <c r="M96" s="174" t="s">
        <v>2</v>
      </c>
      <c r="N96" s="174" t="s">
        <v>2</v>
      </c>
      <c r="O96" s="142"/>
      <c r="Q96" s="172" t="s">
        <v>937</v>
      </c>
      <c r="R96" s="173">
        <v>0</v>
      </c>
      <c r="S96" s="174">
        <v>22870</v>
      </c>
      <c r="T96" s="174">
        <v>15465</v>
      </c>
      <c r="U96" s="174">
        <v>16514</v>
      </c>
      <c r="V96" s="174">
        <v>31816</v>
      </c>
      <c r="W96" s="174">
        <v>32118</v>
      </c>
      <c r="X96" s="174">
        <v>35344</v>
      </c>
      <c r="Y96" s="174">
        <v>31371</v>
      </c>
      <c r="Z96" s="174">
        <v>31965</v>
      </c>
      <c r="AA96" s="174">
        <v>31825</v>
      </c>
      <c r="AB96" s="174">
        <v>38489</v>
      </c>
      <c r="AC96" s="174" t="s">
        <v>2</v>
      </c>
      <c r="AD96" s="174" t="s">
        <v>2</v>
      </c>
      <c r="AE96" s="142"/>
    </row>
    <row r="97" spans="1:31" x14ac:dyDescent="0.25">
      <c r="A97" s="175" t="s">
        <v>938</v>
      </c>
      <c r="B97" s="176">
        <f>IF(B96="","",B96)</f>
        <v>0</v>
      </c>
      <c r="C97" s="177">
        <f>IF(C96="","",C96)</f>
        <v>29944</v>
      </c>
      <c r="D97" s="177">
        <f t="shared" ref="D97:N97" si="8">IF(D96="","",D96+C97)</f>
        <v>56730</v>
      </c>
      <c r="E97" s="177">
        <f t="shared" si="8"/>
        <v>82265</v>
      </c>
      <c r="F97" s="177">
        <f t="shared" si="8"/>
        <v>115569</v>
      </c>
      <c r="G97" s="177">
        <f t="shared" si="8"/>
        <v>147129</v>
      </c>
      <c r="H97" s="177">
        <f t="shared" si="8"/>
        <v>181819</v>
      </c>
      <c r="I97" s="177">
        <f t="shared" si="8"/>
        <v>213080</v>
      </c>
      <c r="J97" s="177">
        <f t="shared" si="8"/>
        <v>245723</v>
      </c>
      <c r="K97" s="177">
        <f t="shared" si="8"/>
        <v>278076</v>
      </c>
      <c r="L97" s="177">
        <f t="shared" si="8"/>
        <v>314324</v>
      </c>
      <c r="M97" s="177" t="str">
        <f t="shared" si="8"/>
        <v/>
      </c>
      <c r="N97" s="177" t="str">
        <f t="shared" si="8"/>
        <v/>
      </c>
      <c r="O97" s="178"/>
      <c r="P97" s="103"/>
      <c r="Q97" s="175" t="s">
        <v>938</v>
      </c>
      <c r="R97" s="176">
        <f>IF(R96="","",R96)</f>
        <v>0</v>
      </c>
      <c r="S97" s="177">
        <f>IF(S96="","",S96)</f>
        <v>22870</v>
      </c>
      <c r="T97" s="177">
        <f t="shared" ref="T97:AD97" si="9">IF(T96="","",T96+S97)</f>
        <v>38335</v>
      </c>
      <c r="U97" s="177">
        <f t="shared" si="9"/>
        <v>54849</v>
      </c>
      <c r="V97" s="177">
        <f t="shared" si="9"/>
        <v>86665</v>
      </c>
      <c r="W97" s="177">
        <f t="shared" si="9"/>
        <v>118783</v>
      </c>
      <c r="X97" s="177">
        <f t="shared" si="9"/>
        <v>154127</v>
      </c>
      <c r="Y97" s="177">
        <f t="shared" si="9"/>
        <v>185498</v>
      </c>
      <c r="Z97" s="177">
        <f t="shared" si="9"/>
        <v>217463</v>
      </c>
      <c r="AA97" s="177">
        <f t="shared" si="9"/>
        <v>249288</v>
      </c>
      <c r="AB97" s="177">
        <f t="shared" si="9"/>
        <v>287777</v>
      </c>
      <c r="AC97" s="177" t="str">
        <f t="shared" si="9"/>
        <v/>
      </c>
      <c r="AD97" s="177" t="str">
        <f t="shared" si="9"/>
        <v/>
      </c>
      <c r="AE97" s="142"/>
    </row>
    <row r="98" spans="1:31" x14ac:dyDescent="0.25">
      <c r="A98" s="179" t="s">
        <v>939</v>
      </c>
      <c r="B98" s="180">
        <v>0</v>
      </c>
      <c r="C98" s="181">
        <v>8.3299999999999999E-2</v>
      </c>
      <c r="D98" s="181">
        <v>0.16669999999999999</v>
      </c>
      <c r="E98" s="181">
        <v>0.25009999999999999</v>
      </c>
      <c r="F98" s="181">
        <v>0.33350000000000002</v>
      </c>
      <c r="G98" s="181">
        <v>0.41689999999999999</v>
      </c>
      <c r="H98" s="181">
        <v>0.50029999999999997</v>
      </c>
      <c r="I98" s="181">
        <v>0.5837</v>
      </c>
      <c r="J98" s="181">
        <v>0.66710000000000003</v>
      </c>
      <c r="K98" s="181">
        <v>0.75049999999999994</v>
      </c>
      <c r="L98" s="181">
        <v>0.83389999999999997</v>
      </c>
      <c r="M98" s="181">
        <v>0.9173</v>
      </c>
      <c r="N98" s="181">
        <v>1.0006999999999999</v>
      </c>
      <c r="O98" s="182"/>
      <c r="P98" s="165"/>
      <c r="Q98" s="179" t="s">
        <v>939</v>
      </c>
      <c r="R98" s="180">
        <v>0</v>
      </c>
      <c r="S98" s="181">
        <v>8.3299999999999999E-2</v>
      </c>
      <c r="T98" s="181">
        <v>0.16669999999999999</v>
      </c>
      <c r="U98" s="181">
        <v>0.25009999999999999</v>
      </c>
      <c r="V98" s="181">
        <v>0.33350000000000002</v>
      </c>
      <c r="W98" s="181">
        <v>0.41689999999999999</v>
      </c>
      <c r="X98" s="181">
        <v>0.50029999999999997</v>
      </c>
      <c r="Y98" s="181">
        <v>0.5837</v>
      </c>
      <c r="Z98" s="181">
        <v>0.66710000000000003</v>
      </c>
      <c r="AA98" s="181">
        <v>0.75049999999999994</v>
      </c>
      <c r="AB98" s="181">
        <v>0.83389999999999997</v>
      </c>
      <c r="AC98" s="181">
        <v>0.9173</v>
      </c>
      <c r="AD98" s="181">
        <v>1.0006999999999999</v>
      </c>
      <c r="AE98" s="142"/>
    </row>
    <row r="99" spans="1:31" x14ac:dyDescent="0.25">
      <c r="A99" s="179" t="s">
        <v>940</v>
      </c>
      <c r="B99" s="180">
        <v>0</v>
      </c>
      <c r="C99" s="181">
        <f>IF($N$99="","",$N$99/12)</f>
        <v>7.9166666666666663E-2</v>
      </c>
      <c r="D99" s="181">
        <f>IF($N$99="","",$N$99*2/12)</f>
        <v>0.15833333333333333</v>
      </c>
      <c r="E99" s="181">
        <f>IF($N$99="","",$N$99*3/12)</f>
        <v>0.23749999999999996</v>
      </c>
      <c r="F99" s="181">
        <f>IF($N$99="","",$N$99*4/12)</f>
        <v>0.31666666666666665</v>
      </c>
      <c r="G99" s="181">
        <f>IF($N$99="","",$N$99*5/12)</f>
        <v>0.39583333333333331</v>
      </c>
      <c r="H99" s="181">
        <f>IF($N$99="","",$N$99*6/12)</f>
        <v>0.47499999999999992</v>
      </c>
      <c r="I99" s="181">
        <f>IF($N$99="","",$N$99*7/12)</f>
        <v>0.55416666666666659</v>
      </c>
      <c r="J99" s="181">
        <f>IF($N$99="","",$N$99*8/12)</f>
        <v>0.6333333333333333</v>
      </c>
      <c r="K99" s="181">
        <f>IF($N$99="","",$N$99*9/12)</f>
        <v>0.71249999999999991</v>
      </c>
      <c r="L99" s="181">
        <f>IF($N$99="","",$N$99*10/12)</f>
        <v>0.79166666666666663</v>
      </c>
      <c r="M99" s="181">
        <f>IF($N$99="","",$N$99*11/12)</f>
        <v>0.87083333333333324</v>
      </c>
      <c r="N99" s="181">
        <v>0.95</v>
      </c>
      <c r="O99" s="182"/>
      <c r="P99" s="147"/>
      <c r="Q99" s="179" t="s">
        <v>940</v>
      </c>
      <c r="R99" s="180">
        <v>0</v>
      </c>
      <c r="S99" s="181">
        <f>IF($AD$99="","",$AD$99/12)</f>
        <v>7.9166666666666663E-2</v>
      </c>
      <c r="T99" s="181">
        <f>IF($AD$99="","",$AD$99*2/12)</f>
        <v>0.15833333333333333</v>
      </c>
      <c r="U99" s="181">
        <f>IF($AD$99="","",$AD$99*3/12)</f>
        <v>0.23749999999999996</v>
      </c>
      <c r="V99" s="181">
        <f>IF($AD$99="","",$AD$99*4/12)</f>
        <v>0.31666666666666665</v>
      </c>
      <c r="W99" s="181">
        <f>IF($AD$99="","",$AD$99*5/12)</f>
        <v>0.39583333333333331</v>
      </c>
      <c r="X99" s="181">
        <f>IF($AD$99="","",$AD$99*6/12)</f>
        <v>0.47499999999999992</v>
      </c>
      <c r="Y99" s="181">
        <f>IF($AD$99="","",$AD$99*7/12)</f>
        <v>0.55416666666666659</v>
      </c>
      <c r="Z99" s="181">
        <f>IF($AD$99="","",$AD$99*8/12)</f>
        <v>0.6333333333333333</v>
      </c>
      <c r="AA99" s="181">
        <f>IF($AD$99="","",$AD$99*9/12)</f>
        <v>0.71249999999999991</v>
      </c>
      <c r="AB99" s="181">
        <f>IF($AD$99="","",$AD$99*10/12)</f>
        <v>0.79166666666666663</v>
      </c>
      <c r="AC99" s="181">
        <f>IF($AD$99="","",$AD$99*11/12)</f>
        <v>0.87083333333333324</v>
      </c>
      <c r="AD99" s="181">
        <v>0.95</v>
      </c>
      <c r="AE99" s="142"/>
    </row>
    <row r="100" spans="1:31" x14ac:dyDescent="0.25">
      <c r="A100" s="179" t="s">
        <v>941</v>
      </c>
      <c r="B100" s="180" t="e">
        <f>IF(B97="","",B97/$B$7)</f>
        <v>#DIV/0!</v>
      </c>
      <c r="C100" s="181">
        <f>IF(C97="","",C97/$B$73)</f>
        <v>7.9427055702917776E-2</v>
      </c>
      <c r="D100" s="181">
        <f t="shared" ref="D100:N100" si="10">IF(D97="","",D97/$B$73)</f>
        <v>0.15047745358090187</v>
      </c>
      <c r="E100" s="181">
        <f t="shared" si="10"/>
        <v>0.21820954907161805</v>
      </c>
      <c r="F100" s="181">
        <f t="shared" si="10"/>
        <v>0.30654907161803713</v>
      </c>
      <c r="G100" s="181">
        <f t="shared" si="10"/>
        <v>0.39026259946949604</v>
      </c>
      <c r="H100" s="181">
        <f t="shared" si="10"/>
        <v>0.4822785145888594</v>
      </c>
      <c r="I100" s="181">
        <f t="shared" si="10"/>
        <v>0.56519893899204243</v>
      </c>
      <c r="J100" s="181">
        <f t="shared" si="10"/>
        <v>0.65178514588859415</v>
      </c>
      <c r="K100" s="181">
        <f t="shared" si="10"/>
        <v>0.73760212201591513</v>
      </c>
      <c r="L100" s="181">
        <f t="shared" si="10"/>
        <v>0.83375066312997348</v>
      </c>
      <c r="M100" s="181" t="str">
        <f t="shared" si="10"/>
        <v/>
      </c>
      <c r="N100" s="181" t="str">
        <f t="shared" si="10"/>
        <v/>
      </c>
      <c r="O100" s="182"/>
      <c r="P100" s="147"/>
      <c r="Q100" s="179" t="s">
        <v>941</v>
      </c>
      <c r="R100" s="180" t="e">
        <f>IF(R97="","",R97/$B$7)</f>
        <v>#DIV/0!</v>
      </c>
      <c r="S100" s="181">
        <f>IF(S97="","",S97/$R$9)</f>
        <v>6.0663129973474804E-2</v>
      </c>
      <c r="T100" s="181">
        <f t="shared" ref="T100:AD100" si="11">IF(T97="","",T97/$R$9)</f>
        <v>0.101684350132626</v>
      </c>
      <c r="U100" s="181">
        <f t="shared" si="11"/>
        <v>0.14548806366047745</v>
      </c>
      <c r="V100" s="181">
        <f t="shared" si="11"/>
        <v>0.22988063660477454</v>
      </c>
      <c r="W100" s="181">
        <f t="shared" si="11"/>
        <v>0.31507427055702919</v>
      </c>
      <c r="X100" s="181">
        <f t="shared" si="11"/>
        <v>0.40882493368700268</v>
      </c>
      <c r="Y100" s="181">
        <f t="shared" si="11"/>
        <v>0.49203713527851461</v>
      </c>
      <c r="Z100" s="181">
        <f t="shared" si="11"/>
        <v>0.57682493368700261</v>
      </c>
      <c r="AA100" s="181">
        <f t="shared" si="11"/>
        <v>0.66124137931034488</v>
      </c>
      <c r="AB100" s="181">
        <f t="shared" si="11"/>
        <v>0.76333421750663133</v>
      </c>
      <c r="AC100" s="181" t="str">
        <f t="shared" si="11"/>
        <v/>
      </c>
      <c r="AD100" s="181" t="str">
        <f t="shared" si="11"/>
        <v/>
      </c>
      <c r="AE100" s="142"/>
    </row>
    <row r="101" spans="1:31" ht="13" thickBot="1" x14ac:dyDescent="0.3">
      <c r="A101" s="183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5"/>
      <c r="Q101" s="183"/>
      <c r="R101" s="184"/>
      <c r="S101" s="184"/>
      <c r="T101" s="184"/>
      <c r="U101" s="184"/>
      <c r="V101" s="184"/>
      <c r="W101" s="184"/>
      <c r="X101" s="184"/>
      <c r="Y101" s="184"/>
      <c r="Z101" s="184"/>
      <c r="AA101" s="184"/>
      <c r="AB101" s="184"/>
      <c r="AC101" s="184"/>
      <c r="AD101" s="184"/>
      <c r="AE101" s="185"/>
    </row>
    <row r="103" spans="1:31" ht="13" thickBot="1" x14ac:dyDescent="0.3"/>
    <row r="104" spans="1:31" ht="21.5" x14ac:dyDescent="0.6">
      <c r="A104" s="154" t="s">
        <v>922</v>
      </c>
      <c r="B104" s="155">
        <v>2024</v>
      </c>
      <c r="C104" s="156"/>
      <c r="D104" s="157" t="s">
        <v>923</v>
      </c>
      <c r="E104" s="156"/>
      <c r="F104" s="156"/>
      <c r="G104" s="334" t="s">
        <v>944</v>
      </c>
      <c r="H104" s="335"/>
      <c r="I104" s="336"/>
      <c r="J104" s="156"/>
      <c r="K104" s="156"/>
      <c r="L104" s="156"/>
      <c r="M104" s="156"/>
      <c r="N104" s="156"/>
      <c r="O104" s="158"/>
      <c r="Q104" s="154" t="s">
        <v>922</v>
      </c>
      <c r="R104" s="155">
        <v>2024</v>
      </c>
      <c r="S104" s="156"/>
      <c r="T104" s="157" t="s">
        <v>923</v>
      </c>
      <c r="U104" s="156"/>
      <c r="V104" s="156"/>
      <c r="W104" s="334" t="s">
        <v>13</v>
      </c>
      <c r="X104" s="335"/>
      <c r="Y104" s="336"/>
      <c r="Z104" s="156"/>
      <c r="AA104" s="156"/>
      <c r="AB104" s="156"/>
      <c r="AC104" s="156"/>
      <c r="AD104" s="156"/>
      <c r="AE104" s="158"/>
    </row>
    <row r="105" spans="1:31" ht="18" x14ac:dyDescent="0.4">
      <c r="A105" s="159" t="s">
        <v>924</v>
      </c>
      <c r="B105" s="160">
        <f>R9</f>
        <v>377000</v>
      </c>
      <c r="O105" s="142"/>
      <c r="Q105" s="159" t="s">
        <v>924</v>
      </c>
      <c r="R105" s="160">
        <f>R9</f>
        <v>377000</v>
      </c>
      <c r="AE105" s="142"/>
    </row>
    <row r="106" spans="1:31" ht="18" x14ac:dyDescent="0.4">
      <c r="A106" s="161"/>
      <c r="O106" s="162">
        <v>1</v>
      </c>
      <c r="Q106" s="161"/>
      <c r="AE106" s="142"/>
    </row>
    <row r="107" spans="1:31" ht="18" x14ac:dyDescent="0.4">
      <c r="A107" s="161"/>
      <c r="O107" s="163"/>
      <c r="Q107" s="161"/>
      <c r="AE107" s="162">
        <v>1</v>
      </c>
    </row>
    <row r="108" spans="1:31" ht="18" x14ac:dyDescent="0.4">
      <c r="A108" s="161"/>
      <c r="O108" s="164">
        <f>N131</f>
        <v>0.95</v>
      </c>
      <c r="Q108" s="161"/>
      <c r="AE108" s="163"/>
    </row>
    <row r="109" spans="1:31" ht="18" x14ac:dyDescent="0.4">
      <c r="A109" s="161"/>
      <c r="O109" s="142"/>
      <c r="Q109" s="161"/>
      <c r="AE109" s="164">
        <f>AD131</f>
        <v>0.95</v>
      </c>
    </row>
    <row r="110" spans="1:31" x14ac:dyDescent="0.25">
      <c r="A110" s="161"/>
      <c r="O110" s="142"/>
      <c r="Q110" s="161"/>
      <c r="AE110" s="142"/>
    </row>
    <row r="111" spans="1:31" x14ac:dyDescent="0.25">
      <c r="A111" s="161"/>
      <c r="O111" s="142"/>
      <c r="Q111" s="161"/>
      <c r="AE111" s="142"/>
    </row>
    <row r="112" spans="1:31" x14ac:dyDescent="0.25">
      <c r="A112" s="161"/>
      <c r="O112" s="142"/>
      <c r="Q112" s="161"/>
      <c r="AE112" s="142"/>
    </row>
    <row r="113" spans="1:31" x14ac:dyDescent="0.25">
      <c r="A113" s="161"/>
      <c r="O113" s="142"/>
      <c r="Q113" s="161"/>
      <c r="AE113" s="142"/>
    </row>
    <row r="114" spans="1:31" x14ac:dyDescent="0.25">
      <c r="A114" s="161"/>
      <c r="O114" s="142"/>
      <c r="Q114" s="161"/>
      <c r="AE114" s="142"/>
    </row>
    <row r="115" spans="1:31" x14ac:dyDescent="0.25">
      <c r="A115" s="161"/>
      <c r="O115" s="142"/>
      <c r="Q115" s="161"/>
      <c r="AE115" s="142"/>
    </row>
    <row r="116" spans="1:31" x14ac:dyDescent="0.25">
      <c r="A116" s="161"/>
      <c r="O116" s="142"/>
      <c r="Q116" s="161"/>
      <c r="AE116" s="142"/>
    </row>
    <row r="117" spans="1:31" x14ac:dyDescent="0.25">
      <c r="A117" s="161"/>
      <c r="O117" s="142"/>
      <c r="Q117" s="161"/>
      <c r="AE117" s="142"/>
    </row>
    <row r="118" spans="1:31" x14ac:dyDescent="0.25">
      <c r="A118" s="161"/>
      <c r="O118" s="142"/>
      <c r="Q118" s="161"/>
      <c r="AE118" s="142"/>
    </row>
    <row r="119" spans="1:31" x14ac:dyDescent="0.25">
      <c r="A119" s="161"/>
      <c r="O119" s="142"/>
      <c r="Q119" s="161"/>
      <c r="AE119" s="142"/>
    </row>
    <row r="120" spans="1:31" x14ac:dyDescent="0.25">
      <c r="A120" s="161"/>
      <c r="O120" s="142"/>
      <c r="Q120" s="161"/>
      <c r="AE120" s="142"/>
    </row>
    <row r="121" spans="1:31" x14ac:dyDescent="0.25">
      <c r="A121" s="161"/>
      <c r="O121" s="142"/>
      <c r="Q121" s="161"/>
      <c r="AE121" s="142"/>
    </row>
    <row r="122" spans="1:31" x14ac:dyDescent="0.25">
      <c r="A122" s="161"/>
      <c r="O122" s="142"/>
      <c r="Q122" s="161"/>
      <c r="AE122" s="142"/>
    </row>
    <row r="123" spans="1:31" x14ac:dyDescent="0.25">
      <c r="A123" s="161"/>
      <c r="O123" s="142"/>
      <c r="Q123" s="161"/>
      <c r="AE123" s="142"/>
    </row>
    <row r="124" spans="1:31" x14ac:dyDescent="0.25">
      <c r="A124" s="161"/>
      <c r="O124" s="142"/>
      <c r="Q124" s="161"/>
      <c r="AE124" s="142"/>
    </row>
    <row r="125" spans="1:31" x14ac:dyDescent="0.25">
      <c r="A125" s="161"/>
      <c r="O125" s="142"/>
      <c r="Q125" s="161"/>
      <c r="AE125" s="142"/>
    </row>
    <row r="126" spans="1:31" x14ac:dyDescent="0.25">
      <c r="A126" s="161"/>
      <c r="B126" s="166"/>
      <c r="C126" s="167"/>
      <c r="D126" s="167"/>
      <c r="E126" s="167"/>
      <c r="F126" s="167"/>
      <c r="G126" s="167"/>
      <c r="H126" s="167"/>
      <c r="I126" s="167"/>
      <c r="J126" s="167"/>
      <c r="K126" s="167"/>
      <c r="L126" s="167"/>
      <c r="M126" s="167"/>
      <c r="N126" s="168"/>
      <c r="O126" s="169"/>
      <c r="Q126" s="161"/>
      <c r="R126" s="166"/>
      <c r="S126" s="167"/>
      <c r="T126" s="167"/>
      <c r="U126" s="167"/>
      <c r="V126" s="167"/>
      <c r="W126" s="167"/>
      <c r="X126" s="167"/>
      <c r="Y126" s="167"/>
      <c r="Z126" s="167"/>
      <c r="AA126" s="167"/>
      <c r="AB126" s="167"/>
      <c r="AC126" s="167"/>
      <c r="AD126" s="168"/>
      <c r="AE126" s="142"/>
    </row>
    <row r="127" spans="1:31" x14ac:dyDescent="0.25">
      <c r="A127" s="170"/>
      <c r="B127" s="171"/>
      <c r="C127" s="171" t="s">
        <v>925</v>
      </c>
      <c r="D127" s="171" t="s">
        <v>926</v>
      </c>
      <c r="E127" s="171" t="s">
        <v>927</v>
      </c>
      <c r="F127" s="171" t="s">
        <v>928</v>
      </c>
      <c r="G127" s="171" t="s">
        <v>929</v>
      </c>
      <c r="H127" s="171" t="s">
        <v>930</v>
      </c>
      <c r="I127" s="171" t="s">
        <v>931</v>
      </c>
      <c r="J127" s="171" t="s">
        <v>932</v>
      </c>
      <c r="K127" s="171" t="s">
        <v>933</v>
      </c>
      <c r="L127" s="171" t="s">
        <v>934</v>
      </c>
      <c r="M127" s="171" t="s">
        <v>935</v>
      </c>
      <c r="N127" s="171" t="s">
        <v>936</v>
      </c>
      <c r="O127" s="142"/>
      <c r="Q127" s="170"/>
      <c r="R127" s="171"/>
      <c r="S127" s="171" t="s">
        <v>925</v>
      </c>
      <c r="T127" s="171" t="s">
        <v>926</v>
      </c>
      <c r="U127" s="171" t="s">
        <v>927</v>
      </c>
      <c r="V127" s="171" t="s">
        <v>928</v>
      </c>
      <c r="W127" s="171" t="s">
        <v>929</v>
      </c>
      <c r="X127" s="171" t="s">
        <v>930</v>
      </c>
      <c r="Y127" s="171" t="s">
        <v>931</v>
      </c>
      <c r="Z127" s="171" t="s">
        <v>932</v>
      </c>
      <c r="AA127" s="171" t="s">
        <v>933</v>
      </c>
      <c r="AB127" s="171" t="s">
        <v>934</v>
      </c>
      <c r="AC127" s="171" t="s">
        <v>935</v>
      </c>
      <c r="AD127" s="171" t="s">
        <v>936</v>
      </c>
      <c r="AE127" s="142"/>
    </row>
    <row r="128" spans="1:31" x14ac:dyDescent="0.25">
      <c r="A128" s="172" t="s">
        <v>937</v>
      </c>
      <c r="B128" s="173">
        <v>0</v>
      </c>
      <c r="C128" s="174">
        <v>30593</v>
      </c>
      <c r="D128" s="174">
        <v>28737</v>
      </c>
      <c r="E128" s="174">
        <v>28617</v>
      </c>
      <c r="F128" s="174">
        <v>32872</v>
      </c>
      <c r="G128" s="174">
        <v>31405</v>
      </c>
      <c r="H128" s="174">
        <v>32149</v>
      </c>
      <c r="I128" s="174">
        <v>30053</v>
      </c>
      <c r="J128" s="174">
        <v>31394</v>
      </c>
      <c r="K128" s="174">
        <v>33017</v>
      </c>
      <c r="L128" s="174">
        <v>36739</v>
      </c>
      <c r="M128" s="174" t="s">
        <v>2</v>
      </c>
      <c r="N128" s="174" t="s">
        <v>2</v>
      </c>
      <c r="O128" s="142"/>
      <c r="Q128" s="172" t="s">
        <v>937</v>
      </c>
      <c r="R128" s="173">
        <v>0</v>
      </c>
      <c r="S128" s="174">
        <v>29705</v>
      </c>
      <c r="T128" s="174">
        <v>24286</v>
      </c>
      <c r="U128" s="174">
        <v>21386</v>
      </c>
      <c r="V128" s="174">
        <v>33692</v>
      </c>
      <c r="W128" s="174">
        <v>31758</v>
      </c>
      <c r="X128" s="174">
        <v>31344</v>
      </c>
      <c r="Y128" s="174">
        <v>28459</v>
      </c>
      <c r="Z128" s="174">
        <v>30180</v>
      </c>
      <c r="AA128" s="174">
        <v>32393</v>
      </c>
      <c r="AB128" s="174">
        <v>32262</v>
      </c>
      <c r="AC128" s="174" t="s">
        <v>2</v>
      </c>
      <c r="AD128" s="174" t="s">
        <v>2</v>
      </c>
      <c r="AE128" s="142"/>
    </row>
    <row r="129" spans="1:31" x14ac:dyDescent="0.25">
      <c r="A129" s="175" t="s">
        <v>938</v>
      </c>
      <c r="B129" s="176">
        <f>IF(B128="","",B128)</f>
        <v>0</v>
      </c>
      <c r="C129" s="177">
        <f>IF(C128="","",C128)</f>
        <v>30593</v>
      </c>
      <c r="D129" s="177">
        <f t="shared" ref="D129:N129" si="12">IF(D128="","",D128+C129)</f>
        <v>59330</v>
      </c>
      <c r="E129" s="177">
        <f t="shared" si="12"/>
        <v>87947</v>
      </c>
      <c r="F129" s="177">
        <f t="shared" si="12"/>
        <v>120819</v>
      </c>
      <c r="G129" s="177">
        <f t="shared" si="12"/>
        <v>152224</v>
      </c>
      <c r="H129" s="177">
        <f t="shared" si="12"/>
        <v>184373</v>
      </c>
      <c r="I129" s="177">
        <f t="shared" si="12"/>
        <v>214426</v>
      </c>
      <c r="J129" s="177">
        <f t="shared" si="12"/>
        <v>245820</v>
      </c>
      <c r="K129" s="177">
        <f t="shared" si="12"/>
        <v>278837</v>
      </c>
      <c r="L129" s="177">
        <f t="shared" si="12"/>
        <v>315576</v>
      </c>
      <c r="M129" s="177" t="str">
        <f t="shared" si="12"/>
        <v/>
      </c>
      <c r="N129" s="177" t="str">
        <f t="shared" si="12"/>
        <v/>
      </c>
      <c r="O129" s="178"/>
      <c r="P129" s="103"/>
      <c r="Q129" s="175" t="s">
        <v>938</v>
      </c>
      <c r="R129" s="176">
        <f>IF(R128="","",R128)</f>
        <v>0</v>
      </c>
      <c r="S129" s="177">
        <f>IF(S128="","",S128)</f>
        <v>29705</v>
      </c>
      <c r="T129" s="177">
        <f t="shared" ref="T129:AD129" si="13">IF(T128="","",T128+S129)</f>
        <v>53991</v>
      </c>
      <c r="U129" s="177">
        <f t="shared" si="13"/>
        <v>75377</v>
      </c>
      <c r="V129" s="177">
        <f t="shared" si="13"/>
        <v>109069</v>
      </c>
      <c r="W129" s="177">
        <f t="shared" si="13"/>
        <v>140827</v>
      </c>
      <c r="X129" s="177">
        <f t="shared" si="13"/>
        <v>172171</v>
      </c>
      <c r="Y129" s="177">
        <f t="shared" si="13"/>
        <v>200630</v>
      </c>
      <c r="Z129" s="177">
        <f t="shared" si="13"/>
        <v>230810</v>
      </c>
      <c r="AA129" s="177">
        <f t="shared" si="13"/>
        <v>263203</v>
      </c>
      <c r="AB129" s="177">
        <f t="shared" si="13"/>
        <v>295465</v>
      </c>
      <c r="AC129" s="177" t="str">
        <f t="shared" si="13"/>
        <v/>
      </c>
      <c r="AD129" s="177" t="str">
        <f t="shared" si="13"/>
        <v/>
      </c>
      <c r="AE129" s="142"/>
    </row>
    <row r="130" spans="1:31" x14ac:dyDescent="0.25">
      <c r="A130" s="179" t="s">
        <v>939</v>
      </c>
      <c r="B130" s="180">
        <v>0</v>
      </c>
      <c r="C130" s="181">
        <v>8.3299999999999999E-2</v>
      </c>
      <c r="D130" s="181">
        <v>0.16669999999999999</v>
      </c>
      <c r="E130" s="181">
        <v>0.25009999999999999</v>
      </c>
      <c r="F130" s="181">
        <v>0.33350000000000002</v>
      </c>
      <c r="G130" s="181">
        <v>0.41689999999999999</v>
      </c>
      <c r="H130" s="181">
        <v>0.50029999999999997</v>
      </c>
      <c r="I130" s="181">
        <v>0.5837</v>
      </c>
      <c r="J130" s="181">
        <v>0.66710000000000003</v>
      </c>
      <c r="K130" s="181">
        <v>0.75049999999999994</v>
      </c>
      <c r="L130" s="181">
        <v>0.83389999999999997</v>
      </c>
      <c r="M130" s="181">
        <v>0.9173</v>
      </c>
      <c r="N130" s="181">
        <v>1.0006999999999999</v>
      </c>
      <c r="O130" s="182"/>
      <c r="P130" s="165"/>
      <c r="Q130" s="179" t="s">
        <v>939</v>
      </c>
      <c r="R130" s="180">
        <v>0</v>
      </c>
      <c r="S130" s="181">
        <v>8.3299999999999999E-2</v>
      </c>
      <c r="T130" s="181">
        <v>0.16669999999999999</v>
      </c>
      <c r="U130" s="181">
        <v>0.25009999999999999</v>
      </c>
      <c r="V130" s="181">
        <v>0.33350000000000002</v>
      </c>
      <c r="W130" s="181">
        <v>0.41689999999999999</v>
      </c>
      <c r="X130" s="181">
        <v>0.50029999999999997</v>
      </c>
      <c r="Y130" s="181">
        <v>0.5837</v>
      </c>
      <c r="Z130" s="181">
        <v>0.66710000000000003</v>
      </c>
      <c r="AA130" s="181">
        <v>0.75049999999999994</v>
      </c>
      <c r="AB130" s="181">
        <v>0.83389999999999997</v>
      </c>
      <c r="AC130" s="181">
        <v>0.9173</v>
      </c>
      <c r="AD130" s="181">
        <v>1.0006999999999999</v>
      </c>
      <c r="AE130" s="142"/>
    </row>
    <row r="131" spans="1:31" x14ac:dyDescent="0.25">
      <c r="A131" s="179" t="s">
        <v>940</v>
      </c>
      <c r="B131" s="180">
        <v>0</v>
      </c>
      <c r="C131" s="181">
        <f>IF($N$131="","",$N$131/12)</f>
        <v>7.9166666666666663E-2</v>
      </c>
      <c r="D131" s="181">
        <f>IF($N$131="","",$N$131*2/12)</f>
        <v>0.15833333333333333</v>
      </c>
      <c r="E131" s="181">
        <f>IF($N$131="","",$N$131*3/12)</f>
        <v>0.23749999999999996</v>
      </c>
      <c r="F131" s="181">
        <f>IF($N$131="","",$N$131*4/12)</f>
        <v>0.31666666666666665</v>
      </c>
      <c r="G131" s="181">
        <f>IF($N$131="","",$N$131*5/12)</f>
        <v>0.39583333333333331</v>
      </c>
      <c r="H131" s="181">
        <f>IF($N$131="","",$N$131*6/12)</f>
        <v>0.47499999999999992</v>
      </c>
      <c r="I131" s="181">
        <f>IF($N$131="","",$N$131*7/12)</f>
        <v>0.55416666666666659</v>
      </c>
      <c r="J131" s="181">
        <f>IF($N$131="","",$N$131*8/12)</f>
        <v>0.6333333333333333</v>
      </c>
      <c r="K131" s="181">
        <f>IF($N$131="","",$N$131*9/12)</f>
        <v>0.71249999999999991</v>
      </c>
      <c r="L131" s="181">
        <f>IF($N$131="","",$N$131*10/12)</f>
        <v>0.79166666666666663</v>
      </c>
      <c r="M131" s="181">
        <f>IF($N$131="","",$N$131*11/12)</f>
        <v>0.87083333333333324</v>
      </c>
      <c r="N131" s="181">
        <v>0.95</v>
      </c>
      <c r="O131" s="182"/>
      <c r="P131" s="147"/>
      <c r="Q131" s="179" t="s">
        <v>940</v>
      </c>
      <c r="R131" s="180">
        <v>0</v>
      </c>
      <c r="S131" s="181">
        <f>IF($AD$131="","",$AD$131/12)</f>
        <v>7.9166666666666663E-2</v>
      </c>
      <c r="T131" s="181">
        <f>IF($AD$131="","",$AD$131*2/12)</f>
        <v>0.15833333333333333</v>
      </c>
      <c r="U131" s="181">
        <f>IF($AD$131="","",$AD$131*3/12)</f>
        <v>0.23749999999999996</v>
      </c>
      <c r="V131" s="181">
        <f>IF($AD$131="","",$AD$131*4/12)</f>
        <v>0.31666666666666665</v>
      </c>
      <c r="W131" s="181">
        <f>IF($AD$131="","",$AD$131*5/12)</f>
        <v>0.39583333333333331</v>
      </c>
      <c r="X131" s="181">
        <f>IF($AD$131="","",$AD$131*6/12)</f>
        <v>0.47499999999999992</v>
      </c>
      <c r="Y131" s="181">
        <f>IF($AD$131="","",$AD$131*7/12)</f>
        <v>0.55416666666666659</v>
      </c>
      <c r="Z131" s="181">
        <f>IF($AD$131="","",$AD$131*8/12)</f>
        <v>0.6333333333333333</v>
      </c>
      <c r="AA131" s="181">
        <f>IF($AD$131="","",$AD$131*9/12)</f>
        <v>0.71249999999999991</v>
      </c>
      <c r="AB131" s="181">
        <f>IF($AD$131="","",$AD$131*10/12)</f>
        <v>0.79166666666666663</v>
      </c>
      <c r="AC131" s="181">
        <f>IF($AD$131="","",$AD$131*11/12)</f>
        <v>0.87083333333333324</v>
      </c>
      <c r="AD131" s="181">
        <v>0.95</v>
      </c>
      <c r="AE131" s="142"/>
    </row>
    <row r="132" spans="1:31" x14ac:dyDescent="0.25">
      <c r="A132" s="179" t="s">
        <v>941</v>
      </c>
      <c r="B132" s="180" t="e">
        <f>IF(B129="","",B129/$B$7)</f>
        <v>#DIV/0!</v>
      </c>
      <c r="C132" s="181">
        <f>IF(C129="","",C129/$R$9)</f>
        <v>8.1148541114058351E-2</v>
      </c>
      <c r="D132" s="181">
        <f t="shared" ref="D132:N132" si="14">IF(D129="","",D129/$R$9)</f>
        <v>0.15737400530503978</v>
      </c>
      <c r="E132" s="181">
        <f t="shared" si="14"/>
        <v>0.23328116710875332</v>
      </c>
      <c r="F132" s="181">
        <f t="shared" si="14"/>
        <v>0.32047480106100795</v>
      </c>
      <c r="G132" s="181">
        <f t="shared" si="14"/>
        <v>0.40377718832891246</v>
      </c>
      <c r="H132" s="181">
        <f t="shared" si="14"/>
        <v>0.489053050397878</v>
      </c>
      <c r="I132" s="181">
        <f t="shared" si="14"/>
        <v>0.5687692307692308</v>
      </c>
      <c r="J132" s="181">
        <f t="shared" si="14"/>
        <v>0.65204244031830239</v>
      </c>
      <c r="K132" s="181">
        <f t="shared" si="14"/>
        <v>0.73962068965517236</v>
      </c>
      <c r="L132" s="181">
        <f t="shared" si="14"/>
        <v>0.83707161803713526</v>
      </c>
      <c r="M132" s="181" t="str">
        <f t="shared" si="14"/>
        <v/>
      </c>
      <c r="N132" s="181" t="str">
        <f t="shared" si="14"/>
        <v/>
      </c>
      <c r="O132" s="182"/>
      <c r="P132" s="147"/>
      <c r="Q132" s="179" t="s">
        <v>941</v>
      </c>
      <c r="R132" s="180" t="e">
        <f>IF(R129="","",R129/$B$7)</f>
        <v>#DIV/0!</v>
      </c>
      <c r="S132" s="181">
        <f>IF(S129="","",S129/$B$9)</f>
        <v>6.8746933523416306E-2</v>
      </c>
      <c r="T132" s="181">
        <f>IF(T129="","",T129/$B$9)</f>
        <v>0.12495255640002592</v>
      </c>
      <c r="U132" s="181">
        <f t="shared" ref="U132:AD132" si="15">IF(U129="","",U129/$B$9)</f>
        <v>0.17444664562176573</v>
      </c>
      <c r="V132" s="181">
        <f t="shared" si="15"/>
        <v>0.25242078075965302</v>
      </c>
      <c r="W132" s="181">
        <f t="shared" si="15"/>
        <v>0.32591901724632716</v>
      </c>
      <c r="X132" s="181">
        <f t="shared" si="15"/>
        <v>0.3984591244457199</v>
      </c>
      <c r="Y132" s="181">
        <f t="shared" si="15"/>
        <v>0.46432241281949216</v>
      </c>
      <c r="Z132" s="181">
        <f t="shared" si="15"/>
        <v>0.5341686492691371</v>
      </c>
      <c r="AA132" s="181">
        <f t="shared" si="15"/>
        <v>0.60913648019403277</v>
      </c>
      <c r="AB132" s="181">
        <f t="shared" si="15"/>
        <v>0.68380113494348427</v>
      </c>
      <c r="AC132" s="181" t="str">
        <f t="shared" si="15"/>
        <v/>
      </c>
      <c r="AD132" s="181" t="str">
        <f t="shared" si="15"/>
        <v/>
      </c>
      <c r="AE132" s="142"/>
    </row>
    <row r="133" spans="1:31" ht="13" thickBot="1" x14ac:dyDescent="0.3">
      <c r="A133" s="183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5"/>
      <c r="Q133" s="183"/>
      <c r="R133" s="184"/>
      <c r="S133" s="184"/>
      <c r="T133" s="184"/>
      <c r="U133" s="184"/>
      <c r="V133" s="184"/>
      <c r="W133" s="184"/>
      <c r="X133" s="184"/>
      <c r="Y133" s="184"/>
      <c r="Z133" s="184"/>
      <c r="AA133" s="184"/>
      <c r="AB133" s="184"/>
      <c r="AC133" s="184"/>
      <c r="AD133" s="184"/>
      <c r="AE133" s="185"/>
    </row>
    <row r="135" spans="1:31" ht="13" thickBot="1" x14ac:dyDescent="0.3"/>
    <row r="136" spans="1:31" ht="21.5" x14ac:dyDescent="0.6">
      <c r="A136" s="154" t="s">
        <v>922</v>
      </c>
      <c r="B136" s="155">
        <v>2024</v>
      </c>
      <c r="C136" s="156"/>
      <c r="D136" s="157" t="s">
        <v>923</v>
      </c>
      <c r="E136" s="156"/>
      <c r="F136" s="156"/>
      <c r="G136" s="334" t="s">
        <v>14</v>
      </c>
      <c r="H136" s="335"/>
      <c r="I136" s="336"/>
      <c r="J136" s="156"/>
      <c r="K136" s="156"/>
      <c r="L136" s="156"/>
      <c r="M136" s="156"/>
      <c r="N136" s="156"/>
      <c r="O136" s="158"/>
      <c r="Q136" s="154" t="s">
        <v>922</v>
      </c>
      <c r="R136" s="155">
        <v>2024</v>
      </c>
      <c r="S136" s="156"/>
      <c r="T136" s="157" t="s">
        <v>923</v>
      </c>
      <c r="U136" s="156"/>
      <c r="V136" s="156"/>
      <c r="W136" s="334" t="s">
        <v>945</v>
      </c>
      <c r="X136" s="335"/>
      <c r="Y136" s="336"/>
      <c r="Z136" s="156"/>
      <c r="AA136" s="156"/>
      <c r="AB136" s="156"/>
      <c r="AC136" s="156"/>
      <c r="AD136" s="156"/>
      <c r="AE136" s="158"/>
    </row>
    <row r="137" spans="1:31" ht="18" x14ac:dyDescent="0.4">
      <c r="A137" s="159" t="s">
        <v>924</v>
      </c>
      <c r="B137" s="160">
        <f>R9</f>
        <v>377000</v>
      </c>
      <c r="O137" s="142"/>
      <c r="Q137" s="159" t="s">
        <v>924</v>
      </c>
      <c r="R137" s="160">
        <f>R9</f>
        <v>377000</v>
      </c>
      <c r="AE137" s="142"/>
    </row>
    <row r="138" spans="1:31" ht="18" x14ac:dyDescent="0.4">
      <c r="A138" s="161"/>
      <c r="O138" s="162">
        <v>1</v>
      </c>
      <c r="Q138" s="161"/>
      <c r="AE138" s="142"/>
    </row>
    <row r="139" spans="1:31" ht="18" x14ac:dyDescent="0.4">
      <c r="A139" s="161"/>
      <c r="O139" s="163"/>
      <c r="Q139" s="161"/>
      <c r="AE139" s="162">
        <v>1</v>
      </c>
    </row>
    <row r="140" spans="1:31" ht="18" x14ac:dyDescent="0.4">
      <c r="A140" s="161"/>
      <c r="O140" s="164">
        <f>N163</f>
        <v>0.95</v>
      </c>
      <c r="Q140" s="161"/>
      <c r="AE140" s="163"/>
    </row>
    <row r="141" spans="1:31" ht="18" x14ac:dyDescent="0.4">
      <c r="A141" s="161"/>
      <c r="O141" s="142"/>
      <c r="Q141" s="161"/>
      <c r="AE141" s="164">
        <f>AD163</f>
        <v>0.95</v>
      </c>
    </row>
    <row r="142" spans="1:31" x14ac:dyDescent="0.25">
      <c r="A142" s="161"/>
      <c r="O142" s="142"/>
      <c r="Q142" s="161"/>
      <c r="AE142" s="142"/>
    </row>
    <row r="143" spans="1:31" x14ac:dyDescent="0.25">
      <c r="A143" s="161"/>
      <c r="O143" s="142"/>
      <c r="Q143" s="161"/>
      <c r="AE143" s="142"/>
    </row>
    <row r="144" spans="1:31" x14ac:dyDescent="0.25">
      <c r="A144" s="161"/>
      <c r="O144" s="142"/>
      <c r="Q144" s="161"/>
      <c r="AE144" s="142"/>
    </row>
    <row r="145" spans="1:31" x14ac:dyDescent="0.25">
      <c r="A145" s="161"/>
      <c r="O145" s="142"/>
      <c r="Q145" s="161"/>
      <c r="AE145" s="142"/>
    </row>
    <row r="146" spans="1:31" x14ac:dyDescent="0.25">
      <c r="A146" s="161"/>
      <c r="O146" s="142"/>
      <c r="Q146" s="161"/>
      <c r="AE146" s="142"/>
    </row>
    <row r="147" spans="1:31" x14ac:dyDescent="0.25">
      <c r="A147" s="161"/>
      <c r="O147" s="142"/>
      <c r="Q147" s="161"/>
      <c r="AE147" s="142"/>
    </row>
    <row r="148" spans="1:31" x14ac:dyDescent="0.25">
      <c r="A148" s="161"/>
      <c r="O148" s="142"/>
      <c r="Q148" s="161"/>
      <c r="AE148" s="142"/>
    </row>
    <row r="149" spans="1:31" x14ac:dyDescent="0.25">
      <c r="A149" s="161"/>
      <c r="O149" s="142"/>
      <c r="Q149" s="161"/>
      <c r="AE149" s="142"/>
    </row>
    <row r="150" spans="1:31" x14ac:dyDescent="0.25">
      <c r="A150" s="161"/>
      <c r="O150" s="142"/>
      <c r="Q150" s="161"/>
      <c r="AE150" s="142"/>
    </row>
    <row r="151" spans="1:31" x14ac:dyDescent="0.25">
      <c r="A151" s="161"/>
      <c r="O151" s="142"/>
      <c r="Q151" s="161"/>
      <c r="AE151" s="142"/>
    </row>
    <row r="152" spans="1:31" x14ac:dyDescent="0.25">
      <c r="A152" s="161"/>
      <c r="O152" s="142"/>
      <c r="Q152" s="161"/>
      <c r="AE152" s="142"/>
    </row>
    <row r="153" spans="1:31" x14ac:dyDescent="0.25">
      <c r="A153" s="161"/>
      <c r="O153" s="142"/>
      <c r="Q153" s="161"/>
      <c r="AE153" s="142"/>
    </row>
    <row r="154" spans="1:31" x14ac:dyDescent="0.25">
      <c r="A154" s="161"/>
      <c r="O154" s="142"/>
      <c r="Q154" s="161"/>
      <c r="AE154" s="142"/>
    </row>
    <row r="155" spans="1:31" x14ac:dyDescent="0.25">
      <c r="A155" s="161"/>
      <c r="O155" s="142"/>
      <c r="Q155" s="161"/>
      <c r="AE155" s="142"/>
    </row>
    <row r="156" spans="1:31" x14ac:dyDescent="0.25">
      <c r="A156" s="161"/>
      <c r="O156" s="142"/>
      <c r="Q156" s="161"/>
      <c r="AE156" s="142"/>
    </row>
    <row r="157" spans="1:31" x14ac:dyDescent="0.25">
      <c r="A157" s="161"/>
      <c r="O157" s="142"/>
      <c r="Q157" s="161"/>
      <c r="AE157" s="142"/>
    </row>
    <row r="158" spans="1:31" x14ac:dyDescent="0.25">
      <c r="A158" s="161"/>
      <c r="B158" s="166"/>
      <c r="C158" s="167"/>
      <c r="D158" s="167"/>
      <c r="E158" s="167"/>
      <c r="F158" s="167"/>
      <c r="G158" s="167"/>
      <c r="H158" s="167"/>
      <c r="I158" s="167"/>
      <c r="J158" s="167"/>
      <c r="K158" s="167"/>
      <c r="L158" s="167"/>
      <c r="M158" s="167"/>
      <c r="N158" s="168"/>
      <c r="O158" s="169"/>
      <c r="Q158" s="161"/>
      <c r="R158" s="166"/>
      <c r="S158" s="167"/>
      <c r="T158" s="167"/>
      <c r="U158" s="167"/>
      <c r="V158" s="167"/>
      <c r="W158" s="167"/>
      <c r="X158" s="167"/>
      <c r="Y158" s="167"/>
      <c r="Z158" s="167"/>
      <c r="AA158" s="167"/>
      <c r="AB158" s="167"/>
      <c r="AC158" s="167"/>
      <c r="AD158" s="168"/>
      <c r="AE158" s="142"/>
    </row>
    <row r="159" spans="1:31" x14ac:dyDescent="0.25">
      <c r="A159" s="170"/>
      <c r="B159" s="171"/>
      <c r="C159" s="171" t="s">
        <v>925</v>
      </c>
      <c r="D159" s="171" t="s">
        <v>926</v>
      </c>
      <c r="E159" s="171" t="s">
        <v>927</v>
      </c>
      <c r="F159" s="171" t="s">
        <v>928</v>
      </c>
      <c r="G159" s="171" t="s">
        <v>929</v>
      </c>
      <c r="H159" s="171" t="s">
        <v>930</v>
      </c>
      <c r="I159" s="171" t="s">
        <v>931</v>
      </c>
      <c r="J159" s="171" t="s">
        <v>932</v>
      </c>
      <c r="K159" s="171" t="s">
        <v>933</v>
      </c>
      <c r="L159" s="171" t="s">
        <v>934</v>
      </c>
      <c r="M159" s="171" t="s">
        <v>935</v>
      </c>
      <c r="N159" s="171" t="s">
        <v>936</v>
      </c>
      <c r="O159" s="142"/>
      <c r="Q159" s="170"/>
      <c r="R159" s="171"/>
      <c r="S159" s="171" t="s">
        <v>925</v>
      </c>
      <c r="T159" s="171" t="s">
        <v>926</v>
      </c>
      <c r="U159" s="171" t="s">
        <v>927</v>
      </c>
      <c r="V159" s="171" t="s">
        <v>928</v>
      </c>
      <c r="W159" s="171" t="s">
        <v>929</v>
      </c>
      <c r="X159" s="171" t="s">
        <v>930</v>
      </c>
      <c r="Y159" s="171" t="s">
        <v>931</v>
      </c>
      <c r="Z159" s="171" t="s">
        <v>932</v>
      </c>
      <c r="AA159" s="171" t="s">
        <v>933</v>
      </c>
      <c r="AB159" s="171" t="s">
        <v>934</v>
      </c>
      <c r="AC159" s="171" t="s">
        <v>935</v>
      </c>
      <c r="AD159" s="171" t="s">
        <v>936</v>
      </c>
      <c r="AE159" s="142"/>
    </row>
    <row r="160" spans="1:31" x14ac:dyDescent="0.25">
      <c r="A160" s="172" t="s">
        <v>937</v>
      </c>
      <c r="B160" s="173">
        <v>0</v>
      </c>
      <c r="C160" s="174">
        <v>21312</v>
      </c>
      <c r="D160" s="174">
        <v>19441</v>
      </c>
      <c r="E160" s="174">
        <v>18866</v>
      </c>
      <c r="F160" s="174">
        <v>25150</v>
      </c>
      <c r="G160" s="174">
        <v>25522</v>
      </c>
      <c r="H160" s="174">
        <v>27150</v>
      </c>
      <c r="I160" s="174">
        <v>23399</v>
      </c>
      <c r="J160" s="174">
        <v>25820</v>
      </c>
      <c r="K160" s="174">
        <v>26880</v>
      </c>
      <c r="L160" s="174">
        <v>29861</v>
      </c>
      <c r="M160" s="174" t="s">
        <v>2</v>
      </c>
      <c r="N160" s="174" t="s">
        <v>2</v>
      </c>
      <c r="O160" s="142"/>
      <c r="Q160" s="172" t="s">
        <v>937</v>
      </c>
      <c r="R160" s="173">
        <v>0</v>
      </c>
      <c r="S160" s="174">
        <v>11974</v>
      </c>
      <c r="T160" s="174">
        <v>11858</v>
      </c>
      <c r="U160" s="174">
        <v>12976</v>
      </c>
      <c r="V160" s="174">
        <v>13496</v>
      </c>
      <c r="W160" s="174">
        <v>14631</v>
      </c>
      <c r="X160" s="174">
        <v>16374</v>
      </c>
      <c r="Y160" s="174">
        <v>13593</v>
      </c>
      <c r="Z160" s="174">
        <v>15344</v>
      </c>
      <c r="AA160" s="174">
        <v>16078</v>
      </c>
      <c r="AB160" s="174">
        <v>27288</v>
      </c>
      <c r="AC160" s="174" t="s">
        <v>2</v>
      </c>
      <c r="AD160" s="174" t="s">
        <v>2</v>
      </c>
      <c r="AE160" s="142"/>
    </row>
    <row r="161" spans="1:31" x14ac:dyDescent="0.25">
      <c r="A161" s="175" t="s">
        <v>938</v>
      </c>
      <c r="B161" s="176">
        <f>IF(B160="","",B160)</f>
        <v>0</v>
      </c>
      <c r="C161" s="177">
        <f>IF(C160="","",C160)</f>
        <v>21312</v>
      </c>
      <c r="D161" s="177">
        <f t="shared" ref="D161:N161" si="16">IF(D160="","",D160+C161)</f>
        <v>40753</v>
      </c>
      <c r="E161" s="177">
        <f t="shared" si="16"/>
        <v>59619</v>
      </c>
      <c r="F161" s="177">
        <f t="shared" si="16"/>
        <v>84769</v>
      </c>
      <c r="G161" s="177">
        <f t="shared" si="16"/>
        <v>110291</v>
      </c>
      <c r="H161" s="177">
        <f t="shared" si="16"/>
        <v>137441</v>
      </c>
      <c r="I161" s="177">
        <f t="shared" si="16"/>
        <v>160840</v>
      </c>
      <c r="J161" s="177">
        <f t="shared" si="16"/>
        <v>186660</v>
      </c>
      <c r="K161" s="177">
        <f t="shared" si="16"/>
        <v>213540</v>
      </c>
      <c r="L161" s="177">
        <f t="shared" si="16"/>
        <v>243401</v>
      </c>
      <c r="M161" s="177" t="str">
        <f t="shared" si="16"/>
        <v/>
      </c>
      <c r="N161" s="177" t="str">
        <f t="shared" si="16"/>
        <v/>
      </c>
      <c r="O161" s="178"/>
      <c r="P161" s="103"/>
      <c r="Q161" s="175" t="s">
        <v>938</v>
      </c>
      <c r="R161" s="176">
        <f>IF(R160="","",R160)</f>
        <v>0</v>
      </c>
      <c r="S161" s="177">
        <f>IF(S160="","",S160)</f>
        <v>11974</v>
      </c>
      <c r="T161" s="177">
        <f t="shared" ref="T161:AD161" si="17">IF(T160="","",T160+S161)</f>
        <v>23832</v>
      </c>
      <c r="U161" s="177">
        <f t="shared" si="17"/>
        <v>36808</v>
      </c>
      <c r="V161" s="177">
        <f t="shared" si="17"/>
        <v>50304</v>
      </c>
      <c r="W161" s="177">
        <f t="shared" si="17"/>
        <v>64935</v>
      </c>
      <c r="X161" s="177">
        <f t="shared" si="17"/>
        <v>81309</v>
      </c>
      <c r="Y161" s="177">
        <f t="shared" si="17"/>
        <v>94902</v>
      </c>
      <c r="Z161" s="177">
        <f t="shared" si="17"/>
        <v>110246</v>
      </c>
      <c r="AA161" s="177">
        <f t="shared" si="17"/>
        <v>126324</v>
      </c>
      <c r="AB161" s="177">
        <f t="shared" si="17"/>
        <v>153612</v>
      </c>
      <c r="AC161" s="177" t="str">
        <f t="shared" si="17"/>
        <v/>
      </c>
      <c r="AD161" s="177" t="str">
        <f t="shared" si="17"/>
        <v/>
      </c>
      <c r="AE161" s="142"/>
    </row>
    <row r="162" spans="1:31" x14ac:dyDescent="0.25">
      <c r="A162" s="179" t="s">
        <v>939</v>
      </c>
      <c r="B162" s="180">
        <v>0</v>
      </c>
      <c r="C162" s="181">
        <v>8.3299999999999999E-2</v>
      </c>
      <c r="D162" s="181">
        <v>0.16669999999999999</v>
      </c>
      <c r="E162" s="181">
        <v>0.25009999999999999</v>
      </c>
      <c r="F162" s="181">
        <v>0.33350000000000002</v>
      </c>
      <c r="G162" s="181">
        <v>0.41689999999999999</v>
      </c>
      <c r="H162" s="181">
        <v>0.50029999999999997</v>
      </c>
      <c r="I162" s="181">
        <v>0.5837</v>
      </c>
      <c r="J162" s="181">
        <v>0.66710000000000003</v>
      </c>
      <c r="K162" s="181">
        <v>0.75049999999999994</v>
      </c>
      <c r="L162" s="181">
        <v>0.83389999999999997</v>
      </c>
      <c r="M162" s="181">
        <v>0.9173</v>
      </c>
      <c r="N162" s="181">
        <v>1.0006999999999999</v>
      </c>
      <c r="O162" s="182"/>
      <c r="P162" s="165"/>
      <c r="Q162" s="179" t="s">
        <v>939</v>
      </c>
      <c r="R162" s="180">
        <v>0</v>
      </c>
      <c r="S162" s="181">
        <v>8.3299999999999999E-2</v>
      </c>
      <c r="T162" s="181">
        <v>0.16669999999999999</v>
      </c>
      <c r="U162" s="181">
        <v>0.25009999999999999</v>
      </c>
      <c r="V162" s="181">
        <v>0.33350000000000002</v>
      </c>
      <c r="W162" s="181">
        <v>0.41689999999999999</v>
      </c>
      <c r="X162" s="181">
        <v>0.50029999999999997</v>
      </c>
      <c r="Y162" s="181">
        <v>0.5837</v>
      </c>
      <c r="Z162" s="181">
        <v>0.66710000000000003</v>
      </c>
      <c r="AA162" s="181">
        <v>0.75049999999999994</v>
      </c>
      <c r="AB162" s="181">
        <v>0.83389999999999997</v>
      </c>
      <c r="AC162" s="181">
        <v>0.9173</v>
      </c>
      <c r="AD162" s="181">
        <v>1.0006999999999999</v>
      </c>
      <c r="AE162" s="142"/>
    </row>
    <row r="163" spans="1:31" x14ac:dyDescent="0.25">
      <c r="A163" s="179" t="s">
        <v>940</v>
      </c>
      <c r="B163" s="180">
        <v>0</v>
      </c>
      <c r="C163" s="181">
        <f>IF($N$163="","",$N$163/12)</f>
        <v>7.9166666666666663E-2</v>
      </c>
      <c r="D163" s="181">
        <f>IF($N$163="","",$N$163*2/12)</f>
        <v>0.15833333333333333</v>
      </c>
      <c r="E163" s="181">
        <f>IF($N$163="","",$N$163*3/12)</f>
        <v>0.23749999999999996</v>
      </c>
      <c r="F163" s="181">
        <f>IF($N$163="","",$N$163*4/12)</f>
        <v>0.31666666666666665</v>
      </c>
      <c r="G163" s="181">
        <f>IF($N$163="","",$N$163*5/12)</f>
        <v>0.39583333333333331</v>
      </c>
      <c r="H163" s="181">
        <f>IF($N$163="","",$N$163*6/12)</f>
        <v>0.47499999999999992</v>
      </c>
      <c r="I163" s="181">
        <f>IF($N$163="","",$N$163*7/12)</f>
        <v>0.55416666666666659</v>
      </c>
      <c r="J163" s="181">
        <f>IF($N$163="","",$N$163*8/12)</f>
        <v>0.6333333333333333</v>
      </c>
      <c r="K163" s="181">
        <f>IF($N$163="","",$N$163*9/12)</f>
        <v>0.71249999999999991</v>
      </c>
      <c r="L163" s="181">
        <f>IF($N$163="","",$N$163*10/12)</f>
        <v>0.79166666666666663</v>
      </c>
      <c r="M163" s="181">
        <f>IF($N$163="","",$N$163*11/12)</f>
        <v>0.87083333333333324</v>
      </c>
      <c r="N163" s="181">
        <v>0.95</v>
      </c>
      <c r="O163" s="182"/>
      <c r="P163" s="147"/>
      <c r="Q163" s="179" t="s">
        <v>940</v>
      </c>
      <c r="R163" s="180">
        <v>0</v>
      </c>
      <c r="S163" s="181">
        <f>IF($AD$163="","",$AD$163/12)</f>
        <v>7.9166666666666663E-2</v>
      </c>
      <c r="T163" s="181">
        <f>IF($AD$163="","",$AD$163*2/12)</f>
        <v>0.15833333333333333</v>
      </c>
      <c r="U163" s="181">
        <f>IF($AD$163="","",$AD$163*3/12)</f>
        <v>0.23749999999999996</v>
      </c>
      <c r="V163" s="181">
        <f>IF($AD$163="","",$AD$163*4/12)</f>
        <v>0.31666666666666665</v>
      </c>
      <c r="W163" s="181">
        <f>IF($AD$163="","",$AD$163*5/12)</f>
        <v>0.39583333333333331</v>
      </c>
      <c r="X163" s="181">
        <f>IF($AD$163="","",$AD$163*6/12)</f>
        <v>0.47499999999999992</v>
      </c>
      <c r="Y163" s="181">
        <f>IF($AD$163="","",$AD$163*7/12)</f>
        <v>0.55416666666666659</v>
      </c>
      <c r="Z163" s="181">
        <f>IF($AD$163="","",$AD$163*8/12)</f>
        <v>0.6333333333333333</v>
      </c>
      <c r="AA163" s="181">
        <f>IF($AD$163="","",$AD$163*9/12)</f>
        <v>0.71249999999999991</v>
      </c>
      <c r="AB163" s="181">
        <f>IF($AD$163="","",$AD$163*10/12)</f>
        <v>0.79166666666666663</v>
      </c>
      <c r="AC163" s="181">
        <f>IF($AD$163="","",$AD$163*11/12)</f>
        <v>0.87083333333333324</v>
      </c>
      <c r="AD163" s="181">
        <v>0.95</v>
      </c>
      <c r="AE163" s="142"/>
    </row>
    <row r="164" spans="1:31" x14ac:dyDescent="0.25">
      <c r="A164" s="179" t="s">
        <v>941</v>
      </c>
      <c r="B164" s="180" t="e">
        <f>IF(B161="","",B161/$B$7)</f>
        <v>#DIV/0!</v>
      </c>
      <c r="C164" s="181">
        <f>IF(C161="","",C161/$R$9)</f>
        <v>5.6530503978779838E-2</v>
      </c>
      <c r="D164" s="181">
        <f t="shared" ref="D164:N164" si="18">IF(D161="","",D161/$R$9)</f>
        <v>0.10809814323607427</v>
      </c>
      <c r="E164" s="181">
        <f t="shared" si="18"/>
        <v>0.15814058355437666</v>
      </c>
      <c r="F164" s="181">
        <f t="shared" si="18"/>
        <v>0.22485145888594166</v>
      </c>
      <c r="G164" s="181">
        <f t="shared" si="18"/>
        <v>0.29254907161803712</v>
      </c>
      <c r="H164" s="181">
        <f t="shared" si="18"/>
        <v>0.36456498673740051</v>
      </c>
      <c r="I164" s="181">
        <f t="shared" si="18"/>
        <v>0.426631299734748</v>
      </c>
      <c r="J164" s="181">
        <f t="shared" si="18"/>
        <v>0.49511936339522544</v>
      </c>
      <c r="K164" s="181">
        <f t="shared" si="18"/>
        <v>0.5664190981432361</v>
      </c>
      <c r="L164" s="181">
        <f t="shared" si="18"/>
        <v>0.64562599469496018</v>
      </c>
      <c r="M164" s="181" t="str">
        <f t="shared" si="18"/>
        <v/>
      </c>
      <c r="N164" s="181" t="str">
        <f t="shared" si="18"/>
        <v/>
      </c>
      <c r="O164" s="182"/>
      <c r="P164" s="147"/>
      <c r="Q164" s="179" t="s">
        <v>941</v>
      </c>
      <c r="R164" s="180" t="e">
        <f>IF(R161="","",R161/$B$7)</f>
        <v>#DIV/0!</v>
      </c>
      <c r="S164" s="181">
        <f>IF(S161="","",S161/$R$9)</f>
        <v>3.1761273209549072E-2</v>
      </c>
      <c r="T164" s="181">
        <f t="shared" ref="T164:AD164" si="19">IF(T161="","",T161/$R$9)</f>
        <v>6.321485411140583E-2</v>
      </c>
      <c r="U164" s="181">
        <f t="shared" si="19"/>
        <v>9.7633952254641915E-2</v>
      </c>
      <c r="V164" s="181">
        <f t="shared" si="19"/>
        <v>0.13343236074270556</v>
      </c>
      <c r="W164" s="181">
        <f t="shared" si="19"/>
        <v>0.17224137931034483</v>
      </c>
      <c r="X164" s="181">
        <f t="shared" si="19"/>
        <v>0.2156737400530504</v>
      </c>
      <c r="Y164" s="181">
        <f t="shared" si="19"/>
        <v>0.25172944297082228</v>
      </c>
      <c r="Z164" s="181">
        <f t="shared" si="19"/>
        <v>0.29242970822281167</v>
      </c>
      <c r="AA164" s="181">
        <f t="shared" si="19"/>
        <v>0.33507692307692305</v>
      </c>
      <c r="AB164" s="181">
        <f t="shared" si="19"/>
        <v>0.40745888594164459</v>
      </c>
      <c r="AC164" s="181" t="str">
        <f t="shared" si="19"/>
        <v/>
      </c>
      <c r="AD164" s="181" t="str">
        <f t="shared" si="19"/>
        <v/>
      </c>
      <c r="AE164" s="142"/>
    </row>
    <row r="165" spans="1:31" ht="13" thickBot="1" x14ac:dyDescent="0.3">
      <c r="A165" s="183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5"/>
      <c r="Q165" s="183"/>
      <c r="R165" s="184"/>
      <c r="S165" s="184"/>
      <c r="T165" s="184"/>
      <c r="U165" s="184"/>
      <c r="V165" s="184"/>
      <c r="W165" s="184"/>
      <c r="X165" s="184"/>
      <c r="Y165" s="184"/>
      <c r="Z165" s="184"/>
      <c r="AA165" s="184"/>
      <c r="AB165" s="184"/>
      <c r="AC165" s="184"/>
      <c r="AD165" s="184"/>
      <c r="AE165" s="185"/>
    </row>
    <row r="167" spans="1:31" ht="13" thickBot="1" x14ac:dyDescent="0.3"/>
    <row r="168" spans="1:31" ht="21.5" x14ac:dyDescent="0.6">
      <c r="A168" s="154" t="s">
        <v>922</v>
      </c>
      <c r="B168" s="155">
        <v>2024</v>
      </c>
      <c r="C168" s="156"/>
      <c r="D168" s="157" t="s">
        <v>923</v>
      </c>
      <c r="E168" s="156"/>
      <c r="F168" s="156"/>
      <c r="G168" s="334" t="s">
        <v>723</v>
      </c>
      <c r="H168" s="335"/>
      <c r="I168" s="336"/>
      <c r="J168" s="156"/>
      <c r="K168" s="156"/>
      <c r="L168" s="156"/>
      <c r="M168" s="156"/>
      <c r="N168" s="156"/>
      <c r="O168" s="158"/>
    </row>
    <row r="169" spans="1:31" ht="18" x14ac:dyDescent="0.4">
      <c r="A169" s="159" t="s">
        <v>924</v>
      </c>
      <c r="B169" s="160">
        <f>B9</f>
        <v>432092</v>
      </c>
      <c r="O169" s="142"/>
    </row>
    <row r="170" spans="1:31" ht="18" x14ac:dyDescent="0.4">
      <c r="A170" s="161"/>
      <c r="O170" s="162">
        <v>1</v>
      </c>
    </row>
    <row r="171" spans="1:31" x14ac:dyDescent="0.25">
      <c r="A171" s="161"/>
      <c r="O171" s="163"/>
    </row>
    <row r="172" spans="1:31" ht="18" x14ac:dyDescent="0.4">
      <c r="A172" s="161"/>
      <c r="O172" s="164">
        <f>N195</f>
        <v>0.9</v>
      </c>
    </row>
    <row r="173" spans="1:31" x14ac:dyDescent="0.25">
      <c r="A173" s="161"/>
      <c r="O173" s="142"/>
    </row>
    <row r="174" spans="1:31" x14ac:dyDescent="0.25">
      <c r="A174" s="161"/>
      <c r="O174" s="142"/>
    </row>
    <row r="175" spans="1:31" x14ac:dyDescent="0.25">
      <c r="A175" s="161"/>
      <c r="O175" s="142"/>
    </row>
    <row r="176" spans="1:31" x14ac:dyDescent="0.25">
      <c r="A176" s="161"/>
      <c r="O176" s="142"/>
    </row>
    <row r="177" spans="1:15" x14ac:dyDescent="0.25">
      <c r="A177" s="161"/>
      <c r="O177" s="142"/>
    </row>
    <row r="178" spans="1:15" x14ac:dyDescent="0.25">
      <c r="A178" s="161"/>
      <c r="O178" s="142"/>
    </row>
    <row r="179" spans="1:15" x14ac:dyDescent="0.25">
      <c r="A179" s="161"/>
      <c r="O179" s="142"/>
    </row>
    <row r="180" spans="1:15" x14ac:dyDescent="0.25">
      <c r="A180" s="161"/>
      <c r="O180" s="142"/>
    </row>
    <row r="181" spans="1:15" x14ac:dyDescent="0.25">
      <c r="A181" s="161"/>
      <c r="O181" s="142"/>
    </row>
    <row r="182" spans="1:15" x14ac:dyDescent="0.25">
      <c r="A182" s="161"/>
      <c r="O182" s="142"/>
    </row>
    <row r="183" spans="1:15" x14ac:dyDescent="0.25">
      <c r="A183" s="161"/>
      <c r="O183" s="142"/>
    </row>
    <row r="184" spans="1:15" x14ac:dyDescent="0.25">
      <c r="A184" s="161"/>
      <c r="O184" s="142"/>
    </row>
    <row r="185" spans="1:15" x14ac:dyDescent="0.25">
      <c r="A185" s="161"/>
      <c r="O185" s="142"/>
    </row>
    <row r="186" spans="1:15" x14ac:dyDescent="0.25">
      <c r="A186" s="161"/>
      <c r="O186" s="142"/>
    </row>
    <row r="187" spans="1:15" x14ac:dyDescent="0.25">
      <c r="A187" s="161"/>
      <c r="O187" s="142"/>
    </row>
    <row r="188" spans="1:15" x14ac:dyDescent="0.25">
      <c r="A188" s="161"/>
      <c r="O188" s="142"/>
    </row>
    <row r="189" spans="1:15" x14ac:dyDescent="0.25">
      <c r="A189" s="161"/>
      <c r="O189" s="142"/>
    </row>
    <row r="190" spans="1:15" x14ac:dyDescent="0.25">
      <c r="A190" s="161"/>
      <c r="B190" s="166"/>
      <c r="C190" s="167"/>
      <c r="D190" s="167"/>
      <c r="E190" s="167"/>
      <c r="F190" s="167"/>
      <c r="G190" s="167"/>
      <c r="H190" s="167"/>
      <c r="I190" s="167"/>
      <c r="J190" s="167"/>
      <c r="K190" s="167"/>
      <c r="L190" s="167"/>
      <c r="M190" s="167"/>
      <c r="N190" s="168"/>
      <c r="O190" s="169"/>
    </row>
    <row r="191" spans="1:15" x14ac:dyDescent="0.25">
      <c r="A191" s="170"/>
      <c r="B191" s="171"/>
      <c r="C191" s="171" t="s">
        <v>925</v>
      </c>
      <c r="D191" s="171" t="s">
        <v>926</v>
      </c>
      <c r="E191" s="171" t="s">
        <v>927</v>
      </c>
      <c r="F191" s="171" t="s">
        <v>928</v>
      </c>
      <c r="G191" s="171" t="s">
        <v>929</v>
      </c>
      <c r="H191" s="171" t="s">
        <v>930</v>
      </c>
      <c r="I191" s="171" t="s">
        <v>931</v>
      </c>
      <c r="J191" s="171" t="s">
        <v>932</v>
      </c>
      <c r="K191" s="171" t="s">
        <v>933</v>
      </c>
      <c r="L191" s="171" t="s">
        <v>934</v>
      </c>
      <c r="M191" s="171" t="s">
        <v>935</v>
      </c>
      <c r="N191" s="171" t="s">
        <v>936</v>
      </c>
      <c r="O191" s="142"/>
    </row>
    <row r="192" spans="1:15" x14ac:dyDescent="0.25">
      <c r="A192" s="172" t="s">
        <v>937</v>
      </c>
      <c r="B192" s="173">
        <v>0</v>
      </c>
      <c r="C192" s="174">
        <v>31316</v>
      </c>
      <c r="D192" s="174">
        <v>28583</v>
      </c>
      <c r="E192" s="174">
        <v>28380</v>
      </c>
      <c r="F192" s="174">
        <v>29407</v>
      </c>
      <c r="G192" s="174">
        <v>29995</v>
      </c>
      <c r="H192" s="174">
        <v>29314</v>
      </c>
      <c r="I192" s="174">
        <v>31021</v>
      </c>
      <c r="J192" s="174">
        <v>31983</v>
      </c>
      <c r="K192" s="174">
        <v>31332</v>
      </c>
      <c r="L192" s="174">
        <v>33903</v>
      </c>
      <c r="M192" s="174" t="s">
        <v>2</v>
      </c>
      <c r="N192" s="174" t="s">
        <v>2</v>
      </c>
      <c r="O192" s="142"/>
    </row>
    <row r="193" spans="1:16" x14ac:dyDescent="0.25">
      <c r="A193" s="175" t="s">
        <v>938</v>
      </c>
      <c r="B193" s="176">
        <f>IF(B192="","",B192)</f>
        <v>0</v>
      </c>
      <c r="C193" s="177">
        <f>IF(C192="","",C192)</f>
        <v>31316</v>
      </c>
      <c r="D193" s="177">
        <f t="shared" ref="D193:N193" si="20">IF(D192="","",D192+C193)</f>
        <v>59899</v>
      </c>
      <c r="E193" s="177">
        <f t="shared" si="20"/>
        <v>88279</v>
      </c>
      <c r="F193" s="177">
        <f t="shared" si="20"/>
        <v>117686</v>
      </c>
      <c r="G193" s="177">
        <f t="shared" si="20"/>
        <v>147681</v>
      </c>
      <c r="H193" s="177">
        <f t="shared" si="20"/>
        <v>176995</v>
      </c>
      <c r="I193" s="177">
        <f t="shared" si="20"/>
        <v>208016</v>
      </c>
      <c r="J193" s="177">
        <f t="shared" si="20"/>
        <v>239999</v>
      </c>
      <c r="K193" s="177">
        <f t="shared" si="20"/>
        <v>271331</v>
      </c>
      <c r="L193" s="177">
        <f t="shared" si="20"/>
        <v>305234</v>
      </c>
      <c r="M193" s="177" t="str">
        <f t="shared" si="20"/>
        <v/>
      </c>
      <c r="N193" s="177" t="str">
        <f t="shared" si="20"/>
        <v/>
      </c>
      <c r="O193" s="178"/>
      <c r="P193" s="103"/>
    </row>
    <row r="194" spans="1:16" x14ac:dyDescent="0.25">
      <c r="A194" s="179" t="s">
        <v>939</v>
      </c>
      <c r="B194" s="180">
        <v>0</v>
      </c>
      <c r="C194" s="181">
        <v>8.3299999999999999E-2</v>
      </c>
      <c r="D194" s="181">
        <v>0.16669999999999999</v>
      </c>
      <c r="E194" s="181">
        <v>0.25009999999999999</v>
      </c>
      <c r="F194" s="181">
        <v>0.33350000000000002</v>
      </c>
      <c r="G194" s="181">
        <v>0.41689999999999999</v>
      </c>
      <c r="H194" s="181">
        <v>0.50029999999999997</v>
      </c>
      <c r="I194" s="181">
        <v>0.5837</v>
      </c>
      <c r="J194" s="181">
        <v>0.66710000000000003</v>
      </c>
      <c r="K194" s="181">
        <v>0.75049999999999994</v>
      </c>
      <c r="L194" s="181">
        <v>0.83389999999999997</v>
      </c>
      <c r="M194" s="181">
        <v>0.9173</v>
      </c>
      <c r="N194" s="181">
        <v>1.0006999999999999</v>
      </c>
      <c r="O194" s="182"/>
      <c r="P194" s="165"/>
    </row>
    <row r="195" spans="1:16" x14ac:dyDescent="0.25">
      <c r="A195" s="179" t="s">
        <v>940</v>
      </c>
      <c r="B195" s="180">
        <v>0</v>
      </c>
      <c r="C195" s="181">
        <f>IF($N$195="","",$N$195/12)</f>
        <v>7.4999999999999997E-2</v>
      </c>
      <c r="D195" s="181">
        <f>IF($N$195="","",$N$195*2/12)</f>
        <v>0.15</v>
      </c>
      <c r="E195" s="181">
        <f>IF($N$195="","",$N$195*3/12)</f>
        <v>0.22500000000000001</v>
      </c>
      <c r="F195" s="181">
        <f>IF($N$195="","",$N$195*4/12)</f>
        <v>0.3</v>
      </c>
      <c r="G195" s="181">
        <f>IF($N$195="","",$N$195*5/12)</f>
        <v>0.375</v>
      </c>
      <c r="H195" s="181">
        <f>IF($N$195="","",$N$195*6/12)</f>
        <v>0.45</v>
      </c>
      <c r="I195" s="181">
        <f>IF($N$195="","",$N$195*7/12)</f>
        <v>0.52500000000000002</v>
      </c>
      <c r="J195" s="181">
        <f>IF($N$195="","",$N$195*8/12)</f>
        <v>0.6</v>
      </c>
      <c r="K195" s="181">
        <f>IF($N$195="","",$N$195*9/12)</f>
        <v>0.67499999999999993</v>
      </c>
      <c r="L195" s="181">
        <f>IF($N$195="","",$N$195*10/12)</f>
        <v>0.75</v>
      </c>
      <c r="M195" s="181">
        <f>IF($N$195="","",$N$195*11/12)</f>
        <v>0.82500000000000007</v>
      </c>
      <c r="N195" s="181">
        <v>0.9</v>
      </c>
      <c r="O195" s="182"/>
      <c r="P195" s="147"/>
    </row>
    <row r="196" spans="1:16" x14ac:dyDescent="0.25">
      <c r="A196" s="179" t="s">
        <v>941</v>
      </c>
      <c r="B196" s="180" t="e">
        <f>IF(B193="","",B193/$B$7)</f>
        <v>#DIV/0!</v>
      </c>
      <c r="C196" s="181">
        <f>IF(C193="","",C193/$B$9)</f>
        <v>7.2475306184793975E-2</v>
      </c>
      <c r="D196" s="181">
        <f t="shared" ref="D196:N196" si="21">IF(D193="","",D193/$B$9)</f>
        <v>0.13862557048036067</v>
      </c>
      <c r="E196" s="181">
        <f t="shared" si="21"/>
        <v>0.20430602742008647</v>
      </c>
      <c r="F196" s="181">
        <f t="shared" si="21"/>
        <v>0.27236329300241613</v>
      </c>
      <c r="G196" s="181">
        <f t="shared" si="21"/>
        <v>0.34178137989131946</v>
      </c>
      <c r="H196" s="181">
        <f t="shared" si="21"/>
        <v>0.4096234135323033</v>
      </c>
      <c r="I196" s="181">
        <f t="shared" si="21"/>
        <v>0.48141599474186053</v>
      </c>
      <c r="J196" s="181">
        <f t="shared" si="21"/>
        <v>0.55543495366727458</v>
      </c>
      <c r="K196" s="181">
        <f t="shared" si="21"/>
        <v>0.62794728900326779</v>
      </c>
      <c r="L196" s="181">
        <f t="shared" si="21"/>
        <v>0.70640974607259566</v>
      </c>
      <c r="M196" s="181" t="str">
        <f t="shared" si="21"/>
        <v/>
      </c>
      <c r="N196" s="181" t="str">
        <f t="shared" si="21"/>
        <v/>
      </c>
      <c r="O196" s="182"/>
      <c r="P196" s="147"/>
    </row>
    <row r="197" spans="1:16" ht="13" thickBot="1" x14ac:dyDescent="0.3">
      <c r="A197" s="183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5"/>
    </row>
  </sheetData>
  <sheetProtection password="EF87" sheet="1" selectLockedCells="1"/>
  <mergeCells count="24">
    <mergeCell ref="G8:I8"/>
    <mergeCell ref="W8:Y8"/>
    <mergeCell ref="G40:I40"/>
    <mergeCell ref="W40:Y40"/>
    <mergeCell ref="G72:I72"/>
    <mergeCell ref="W72:Y72"/>
    <mergeCell ref="G104:I104"/>
    <mergeCell ref="W104:Y104"/>
    <mergeCell ref="G136:I136"/>
    <mergeCell ref="W136:Y136"/>
    <mergeCell ref="G168:I168"/>
    <mergeCell ref="K2:L3"/>
    <mergeCell ref="K4:L5"/>
    <mergeCell ref="C2:D3"/>
    <mergeCell ref="B2:B3"/>
    <mergeCell ref="B4:B5"/>
    <mergeCell ref="C4:D5"/>
    <mergeCell ref="E2:F3"/>
    <mergeCell ref="A2:A5"/>
    <mergeCell ref="G2:H3"/>
    <mergeCell ref="I2:J3"/>
    <mergeCell ref="E4:F5"/>
    <mergeCell ref="G4:H5"/>
    <mergeCell ref="I4:J5"/>
  </mergeCells>
  <hyperlinks>
    <hyperlink ref="K2:L3" location="Courbes_Ev_CV!A188" display="TD2+"/>
    <hyperlink ref="I4:J5" location="Courbes_Ev_CV!A166" display="VAR 2"/>
    <hyperlink ref="I2:J3" location="Courbes_Ev_CV!A166" display="VPI 2"/>
    <hyperlink ref="G4:H5" location="Courbes_Ev_CV!A134" display="VAA"/>
    <hyperlink ref="G2:H3" location="Courbes_Ev_CV!A134" display="VAR 1"/>
    <hyperlink ref="E4:F5" location="Courbes_Ev_CV!A102" display="ROTA 3"/>
    <hyperlink ref="E2:F3" location="Courbes_Ev_CV!A102" display="VPI 1"/>
    <hyperlink ref="C4:D5" location="Courbes_Ev_CV!A70" display="PCV-13 3"/>
    <hyperlink ref="C2:D3" location="Courbes_Ev_CV!A70" display="PENTA3"/>
    <hyperlink ref="B4:B5" location="Courbes_Ev_CV!A8" display="VPO3"/>
    <hyperlink ref="B2:B3" location="Courbes_Ev_CV!A8" display="BCG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&amp;CCOURBE D'EVOLUTION DES COUVERTURES VACCINALES AU NORD KIVU</oddHead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R68"/>
  <sheetViews>
    <sheetView showGridLines="0" zoomScale="70" zoomScaleNormal="70" workbookViewId="0">
      <selection activeCell="T25" sqref="T25"/>
    </sheetView>
  </sheetViews>
  <sheetFormatPr baseColWidth="10" defaultColWidth="11.453125" defaultRowHeight="12.5" x14ac:dyDescent="0.25"/>
  <cols>
    <col min="1" max="1" width="14.26953125" style="143" customWidth="1"/>
    <col min="2" max="9" width="11.453125" style="143"/>
    <col min="10" max="10" width="18.7265625" style="143" bestFit="1" customWidth="1"/>
    <col min="11" max="11" width="11.453125" style="143"/>
    <col min="12" max="12" width="13.81640625" style="143" customWidth="1"/>
    <col min="13" max="16384" width="11.453125" style="143"/>
  </cols>
  <sheetData>
    <row r="1" spans="1:6" ht="13" x14ac:dyDescent="0.3">
      <c r="B1" s="186" t="s">
        <v>779</v>
      </c>
      <c r="C1" s="187"/>
      <c r="D1" s="187"/>
      <c r="E1" s="187"/>
      <c r="F1" s="187"/>
    </row>
    <row r="4" spans="1:6" x14ac:dyDescent="0.25">
      <c r="A4" s="143" t="s">
        <v>703</v>
      </c>
      <c r="B4" s="246" t="s">
        <v>879</v>
      </c>
      <c r="C4" s="246" t="s">
        <v>961</v>
      </c>
    </row>
    <row r="5" spans="1:6" x14ac:dyDescent="0.25">
      <c r="A5" s="143" t="s">
        <v>7</v>
      </c>
      <c r="B5" s="247">
        <v>0.98</v>
      </c>
      <c r="C5" s="245">
        <f>IF(Analyses_CV_ZS!D$15=Graphiques_Routine!A5,Analyses_CV_ZS!D$52,"")</f>
        <v>0.8859482572676719</v>
      </c>
      <c r="E5" s="245"/>
    </row>
    <row r="6" spans="1:6" x14ac:dyDescent="0.25">
      <c r="A6" s="143" t="s">
        <v>748</v>
      </c>
      <c r="B6" s="247">
        <v>0.95</v>
      </c>
      <c r="C6" s="245">
        <f>IF(Analyses_CV_ZS!H$15=Graphiques_Routine!A6,Analyses_CV_ZS!H$52,"")</f>
        <v>0.99771904196234495</v>
      </c>
    </row>
    <row r="7" spans="1:6" x14ac:dyDescent="0.25">
      <c r="A7" s="143" t="s">
        <v>753</v>
      </c>
      <c r="B7" s="247">
        <v>0.95</v>
      </c>
      <c r="C7" s="245">
        <f>IF(Analyses_CV_ZS!K$15=Graphiques_Routine!A7,Analyses_CV_ZS!K$52,"")</f>
        <v>0.9920659903798752</v>
      </c>
    </row>
    <row r="8" spans="1:6" x14ac:dyDescent="0.25">
      <c r="A8" s="143" t="s">
        <v>722</v>
      </c>
      <c r="B8" s="247">
        <v>0.95</v>
      </c>
      <c r="C8" s="245">
        <f>IF(Analyses_CV_ZS!N$15=Graphiques_Routine!A8,Analyses_CV_ZS!N$52,"")</f>
        <v>0.97214662281056485</v>
      </c>
    </row>
    <row r="9" spans="1:6" x14ac:dyDescent="0.25">
      <c r="A9" s="143" t="s">
        <v>755</v>
      </c>
      <c r="B9" s="247">
        <v>0.95</v>
      </c>
      <c r="C9" s="245">
        <f>IF(Analyses_CV_ZS!Q$15=Graphiques_Routine!A9,Analyses_CV_ZS!Q$52,"")</f>
        <v>0.91734767233545322</v>
      </c>
    </row>
    <row r="10" spans="1:6" x14ac:dyDescent="0.25">
      <c r="A10" s="143" t="s">
        <v>744</v>
      </c>
      <c r="B10" s="247">
        <v>0.95</v>
      </c>
      <c r="C10" s="245">
        <f>IF(Analyses_CV_ZS!U$15=Graphiques_Routine!A10,Analyses_CV_ZS!U$52,"")</f>
        <v>1.0017614831277371</v>
      </c>
    </row>
    <row r="11" spans="1:6" x14ac:dyDescent="0.25">
      <c r="A11" s="143" t="s">
        <v>780</v>
      </c>
      <c r="B11" s="247">
        <v>0.95</v>
      </c>
      <c r="C11" s="245">
        <f>IF(Analyses_CV_ZS!R$15=Graphiques_Routine!A11,Analyses_CV_ZS!R$52,"")</f>
        <v>1.0059821736673513</v>
      </c>
    </row>
    <row r="12" spans="1:6" x14ac:dyDescent="0.25">
      <c r="A12" s="143" t="s">
        <v>13</v>
      </c>
      <c r="B12" s="247">
        <v>0.95</v>
      </c>
      <c r="C12" s="245">
        <f>IF(Analyses_CV_ZS!T$15=Graphiques_Routine!A12,Analyses_CV_ZS!T$52,"")</f>
        <v>0.94196836714986931</v>
      </c>
    </row>
    <row r="13" spans="1:6" x14ac:dyDescent="0.25">
      <c r="A13" s="143" t="s">
        <v>14</v>
      </c>
      <c r="B13" s="247">
        <v>0.95</v>
      </c>
      <c r="C13" s="245">
        <f>IF(Analyses_CV_ZS!V$15=Graphiques_Routine!A13,Analyses_CV_ZS!V$52,"")</f>
        <v>0.77584631642402857</v>
      </c>
    </row>
    <row r="14" spans="1:6" x14ac:dyDescent="0.25">
      <c r="A14" s="143" t="s">
        <v>761</v>
      </c>
      <c r="B14" s="247">
        <v>0.95</v>
      </c>
      <c r="C14" s="245">
        <f>IF(Analyses_CV_ZS!S$15=Graphiques_Routine!A14,Analyses_CV_ZS!S$52,"")</f>
        <v>0.49006164115350004</v>
      </c>
    </row>
    <row r="15" spans="1:6" x14ac:dyDescent="0.25">
      <c r="A15" s="143" t="s">
        <v>723</v>
      </c>
      <c r="B15" s="247">
        <v>0.9</v>
      </c>
      <c r="C15" s="245">
        <f>IF(Analyses_CV_ZS!X$15=Graphiques_Routine!A15,Analyses_CV_ZS!X$52,"")</f>
        <v>0.8488339046628075</v>
      </c>
    </row>
    <row r="25" spans="1:18" ht="13" x14ac:dyDescent="0.3">
      <c r="A25" s="186"/>
      <c r="B25" s="187"/>
      <c r="C25" s="187"/>
      <c r="D25" s="243"/>
      <c r="E25" s="187"/>
      <c r="F25" s="187"/>
      <c r="G25" s="187"/>
      <c r="H25" s="187"/>
      <c r="I25" s="187"/>
      <c r="K25" s="186"/>
      <c r="L25" s="187"/>
      <c r="M25" s="187"/>
      <c r="N25" s="187"/>
      <c r="O25" s="187"/>
      <c r="P25" s="187"/>
      <c r="Q25" s="187"/>
      <c r="R25" s="187"/>
    </row>
    <row r="27" spans="1:18" ht="13" x14ac:dyDescent="0.3">
      <c r="D27" s="188"/>
      <c r="M27" s="188"/>
    </row>
    <row r="28" spans="1:18" x14ac:dyDescent="0.25">
      <c r="L28" s="1" t="s">
        <v>700</v>
      </c>
      <c r="M28" t="s">
        <v>778</v>
      </c>
      <c r="N28"/>
      <c r="Q28" s="1" t="s">
        <v>700</v>
      </c>
      <c r="R28" t="s">
        <v>778</v>
      </c>
    </row>
    <row r="29" spans="1:18" x14ac:dyDescent="0.25">
      <c r="A29" s="1" t="s">
        <v>700</v>
      </c>
      <c r="B29" t="s">
        <v>702</v>
      </c>
      <c r="C29"/>
      <c r="F29" s="242"/>
      <c r="G29" s="1" t="s">
        <v>700</v>
      </c>
      <c r="H29" t="s">
        <v>702</v>
      </c>
      <c r="I29" s="242"/>
      <c r="J29" s="242"/>
      <c r="K29" s="242"/>
      <c r="L29" s="6" t="s">
        <v>39</v>
      </c>
      <c r="M29" s="244">
        <v>215.84383333333321</v>
      </c>
      <c r="N29"/>
      <c r="O29" s="242"/>
      <c r="P29" s="242"/>
      <c r="Q29" s="6" t="s">
        <v>44</v>
      </c>
      <c r="R29" s="244">
        <v>0</v>
      </c>
    </row>
    <row r="30" spans="1:18" x14ac:dyDescent="0.25">
      <c r="A30" s="6" t="s">
        <v>49</v>
      </c>
      <c r="B30">
        <v>83</v>
      </c>
      <c r="C30"/>
      <c r="G30" s="6" t="s">
        <v>21</v>
      </c>
      <c r="H30">
        <v>320</v>
      </c>
      <c r="L30" s="6" t="s">
        <v>41</v>
      </c>
      <c r="M30" s="244">
        <v>236.46191666666658</v>
      </c>
      <c r="N30"/>
      <c r="Q30" s="6" t="s">
        <v>29</v>
      </c>
      <c r="R30" s="244">
        <v>29.964833333333218</v>
      </c>
    </row>
    <row r="31" spans="1:18" x14ac:dyDescent="0.25">
      <c r="A31" s="6" t="s">
        <v>37</v>
      </c>
      <c r="B31">
        <v>204</v>
      </c>
      <c r="C31"/>
      <c r="G31" s="6" t="s">
        <v>18</v>
      </c>
      <c r="H31">
        <v>367</v>
      </c>
      <c r="L31" s="6" t="s">
        <v>27</v>
      </c>
      <c r="M31" s="244">
        <v>265.77391666666665</v>
      </c>
      <c r="N31"/>
      <c r="Q31" s="6" t="s">
        <v>50</v>
      </c>
      <c r="R31" s="244">
        <v>118.87275000000005</v>
      </c>
    </row>
    <row r="32" spans="1:18" x14ac:dyDescent="0.25">
      <c r="A32" s="6" t="s">
        <v>39</v>
      </c>
      <c r="B32">
        <v>238</v>
      </c>
      <c r="C32"/>
      <c r="G32" s="6" t="s">
        <v>33</v>
      </c>
      <c r="H32">
        <v>424</v>
      </c>
      <c r="L32" s="6" t="s">
        <v>38</v>
      </c>
      <c r="M32" s="244">
        <v>375.18674999999996</v>
      </c>
      <c r="N32"/>
      <c r="Q32" s="6" t="s">
        <v>22</v>
      </c>
      <c r="R32" s="244">
        <v>178.36866666666668</v>
      </c>
    </row>
    <row r="33" spans="1:18" x14ac:dyDescent="0.25">
      <c r="A33" s="6" t="s">
        <v>23</v>
      </c>
      <c r="B33">
        <v>256</v>
      </c>
      <c r="C33"/>
      <c r="G33" s="6" t="s">
        <v>47</v>
      </c>
      <c r="H33">
        <v>486</v>
      </c>
      <c r="L33" s="6" t="s">
        <v>36</v>
      </c>
      <c r="M33" s="244">
        <v>469.80233333333331</v>
      </c>
      <c r="N33"/>
      <c r="Q33" s="6" t="s">
        <v>21</v>
      </c>
      <c r="R33" s="244">
        <v>213.48783333333338</v>
      </c>
    </row>
    <row r="34" spans="1:18" x14ac:dyDescent="0.25">
      <c r="A34" s="6" t="s">
        <v>20</v>
      </c>
      <c r="B34">
        <v>268</v>
      </c>
      <c r="C34"/>
      <c r="G34" s="6" t="s">
        <v>25</v>
      </c>
      <c r="H34">
        <v>641</v>
      </c>
      <c r="L34" s="6" t="s">
        <v>35</v>
      </c>
      <c r="M34" s="244">
        <v>665.53316666666683</v>
      </c>
      <c r="N34"/>
      <c r="Q34" s="6" t="s">
        <v>25</v>
      </c>
      <c r="R34" s="244">
        <v>278.59108333333336</v>
      </c>
    </row>
    <row r="35" spans="1:18" x14ac:dyDescent="0.25">
      <c r="A35" s="6" t="s">
        <v>35</v>
      </c>
      <c r="B35">
        <v>273</v>
      </c>
      <c r="C35"/>
      <c r="G35" s="6" t="s">
        <v>46</v>
      </c>
      <c r="H35">
        <v>827</v>
      </c>
      <c r="L35" s="6" t="s">
        <v>49</v>
      </c>
      <c r="M35" s="244">
        <v>726.15125</v>
      </c>
      <c r="N35"/>
      <c r="Q35" s="6" t="s">
        <v>18</v>
      </c>
      <c r="R35" s="244">
        <v>293.24883333333321</v>
      </c>
    </row>
    <row r="36" spans="1:18" x14ac:dyDescent="0.25">
      <c r="A36" s="6" t="s">
        <v>17</v>
      </c>
      <c r="B36">
        <v>297</v>
      </c>
      <c r="C36"/>
      <c r="G36" s="6" t="s">
        <v>50</v>
      </c>
      <c r="H36">
        <v>1015</v>
      </c>
      <c r="L36" s="6" t="s">
        <v>30</v>
      </c>
      <c r="M36" s="244">
        <v>835.01691666666659</v>
      </c>
      <c r="N36"/>
      <c r="Q36" s="6" t="s">
        <v>33</v>
      </c>
      <c r="R36" s="244">
        <v>339.6013333333334</v>
      </c>
    </row>
    <row r="37" spans="1:18" x14ac:dyDescent="0.25">
      <c r="A37" s="6" t="s">
        <v>41</v>
      </c>
      <c r="B37">
        <v>365</v>
      </c>
      <c r="C37"/>
      <c r="G37" s="6" t="s">
        <v>32</v>
      </c>
      <c r="H37">
        <v>1032</v>
      </c>
      <c r="L37" s="6" t="s">
        <v>20</v>
      </c>
      <c r="M37" s="244">
        <v>864.00800000000027</v>
      </c>
      <c r="N37"/>
      <c r="Q37" s="6" t="s">
        <v>24</v>
      </c>
      <c r="R37" s="244">
        <v>472.68724999999989</v>
      </c>
    </row>
    <row r="38" spans="1:18" x14ac:dyDescent="0.25">
      <c r="A38" s="6" t="s">
        <v>26</v>
      </c>
      <c r="B38">
        <v>507</v>
      </c>
      <c r="C38"/>
      <c r="G38" s="6" t="s">
        <v>48</v>
      </c>
      <c r="H38">
        <v>1032</v>
      </c>
      <c r="L38" s="6" t="s">
        <v>26</v>
      </c>
      <c r="M38" s="244">
        <v>948.6139166666668</v>
      </c>
      <c r="N38"/>
      <c r="Q38" s="6" t="s">
        <v>47</v>
      </c>
      <c r="R38" s="244">
        <v>543.05424999999991</v>
      </c>
    </row>
    <row r="39" spans="1:18" x14ac:dyDescent="0.25">
      <c r="A39" s="6" t="s">
        <v>38</v>
      </c>
      <c r="B39">
        <v>522</v>
      </c>
      <c r="C39"/>
      <c r="G39" s="6" t="s">
        <v>29</v>
      </c>
      <c r="H39">
        <v>1082</v>
      </c>
      <c r="L39" s="6" t="s">
        <v>19</v>
      </c>
      <c r="M39" s="244">
        <v>996.17141666666646</v>
      </c>
      <c r="N39"/>
      <c r="Q39" s="6" t="s">
        <v>32</v>
      </c>
      <c r="R39" s="244">
        <v>568.10608333333323</v>
      </c>
    </row>
    <row r="40" spans="1:18" x14ac:dyDescent="0.25">
      <c r="A40" s="6" t="s">
        <v>31</v>
      </c>
      <c r="B40">
        <v>622</v>
      </c>
      <c r="C40"/>
      <c r="G40" s="6" t="s">
        <v>22</v>
      </c>
      <c r="H40">
        <v>1119</v>
      </c>
      <c r="L40" s="6" t="s">
        <v>37</v>
      </c>
      <c r="M40" s="244">
        <v>1125.3214166666667</v>
      </c>
      <c r="N40"/>
      <c r="Q40" s="6" t="s">
        <v>48</v>
      </c>
      <c r="R40" s="244">
        <v>728.31941666666671</v>
      </c>
    </row>
    <row r="41" spans="1:18" x14ac:dyDescent="0.25">
      <c r="A41" s="6" t="s">
        <v>36</v>
      </c>
      <c r="B41">
        <v>670</v>
      </c>
      <c r="C41"/>
      <c r="G41" s="6" t="s">
        <v>34</v>
      </c>
      <c r="H41">
        <v>1344</v>
      </c>
      <c r="L41" s="6" t="s">
        <v>17</v>
      </c>
      <c r="M41" s="244">
        <v>1138.1322500000006</v>
      </c>
      <c r="N41"/>
      <c r="Q41" s="6" t="s">
        <v>46</v>
      </c>
      <c r="R41" s="244">
        <v>738.84316666666666</v>
      </c>
    </row>
    <row r="42" spans="1:18" x14ac:dyDescent="0.25">
      <c r="A42" s="6" t="s">
        <v>27</v>
      </c>
      <c r="B42">
        <v>740</v>
      </c>
      <c r="C42"/>
      <c r="G42" s="6" t="s">
        <v>44</v>
      </c>
      <c r="H42">
        <v>1448</v>
      </c>
      <c r="L42" s="6" t="s">
        <v>23</v>
      </c>
      <c r="M42" s="244">
        <v>1251.2745833333331</v>
      </c>
      <c r="N42"/>
      <c r="Q42" s="6" t="s">
        <v>40</v>
      </c>
      <c r="R42" s="244">
        <v>995.03466666666668</v>
      </c>
    </row>
    <row r="43" spans="1:18" x14ac:dyDescent="0.25">
      <c r="A43" s="6" t="s">
        <v>19</v>
      </c>
      <c r="B43">
        <v>764</v>
      </c>
      <c r="C43"/>
      <c r="G43" s="6" t="s">
        <v>28</v>
      </c>
      <c r="H43">
        <v>1979</v>
      </c>
      <c r="L43" s="6" t="s">
        <v>31</v>
      </c>
      <c r="M43" s="244">
        <v>2123.1976666666669</v>
      </c>
      <c r="N43"/>
      <c r="Q43" s="6" t="s">
        <v>43</v>
      </c>
      <c r="R43" s="244">
        <v>1208.35475</v>
      </c>
    </row>
    <row r="44" spans="1:18" x14ac:dyDescent="0.25">
      <c r="A44" s="6" t="s">
        <v>42</v>
      </c>
      <c r="B44">
        <v>783</v>
      </c>
      <c r="C44"/>
      <c r="G44" s="6" t="s">
        <v>24</v>
      </c>
      <c r="H44">
        <v>2190</v>
      </c>
      <c r="L44" s="6" t="s">
        <v>45</v>
      </c>
      <c r="M44" s="244">
        <v>2183.7019166666669</v>
      </c>
      <c r="N44"/>
      <c r="Q44" s="6" t="s">
        <v>28</v>
      </c>
      <c r="R44" s="244">
        <v>3803.8785833333327</v>
      </c>
    </row>
    <row r="45" spans="1:18" x14ac:dyDescent="0.25">
      <c r="A45" s="6" t="s">
        <v>30</v>
      </c>
      <c r="B45">
        <v>928</v>
      </c>
      <c r="C45"/>
      <c r="G45" s="6" t="s">
        <v>40</v>
      </c>
      <c r="H45">
        <v>2524</v>
      </c>
      <c r="L45" s="6" t="s">
        <v>42</v>
      </c>
      <c r="M45" s="244">
        <v>2523.8056666666666</v>
      </c>
      <c r="N45"/>
      <c r="Q45" s="6" t="s">
        <v>34</v>
      </c>
      <c r="R45" s="244">
        <v>5762.6368333333339</v>
      </c>
    </row>
    <row r="46" spans="1:18" x14ac:dyDescent="0.25">
      <c r="A46" s="6" t="s">
        <v>45</v>
      </c>
      <c r="B46">
        <v>1035</v>
      </c>
      <c r="C46"/>
      <c r="G46" s="6" t="s">
        <v>43</v>
      </c>
      <c r="H46">
        <v>3216</v>
      </c>
      <c r="L46" s="6" t="s">
        <v>701</v>
      </c>
      <c r="M46" s="244">
        <v>16943.996916666671</v>
      </c>
      <c r="Q46" s="6" t="s">
        <v>701</v>
      </c>
      <c r="R46" s="244">
        <v>16273.050333333334</v>
      </c>
    </row>
    <row r="47" spans="1:18" x14ac:dyDescent="0.25">
      <c r="A47" s="6" t="s">
        <v>701</v>
      </c>
      <c r="B47">
        <v>8555</v>
      </c>
      <c r="G47" s="6" t="s">
        <v>701</v>
      </c>
      <c r="H47">
        <v>21046</v>
      </c>
      <c r="L47"/>
    </row>
    <row r="48" spans="1:18" x14ac:dyDescent="0.25">
      <c r="A48"/>
      <c r="L48"/>
    </row>
    <row r="49" spans="1:12" x14ac:dyDescent="0.25">
      <c r="A49"/>
      <c r="L49"/>
    </row>
    <row r="50" spans="1:12" x14ac:dyDescent="0.25">
      <c r="A50"/>
      <c r="L50"/>
    </row>
    <row r="51" spans="1:12" x14ac:dyDescent="0.25">
      <c r="A51"/>
      <c r="L51"/>
    </row>
    <row r="52" spans="1:12" x14ac:dyDescent="0.25">
      <c r="A52"/>
      <c r="L52"/>
    </row>
    <row r="53" spans="1:12" x14ac:dyDescent="0.25">
      <c r="A53"/>
      <c r="L53"/>
    </row>
    <row r="54" spans="1:12" x14ac:dyDescent="0.25">
      <c r="A54"/>
      <c r="L54"/>
    </row>
    <row r="55" spans="1:12" x14ac:dyDescent="0.25">
      <c r="A55"/>
      <c r="L55"/>
    </row>
    <row r="56" spans="1:12" x14ac:dyDescent="0.25">
      <c r="A56"/>
      <c r="L56"/>
    </row>
    <row r="57" spans="1:12" x14ac:dyDescent="0.25">
      <c r="A57"/>
      <c r="L57"/>
    </row>
    <row r="58" spans="1:12" x14ac:dyDescent="0.25">
      <c r="A58"/>
      <c r="L58"/>
    </row>
    <row r="59" spans="1:12" x14ac:dyDescent="0.25">
      <c r="A59"/>
      <c r="L59"/>
    </row>
    <row r="60" spans="1:12" x14ac:dyDescent="0.25">
      <c r="A60"/>
      <c r="L60"/>
    </row>
    <row r="61" spans="1:12" x14ac:dyDescent="0.25">
      <c r="A61"/>
      <c r="L61"/>
    </row>
    <row r="62" spans="1:12" x14ac:dyDescent="0.25">
      <c r="A62"/>
      <c r="L62"/>
    </row>
    <row r="63" spans="1:12" x14ac:dyDescent="0.25">
      <c r="A63"/>
      <c r="L63"/>
    </row>
    <row r="64" spans="1:12" x14ac:dyDescent="0.25">
      <c r="A64"/>
    </row>
    <row r="65" spans="1:4" x14ac:dyDescent="0.25">
      <c r="A65"/>
    </row>
    <row r="68" spans="1:4" x14ac:dyDescent="0.25">
      <c r="D68" s="189"/>
    </row>
  </sheetData>
  <sheetProtection password="EF87" sheet="1" selectLockedCells="1" selectUnlockedCells="1"/>
  <pageMargins left="0.7" right="0.7" top="0.75" bottom="0.75" header="0.3" footer="0.3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L117"/>
  <sheetViews>
    <sheetView showGridLines="0" zoomScale="70" zoomScaleNormal="70" workbookViewId="0">
      <selection activeCell="K44" sqref="K44"/>
    </sheetView>
  </sheetViews>
  <sheetFormatPr baseColWidth="10" defaultColWidth="11.453125" defaultRowHeight="12.5" x14ac:dyDescent="0.25"/>
  <cols>
    <col min="1" max="1" width="11.453125" style="2"/>
    <col min="2" max="2" width="6.453125" style="2" customWidth="1"/>
    <col min="3" max="4" width="7.7265625" style="2" customWidth="1"/>
    <col min="5" max="16384" width="11.453125" style="2"/>
  </cols>
  <sheetData>
    <row r="1" spans="1:12" x14ac:dyDescent="0.25">
      <c r="A1"/>
      <c r="B1"/>
      <c r="C1"/>
      <c r="D1"/>
      <c r="E1"/>
      <c r="F1"/>
      <c r="G1"/>
      <c r="H1"/>
    </row>
    <row r="2" spans="1:12" ht="13" x14ac:dyDescent="0.3">
      <c r="A2" s="22" t="s">
        <v>4</v>
      </c>
      <c r="B2" s="22" t="s">
        <v>696</v>
      </c>
      <c r="C2" s="22" t="s">
        <v>725</v>
      </c>
      <c r="D2" s="22" t="s">
        <v>726</v>
      </c>
      <c r="E2" s="22" t="s">
        <v>727</v>
      </c>
      <c r="F2" s="22" t="s">
        <v>728</v>
      </c>
      <c r="G2" s="22" t="s">
        <v>729</v>
      </c>
      <c r="H2" s="22" t="s">
        <v>730</v>
      </c>
      <c r="L2" s="273" t="s">
        <v>963</v>
      </c>
    </row>
    <row r="3" spans="1:12" hidden="1" x14ac:dyDescent="0.25">
      <c r="A3" s="1" t="s">
        <v>700</v>
      </c>
      <c r="B3" t="s">
        <v>684</v>
      </c>
      <c r="C3"/>
      <c r="D3"/>
      <c r="E3"/>
      <c r="F3"/>
      <c r="G3"/>
      <c r="H3"/>
    </row>
    <row r="4" spans="1:12" x14ac:dyDescent="0.25">
      <c r="A4" s="6" t="s">
        <v>17</v>
      </c>
      <c r="B4" s="23">
        <v>0.87680415414203261</v>
      </c>
      <c r="C4">
        <v>4.5</v>
      </c>
      <c r="D4">
        <v>6</v>
      </c>
      <c r="E4" s="240" t="str">
        <f>IF(B4&lt;0.5,B4,"")</f>
        <v/>
      </c>
      <c r="F4" s="240" t="str">
        <f>IF(AND(B4&gt;=0.5,B4&lt;0.8),B4,"")</f>
        <v/>
      </c>
      <c r="G4" s="240">
        <f>IF(AND(B4&gt;=0.8,B4&lt;=0.94),B4,"")</f>
        <v>0.87680415414203261</v>
      </c>
      <c r="H4" s="240" t="str">
        <f>IF(B4&gt;0.95,B4,"")</f>
        <v/>
      </c>
    </row>
    <row r="5" spans="1:12" x14ac:dyDescent="0.25">
      <c r="A5" s="6" t="s">
        <v>18</v>
      </c>
      <c r="B5" s="23">
        <v>0.97104545311612966</v>
      </c>
      <c r="C5">
        <v>8.6999999999999993</v>
      </c>
      <c r="D5">
        <v>4</v>
      </c>
      <c r="E5" s="240" t="str">
        <f t="shared" ref="E5:E37" si="0">IF(B5&lt;0.5,B5,"")</f>
        <v/>
      </c>
      <c r="F5" s="240" t="str">
        <f t="shared" ref="F5:F37" si="1">IF(AND(B5&gt;=0.5,B5&lt;0.8),B5,"")</f>
        <v/>
      </c>
      <c r="G5" s="240" t="str">
        <f t="shared" ref="G5:G37" si="2">IF(AND(B5&gt;=0.8,B5&lt;=0.94),B5,"")</f>
        <v/>
      </c>
      <c r="H5" s="240">
        <f t="shared" ref="H5:H37" si="3">IF(B5&gt;0.95,B5,"")</f>
        <v>0.97104545311612966</v>
      </c>
    </row>
    <row r="6" spans="1:12" x14ac:dyDescent="0.25">
      <c r="A6" s="6" t="s">
        <v>19</v>
      </c>
      <c r="B6" s="23">
        <v>1.0995634969977892</v>
      </c>
      <c r="C6">
        <v>6.7</v>
      </c>
      <c r="D6">
        <v>8.8000000000000007</v>
      </c>
      <c r="E6" s="240" t="str">
        <f t="shared" si="0"/>
        <v/>
      </c>
      <c r="F6" s="240" t="str">
        <f t="shared" si="1"/>
        <v/>
      </c>
      <c r="G6" s="240" t="str">
        <f t="shared" si="2"/>
        <v/>
      </c>
      <c r="H6" s="240">
        <f t="shared" si="3"/>
        <v>1.0995634969977892</v>
      </c>
      <c r="J6" s="54" t="str">
        <f>"CV Penta 3 au Nord Kivu "&amp;Analyses_CV_AS!B7</f>
        <v>CV Penta 3 au Nord Kivu Janvier-Octobre 2024</v>
      </c>
    </row>
    <row r="7" spans="1:12" x14ac:dyDescent="0.25">
      <c r="A7" s="6" t="s">
        <v>20</v>
      </c>
      <c r="B7" s="23">
        <v>0.74840567305321148</v>
      </c>
      <c r="C7">
        <v>5</v>
      </c>
      <c r="D7">
        <v>8.3000000000000007</v>
      </c>
      <c r="E7" s="240" t="str">
        <f t="shared" si="0"/>
        <v/>
      </c>
      <c r="F7" s="240">
        <f t="shared" si="1"/>
        <v>0.74840567305321148</v>
      </c>
      <c r="G7" s="240" t="str">
        <f t="shared" si="2"/>
        <v/>
      </c>
      <c r="H7" s="240" t="str">
        <f t="shared" si="3"/>
        <v/>
      </c>
    </row>
    <row r="8" spans="1:12" x14ac:dyDescent="0.25">
      <c r="A8" s="6" t="s">
        <v>21</v>
      </c>
      <c r="B8" s="23">
        <v>1.0524504339404717</v>
      </c>
      <c r="C8">
        <v>6.3</v>
      </c>
      <c r="D8">
        <v>4</v>
      </c>
      <c r="E8" s="240" t="str">
        <f t="shared" si="0"/>
        <v/>
      </c>
      <c r="F8" s="240" t="str">
        <f t="shared" si="1"/>
        <v/>
      </c>
      <c r="G8" s="240" t="str">
        <f t="shared" si="2"/>
        <v/>
      </c>
      <c r="H8" s="240">
        <f t="shared" si="3"/>
        <v>1.0524504339404717</v>
      </c>
    </row>
    <row r="9" spans="1:12" x14ac:dyDescent="0.25">
      <c r="A9" s="6" t="s">
        <v>22</v>
      </c>
      <c r="B9" s="23">
        <v>0.95684454313096901</v>
      </c>
      <c r="C9">
        <v>7.6</v>
      </c>
      <c r="D9">
        <v>4.3</v>
      </c>
      <c r="E9" s="240" t="str">
        <f t="shared" si="0"/>
        <v/>
      </c>
      <c r="F9" s="240" t="str">
        <f t="shared" si="1"/>
        <v/>
      </c>
      <c r="G9" s="240" t="str">
        <f t="shared" si="2"/>
        <v/>
      </c>
      <c r="H9" s="240">
        <f t="shared" si="3"/>
        <v>0.95684454313096901</v>
      </c>
    </row>
    <row r="10" spans="1:12" x14ac:dyDescent="0.25">
      <c r="A10" s="6" t="s">
        <v>23</v>
      </c>
      <c r="B10" s="23">
        <v>0.78069105307181819</v>
      </c>
      <c r="C10">
        <v>8</v>
      </c>
      <c r="D10">
        <v>6.8</v>
      </c>
      <c r="E10" s="240" t="str">
        <f t="shared" si="0"/>
        <v/>
      </c>
      <c r="F10" s="240">
        <f t="shared" si="1"/>
        <v>0.78069105307181819</v>
      </c>
      <c r="G10" s="240" t="str">
        <f t="shared" si="2"/>
        <v/>
      </c>
      <c r="H10" s="240" t="str">
        <f t="shared" si="3"/>
        <v/>
      </c>
    </row>
    <row r="11" spans="1:12" x14ac:dyDescent="0.25">
      <c r="A11" s="6" t="s">
        <v>24</v>
      </c>
      <c r="B11" s="23">
        <v>1.4903862703538329</v>
      </c>
      <c r="C11">
        <v>6.7</v>
      </c>
      <c r="D11">
        <v>0.8</v>
      </c>
      <c r="E11" s="240" t="str">
        <f t="shared" si="0"/>
        <v/>
      </c>
      <c r="F11" s="240" t="str">
        <f t="shared" si="1"/>
        <v/>
      </c>
      <c r="G11" s="240" t="str">
        <f t="shared" si="2"/>
        <v/>
      </c>
      <c r="H11" s="240">
        <f t="shared" si="3"/>
        <v>1.4903862703538329</v>
      </c>
    </row>
    <row r="12" spans="1:12" x14ac:dyDescent="0.25">
      <c r="A12" s="6" t="s">
        <v>25</v>
      </c>
      <c r="B12" s="23">
        <v>1.0509830384579575</v>
      </c>
      <c r="C12">
        <v>3</v>
      </c>
      <c r="D12">
        <v>1</v>
      </c>
      <c r="E12" s="240" t="str">
        <f t="shared" si="0"/>
        <v/>
      </c>
      <c r="F12" s="240" t="str">
        <f t="shared" si="1"/>
        <v/>
      </c>
      <c r="G12" s="240" t="str">
        <f t="shared" si="2"/>
        <v/>
      </c>
      <c r="H12" s="240">
        <f t="shared" si="3"/>
        <v>1.0509830384579575</v>
      </c>
    </row>
    <row r="13" spans="1:12" x14ac:dyDescent="0.25">
      <c r="A13" s="6" t="s">
        <v>26</v>
      </c>
      <c r="B13" s="23">
        <v>0.92833045875188913</v>
      </c>
      <c r="C13">
        <v>6</v>
      </c>
      <c r="D13">
        <v>8.5</v>
      </c>
      <c r="E13" s="240" t="str">
        <f t="shared" si="0"/>
        <v/>
      </c>
      <c r="F13" s="240" t="str">
        <f t="shared" si="1"/>
        <v/>
      </c>
      <c r="G13" s="240">
        <f t="shared" si="2"/>
        <v>0.92833045875188913</v>
      </c>
      <c r="H13" s="240" t="str">
        <f t="shared" si="3"/>
        <v/>
      </c>
    </row>
    <row r="14" spans="1:12" x14ac:dyDescent="0.25">
      <c r="A14" s="6" t="s">
        <v>27</v>
      </c>
      <c r="B14" s="23">
        <v>1.0756016961123636</v>
      </c>
      <c r="C14">
        <v>7.5</v>
      </c>
      <c r="D14">
        <v>9.8000000000000007</v>
      </c>
      <c r="E14" s="240" t="str">
        <f t="shared" si="0"/>
        <v/>
      </c>
      <c r="F14" s="240" t="str">
        <f t="shared" si="1"/>
        <v/>
      </c>
      <c r="G14" s="240" t="str">
        <f t="shared" si="2"/>
        <v/>
      </c>
      <c r="H14" s="240">
        <f t="shared" si="3"/>
        <v>1.0756016961123636</v>
      </c>
    </row>
    <row r="15" spans="1:12" x14ac:dyDescent="0.25">
      <c r="A15" s="6" t="s">
        <v>28</v>
      </c>
      <c r="B15" s="23">
        <v>1.0340708522964746</v>
      </c>
      <c r="C15">
        <v>7.2</v>
      </c>
      <c r="D15">
        <v>1.4</v>
      </c>
      <c r="E15" s="240" t="str">
        <f t="shared" si="0"/>
        <v/>
      </c>
      <c r="F15" s="240" t="str">
        <f t="shared" si="1"/>
        <v/>
      </c>
      <c r="G15" s="240" t="str">
        <f t="shared" si="2"/>
        <v/>
      </c>
      <c r="H15" s="240">
        <f t="shared" si="3"/>
        <v>1.0340708522964746</v>
      </c>
    </row>
    <row r="16" spans="1:12" x14ac:dyDescent="0.25">
      <c r="A16" s="6" t="s">
        <v>29</v>
      </c>
      <c r="B16" s="23">
        <v>1.1153953886625476</v>
      </c>
      <c r="C16">
        <v>4.5</v>
      </c>
      <c r="D16">
        <v>1.2</v>
      </c>
      <c r="E16" s="240" t="str">
        <f t="shared" si="0"/>
        <v/>
      </c>
      <c r="F16" s="240" t="str">
        <f t="shared" si="1"/>
        <v/>
      </c>
      <c r="G16" s="240" t="str">
        <f t="shared" si="2"/>
        <v/>
      </c>
      <c r="H16" s="240">
        <f t="shared" si="3"/>
        <v>1.1153953886625476</v>
      </c>
    </row>
    <row r="17" spans="1:8" x14ac:dyDescent="0.25">
      <c r="A17" s="6" t="s">
        <v>30</v>
      </c>
      <c r="B17" s="23">
        <v>1.0772790459417139</v>
      </c>
      <c r="C17">
        <v>9</v>
      </c>
      <c r="D17">
        <v>6.3</v>
      </c>
      <c r="E17" s="240" t="str">
        <f t="shared" si="0"/>
        <v/>
      </c>
      <c r="F17" s="240" t="str">
        <f t="shared" si="1"/>
        <v/>
      </c>
      <c r="G17" s="240" t="str">
        <f t="shared" si="2"/>
        <v/>
      </c>
      <c r="H17" s="240">
        <f t="shared" si="3"/>
        <v>1.0772790459417139</v>
      </c>
    </row>
    <row r="18" spans="1:8" x14ac:dyDescent="0.25">
      <c r="A18" s="6" t="s">
        <v>31</v>
      </c>
      <c r="B18" s="23">
        <v>0.77130332631563758</v>
      </c>
      <c r="C18">
        <v>5.8</v>
      </c>
      <c r="D18">
        <v>5.2</v>
      </c>
      <c r="E18" s="240" t="str">
        <f t="shared" si="0"/>
        <v/>
      </c>
      <c r="F18" s="240">
        <f t="shared" si="1"/>
        <v>0.77130332631563758</v>
      </c>
      <c r="G18" s="240" t="str">
        <f t="shared" si="2"/>
        <v/>
      </c>
      <c r="H18" s="240" t="str">
        <f t="shared" si="3"/>
        <v/>
      </c>
    </row>
    <row r="19" spans="1:8" x14ac:dyDescent="0.25">
      <c r="A19" s="6" t="s">
        <v>32</v>
      </c>
      <c r="B19" s="23">
        <v>0.97022534000135729</v>
      </c>
      <c r="C19">
        <v>5.3</v>
      </c>
      <c r="D19">
        <v>4.0999999999999996</v>
      </c>
      <c r="E19" s="240" t="str">
        <f t="shared" si="0"/>
        <v/>
      </c>
      <c r="F19" s="240" t="str">
        <f t="shared" si="1"/>
        <v/>
      </c>
      <c r="G19" s="240" t="str">
        <f t="shared" si="2"/>
        <v/>
      </c>
      <c r="H19" s="240">
        <f t="shared" si="3"/>
        <v>0.97022534000135729</v>
      </c>
    </row>
    <row r="20" spans="1:8" x14ac:dyDescent="0.25">
      <c r="A20" s="6" t="s">
        <v>33</v>
      </c>
      <c r="B20" s="23">
        <v>0.90249056424387131</v>
      </c>
      <c r="C20">
        <v>4</v>
      </c>
      <c r="D20">
        <v>2.7</v>
      </c>
      <c r="E20" s="240" t="str">
        <f t="shared" si="0"/>
        <v/>
      </c>
      <c r="F20" s="240" t="str">
        <f t="shared" si="1"/>
        <v/>
      </c>
      <c r="G20" s="240">
        <f t="shared" si="2"/>
        <v>0.90249056424387131</v>
      </c>
      <c r="H20" s="240" t="str">
        <f t="shared" si="3"/>
        <v/>
      </c>
    </row>
    <row r="21" spans="1:8" x14ac:dyDescent="0.25">
      <c r="A21" s="6" t="s">
        <v>34</v>
      </c>
      <c r="B21" s="23">
        <v>0.54748817923628867</v>
      </c>
      <c r="C21">
        <v>5</v>
      </c>
      <c r="D21">
        <v>1.7</v>
      </c>
      <c r="E21" s="240" t="str">
        <f t="shared" si="0"/>
        <v/>
      </c>
      <c r="F21" s="240">
        <f t="shared" si="1"/>
        <v>0.54748817923628867</v>
      </c>
      <c r="G21" s="240" t="str">
        <f t="shared" si="2"/>
        <v/>
      </c>
      <c r="H21" s="240" t="str">
        <f t="shared" si="3"/>
        <v/>
      </c>
    </row>
    <row r="22" spans="1:8" x14ac:dyDescent="0.25">
      <c r="A22" s="6" t="s">
        <v>35</v>
      </c>
      <c r="B22" s="23">
        <v>0.904513388464943</v>
      </c>
      <c r="C22">
        <v>6.4</v>
      </c>
      <c r="D22">
        <v>7.4</v>
      </c>
      <c r="E22" s="240" t="str">
        <f t="shared" si="0"/>
        <v/>
      </c>
      <c r="F22" s="240" t="str">
        <f t="shared" si="1"/>
        <v/>
      </c>
      <c r="G22" s="240">
        <f t="shared" si="2"/>
        <v>0.904513388464943</v>
      </c>
      <c r="H22" s="240" t="str">
        <f t="shared" si="3"/>
        <v/>
      </c>
    </row>
    <row r="23" spans="1:8" x14ac:dyDescent="0.25">
      <c r="A23" s="6" t="s">
        <v>36</v>
      </c>
      <c r="B23" s="23">
        <v>0.9592465706364518</v>
      </c>
      <c r="C23">
        <v>4.7</v>
      </c>
      <c r="D23">
        <v>6.7</v>
      </c>
      <c r="E23" s="240" t="str">
        <f t="shared" si="0"/>
        <v/>
      </c>
      <c r="F23" s="240" t="str">
        <f t="shared" si="1"/>
        <v/>
      </c>
      <c r="G23" s="240" t="str">
        <f t="shared" si="2"/>
        <v/>
      </c>
      <c r="H23" s="240">
        <f t="shared" si="3"/>
        <v>0.9592465706364518</v>
      </c>
    </row>
    <row r="24" spans="1:8" x14ac:dyDescent="0.25">
      <c r="A24" s="6" t="s">
        <v>37</v>
      </c>
      <c r="B24" s="23">
        <v>0.85903342303782249</v>
      </c>
      <c r="C24">
        <v>5.5</v>
      </c>
      <c r="D24">
        <v>9.3000000000000007</v>
      </c>
      <c r="E24" s="240" t="str">
        <f t="shared" si="0"/>
        <v/>
      </c>
      <c r="F24" s="240" t="str">
        <f t="shared" si="1"/>
        <v/>
      </c>
      <c r="G24" s="240">
        <f t="shared" si="2"/>
        <v>0.85903342303782249</v>
      </c>
      <c r="H24" s="240" t="str">
        <f t="shared" si="3"/>
        <v/>
      </c>
    </row>
    <row r="25" spans="1:8" x14ac:dyDescent="0.25">
      <c r="A25" s="6" t="s">
        <v>38</v>
      </c>
      <c r="B25" s="23">
        <v>0.81599186824324554</v>
      </c>
      <c r="C25">
        <v>4</v>
      </c>
      <c r="D25">
        <v>8</v>
      </c>
      <c r="E25" s="240" t="str">
        <f t="shared" si="0"/>
        <v/>
      </c>
      <c r="F25" s="240" t="str">
        <f t="shared" si="1"/>
        <v/>
      </c>
      <c r="G25" s="240">
        <f t="shared" si="2"/>
        <v>0.81599186824324554</v>
      </c>
      <c r="H25" s="240" t="str">
        <f t="shared" si="3"/>
        <v/>
      </c>
    </row>
    <row r="26" spans="1:8" x14ac:dyDescent="0.25">
      <c r="A26" s="6" t="s">
        <v>39</v>
      </c>
      <c r="B26" s="23">
        <v>0.94654468564802763</v>
      </c>
      <c r="C26">
        <v>5.8</v>
      </c>
      <c r="D26">
        <v>6.9</v>
      </c>
      <c r="E26" s="240" t="str">
        <f t="shared" si="0"/>
        <v/>
      </c>
      <c r="F26" s="240" t="str">
        <f t="shared" si="1"/>
        <v/>
      </c>
      <c r="G26" s="240" t="str">
        <f t="shared" si="2"/>
        <v/>
      </c>
      <c r="H26" s="240" t="str">
        <f t="shared" si="3"/>
        <v/>
      </c>
    </row>
    <row r="27" spans="1:8" x14ac:dyDescent="0.25">
      <c r="A27" s="6" t="s">
        <v>40</v>
      </c>
      <c r="B27" s="23">
        <v>1.2320966443143575</v>
      </c>
      <c r="C27">
        <v>4.7</v>
      </c>
      <c r="D27">
        <v>2.4</v>
      </c>
      <c r="E27" s="240" t="str">
        <f t="shared" si="0"/>
        <v/>
      </c>
      <c r="F27" s="240" t="str">
        <f t="shared" si="1"/>
        <v/>
      </c>
      <c r="G27" s="240" t="str">
        <f t="shared" si="2"/>
        <v/>
      </c>
      <c r="H27" s="240">
        <f t="shared" si="3"/>
        <v>1.2320966443143575</v>
      </c>
    </row>
    <row r="28" spans="1:8" x14ac:dyDescent="0.25">
      <c r="A28" s="6" t="s">
        <v>41</v>
      </c>
      <c r="B28" s="23">
        <v>0.99920567963447171</v>
      </c>
      <c r="C28">
        <v>4.3</v>
      </c>
      <c r="D28">
        <v>7.2</v>
      </c>
      <c r="E28" s="240" t="str">
        <f t="shared" si="0"/>
        <v/>
      </c>
      <c r="F28" s="240" t="str">
        <f t="shared" si="1"/>
        <v/>
      </c>
      <c r="G28" s="240" t="str">
        <f t="shared" si="2"/>
        <v/>
      </c>
      <c r="H28" s="240">
        <f t="shared" si="3"/>
        <v>0.99920567963447171</v>
      </c>
    </row>
    <row r="29" spans="1:8" x14ac:dyDescent="0.25">
      <c r="A29" s="6" t="s">
        <v>42</v>
      </c>
      <c r="B29" s="23">
        <v>0.69582571237355328</v>
      </c>
      <c r="C29">
        <v>7.2</v>
      </c>
      <c r="D29">
        <v>8.4</v>
      </c>
      <c r="E29" s="240" t="str">
        <f t="shared" si="0"/>
        <v/>
      </c>
      <c r="F29" s="240">
        <f t="shared" si="1"/>
        <v>0.69582571237355328</v>
      </c>
      <c r="G29" s="240" t="str">
        <f t="shared" si="2"/>
        <v/>
      </c>
      <c r="H29" s="240" t="str">
        <f t="shared" si="3"/>
        <v/>
      </c>
    </row>
    <row r="30" spans="1:8" x14ac:dyDescent="0.25">
      <c r="A30" s="6" t="s">
        <v>43</v>
      </c>
      <c r="B30" s="23">
        <v>0.99603749445607337</v>
      </c>
      <c r="C30">
        <v>5</v>
      </c>
      <c r="D30">
        <v>3.5</v>
      </c>
      <c r="E30" s="240" t="str">
        <f t="shared" si="0"/>
        <v/>
      </c>
      <c r="F30" s="240" t="str">
        <f t="shared" si="1"/>
        <v/>
      </c>
      <c r="G30" s="240" t="str">
        <f t="shared" si="2"/>
        <v/>
      </c>
      <c r="H30" s="240">
        <f t="shared" si="3"/>
        <v>0.99603749445607337</v>
      </c>
    </row>
    <row r="31" spans="1:8" x14ac:dyDescent="0.25">
      <c r="A31" s="6" t="s">
        <v>44</v>
      </c>
      <c r="B31" s="23">
        <v>1.717206466358163</v>
      </c>
      <c r="C31">
        <v>8.1999999999999993</v>
      </c>
      <c r="D31">
        <v>1</v>
      </c>
      <c r="E31" s="240" t="str">
        <f t="shared" si="0"/>
        <v/>
      </c>
      <c r="F31" s="240" t="str">
        <f t="shared" si="1"/>
        <v/>
      </c>
      <c r="G31" s="240" t="str">
        <f t="shared" si="2"/>
        <v/>
      </c>
      <c r="H31" s="240">
        <f t="shared" si="3"/>
        <v>1.717206466358163</v>
      </c>
    </row>
    <row r="32" spans="1:8" x14ac:dyDescent="0.25">
      <c r="A32" s="6" t="s">
        <v>45</v>
      </c>
      <c r="B32" s="23">
        <v>0.75032412332709464</v>
      </c>
      <c r="C32">
        <v>6.3</v>
      </c>
      <c r="D32">
        <v>9.8000000000000007</v>
      </c>
      <c r="E32" s="240" t="str">
        <f t="shared" si="0"/>
        <v/>
      </c>
      <c r="F32" s="240">
        <f t="shared" si="1"/>
        <v>0.75032412332709464</v>
      </c>
      <c r="G32" s="240" t="str">
        <f t="shared" si="2"/>
        <v/>
      </c>
      <c r="H32" s="240" t="str">
        <f t="shared" si="3"/>
        <v/>
      </c>
    </row>
    <row r="33" spans="1:12" x14ac:dyDescent="0.25">
      <c r="A33" s="6" t="s">
        <v>46</v>
      </c>
      <c r="B33" s="23">
        <v>1.0714542096260473</v>
      </c>
      <c r="C33">
        <v>3.8</v>
      </c>
      <c r="D33">
        <v>5.5</v>
      </c>
      <c r="E33" s="240" t="str">
        <f t="shared" si="0"/>
        <v/>
      </c>
      <c r="F33" s="240" t="str">
        <f t="shared" si="1"/>
        <v/>
      </c>
      <c r="G33" s="240" t="str">
        <f t="shared" si="2"/>
        <v/>
      </c>
      <c r="H33" s="240">
        <f t="shared" si="3"/>
        <v>1.0714542096260473</v>
      </c>
    </row>
    <row r="34" spans="1:12" x14ac:dyDescent="0.25">
      <c r="A34" s="6" t="s">
        <v>47</v>
      </c>
      <c r="B34" s="23">
        <v>1.0057836813176835</v>
      </c>
      <c r="C34">
        <v>6</v>
      </c>
      <c r="D34">
        <v>2.5</v>
      </c>
      <c r="E34" s="240" t="str">
        <f t="shared" si="0"/>
        <v/>
      </c>
      <c r="F34" s="240" t="str">
        <f t="shared" si="1"/>
        <v/>
      </c>
      <c r="G34" s="240" t="str">
        <f t="shared" si="2"/>
        <v/>
      </c>
      <c r="H34" s="240">
        <f t="shared" si="3"/>
        <v>1.0057836813176835</v>
      </c>
    </row>
    <row r="35" spans="1:12" x14ac:dyDescent="0.25">
      <c r="A35" s="6" t="s">
        <v>48</v>
      </c>
      <c r="B35" s="23">
        <v>0.95441350775343792</v>
      </c>
      <c r="C35">
        <v>6.6</v>
      </c>
      <c r="D35">
        <v>2.8</v>
      </c>
      <c r="E35" s="240" t="str">
        <f t="shared" si="0"/>
        <v/>
      </c>
      <c r="F35" s="240" t="str">
        <f t="shared" si="1"/>
        <v/>
      </c>
      <c r="G35" s="240" t="str">
        <f t="shared" si="2"/>
        <v/>
      </c>
      <c r="H35" s="240">
        <f t="shared" si="3"/>
        <v>0.95441350775343792</v>
      </c>
    </row>
    <row r="36" spans="1:12" x14ac:dyDescent="0.25">
      <c r="A36" s="6" t="s">
        <v>49</v>
      </c>
      <c r="B36" s="23">
        <v>0.88940245341961555</v>
      </c>
      <c r="C36">
        <v>8.5</v>
      </c>
      <c r="D36">
        <v>8.1</v>
      </c>
      <c r="E36" s="240" t="str">
        <f t="shared" si="0"/>
        <v/>
      </c>
      <c r="F36" s="240" t="str">
        <f t="shared" si="1"/>
        <v/>
      </c>
      <c r="G36" s="240">
        <f t="shared" si="2"/>
        <v>0.88940245341961555</v>
      </c>
      <c r="H36" s="240" t="str">
        <f t="shared" si="3"/>
        <v/>
      </c>
    </row>
    <row r="37" spans="1:12" x14ac:dyDescent="0.25">
      <c r="A37" s="6" t="s">
        <v>50</v>
      </c>
      <c r="B37" s="23">
        <v>1.1326611840205558</v>
      </c>
      <c r="C37">
        <v>2.5</v>
      </c>
      <c r="D37">
        <v>3.8</v>
      </c>
      <c r="E37" s="240" t="str">
        <f t="shared" si="0"/>
        <v/>
      </c>
      <c r="F37" s="240" t="str">
        <f t="shared" si="1"/>
        <v/>
      </c>
      <c r="G37" s="240" t="str">
        <f t="shared" si="2"/>
        <v/>
      </c>
      <c r="H37" s="240">
        <f t="shared" si="3"/>
        <v>1.1326611840205558</v>
      </c>
    </row>
    <row r="38" spans="1:12" x14ac:dyDescent="0.25">
      <c r="A38" s="6" t="s">
        <v>701</v>
      </c>
      <c r="B38" s="23">
        <v>0.9920659903798752</v>
      </c>
      <c r="C38"/>
      <c r="D38"/>
      <c r="E38" s="240"/>
      <c r="F38" s="240"/>
      <c r="G38" s="240"/>
      <c r="H38" s="240"/>
    </row>
    <row r="39" spans="1:12" x14ac:dyDescent="0.25">
      <c r="A39"/>
      <c r="B39"/>
      <c r="C39"/>
      <c r="D39"/>
      <c r="E39"/>
      <c r="F39"/>
      <c r="G39"/>
      <c r="H39"/>
    </row>
    <row r="40" spans="1:12" ht="13" x14ac:dyDescent="0.3">
      <c r="A40"/>
      <c r="B40"/>
      <c r="C40"/>
      <c r="D40"/>
      <c r="E40"/>
      <c r="F40"/>
      <c r="G40"/>
      <c r="H40"/>
      <c r="L40" s="273" t="s">
        <v>964</v>
      </c>
    </row>
    <row r="41" spans="1:12" ht="13" x14ac:dyDescent="0.3">
      <c r="A41" s="22" t="s">
        <v>4</v>
      </c>
      <c r="B41" s="22" t="s">
        <v>724</v>
      </c>
      <c r="C41" s="22" t="s">
        <v>725</v>
      </c>
      <c r="D41" s="22" t="s">
        <v>726</v>
      </c>
      <c r="E41" s="22" t="s">
        <v>731</v>
      </c>
      <c r="F41" s="22" t="s">
        <v>732</v>
      </c>
      <c r="G41"/>
      <c r="H41"/>
    </row>
    <row r="42" spans="1:12" x14ac:dyDescent="0.25">
      <c r="A42" s="1" t="s">
        <v>700</v>
      </c>
      <c r="B42" t="s">
        <v>695</v>
      </c>
      <c r="C42"/>
      <c r="D42"/>
      <c r="E42"/>
      <c r="F42"/>
      <c r="G42"/>
      <c r="H42"/>
    </row>
    <row r="43" spans="1:12" x14ac:dyDescent="0.25">
      <c r="A43" s="6" t="s">
        <v>17</v>
      </c>
      <c r="B43" s="23">
        <v>8.8368760449008835E-2</v>
      </c>
      <c r="C43">
        <v>4.5</v>
      </c>
      <c r="D43">
        <v>6</v>
      </c>
      <c r="E43" s="28">
        <f>IF(B43&lt;=0.1,B43,"")</f>
        <v>8.8368760449008835E-2</v>
      </c>
      <c r="F43" s="28" t="str">
        <f>IF(B43&gt;0.1,B43,"")</f>
        <v/>
      </c>
      <c r="G43"/>
      <c r="H43"/>
    </row>
    <row r="44" spans="1:12" x14ac:dyDescent="0.25">
      <c r="A44" s="6" t="s">
        <v>18</v>
      </c>
      <c r="B44" s="23">
        <v>4.1440867070449472E-2</v>
      </c>
      <c r="C44">
        <v>8.6999999999999993</v>
      </c>
      <c r="D44">
        <v>4</v>
      </c>
      <c r="E44" s="28">
        <f t="shared" ref="E44:E76" si="4">IF(B44&lt;=0.1,B44,"")</f>
        <v>4.1440867070449472E-2</v>
      </c>
      <c r="F44" s="28" t="str">
        <f t="shared" ref="F44:F76" si="5">IF(B44&gt;0.1,B44,"")</f>
        <v/>
      </c>
      <c r="G44"/>
      <c r="H44"/>
      <c r="J44" s="54" t="str">
        <f>"Tx_Abandon Penta1 - Penta 3 au Nord Kivu de "&amp;Analyses_CV_AS!B7</f>
        <v>Tx_Abandon Penta1 - Penta 3 au Nord Kivu de Janvier-Octobre 2024</v>
      </c>
    </row>
    <row r="45" spans="1:12" x14ac:dyDescent="0.25">
      <c r="A45" s="6" t="s">
        <v>19</v>
      </c>
      <c r="B45" s="23">
        <v>0</v>
      </c>
      <c r="C45">
        <v>6.7</v>
      </c>
      <c r="D45">
        <v>8.8000000000000007</v>
      </c>
      <c r="E45" s="28">
        <f t="shared" si="4"/>
        <v>0</v>
      </c>
      <c r="F45" s="28" t="str">
        <f t="shared" si="5"/>
        <v/>
      </c>
      <c r="G45"/>
      <c r="H45"/>
    </row>
    <row r="46" spans="1:12" x14ac:dyDescent="0.25">
      <c r="A46" s="6" t="s">
        <v>20</v>
      </c>
      <c r="B46" s="23">
        <v>0.11972689587905389</v>
      </c>
      <c r="C46">
        <v>5</v>
      </c>
      <c r="D46">
        <v>8.3000000000000007</v>
      </c>
      <c r="E46" s="28" t="str">
        <f t="shared" si="4"/>
        <v/>
      </c>
      <c r="F46" s="28">
        <f t="shared" si="5"/>
        <v>0.11972689587905389</v>
      </c>
      <c r="G46"/>
      <c r="H46"/>
    </row>
    <row r="47" spans="1:12" x14ac:dyDescent="0.25">
      <c r="A47" s="6" t="s">
        <v>21</v>
      </c>
      <c r="B47" s="23">
        <v>0</v>
      </c>
      <c r="C47">
        <v>6.3</v>
      </c>
      <c r="D47">
        <v>4</v>
      </c>
      <c r="E47" s="28">
        <f t="shared" si="4"/>
        <v>0</v>
      </c>
      <c r="F47" s="28" t="str">
        <f t="shared" si="5"/>
        <v/>
      </c>
      <c r="G47"/>
      <c r="H47"/>
    </row>
    <row r="48" spans="1:12" x14ac:dyDescent="0.25">
      <c r="A48" s="6" t="s">
        <v>22</v>
      </c>
      <c r="B48" s="23">
        <v>7.6256022023399858E-2</v>
      </c>
      <c r="C48">
        <v>7.6</v>
      </c>
      <c r="D48">
        <v>4.3</v>
      </c>
      <c r="E48" s="28">
        <f t="shared" si="4"/>
        <v>7.6256022023399858E-2</v>
      </c>
      <c r="F48" s="28" t="str">
        <f t="shared" si="5"/>
        <v/>
      </c>
      <c r="G48"/>
      <c r="H48"/>
    </row>
    <row r="49" spans="1:8" x14ac:dyDescent="0.25">
      <c r="A49" s="6" t="s">
        <v>23</v>
      </c>
      <c r="B49" s="23">
        <v>9.2843326885880081E-2</v>
      </c>
      <c r="C49">
        <v>8</v>
      </c>
      <c r="D49">
        <v>6.8</v>
      </c>
      <c r="E49" s="28">
        <f t="shared" si="4"/>
        <v>9.2843326885880081E-2</v>
      </c>
      <c r="F49" s="28" t="str">
        <f t="shared" si="5"/>
        <v/>
      </c>
      <c r="G49"/>
      <c r="H49"/>
    </row>
    <row r="50" spans="1:8" x14ac:dyDescent="0.25">
      <c r="A50" s="6" t="s">
        <v>24</v>
      </c>
      <c r="B50" s="23">
        <v>6.0819251758827013E-2</v>
      </c>
      <c r="C50">
        <v>6.7</v>
      </c>
      <c r="D50">
        <v>0.8</v>
      </c>
      <c r="E50" s="28">
        <f t="shared" si="4"/>
        <v>6.0819251758827013E-2</v>
      </c>
      <c r="F50" s="28" t="str">
        <f t="shared" si="5"/>
        <v/>
      </c>
      <c r="G50"/>
      <c r="H50"/>
    </row>
    <row r="51" spans="1:8" x14ac:dyDescent="0.25">
      <c r="A51" s="6" t="s">
        <v>25</v>
      </c>
      <c r="B51" s="23">
        <v>1.3721185510428102E-3</v>
      </c>
      <c r="C51">
        <v>3</v>
      </c>
      <c r="D51">
        <v>1</v>
      </c>
      <c r="E51" s="28">
        <f t="shared" si="4"/>
        <v>1.3721185510428102E-3</v>
      </c>
      <c r="F51" s="28" t="str">
        <f t="shared" si="5"/>
        <v/>
      </c>
      <c r="G51"/>
      <c r="H51"/>
    </row>
    <row r="52" spans="1:8" x14ac:dyDescent="0.25">
      <c r="A52" s="6" t="s">
        <v>26</v>
      </c>
      <c r="B52" s="23">
        <v>1.6783643576441867E-2</v>
      </c>
      <c r="C52">
        <v>6</v>
      </c>
      <c r="D52">
        <v>8.5</v>
      </c>
      <c r="E52" s="28">
        <f t="shared" si="4"/>
        <v>1.6783643576441867E-2</v>
      </c>
      <c r="F52" s="28" t="str">
        <f t="shared" si="5"/>
        <v/>
      </c>
      <c r="G52"/>
      <c r="H52"/>
    </row>
    <row r="53" spans="1:8" x14ac:dyDescent="0.25">
      <c r="A53" s="6" t="s">
        <v>27</v>
      </c>
      <c r="B53" s="23">
        <v>8.9631974673525919E-2</v>
      </c>
      <c r="C53">
        <v>7.5</v>
      </c>
      <c r="D53">
        <v>9.8000000000000007</v>
      </c>
      <c r="E53" s="28">
        <f t="shared" si="4"/>
        <v>8.9631974673525919E-2</v>
      </c>
      <c r="F53" s="28" t="str">
        <f t="shared" si="5"/>
        <v/>
      </c>
      <c r="G53"/>
      <c r="H53"/>
    </row>
    <row r="54" spans="1:8" x14ac:dyDescent="0.25">
      <c r="A54" s="6" t="s">
        <v>28</v>
      </c>
      <c r="B54" s="23">
        <v>0.11797381298770004</v>
      </c>
      <c r="C54">
        <v>7.2</v>
      </c>
      <c r="D54">
        <v>1.4</v>
      </c>
      <c r="E54" s="28" t="str">
        <f t="shared" si="4"/>
        <v/>
      </c>
      <c r="F54" s="28">
        <f t="shared" si="5"/>
        <v>0.11797381298770004</v>
      </c>
      <c r="G54"/>
      <c r="H54"/>
    </row>
    <row r="55" spans="1:8" x14ac:dyDescent="0.25">
      <c r="A55" s="6" t="s">
        <v>29</v>
      </c>
      <c r="B55" s="23">
        <v>3.8077548177385651E-2</v>
      </c>
      <c r="C55">
        <v>4.5</v>
      </c>
      <c r="D55">
        <v>1.2</v>
      </c>
      <c r="E55" s="28">
        <f t="shared" si="4"/>
        <v>3.8077548177385651E-2</v>
      </c>
      <c r="F55" s="28" t="str">
        <f t="shared" si="5"/>
        <v/>
      </c>
      <c r="G55"/>
      <c r="H55"/>
    </row>
    <row r="56" spans="1:8" x14ac:dyDescent="0.25">
      <c r="A56" s="6" t="s">
        <v>30</v>
      </c>
      <c r="B56" s="23">
        <v>0</v>
      </c>
      <c r="C56">
        <v>9</v>
      </c>
      <c r="D56">
        <v>6.3</v>
      </c>
      <c r="E56" s="28">
        <f t="shared" si="4"/>
        <v>0</v>
      </c>
      <c r="F56" s="28" t="str">
        <f t="shared" si="5"/>
        <v/>
      </c>
      <c r="G56"/>
      <c r="H56"/>
    </row>
    <row r="57" spans="1:8" x14ac:dyDescent="0.25">
      <c r="A57" s="6" t="s">
        <v>31</v>
      </c>
      <c r="B57" s="23">
        <v>0.11549149010072941</v>
      </c>
      <c r="C57">
        <v>5.7</v>
      </c>
      <c r="D57">
        <v>5.2</v>
      </c>
      <c r="E57" s="28" t="str">
        <f t="shared" si="4"/>
        <v/>
      </c>
      <c r="F57" s="28">
        <f t="shared" si="5"/>
        <v>0.11549149010072941</v>
      </c>
      <c r="G57"/>
      <c r="H57"/>
    </row>
    <row r="58" spans="1:8" x14ac:dyDescent="0.25">
      <c r="A58" s="6" t="s">
        <v>32</v>
      </c>
      <c r="B58" s="23">
        <v>6.0421328806235047E-2</v>
      </c>
      <c r="C58">
        <v>5.3</v>
      </c>
      <c r="D58">
        <v>4.0999999999999996</v>
      </c>
      <c r="E58" s="28">
        <f t="shared" si="4"/>
        <v>6.0421328806235047E-2</v>
      </c>
      <c r="F58" s="28" t="str">
        <f t="shared" si="5"/>
        <v/>
      </c>
      <c r="G58"/>
      <c r="H58"/>
    </row>
    <row r="59" spans="1:8" x14ac:dyDescent="0.25">
      <c r="A59" s="6" t="s">
        <v>33</v>
      </c>
      <c r="B59" s="23">
        <v>6.0015003750937733E-2</v>
      </c>
      <c r="C59">
        <v>4</v>
      </c>
      <c r="D59">
        <v>2.7</v>
      </c>
      <c r="E59" s="28">
        <f t="shared" si="4"/>
        <v>6.0015003750937733E-2</v>
      </c>
      <c r="F59" s="28" t="str">
        <f t="shared" si="5"/>
        <v/>
      </c>
      <c r="G59"/>
      <c r="H59"/>
    </row>
    <row r="60" spans="1:8" x14ac:dyDescent="0.25">
      <c r="A60" s="6" t="s">
        <v>34</v>
      </c>
      <c r="B60" s="23">
        <v>0.12237687366167023</v>
      </c>
      <c r="C60">
        <v>5</v>
      </c>
      <c r="D60">
        <v>1.7</v>
      </c>
      <c r="E60" s="28" t="str">
        <f t="shared" si="4"/>
        <v/>
      </c>
      <c r="F60" s="28">
        <f t="shared" si="5"/>
        <v>0.12237687366167023</v>
      </c>
      <c r="G60"/>
      <c r="H60"/>
    </row>
    <row r="61" spans="1:8" x14ac:dyDescent="0.25">
      <c r="A61" s="6" t="s">
        <v>35</v>
      </c>
      <c r="B61" s="23">
        <v>2.0535857532488367E-2</v>
      </c>
      <c r="C61">
        <v>6.4</v>
      </c>
      <c r="D61">
        <v>7.4</v>
      </c>
      <c r="E61" s="28">
        <f t="shared" si="4"/>
        <v>2.0535857532488367E-2</v>
      </c>
      <c r="F61" s="28" t="str">
        <f t="shared" si="5"/>
        <v/>
      </c>
      <c r="G61"/>
      <c r="H61"/>
    </row>
    <row r="62" spans="1:8" x14ac:dyDescent="0.25">
      <c r="A62" s="6" t="s">
        <v>36</v>
      </c>
      <c r="B62" s="23">
        <v>1.4363885088919288E-2</v>
      </c>
      <c r="C62">
        <v>4.7</v>
      </c>
      <c r="D62">
        <v>6.7</v>
      </c>
      <c r="E62" s="28">
        <f t="shared" si="4"/>
        <v>1.4363885088919288E-2</v>
      </c>
      <c r="F62" s="28" t="str">
        <f t="shared" si="5"/>
        <v/>
      </c>
      <c r="G62"/>
      <c r="H62"/>
    </row>
    <row r="63" spans="1:8" x14ac:dyDescent="0.25">
      <c r="A63" s="6" t="s">
        <v>37</v>
      </c>
      <c r="B63" s="23">
        <v>2.4254029041008457E-2</v>
      </c>
      <c r="C63">
        <v>5.5</v>
      </c>
      <c r="D63">
        <v>9.3000000000000007</v>
      </c>
      <c r="E63" s="28">
        <f t="shared" si="4"/>
        <v>2.4254029041008457E-2</v>
      </c>
      <c r="F63" s="28" t="str">
        <f t="shared" si="5"/>
        <v/>
      </c>
      <c r="G63"/>
      <c r="H63"/>
    </row>
    <row r="64" spans="1:8" x14ac:dyDescent="0.25">
      <c r="A64" s="6" t="s">
        <v>38</v>
      </c>
      <c r="B64" s="23">
        <v>0.18666666666666668</v>
      </c>
      <c r="C64">
        <v>4</v>
      </c>
      <c r="D64">
        <v>8</v>
      </c>
      <c r="E64" s="28" t="str">
        <f t="shared" si="4"/>
        <v/>
      </c>
      <c r="F64" s="28">
        <f t="shared" si="5"/>
        <v>0.18666666666666668</v>
      </c>
      <c r="G64"/>
      <c r="H64"/>
    </row>
    <row r="65" spans="1:8" x14ac:dyDescent="0.25">
      <c r="A65" s="6" t="s">
        <v>39</v>
      </c>
      <c r="B65" s="23">
        <v>5.6056236481614993E-2</v>
      </c>
      <c r="C65">
        <v>5.8</v>
      </c>
      <c r="D65">
        <v>6.9</v>
      </c>
      <c r="E65" s="28">
        <f t="shared" si="4"/>
        <v>5.6056236481614993E-2</v>
      </c>
      <c r="F65" s="28" t="str">
        <f t="shared" si="5"/>
        <v/>
      </c>
      <c r="G65"/>
      <c r="H65"/>
    </row>
    <row r="66" spans="1:8" x14ac:dyDescent="0.25">
      <c r="A66" s="6" t="s">
        <v>40</v>
      </c>
      <c r="B66" s="23">
        <v>9.4758956214064577E-2</v>
      </c>
      <c r="C66">
        <v>4.7</v>
      </c>
      <c r="D66">
        <v>2.4</v>
      </c>
      <c r="E66" s="28">
        <f t="shared" si="4"/>
        <v>9.4758956214064577E-2</v>
      </c>
      <c r="F66" s="28" t="str">
        <f t="shared" si="5"/>
        <v/>
      </c>
      <c r="G66"/>
      <c r="H66"/>
    </row>
    <row r="67" spans="1:8" x14ac:dyDescent="0.25">
      <c r="A67" s="6" t="s">
        <v>41</v>
      </c>
      <c r="B67" s="23">
        <v>2.232189423177219E-2</v>
      </c>
      <c r="C67">
        <v>4.3</v>
      </c>
      <c r="D67">
        <v>7.2</v>
      </c>
      <c r="E67" s="28">
        <f t="shared" si="4"/>
        <v>2.232189423177219E-2</v>
      </c>
      <c r="F67" s="28" t="str">
        <f t="shared" si="5"/>
        <v/>
      </c>
      <c r="G67"/>
      <c r="H67"/>
    </row>
    <row r="68" spans="1:8" x14ac:dyDescent="0.25">
      <c r="A68" s="6" t="s">
        <v>42</v>
      </c>
      <c r="B68" s="23">
        <v>0.11664418005642095</v>
      </c>
      <c r="C68">
        <v>7.2</v>
      </c>
      <c r="D68">
        <v>8.4</v>
      </c>
      <c r="E68" s="28" t="str">
        <f t="shared" si="4"/>
        <v/>
      </c>
      <c r="F68" s="28">
        <f t="shared" si="5"/>
        <v>0.11664418005642095</v>
      </c>
      <c r="G68"/>
      <c r="H68"/>
    </row>
    <row r="69" spans="1:8" x14ac:dyDescent="0.25">
      <c r="A69" s="6" t="s">
        <v>43</v>
      </c>
      <c r="B69" s="23">
        <v>4.2858943653094665E-2</v>
      </c>
      <c r="C69">
        <v>5</v>
      </c>
      <c r="D69">
        <v>3.5</v>
      </c>
      <c r="E69" s="28">
        <f t="shared" si="4"/>
        <v>4.2858943653094665E-2</v>
      </c>
      <c r="F69" s="28" t="str">
        <f t="shared" si="5"/>
        <v/>
      </c>
      <c r="G69"/>
      <c r="H69"/>
    </row>
    <row r="70" spans="1:8" x14ac:dyDescent="0.25">
      <c r="A70" s="6" t="s">
        <v>44</v>
      </c>
      <c r="B70" s="23">
        <v>0</v>
      </c>
      <c r="C70">
        <v>8.1999999999999993</v>
      </c>
      <c r="D70">
        <v>1</v>
      </c>
      <c r="E70" s="28">
        <f t="shared" si="4"/>
        <v>0</v>
      </c>
      <c r="F70" s="28" t="str">
        <f t="shared" si="5"/>
        <v/>
      </c>
      <c r="G70"/>
      <c r="H70"/>
    </row>
    <row r="71" spans="1:8" x14ac:dyDescent="0.25">
      <c r="A71" s="6" t="s">
        <v>45</v>
      </c>
      <c r="B71" s="23">
        <v>3.0099502487562189E-2</v>
      </c>
      <c r="C71">
        <v>6.2</v>
      </c>
      <c r="D71">
        <v>9.6999999999999993</v>
      </c>
      <c r="E71" s="28">
        <f t="shared" si="4"/>
        <v>3.0099502487562189E-2</v>
      </c>
      <c r="F71" s="28" t="str">
        <f t="shared" si="5"/>
        <v/>
      </c>
      <c r="G71"/>
      <c r="H71"/>
    </row>
    <row r="72" spans="1:8" x14ac:dyDescent="0.25">
      <c r="A72" s="6" t="s">
        <v>46</v>
      </c>
      <c r="B72" s="23">
        <v>4.0200286123032905E-2</v>
      </c>
      <c r="C72">
        <v>3.8</v>
      </c>
      <c r="D72">
        <v>5.5</v>
      </c>
      <c r="E72" s="28">
        <f t="shared" si="4"/>
        <v>4.0200286123032905E-2</v>
      </c>
      <c r="F72" s="28" t="str">
        <f t="shared" si="5"/>
        <v/>
      </c>
      <c r="G72"/>
      <c r="H72"/>
    </row>
    <row r="73" spans="1:8" x14ac:dyDescent="0.25">
      <c r="A73" s="6" t="s">
        <v>47</v>
      </c>
      <c r="B73" s="23">
        <v>5.0800825390586619E-2</v>
      </c>
      <c r="C73">
        <v>6</v>
      </c>
      <c r="D73">
        <v>2.5</v>
      </c>
      <c r="E73" s="28">
        <f t="shared" si="4"/>
        <v>5.0800825390586619E-2</v>
      </c>
      <c r="F73" s="28" t="str">
        <f t="shared" si="5"/>
        <v/>
      </c>
      <c r="G73"/>
      <c r="H73"/>
    </row>
    <row r="74" spans="1:8" x14ac:dyDescent="0.25">
      <c r="A74" s="6" t="s">
        <v>48</v>
      </c>
      <c r="B74" s="23">
        <v>3.2637884734558975E-2</v>
      </c>
      <c r="C74">
        <v>6.6</v>
      </c>
      <c r="D74">
        <v>2.8</v>
      </c>
      <c r="E74" s="28">
        <f t="shared" si="4"/>
        <v>3.2637884734558975E-2</v>
      </c>
      <c r="F74" s="28" t="str">
        <f t="shared" si="5"/>
        <v/>
      </c>
      <c r="G74"/>
      <c r="H74"/>
    </row>
    <row r="75" spans="1:8" x14ac:dyDescent="0.25">
      <c r="A75" s="6" t="s">
        <v>49</v>
      </c>
      <c r="B75" s="23">
        <v>1.8764073054791094E-2</v>
      </c>
      <c r="C75">
        <v>8.5</v>
      </c>
      <c r="D75">
        <v>8.1</v>
      </c>
      <c r="E75" s="28">
        <f t="shared" si="4"/>
        <v>1.8764073054791094E-2</v>
      </c>
      <c r="F75" s="28" t="str">
        <f t="shared" si="5"/>
        <v/>
      </c>
      <c r="G75"/>
      <c r="H75"/>
    </row>
    <row r="76" spans="1:8" x14ac:dyDescent="0.25">
      <c r="A76" s="6" t="s">
        <v>50</v>
      </c>
      <c r="B76" s="23">
        <v>2.7235134749750464E-2</v>
      </c>
      <c r="C76">
        <v>2.5</v>
      </c>
      <c r="D76">
        <v>3.8</v>
      </c>
      <c r="E76" s="28">
        <f t="shared" si="4"/>
        <v>2.7235134749750464E-2</v>
      </c>
      <c r="F76" s="28" t="str">
        <f t="shared" si="5"/>
        <v/>
      </c>
      <c r="G76"/>
      <c r="H76"/>
    </row>
    <row r="77" spans="1:8" x14ac:dyDescent="0.25">
      <c r="A77" s="6" t="s">
        <v>701</v>
      </c>
      <c r="B77" s="23">
        <v>4.4314160784482075E-2</v>
      </c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/>
      <c r="F79"/>
      <c r="G79"/>
      <c r="H79"/>
    </row>
    <row r="80" spans="1:8" x14ac:dyDescent="0.25">
      <c r="A80"/>
      <c r="B80"/>
      <c r="C80"/>
      <c r="D80"/>
      <c r="E80" s="24">
        <v>10</v>
      </c>
      <c r="F80"/>
      <c r="G80"/>
      <c r="H80"/>
    </row>
    <row r="81" spans="1:10" ht="13" x14ac:dyDescent="0.3">
      <c r="A81" s="22" t="s">
        <v>4</v>
      </c>
      <c r="B81" s="22" t="s">
        <v>733</v>
      </c>
      <c r="C81" s="22" t="s">
        <v>725</v>
      </c>
      <c r="D81" s="22" t="s">
        <v>726</v>
      </c>
      <c r="E81" s="22" t="s">
        <v>734</v>
      </c>
      <c r="F81" s="22" t="s">
        <v>735</v>
      </c>
      <c r="G81" s="22" t="s">
        <v>736</v>
      </c>
      <c r="H81" s="22" t="s">
        <v>737</v>
      </c>
    </row>
    <row r="82" spans="1:10" x14ac:dyDescent="0.25">
      <c r="A82" t="s">
        <v>17</v>
      </c>
      <c r="B82" s="23" t="str">
        <f>VLOOKUP(A82,Analyses_CV_ZS!C15:AC52,27,FALSE)</f>
        <v>CAT1</v>
      </c>
      <c r="C82" s="25">
        <v>4.5</v>
      </c>
      <c r="D82" s="25">
        <v>6</v>
      </c>
      <c r="E82" s="241">
        <f>IF(B82="CAT1",$E$80,"")</f>
        <v>10</v>
      </c>
      <c r="F82" s="241" t="str">
        <f>IF(B82="CAT2",$E$80,"")</f>
        <v/>
      </c>
      <c r="G82" s="241" t="str">
        <f>IF(B82="CAT3",$E$80,"")</f>
        <v/>
      </c>
      <c r="H82" s="241" t="str">
        <f>IF(B82="CAT4",$E$80,"")</f>
        <v/>
      </c>
    </row>
    <row r="83" spans="1:10" x14ac:dyDescent="0.25">
      <c r="A83" t="s">
        <v>18</v>
      </c>
      <c r="B83" s="23" t="str">
        <f>VLOOKUP(A83,Analyses_CV_ZS!C16:AC53,27,FALSE)</f>
        <v>CAT1</v>
      </c>
      <c r="C83" s="25">
        <v>8.6999999999999993</v>
      </c>
      <c r="D83" s="25">
        <v>4</v>
      </c>
      <c r="E83" s="241">
        <f t="shared" ref="E83:E115" si="6">IF(B83="CAT1",$E$80,"")</f>
        <v>10</v>
      </c>
      <c r="F83" s="241" t="str">
        <f t="shared" ref="F83:F115" si="7">IF(B83="CAT2",$E$80,"")</f>
        <v/>
      </c>
      <c r="G83" s="241" t="str">
        <f t="shared" ref="G83:G115" si="8">IF(B83="CAT3",$E$80,"")</f>
        <v/>
      </c>
      <c r="H83" s="241" t="str">
        <f t="shared" ref="H83:H115" si="9">IF(B83="CAT4",$E$80,"")</f>
        <v/>
      </c>
      <c r="J83" s="54" t="str">
        <f>"Stratification des ZS par Catégores de "&amp;Analyses_CV_AS!B7</f>
        <v>Stratification des ZS par Catégores de Janvier-Octobre 2024</v>
      </c>
    </row>
    <row r="84" spans="1:10" x14ac:dyDescent="0.25">
      <c r="A84" t="s">
        <v>19</v>
      </c>
      <c r="B84" s="23" t="str">
        <f>VLOOKUP(A84,Analyses_CV_ZS!C17:AC54,27,FALSE)</f>
        <v>CAT1</v>
      </c>
      <c r="C84" s="25">
        <v>6.7</v>
      </c>
      <c r="D84" s="25">
        <v>8.8000000000000007</v>
      </c>
      <c r="E84" s="241">
        <f t="shared" si="6"/>
        <v>10</v>
      </c>
      <c r="F84" s="241" t="str">
        <f t="shared" si="7"/>
        <v/>
      </c>
      <c r="G84" s="241" t="str">
        <f t="shared" si="8"/>
        <v/>
      </c>
      <c r="H84" s="241" t="str">
        <f t="shared" si="9"/>
        <v/>
      </c>
    </row>
    <row r="85" spans="1:10" x14ac:dyDescent="0.25">
      <c r="A85" t="s">
        <v>20</v>
      </c>
      <c r="B85" s="23" t="str">
        <f>VLOOKUP(A85,Analyses_CV_ZS!C18:AC55,27,FALSE)</f>
        <v>CAT4</v>
      </c>
      <c r="C85" s="25">
        <v>5</v>
      </c>
      <c r="D85" s="25">
        <v>8.3000000000000007</v>
      </c>
      <c r="E85" s="241" t="str">
        <f t="shared" si="6"/>
        <v/>
      </c>
      <c r="F85" s="241" t="str">
        <f t="shared" si="7"/>
        <v/>
      </c>
      <c r="G85" s="241" t="str">
        <f t="shared" si="8"/>
        <v/>
      </c>
      <c r="H85" s="241">
        <f t="shared" si="9"/>
        <v>10</v>
      </c>
    </row>
    <row r="86" spans="1:10" x14ac:dyDescent="0.25">
      <c r="A86" t="s">
        <v>21</v>
      </c>
      <c r="B86" s="23" t="str">
        <f>VLOOKUP(A86,Analyses_CV_ZS!C19:AC56,27,FALSE)</f>
        <v>CAT1</v>
      </c>
      <c r="C86" s="25">
        <v>6.3</v>
      </c>
      <c r="D86" s="25">
        <v>4</v>
      </c>
      <c r="E86" s="241">
        <f t="shared" si="6"/>
        <v>10</v>
      </c>
      <c r="F86" s="241" t="str">
        <f t="shared" si="7"/>
        <v/>
      </c>
      <c r="G86" s="241" t="str">
        <f t="shared" si="8"/>
        <v/>
      </c>
      <c r="H86" s="241" t="str">
        <f t="shared" si="9"/>
        <v/>
      </c>
    </row>
    <row r="87" spans="1:10" x14ac:dyDescent="0.25">
      <c r="A87" t="s">
        <v>22</v>
      </c>
      <c r="B87" s="23" t="str">
        <f>VLOOKUP(A87,Analyses_CV_ZS!C20:AC57,27,FALSE)</f>
        <v>CAT1</v>
      </c>
      <c r="C87" s="25">
        <v>7.6</v>
      </c>
      <c r="D87" s="25">
        <v>4.3</v>
      </c>
      <c r="E87" s="241">
        <f t="shared" si="6"/>
        <v>10</v>
      </c>
      <c r="F87" s="241" t="str">
        <f t="shared" si="7"/>
        <v/>
      </c>
      <c r="G87" s="241" t="str">
        <f t="shared" si="8"/>
        <v/>
      </c>
      <c r="H87" s="241" t="str">
        <f t="shared" si="9"/>
        <v/>
      </c>
    </row>
    <row r="88" spans="1:10" x14ac:dyDescent="0.25">
      <c r="A88" t="s">
        <v>23</v>
      </c>
      <c r="B88" s="23" t="str">
        <f>VLOOKUP(A88,Analyses_CV_ZS!C21:AC58,27,FALSE)</f>
        <v>CAT3</v>
      </c>
      <c r="C88" s="25">
        <v>8</v>
      </c>
      <c r="D88" s="25">
        <v>6.8</v>
      </c>
      <c r="E88" s="241" t="str">
        <f t="shared" si="6"/>
        <v/>
      </c>
      <c r="F88" s="241" t="str">
        <f t="shared" si="7"/>
        <v/>
      </c>
      <c r="G88" s="241">
        <f t="shared" si="8"/>
        <v>10</v>
      </c>
      <c r="H88" s="241" t="str">
        <f t="shared" si="9"/>
        <v/>
      </c>
    </row>
    <row r="89" spans="1:10" x14ac:dyDescent="0.25">
      <c r="A89" t="s">
        <v>24</v>
      </c>
      <c r="B89" s="23" t="str">
        <f>VLOOKUP(A89,Analyses_CV_ZS!C22:AC59,27,FALSE)</f>
        <v>CAT1</v>
      </c>
      <c r="C89" s="25">
        <v>6.7</v>
      </c>
      <c r="D89" s="25">
        <v>0.8</v>
      </c>
      <c r="E89" s="241">
        <f t="shared" si="6"/>
        <v>10</v>
      </c>
      <c r="F89" s="241" t="str">
        <f t="shared" si="7"/>
        <v/>
      </c>
      <c r="G89" s="241" t="str">
        <f t="shared" si="8"/>
        <v/>
      </c>
      <c r="H89" s="241" t="str">
        <f t="shared" si="9"/>
        <v/>
      </c>
    </row>
    <row r="90" spans="1:10" x14ac:dyDescent="0.25">
      <c r="A90" t="s">
        <v>25</v>
      </c>
      <c r="B90" s="23" t="str">
        <f>VLOOKUP(A90,Analyses_CV_ZS!C23:AC60,27,FALSE)</f>
        <v>CAT1</v>
      </c>
      <c r="C90" s="25">
        <v>3</v>
      </c>
      <c r="D90" s="25">
        <v>1</v>
      </c>
      <c r="E90" s="241">
        <f t="shared" si="6"/>
        <v>10</v>
      </c>
      <c r="F90" s="241" t="str">
        <f t="shared" si="7"/>
        <v/>
      </c>
      <c r="G90" s="241" t="str">
        <f t="shared" si="8"/>
        <v/>
      </c>
      <c r="H90" s="241" t="str">
        <f t="shared" si="9"/>
        <v/>
      </c>
    </row>
    <row r="91" spans="1:10" x14ac:dyDescent="0.25">
      <c r="A91" t="s">
        <v>26</v>
      </c>
      <c r="B91" s="23" t="str">
        <f>VLOOKUP(A91,Analyses_CV_ZS!C24:AC61,27,FALSE)</f>
        <v>CAT1</v>
      </c>
      <c r="C91" s="25">
        <v>6</v>
      </c>
      <c r="D91" s="25">
        <v>8.5</v>
      </c>
      <c r="E91" s="241">
        <f t="shared" si="6"/>
        <v>10</v>
      </c>
      <c r="F91" s="241" t="str">
        <f t="shared" si="7"/>
        <v/>
      </c>
      <c r="G91" s="241" t="str">
        <f t="shared" si="8"/>
        <v/>
      </c>
      <c r="H91" s="241" t="str">
        <f t="shared" si="9"/>
        <v/>
      </c>
    </row>
    <row r="92" spans="1:10" x14ac:dyDescent="0.25">
      <c r="A92" t="s">
        <v>27</v>
      </c>
      <c r="B92" s="23" t="str">
        <f>VLOOKUP(A92,Analyses_CV_ZS!C25:AC62,27,FALSE)</f>
        <v>CAT1</v>
      </c>
      <c r="C92" s="25">
        <v>7.5</v>
      </c>
      <c r="D92" s="25">
        <v>9.8000000000000007</v>
      </c>
      <c r="E92" s="241">
        <f t="shared" si="6"/>
        <v>10</v>
      </c>
      <c r="F92" s="241" t="str">
        <f t="shared" si="7"/>
        <v/>
      </c>
      <c r="G92" s="241" t="str">
        <f t="shared" si="8"/>
        <v/>
      </c>
      <c r="H92" s="241" t="str">
        <f t="shared" si="9"/>
        <v/>
      </c>
    </row>
    <row r="93" spans="1:10" x14ac:dyDescent="0.25">
      <c r="A93" t="s">
        <v>28</v>
      </c>
      <c r="B93" s="23" t="str">
        <f>VLOOKUP(A93,Analyses_CV_ZS!C26:AC63,27,FALSE)</f>
        <v>CAT2</v>
      </c>
      <c r="C93" s="25">
        <v>7.2</v>
      </c>
      <c r="D93" s="25">
        <v>1.4</v>
      </c>
      <c r="E93" s="241" t="str">
        <f t="shared" si="6"/>
        <v/>
      </c>
      <c r="F93" s="241">
        <f t="shared" si="7"/>
        <v>10</v>
      </c>
      <c r="G93" s="241" t="str">
        <f t="shared" si="8"/>
        <v/>
      </c>
      <c r="H93" s="241" t="str">
        <f t="shared" si="9"/>
        <v/>
      </c>
    </row>
    <row r="94" spans="1:10" x14ac:dyDescent="0.25">
      <c r="A94" t="s">
        <v>29</v>
      </c>
      <c r="B94" s="23" t="str">
        <f>VLOOKUP(A94,Analyses_CV_ZS!C27:AC64,27,FALSE)</f>
        <v>CAT1</v>
      </c>
      <c r="C94" s="25">
        <v>4.5</v>
      </c>
      <c r="D94" s="25">
        <v>1.2</v>
      </c>
      <c r="E94" s="241">
        <f t="shared" si="6"/>
        <v>10</v>
      </c>
      <c r="F94" s="241" t="str">
        <f t="shared" si="7"/>
        <v/>
      </c>
      <c r="G94" s="241" t="str">
        <f t="shared" si="8"/>
        <v/>
      </c>
      <c r="H94" s="241" t="str">
        <f t="shared" si="9"/>
        <v/>
      </c>
    </row>
    <row r="95" spans="1:10" x14ac:dyDescent="0.25">
      <c r="A95" t="s">
        <v>30</v>
      </c>
      <c r="B95" s="23" t="str">
        <f>VLOOKUP(A95,Analyses_CV_ZS!C28:AC65,27,FALSE)</f>
        <v>CAT1</v>
      </c>
      <c r="C95" s="25">
        <v>9</v>
      </c>
      <c r="D95" s="25">
        <v>6.3</v>
      </c>
      <c r="E95" s="241">
        <f t="shared" si="6"/>
        <v>10</v>
      </c>
      <c r="F95" s="241" t="str">
        <f t="shared" si="7"/>
        <v/>
      </c>
      <c r="G95" s="241" t="str">
        <f t="shared" si="8"/>
        <v/>
      </c>
      <c r="H95" s="241" t="str">
        <f t="shared" si="9"/>
        <v/>
      </c>
    </row>
    <row r="96" spans="1:10" x14ac:dyDescent="0.25">
      <c r="A96" t="s">
        <v>31</v>
      </c>
      <c r="B96" s="23" t="str">
        <f>VLOOKUP(A96,Analyses_CV_ZS!C29:AC66,27,FALSE)</f>
        <v>CAT4</v>
      </c>
      <c r="C96" s="25">
        <v>5.8</v>
      </c>
      <c r="D96" s="25">
        <v>5.2</v>
      </c>
      <c r="E96" s="241" t="str">
        <f t="shared" si="6"/>
        <v/>
      </c>
      <c r="F96" s="241" t="str">
        <f t="shared" si="7"/>
        <v/>
      </c>
      <c r="G96" s="241" t="str">
        <f t="shared" si="8"/>
        <v/>
      </c>
      <c r="H96" s="241">
        <f t="shared" si="9"/>
        <v>10</v>
      </c>
    </row>
    <row r="97" spans="1:8" x14ac:dyDescent="0.25">
      <c r="A97" t="s">
        <v>32</v>
      </c>
      <c r="B97" s="23" t="str">
        <f>VLOOKUP(A97,Analyses_CV_ZS!C30:AC67,27,FALSE)</f>
        <v>CAT1</v>
      </c>
      <c r="C97" s="25">
        <v>5.3</v>
      </c>
      <c r="D97" s="25">
        <v>4.0999999999999996</v>
      </c>
      <c r="E97" s="241">
        <f t="shared" si="6"/>
        <v>10</v>
      </c>
      <c r="F97" s="241" t="str">
        <f t="shared" si="7"/>
        <v/>
      </c>
      <c r="G97" s="241" t="str">
        <f t="shared" si="8"/>
        <v/>
      </c>
      <c r="H97" s="241" t="str">
        <f t="shared" si="9"/>
        <v/>
      </c>
    </row>
    <row r="98" spans="1:8" x14ac:dyDescent="0.25">
      <c r="A98" t="s">
        <v>33</v>
      </c>
      <c r="B98" s="23" t="str">
        <f>VLOOKUP(A98,Analyses_CV_ZS!C31:AC68,27,FALSE)</f>
        <v>CAT1</v>
      </c>
      <c r="C98" s="25">
        <v>4</v>
      </c>
      <c r="D98" s="25">
        <v>2.7</v>
      </c>
      <c r="E98" s="241">
        <f t="shared" si="6"/>
        <v>10</v>
      </c>
      <c r="F98" s="241" t="str">
        <f t="shared" si="7"/>
        <v/>
      </c>
      <c r="G98" s="241" t="str">
        <f t="shared" si="8"/>
        <v/>
      </c>
      <c r="H98" s="241" t="str">
        <f t="shared" si="9"/>
        <v/>
      </c>
    </row>
    <row r="99" spans="1:8" x14ac:dyDescent="0.25">
      <c r="A99" t="s">
        <v>34</v>
      </c>
      <c r="B99" s="23" t="str">
        <f>VLOOKUP(A99,Analyses_CV_ZS!C32:AC69,27,FALSE)</f>
        <v>CAT4</v>
      </c>
      <c r="C99" s="25">
        <v>5</v>
      </c>
      <c r="D99" s="25">
        <v>1.7</v>
      </c>
      <c r="E99" s="241" t="str">
        <f t="shared" si="6"/>
        <v/>
      </c>
      <c r="F99" s="241" t="str">
        <f t="shared" si="7"/>
        <v/>
      </c>
      <c r="G99" s="241" t="str">
        <f t="shared" si="8"/>
        <v/>
      </c>
      <c r="H99" s="241">
        <f t="shared" si="9"/>
        <v>10</v>
      </c>
    </row>
    <row r="100" spans="1:8" x14ac:dyDescent="0.25">
      <c r="A100" t="s">
        <v>35</v>
      </c>
      <c r="B100" s="23" t="str">
        <f>VLOOKUP(A100,Analyses_CV_ZS!C33:AC70,27,FALSE)</f>
        <v>CAT1</v>
      </c>
      <c r="C100" s="25">
        <v>6.4</v>
      </c>
      <c r="D100" s="25">
        <v>7.4</v>
      </c>
      <c r="E100" s="241">
        <f t="shared" si="6"/>
        <v>10</v>
      </c>
      <c r="F100" s="241" t="str">
        <f t="shared" si="7"/>
        <v/>
      </c>
      <c r="G100" s="241" t="str">
        <f t="shared" si="8"/>
        <v/>
      </c>
      <c r="H100" s="241" t="str">
        <f t="shared" si="9"/>
        <v/>
      </c>
    </row>
    <row r="101" spans="1:8" x14ac:dyDescent="0.25">
      <c r="A101" t="s">
        <v>36</v>
      </c>
      <c r="B101" s="23" t="str">
        <f>VLOOKUP(A101,Analyses_CV_ZS!C34:AC71,27,FALSE)</f>
        <v>CAT1</v>
      </c>
      <c r="C101" s="25">
        <v>4.7</v>
      </c>
      <c r="D101" s="25">
        <v>6.7</v>
      </c>
      <c r="E101" s="241">
        <f t="shared" si="6"/>
        <v>10</v>
      </c>
      <c r="F101" s="241" t="str">
        <f t="shared" si="7"/>
        <v/>
      </c>
      <c r="G101" s="241" t="str">
        <f t="shared" si="8"/>
        <v/>
      </c>
      <c r="H101" s="241" t="str">
        <f t="shared" si="9"/>
        <v/>
      </c>
    </row>
    <row r="102" spans="1:8" x14ac:dyDescent="0.25">
      <c r="A102" t="s">
        <v>37</v>
      </c>
      <c r="B102" s="23" t="str">
        <f>VLOOKUP(A102,Analyses_CV_ZS!C35:AC72,27,FALSE)</f>
        <v>CAT3</v>
      </c>
      <c r="C102" s="25">
        <v>5.5</v>
      </c>
      <c r="D102" s="25">
        <v>9.3000000000000007</v>
      </c>
      <c r="E102" s="241" t="str">
        <f t="shared" si="6"/>
        <v/>
      </c>
      <c r="F102" s="241" t="str">
        <f t="shared" si="7"/>
        <v/>
      </c>
      <c r="G102" s="241">
        <f t="shared" si="8"/>
        <v>10</v>
      </c>
      <c r="H102" s="241" t="str">
        <f t="shared" si="9"/>
        <v/>
      </c>
    </row>
    <row r="103" spans="1:8" x14ac:dyDescent="0.25">
      <c r="A103" t="s">
        <v>38</v>
      </c>
      <c r="B103" s="23" t="str">
        <f>VLOOKUP(A103,Analyses_CV_ZS!C36:AC73,27,FALSE)</f>
        <v>CAT2</v>
      </c>
      <c r="C103" s="25">
        <v>3.7</v>
      </c>
      <c r="D103" s="25">
        <v>8.8000000000000007</v>
      </c>
      <c r="E103" s="241" t="str">
        <f t="shared" si="6"/>
        <v/>
      </c>
      <c r="F103" s="241">
        <f t="shared" si="7"/>
        <v>10</v>
      </c>
      <c r="G103" s="241" t="str">
        <f t="shared" si="8"/>
        <v/>
      </c>
      <c r="H103" s="241" t="str">
        <f t="shared" si="9"/>
        <v/>
      </c>
    </row>
    <row r="104" spans="1:8" x14ac:dyDescent="0.25">
      <c r="A104" t="s">
        <v>39</v>
      </c>
      <c r="B104" s="23" t="str">
        <f>VLOOKUP(A104,Analyses_CV_ZS!C37:AC74,27,FALSE)</f>
        <v>CAT1</v>
      </c>
      <c r="C104" s="25">
        <v>5.8</v>
      </c>
      <c r="D104" s="25">
        <v>6.9</v>
      </c>
      <c r="E104" s="241">
        <f t="shared" si="6"/>
        <v>10</v>
      </c>
      <c r="F104" s="241" t="str">
        <f t="shared" si="7"/>
        <v/>
      </c>
      <c r="G104" s="241" t="str">
        <f t="shared" si="8"/>
        <v/>
      </c>
      <c r="H104" s="241" t="str">
        <f t="shared" si="9"/>
        <v/>
      </c>
    </row>
    <row r="105" spans="1:8" x14ac:dyDescent="0.25">
      <c r="A105" t="s">
        <v>40</v>
      </c>
      <c r="B105" s="23" t="str">
        <f>VLOOKUP(A105,Analyses_CV_ZS!C38:AC75,27,FALSE)</f>
        <v>CAT1</v>
      </c>
      <c r="C105" s="25">
        <v>5</v>
      </c>
      <c r="D105" s="25">
        <v>2.5</v>
      </c>
      <c r="E105" s="241">
        <f t="shared" si="6"/>
        <v>10</v>
      </c>
      <c r="F105" s="241" t="str">
        <f t="shared" si="7"/>
        <v/>
      </c>
      <c r="G105" s="241" t="str">
        <f t="shared" si="8"/>
        <v/>
      </c>
      <c r="H105" s="241" t="str">
        <f t="shared" si="9"/>
        <v/>
      </c>
    </row>
    <row r="106" spans="1:8" x14ac:dyDescent="0.25">
      <c r="A106" t="s">
        <v>41</v>
      </c>
      <c r="B106" s="23" t="str">
        <f>VLOOKUP(A106,Analyses_CV_ZS!C39:AC76,27,FALSE)</f>
        <v>CAT1</v>
      </c>
      <c r="C106" s="25">
        <v>4.3</v>
      </c>
      <c r="D106" s="25">
        <v>7.2</v>
      </c>
      <c r="E106" s="241">
        <f t="shared" si="6"/>
        <v>10</v>
      </c>
      <c r="F106" s="241" t="str">
        <f t="shared" si="7"/>
        <v/>
      </c>
      <c r="G106" s="241" t="str">
        <f t="shared" si="8"/>
        <v/>
      </c>
      <c r="H106" s="241" t="str">
        <f t="shared" si="9"/>
        <v/>
      </c>
    </row>
    <row r="107" spans="1:8" x14ac:dyDescent="0.25">
      <c r="A107" t="s">
        <v>42</v>
      </c>
      <c r="B107" s="23" t="str">
        <f>VLOOKUP(A107,Analyses_CV_ZS!C40:AC77,27,FALSE)</f>
        <v>CAT4</v>
      </c>
      <c r="C107" s="25">
        <v>7.2</v>
      </c>
      <c r="D107" s="25">
        <v>8.4</v>
      </c>
      <c r="E107" s="241" t="str">
        <f t="shared" si="6"/>
        <v/>
      </c>
      <c r="F107" s="241" t="str">
        <f t="shared" si="7"/>
        <v/>
      </c>
      <c r="G107" s="241" t="str">
        <f t="shared" si="8"/>
        <v/>
      </c>
      <c r="H107" s="241">
        <f t="shared" si="9"/>
        <v>10</v>
      </c>
    </row>
    <row r="108" spans="1:8" x14ac:dyDescent="0.25">
      <c r="A108" t="s">
        <v>43</v>
      </c>
      <c r="B108" s="23" t="str">
        <f>VLOOKUP(A108,Analyses_CV_ZS!C41:AC78,27,FALSE)</f>
        <v>CAT1</v>
      </c>
      <c r="C108" s="25">
        <v>4.7</v>
      </c>
      <c r="D108" s="25">
        <v>3.5</v>
      </c>
      <c r="E108" s="241">
        <f t="shared" si="6"/>
        <v>10</v>
      </c>
      <c r="F108" s="241" t="str">
        <f t="shared" si="7"/>
        <v/>
      </c>
      <c r="G108" s="241" t="str">
        <f t="shared" si="8"/>
        <v/>
      </c>
      <c r="H108" s="241" t="str">
        <f t="shared" si="9"/>
        <v/>
      </c>
    </row>
    <row r="109" spans="1:8" x14ac:dyDescent="0.25">
      <c r="A109" t="s">
        <v>44</v>
      </c>
      <c r="B109" s="23" t="str">
        <f>VLOOKUP(A109,Analyses_CV_ZS!C42:AC79,27,FALSE)</f>
        <v>CAT1</v>
      </c>
      <c r="C109" s="25">
        <v>8.1999999999999993</v>
      </c>
      <c r="D109" s="25">
        <v>1</v>
      </c>
      <c r="E109" s="241">
        <f t="shared" si="6"/>
        <v>10</v>
      </c>
      <c r="F109" s="241" t="str">
        <f t="shared" si="7"/>
        <v/>
      </c>
      <c r="G109" s="241" t="str">
        <f t="shared" si="8"/>
        <v/>
      </c>
      <c r="H109" s="241" t="str">
        <f t="shared" si="9"/>
        <v/>
      </c>
    </row>
    <row r="110" spans="1:8" x14ac:dyDescent="0.25">
      <c r="A110" t="s">
        <v>45</v>
      </c>
      <c r="B110" s="23" t="str">
        <f>VLOOKUP(A110,Analyses_CV_ZS!C43:AC80,27,FALSE)</f>
        <v>CAT3</v>
      </c>
      <c r="C110" s="25">
        <v>6.2</v>
      </c>
      <c r="D110" s="25">
        <v>9.8000000000000007</v>
      </c>
      <c r="E110" s="241" t="str">
        <f t="shared" si="6"/>
        <v/>
      </c>
      <c r="F110" s="241" t="str">
        <f t="shared" si="7"/>
        <v/>
      </c>
      <c r="G110" s="241">
        <f t="shared" si="8"/>
        <v>10</v>
      </c>
      <c r="H110" s="241" t="str">
        <f t="shared" si="9"/>
        <v/>
      </c>
    </row>
    <row r="111" spans="1:8" x14ac:dyDescent="0.25">
      <c r="A111" t="s">
        <v>46</v>
      </c>
      <c r="B111" s="23" t="str">
        <f>VLOOKUP(A111,Analyses_CV_ZS!C44:AC81,27,FALSE)</f>
        <v>CAT1</v>
      </c>
      <c r="C111" s="25">
        <v>3.5</v>
      </c>
      <c r="D111" s="25">
        <v>5.2</v>
      </c>
      <c r="E111" s="241">
        <f t="shared" si="6"/>
        <v>10</v>
      </c>
      <c r="F111" s="241" t="str">
        <f t="shared" si="7"/>
        <v/>
      </c>
      <c r="G111" s="241" t="str">
        <f t="shared" si="8"/>
        <v/>
      </c>
      <c r="H111" s="241" t="str">
        <f t="shared" si="9"/>
        <v/>
      </c>
    </row>
    <row r="112" spans="1:8" x14ac:dyDescent="0.25">
      <c r="A112" t="s">
        <v>47</v>
      </c>
      <c r="B112" s="23" t="str">
        <f>VLOOKUP(A112,Analyses_CV_ZS!C45:AC82,27,FALSE)</f>
        <v>CAT1</v>
      </c>
      <c r="C112" s="25">
        <v>6</v>
      </c>
      <c r="D112" s="25">
        <v>2.5</v>
      </c>
      <c r="E112" s="241">
        <f t="shared" si="6"/>
        <v>10</v>
      </c>
      <c r="F112" s="241" t="str">
        <f t="shared" si="7"/>
        <v/>
      </c>
      <c r="G112" s="241" t="str">
        <f t="shared" si="8"/>
        <v/>
      </c>
      <c r="H112" s="241" t="str">
        <f t="shared" si="9"/>
        <v/>
      </c>
    </row>
    <row r="113" spans="1:8" x14ac:dyDescent="0.25">
      <c r="A113" t="s">
        <v>48</v>
      </c>
      <c r="B113" s="23" t="str">
        <f>VLOOKUP(A113,Analyses_CV_ZS!C46:AC83,27,FALSE)</f>
        <v>CAT1</v>
      </c>
      <c r="C113" s="25">
        <v>6.6</v>
      </c>
      <c r="D113" s="25">
        <v>2.8</v>
      </c>
      <c r="E113" s="241">
        <f t="shared" si="6"/>
        <v>10</v>
      </c>
      <c r="F113" s="241" t="str">
        <f t="shared" si="7"/>
        <v/>
      </c>
      <c r="G113" s="241" t="str">
        <f t="shared" si="8"/>
        <v/>
      </c>
      <c r="H113" s="241" t="str">
        <f t="shared" si="9"/>
        <v/>
      </c>
    </row>
    <row r="114" spans="1:8" x14ac:dyDescent="0.25">
      <c r="A114" t="s">
        <v>49</v>
      </c>
      <c r="B114" s="23" t="str">
        <f>VLOOKUP(A114,Analyses_CV_ZS!C47:AC84,27,FALSE)</f>
        <v>CAT1</v>
      </c>
      <c r="C114" s="25">
        <v>8.5</v>
      </c>
      <c r="D114" s="25">
        <v>8.1</v>
      </c>
      <c r="E114" s="241">
        <f t="shared" si="6"/>
        <v>10</v>
      </c>
      <c r="F114" s="241" t="str">
        <f t="shared" si="7"/>
        <v/>
      </c>
      <c r="G114" s="241" t="str">
        <f t="shared" si="8"/>
        <v/>
      </c>
      <c r="H114" s="241" t="str">
        <f t="shared" si="9"/>
        <v/>
      </c>
    </row>
    <row r="115" spans="1:8" x14ac:dyDescent="0.25">
      <c r="A115" t="s">
        <v>50</v>
      </c>
      <c r="B115" s="23" t="str">
        <f>VLOOKUP(A115,Analyses_CV_ZS!C48:AC85,27,FALSE)</f>
        <v>CAT1</v>
      </c>
      <c r="C115" s="25">
        <v>2.5</v>
      </c>
      <c r="D115" s="25">
        <v>3.8</v>
      </c>
      <c r="E115" s="241">
        <f t="shared" si="6"/>
        <v>10</v>
      </c>
      <c r="F115" s="241" t="str">
        <f t="shared" si="7"/>
        <v/>
      </c>
      <c r="G115" s="241" t="str">
        <f t="shared" si="8"/>
        <v/>
      </c>
      <c r="H115" s="241" t="str">
        <f t="shared" si="9"/>
        <v/>
      </c>
    </row>
    <row r="116" spans="1:8" x14ac:dyDescent="0.25">
      <c r="A116"/>
      <c r="B116" s="23"/>
      <c r="C116"/>
      <c r="D116"/>
      <c r="E116" s="5"/>
      <c r="F116" s="5"/>
      <c r="G116" s="5"/>
      <c r="H116" s="5" t="s">
        <v>2</v>
      </c>
    </row>
    <row r="117" spans="1:8" x14ac:dyDescent="0.25">
      <c r="A117"/>
      <c r="B117"/>
      <c r="C117"/>
      <c r="D117"/>
      <c r="E117"/>
      <c r="F117"/>
      <c r="G117"/>
      <c r="H117"/>
    </row>
  </sheetData>
  <sheetProtection password="EF87" sheet="1" selectLockedCells="1"/>
  <pageMargins left="0.7" right="0.7" top="0.75" bottom="0.75" header="0.3" footer="0.3"/>
  <pageSetup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16"/>
  <sheetViews>
    <sheetView showGridLines="0" zoomScale="70" zoomScaleNormal="70" workbookViewId="0">
      <selection activeCell="L82" sqref="L82"/>
    </sheetView>
  </sheetViews>
  <sheetFormatPr baseColWidth="10" defaultColWidth="11.453125" defaultRowHeight="12.5" x14ac:dyDescent="0.25"/>
  <cols>
    <col min="1" max="1" width="11.453125" style="2"/>
    <col min="2" max="2" width="6.453125" style="2" customWidth="1"/>
    <col min="3" max="4" width="7.7265625" style="2" customWidth="1"/>
    <col min="5" max="16384" width="11.453125" style="2"/>
  </cols>
  <sheetData>
    <row r="1" spans="1:10" x14ac:dyDescent="0.25">
      <c r="A1"/>
      <c r="B1"/>
      <c r="C1"/>
      <c r="D1"/>
      <c r="E1"/>
      <c r="F1"/>
      <c r="G1"/>
      <c r="H1"/>
    </row>
    <row r="2" spans="1:10" ht="13" x14ac:dyDescent="0.3">
      <c r="A2" s="22" t="s">
        <v>4</v>
      </c>
      <c r="B2" s="22" t="s">
        <v>696</v>
      </c>
      <c r="C2" s="22" t="s">
        <v>725</v>
      </c>
      <c r="D2" s="22" t="s">
        <v>726</v>
      </c>
      <c r="E2" s="22" t="s">
        <v>727</v>
      </c>
      <c r="F2" s="22" t="s">
        <v>728</v>
      </c>
      <c r="G2" s="22" t="s">
        <v>729</v>
      </c>
      <c r="H2" s="22" t="s">
        <v>730</v>
      </c>
    </row>
    <row r="3" spans="1:10" x14ac:dyDescent="0.25">
      <c r="A3" s="1" t="s">
        <v>700</v>
      </c>
      <c r="B3" t="s">
        <v>684</v>
      </c>
      <c r="C3"/>
      <c r="D3"/>
      <c r="E3" s="24"/>
      <c r="F3" s="24"/>
      <c r="G3" s="24"/>
      <c r="H3" s="24"/>
    </row>
    <row r="4" spans="1:10" x14ac:dyDescent="0.25">
      <c r="A4" s="6" t="s">
        <v>18</v>
      </c>
      <c r="B4" s="23">
        <v>0.97104545311612966</v>
      </c>
      <c r="C4">
        <v>7.2</v>
      </c>
      <c r="D4">
        <v>5.2</v>
      </c>
      <c r="E4" s="28" t="str">
        <f>IF(B4&lt;0.5,B4,"")</f>
        <v/>
      </c>
      <c r="F4" s="28" t="str">
        <f>IF(AND(B4&gt;=0.5,B4&lt;0.8),B4,"")</f>
        <v/>
      </c>
      <c r="G4" s="28" t="str">
        <f>IF(AND(B4&gt;=0.8,B4&lt;=0.94),B4,"")</f>
        <v/>
      </c>
      <c r="H4" s="28">
        <f>IF(B4&gt;0.95,B4,"")</f>
        <v>0.97104545311612966</v>
      </c>
    </row>
    <row r="5" spans="1:10" x14ac:dyDescent="0.25">
      <c r="A5" s="6" t="s">
        <v>21</v>
      </c>
      <c r="B5" s="23">
        <v>1.0524504339404717</v>
      </c>
      <c r="C5">
        <v>8</v>
      </c>
      <c r="D5">
        <v>6.3</v>
      </c>
      <c r="E5" s="28" t="str">
        <f t="shared" ref="E5:E20" si="0">IF(B5&lt;0.5,B5,"")</f>
        <v/>
      </c>
      <c r="F5" s="28" t="str">
        <f t="shared" ref="F5:F38" si="1">IF(AND(B5&gt;=0.5,B5&lt;0.8),B5,"")</f>
        <v/>
      </c>
      <c r="G5" s="28" t="str">
        <f t="shared" ref="G5:G38" si="2">IF(AND(B5&gt;=0.8,B5&lt;=0.94),B5,"")</f>
        <v/>
      </c>
      <c r="H5" s="28">
        <f t="shared" ref="H5:H38" si="3">IF(B5&gt;0.95,B5,"")</f>
        <v>1.0524504339404717</v>
      </c>
    </row>
    <row r="6" spans="1:10" x14ac:dyDescent="0.25">
      <c r="A6" s="6" t="s">
        <v>22</v>
      </c>
      <c r="B6" s="23">
        <v>0.95684454313096901</v>
      </c>
      <c r="C6">
        <v>6.6</v>
      </c>
      <c r="D6">
        <v>4.4000000000000004</v>
      </c>
      <c r="E6" s="28" t="str">
        <f t="shared" si="0"/>
        <v/>
      </c>
      <c r="F6" s="28" t="str">
        <f t="shared" si="1"/>
        <v/>
      </c>
      <c r="G6" s="28" t="str">
        <f t="shared" si="2"/>
        <v/>
      </c>
      <c r="H6" s="28">
        <f t="shared" si="3"/>
        <v>0.95684454313096901</v>
      </c>
      <c r="J6" s="54" t="str">
        <f>"CV Penta 3 de "&amp;Analyses_CV_AS!B7</f>
        <v>CV Penta 3 de Janvier-Octobre 2024</v>
      </c>
    </row>
    <row r="7" spans="1:10" x14ac:dyDescent="0.25">
      <c r="A7" s="6" t="s">
        <v>24</v>
      </c>
      <c r="B7" s="23">
        <v>1.4903862703538329</v>
      </c>
      <c r="C7">
        <v>8.4</v>
      </c>
      <c r="D7">
        <v>1</v>
      </c>
      <c r="E7" s="28" t="str">
        <f t="shared" si="0"/>
        <v/>
      </c>
      <c r="F7" s="28" t="str">
        <f t="shared" si="1"/>
        <v/>
      </c>
      <c r="G7" s="28" t="str">
        <f t="shared" si="2"/>
        <v/>
      </c>
      <c r="H7" s="28">
        <f t="shared" si="3"/>
        <v>1.4903862703538329</v>
      </c>
    </row>
    <row r="8" spans="1:10" x14ac:dyDescent="0.25">
      <c r="A8" s="6" t="s">
        <v>25</v>
      </c>
      <c r="B8" s="23">
        <v>1.0509830384579575</v>
      </c>
      <c r="C8">
        <v>3</v>
      </c>
      <c r="D8">
        <v>2</v>
      </c>
      <c r="E8" s="28" t="str">
        <f t="shared" si="0"/>
        <v/>
      </c>
      <c r="F8" s="28" t="str">
        <f t="shared" si="1"/>
        <v/>
      </c>
      <c r="G8" s="28" t="str">
        <f t="shared" si="2"/>
        <v/>
      </c>
      <c r="H8" s="28">
        <f t="shared" si="3"/>
        <v>1.0509830384579575</v>
      </c>
    </row>
    <row r="9" spans="1:10" x14ac:dyDescent="0.25">
      <c r="A9" s="6" t="s">
        <v>28</v>
      </c>
      <c r="B9" s="23">
        <v>1.0340708522964746</v>
      </c>
      <c r="C9">
        <v>8.4</v>
      </c>
      <c r="D9">
        <v>2.5</v>
      </c>
      <c r="E9" s="28" t="str">
        <f t="shared" si="0"/>
        <v/>
      </c>
      <c r="F9" s="28" t="str">
        <f t="shared" si="1"/>
        <v/>
      </c>
      <c r="G9" s="28" t="str">
        <f t="shared" si="2"/>
        <v/>
      </c>
      <c r="H9" s="28">
        <f t="shared" si="3"/>
        <v>1.0340708522964746</v>
      </c>
    </row>
    <row r="10" spans="1:10" x14ac:dyDescent="0.25">
      <c r="A10" s="6" t="s">
        <v>29</v>
      </c>
      <c r="B10" s="23">
        <v>1.1153953886625476</v>
      </c>
      <c r="C10">
        <v>5.5</v>
      </c>
      <c r="D10">
        <v>2.2999999999999998</v>
      </c>
      <c r="E10" s="28" t="str">
        <f t="shared" si="0"/>
        <v/>
      </c>
      <c r="F10" s="28" t="str">
        <f t="shared" si="1"/>
        <v/>
      </c>
      <c r="G10" s="28" t="str">
        <f t="shared" si="2"/>
        <v/>
      </c>
      <c r="H10" s="28">
        <f t="shared" si="3"/>
        <v>1.1153953886625476</v>
      </c>
    </row>
    <row r="11" spans="1:10" x14ac:dyDescent="0.25">
      <c r="A11" s="6" t="s">
        <v>32</v>
      </c>
      <c r="B11" s="23">
        <v>0.97022534000135729</v>
      </c>
      <c r="C11">
        <v>7</v>
      </c>
      <c r="D11">
        <v>6.8</v>
      </c>
      <c r="E11" s="28" t="str">
        <f t="shared" si="0"/>
        <v/>
      </c>
      <c r="F11" s="28" t="str">
        <f t="shared" si="1"/>
        <v/>
      </c>
      <c r="G11" s="28" t="str">
        <f t="shared" si="2"/>
        <v/>
      </c>
      <c r="H11" s="28">
        <f t="shared" si="3"/>
        <v>0.97022534000135729</v>
      </c>
    </row>
    <row r="12" spans="1:10" x14ac:dyDescent="0.25">
      <c r="A12" s="6" t="s">
        <v>33</v>
      </c>
      <c r="B12" s="23">
        <v>0.90249056424387131</v>
      </c>
      <c r="C12">
        <v>4.8</v>
      </c>
      <c r="D12">
        <v>5.0999999999999996</v>
      </c>
      <c r="E12" s="28" t="str">
        <f t="shared" si="0"/>
        <v/>
      </c>
      <c r="F12" s="28" t="str">
        <f t="shared" si="1"/>
        <v/>
      </c>
      <c r="G12" s="28">
        <f t="shared" si="2"/>
        <v>0.90249056424387131</v>
      </c>
      <c r="H12" s="28" t="str">
        <f t="shared" si="3"/>
        <v/>
      </c>
    </row>
    <row r="13" spans="1:10" x14ac:dyDescent="0.25">
      <c r="A13" s="6" t="s">
        <v>34</v>
      </c>
      <c r="B13" s="23">
        <v>0.54748817923628867</v>
      </c>
      <c r="C13">
        <v>6.2</v>
      </c>
      <c r="D13">
        <v>3.1</v>
      </c>
      <c r="E13" s="28" t="str">
        <f t="shared" si="0"/>
        <v/>
      </c>
      <c r="F13" s="28">
        <f t="shared" si="1"/>
        <v>0.54748817923628867</v>
      </c>
      <c r="G13" s="28" t="str">
        <f t="shared" si="2"/>
        <v/>
      </c>
      <c r="H13" s="28" t="str">
        <f t="shared" si="3"/>
        <v/>
      </c>
    </row>
    <row r="14" spans="1:10" x14ac:dyDescent="0.25">
      <c r="A14" s="6" t="s">
        <v>40</v>
      </c>
      <c r="B14" s="23">
        <v>1.2320966443143579</v>
      </c>
      <c r="C14">
        <v>5.8</v>
      </c>
      <c r="D14">
        <v>4.3</v>
      </c>
      <c r="E14" s="28" t="str">
        <f t="shared" si="0"/>
        <v/>
      </c>
      <c r="F14" s="28" t="str">
        <f t="shared" si="1"/>
        <v/>
      </c>
      <c r="G14" s="28" t="str">
        <f t="shared" si="2"/>
        <v/>
      </c>
      <c r="H14" s="28">
        <f t="shared" si="3"/>
        <v>1.2320966443143579</v>
      </c>
    </row>
    <row r="15" spans="1:10" x14ac:dyDescent="0.25">
      <c r="A15" s="6" t="s">
        <v>43</v>
      </c>
      <c r="B15" s="23">
        <v>0.99603749445607348</v>
      </c>
      <c r="C15">
        <v>5.8</v>
      </c>
      <c r="D15">
        <v>5.3</v>
      </c>
      <c r="E15" s="28" t="str">
        <f t="shared" si="0"/>
        <v/>
      </c>
      <c r="F15" s="28" t="str">
        <f t="shared" si="1"/>
        <v/>
      </c>
      <c r="G15" s="28" t="str">
        <f t="shared" si="2"/>
        <v/>
      </c>
      <c r="H15" s="28">
        <f t="shared" si="3"/>
        <v>0.99603749445607348</v>
      </c>
    </row>
    <row r="16" spans="1:10" x14ac:dyDescent="0.25">
      <c r="A16" s="6" t="s">
        <v>44</v>
      </c>
      <c r="B16" s="23">
        <v>1.7172064663581628</v>
      </c>
      <c r="C16">
        <v>7.2</v>
      </c>
      <c r="D16">
        <v>3.7</v>
      </c>
      <c r="E16" s="28" t="str">
        <f t="shared" si="0"/>
        <v/>
      </c>
      <c r="F16" s="28" t="str">
        <f t="shared" si="1"/>
        <v/>
      </c>
      <c r="G16" s="28" t="str">
        <f t="shared" si="2"/>
        <v/>
      </c>
      <c r="H16" s="28">
        <f t="shared" si="3"/>
        <v>1.7172064663581628</v>
      </c>
    </row>
    <row r="17" spans="1:8" x14ac:dyDescent="0.25">
      <c r="A17" s="6" t="s">
        <v>46</v>
      </c>
      <c r="B17" s="23">
        <v>1.0714542096260473</v>
      </c>
      <c r="C17">
        <v>4.2</v>
      </c>
      <c r="D17">
        <v>7.3</v>
      </c>
      <c r="E17" s="28" t="str">
        <f t="shared" si="0"/>
        <v/>
      </c>
      <c r="F17" s="28" t="str">
        <f t="shared" si="1"/>
        <v/>
      </c>
      <c r="G17" s="28" t="str">
        <f t="shared" si="2"/>
        <v/>
      </c>
      <c r="H17" s="28">
        <f t="shared" si="3"/>
        <v>1.0714542096260473</v>
      </c>
    </row>
    <row r="18" spans="1:8" x14ac:dyDescent="0.25">
      <c r="A18" s="6" t="s">
        <v>47</v>
      </c>
      <c r="B18" s="23">
        <v>1.0057836813176833</v>
      </c>
      <c r="C18">
        <v>7.8</v>
      </c>
      <c r="D18">
        <v>5</v>
      </c>
      <c r="E18" s="28" t="str">
        <f t="shared" si="0"/>
        <v/>
      </c>
      <c r="F18" s="28" t="str">
        <f t="shared" si="1"/>
        <v/>
      </c>
      <c r="G18" s="28" t="str">
        <f t="shared" si="2"/>
        <v/>
      </c>
      <c r="H18" s="28">
        <f t="shared" si="3"/>
        <v>1.0057836813176833</v>
      </c>
    </row>
    <row r="19" spans="1:8" x14ac:dyDescent="0.25">
      <c r="A19" s="6" t="s">
        <v>48</v>
      </c>
      <c r="B19" s="23">
        <v>0.9544135077534377</v>
      </c>
      <c r="C19">
        <v>8.1999999999999993</v>
      </c>
      <c r="D19">
        <v>4.4000000000000004</v>
      </c>
      <c r="E19" s="28" t="str">
        <f t="shared" si="0"/>
        <v/>
      </c>
      <c r="F19" s="28" t="str">
        <f t="shared" si="1"/>
        <v/>
      </c>
      <c r="G19" s="28" t="str">
        <f t="shared" si="2"/>
        <v/>
      </c>
      <c r="H19" s="28">
        <f t="shared" si="3"/>
        <v>0.9544135077534377</v>
      </c>
    </row>
    <row r="20" spans="1:8" x14ac:dyDescent="0.25">
      <c r="A20" s="6" t="s">
        <v>50</v>
      </c>
      <c r="B20" s="23">
        <v>1.132661184020556</v>
      </c>
      <c r="C20">
        <v>2.7</v>
      </c>
      <c r="D20">
        <v>5</v>
      </c>
      <c r="E20" s="28" t="str">
        <f t="shared" si="0"/>
        <v/>
      </c>
      <c r="F20" s="28" t="str">
        <f t="shared" si="1"/>
        <v/>
      </c>
      <c r="G20" s="28" t="str">
        <f t="shared" si="2"/>
        <v/>
      </c>
      <c r="H20" s="28">
        <f t="shared" si="3"/>
        <v>1.132661184020556</v>
      </c>
    </row>
    <row r="21" spans="1:8" x14ac:dyDescent="0.25">
      <c r="A21" s="6" t="s">
        <v>701</v>
      </c>
      <c r="B21" s="23">
        <v>1.0651632711228751</v>
      </c>
      <c r="C21"/>
      <c r="D21"/>
      <c r="E21" s="28"/>
      <c r="F21" s="28" t="str">
        <f t="shared" si="1"/>
        <v/>
      </c>
      <c r="G21" s="28" t="str">
        <f t="shared" si="2"/>
        <v/>
      </c>
      <c r="H21" s="28">
        <f t="shared" si="3"/>
        <v>1.0651632711228751</v>
      </c>
    </row>
    <row r="22" spans="1:8" x14ac:dyDescent="0.25">
      <c r="A22"/>
      <c r="B22"/>
      <c r="C22"/>
      <c r="D22"/>
      <c r="E22" s="5"/>
      <c r="F22" s="5" t="str">
        <f t="shared" si="1"/>
        <v/>
      </c>
      <c r="G22" s="5" t="str">
        <f t="shared" si="2"/>
        <v/>
      </c>
      <c r="H22" s="5" t="str">
        <f t="shared" si="3"/>
        <v/>
      </c>
    </row>
    <row r="23" spans="1:8" x14ac:dyDescent="0.25">
      <c r="A23"/>
      <c r="B23"/>
      <c r="C23"/>
      <c r="D23"/>
      <c r="E23" s="5"/>
      <c r="F23" s="5" t="str">
        <f t="shared" si="1"/>
        <v/>
      </c>
      <c r="G23" s="5" t="str">
        <f t="shared" si="2"/>
        <v/>
      </c>
      <c r="H23" s="5" t="str">
        <f t="shared" si="3"/>
        <v/>
      </c>
    </row>
    <row r="24" spans="1:8" x14ac:dyDescent="0.25">
      <c r="A24"/>
      <c r="B24"/>
      <c r="C24"/>
      <c r="D24"/>
      <c r="E24" s="5"/>
      <c r="F24" s="5" t="str">
        <f t="shared" si="1"/>
        <v/>
      </c>
      <c r="G24" s="5" t="str">
        <f t="shared" si="2"/>
        <v/>
      </c>
      <c r="H24" s="5" t="str">
        <f t="shared" si="3"/>
        <v/>
      </c>
    </row>
    <row r="25" spans="1:8" x14ac:dyDescent="0.25">
      <c r="A25"/>
      <c r="B25"/>
      <c r="C25"/>
      <c r="D25"/>
      <c r="E25" s="5"/>
      <c r="F25" s="5" t="str">
        <f t="shared" si="1"/>
        <v/>
      </c>
      <c r="G25" s="5" t="str">
        <f t="shared" si="2"/>
        <v/>
      </c>
      <c r="H25" s="5" t="str">
        <f t="shared" si="3"/>
        <v/>
      </c>
    </row>
    <row r="26" spans="1:8" x14ac:dyDescent="0.25">
      <c r="A26"/>
      <c r="B26"/>
      <c r="C26"/>
      <c r="D26"/>
      <c r="E26" s="5"/>
      <c r="F26" s="5" t="str">
        <f t="shared" si="1"/>
        <v/>
      </c>
      <c r="G26" s="5" t="str">
        <f t="shared" si="2"/>
        <v/>
      </c>
      <c r="H26" s="5" t="str">
        <f t="shared" si="3"/>
        <v/>
      </c>
    </row>
    <row r="27" spans="1:8" x14ac:dyDescent="0.25">
      <c r="A27"/>
      <c r="B27"/>
      <c r="C27"/>
      <c r="D27"/>
      <c r="E27" s="5"/>
      <c r="F27" s="5" t="str">
        <f t="shared" si="1"/>
        <v/>
      </c>
      <c r="G27" s="5" t="str">
        <f t="shared" si="2"/>
        <v/>
      </c>
      <c r="H27" s="5" t="str">
        <f t="shared" si="3"/>
        <v/>
      </c>
    </row>
    <row r="28" spans="1:8" x14ac:dyDescent="0.25">
      <c r="A28"/>
      <c r="B28"/>
      <c r="C28"/>
      <c r="D28"/>
      <c r="E28" s="5"/>
      <c r="F28" s="5" t="str">
        <f t="shared" si="1"/>
        <v/>
      </c>
      <c r="G28" s="5" t="str">
        <f t="shared" si="2"/>
        <v/>
      </c>
      <c r="H28" s="5" t="str">
        <f t="shared" si="3"/>
        <v/>
      </c>
    </row>
    <row r="29" spans="1:8" x14ac:dyDescent="0.25">
      <c r="A29"/>
      <c r="B29"/>
      <c r="C29"/>
      <c r="D29"/>
      <c r="E29" s="5"/>
      <c r="F29" s="5" t="str">
        <f t="shared" si="1"/>
        <v/>
      </c>
      <c r="G29" s="5" t="str">
        <f t="shared" si="2"/>
        <v/>
      </c>
      <c r="H29" s="5" t="str">
        <f t="shared" si="3"/>
        <v/>
      </c>
    </row>
    <row r="30" spans="1:8" x14ac:dyDescent="0.25">
      <c r="A30"/>
      <c r="B30"/>
      <c r="C30"/>
      <c r="D30"/>
      <c r="E30" s="5"/>
      <c r="F30" s="5" t="str">
        <f t="shared" si="1"/>
        <v/>
      </c>
      <c r="G30" s="5" t="str">
        <f t="shared" si="2"/>
        <v/>
      </c>
      <c r="H30" s="5" t="str">
        <f t="shared" si="3"/>
        <v/>
      </c>
    </row>
    <row r="31" spans="1:8" x14ac:dyDescent="0.25">
      <c r="A31"/>
      <c r="B31"/>
      <c r="C31"/>
      <c r="D31"/>
      <c r="E31" s="5"/>
      <c r="F31" s="5" t="str">
        <f t="shared" si="1"/>
        <v/>
      </c>
      <c r="G31" s="5" t="str">
        <f t="shared" si="2"/>
        <v/>
      </c>
      <c r="H31" s="5" t="str">
        <f t="shared" si="3"/>
        <v/>
      </c>
    </row>
    <row r="32" spans="1:8" x14ac:dyDescent="0.25">
      <c r="A32"/>
      <c r="B32"/>
      <c r="C32"/>
      <c r="D32"/>
      <c r="E32" s="5"/>
      <c r="F32" s="5" t="str">
        <f t="shared" si="1"/>
        <v/>
      </c>
      <c r="G32" s="5" t="str">
        <f t="shared" si="2"/>
        <v/>
      </c>
      <c r="H32" s="5" t="str">
        <f t="shared" si="3"/>
        <v/>
      </c>
    </row>
    <row r="33" spans="1:10" x14ac:dyDescent="0.25">
      <c r="A33"/>
      <c r="B33"/>
      <c r="C33"/>
      <c r="D33"/>
      <c r="E33" s="5"/>
      <c r="F33" s="5" t="str">
        <f t="shared" si="1"/>
        <v/>
      </c>
      <c r="G33" s="5" t="str">
        <f t="shared" si="2"/>
        <v/>
      </c>
      <c r="H33" s="5" t="str">
        <f t="shared" si="3"/>
        <v/>
      </c>
    </row>
    <row r="34" spans="1:10" x14ac:dyDescent="0.25">
      <c r="A34"/>
      <c r="B34"/>
      <c r="C34"/>
      <c r="D34"/>
      <c r="E34" s="5"/>
      <c r="F34" s="5" t="str">
        <f t="shared" si="1"/>
        <v/>
      </c>
      <c r="G34" s="5" t="str">
        <f t="shared" si="2"/>
        <v/>
      </c>
      <c r="H34" s="5" t="str">
        <f t="shared" si="3"/>
        <v/>
      </c>
    </row>
    <row r="35" spans="1:10" x14ac:dyDescent="0.25">
      <c r="A35"/>
      <c r="B35"/>
      <c r="C35"/>
      <c r="D35"/>
      <c r="E35" s="5"/>
      <c r="F35" s="5" t="str">
        <f t="shared" si="1"/>
        <v/>
      </c>
      <c r="G35" s="5" t="str">
        <f t="shared" si="2"/>
        <v/>
      </c>
      <c r="H35" s="5" t="str">
        <f t="shared" si="3"/>
        <v/>
      </c>
    </row>
    <row r="36" spans="1:10" x14ac:dyDescent="0.25">
      <c r="A36"/>
      <c r="B36"/>
      <c r="C36"/>
      <c r="D36"/>
      <c r="E36" s="5"/>
      <c r="F36" s="5" t="str">
        <f t="shared" si="1"/>
        <v/>
      </c>
      <c r="G36" s="5" t="str">
        <f t="shared" si="2"/>
        <v/>
      </c>
      <c r="H36" s="5" t="str">
        <f t="shared" si="3"/>
        <v/>
      </c>
    </row>
    <row r="37" spans="1:10" x14ac:dyDescent="0.25">
      <c r="A37"/>
      <c r="B37"/>
      <c r="C37"/>
      <c r="D37"/>
      <c r="E37" s="5"/>
      <c r="F37" s="5" t="str">
        <f t="shared" si="1"/>
        <v/>
      </c>
      <c r="G37" s="5" t="str">
        <f t="shared" si="2"/>
        <v/>
      </c>
      <c r="H37" s="5" t="str">
        <f t="shared" si="3"/>
        <v/>
      </c>
    </row>
    <row r="38" spans="1:10" x14ac:dyDescent="0.25">
      <c r="A38"/>
      <c r="B38"/>
      <c r="C38"/>
      <c r="D38"/>
      <c r="E38" s="5"/>
      <c r="F38" s="5" t="str">
        <f t="shared" si="1"/>
        <v/>
      </c>
      <c r="G38" s="5" t="str">
        <f t="shared" si="2"/>
        <v/>
      </c>
      <c r="H38" s="5" t="str">
        <f t="shared" si="3"/>
        <v/>
      </c>
    </row>
    <row r="39" spans="1:10" x14ac:dyDescent="0.25">
      <c r="A39"/>
      <c r="B39"/>
      <c r="C39"/>
      <c r="D39"/>
      <c r="E39"/>
      <c r="F39"/>
      <c r="G39"/>
      <c r="H39"/>
    </row>
    <row r="40" spans="1:10" x14ac:dyDescent="0.25">
      <c r="A40"/>
      <c r="B40"/>
      <c r="C40"/>
      <c r="D40"/>
      <c r="E40"/>
      <c r="F40"/>
      <c r="G40"/>
      <c r="H40"/>
    </row>
    <row r="41" spans="1:10" ht="13" x14ac:dyDescent="0.3">
      <c r="A41" s="22" t="s">
        <v>4</v>
      </c>
      <c r="B41" s="22" t="s">
        <v>724</v>
      </c>
      <c r="C41" s="22" t="s">
        <v>725</v>
      </c>
      <c r="D41" s="22" t="s">
        <v>726</v>
      </c>
      <c r="E41" s="22" t="s">
        <v>731</v>
      </c>
      <c r="F41" s="22" t="s">
        <v>732</v>
      </c>
      <c r="G41"/>
      <c r="H41"/>
    </row>
    <row r="42" spans="1:10" hidden="1" x14ac:dyDescent="0.25">
      <c r="A42" s="1" t="s">
        <v>700</v>
      </c>
      <c r="B42" t="s">
        <v>695</v>
      </c>
      <c r="C42"/>
      <c r="D42"/>
      <c r="E42"/>
      <c r="F42"/>
      <c r="G42"/>
      <c r="H42"/>
    </row>
    <row r="43" spans="1:10" x14ac:dyDescent="0.25">
      <c r="A43" s="6" t="s">
        <v>18</v>
      </c>
      <c r="B43" s="23">
        <v>4.1440867070449472E-2</v>
      </c>
      <c r="C43">
        <v>7.2</v>
      </c>
      <c r="D43">
        <v>5.2</v>
      </c>
      <c r="E43" s="28">
        <f>IF(B43&lt;=0.1,B43,"")</f>
        <v>4.1440867070449472E-2</v>
      </c>
      <c r="F43" s="28" t="str">
        <f>IF(B43&gt;0.1,B43,"")</f>
        <v/>
      </c>
      <c r="G43"/>
      <c r="H43"/>
    </row>
    <row r="44" spans="1:10" x14ac:dyDescent="0.25">
      <c r="A44" s="6" t="s">
        <v>21</v>
      </c>
      <c r="B44" s="23">
        <v>0</v>
      </c>
      <c r="C44">
        <v>8</v>
      </c>
      <c r="D44">
        <v>6.3</v>
      </c>
      <c r="E44" s="28">
        <f t="shared" ref="E44:E60" si="4">IF(B44&lt;=0.1,B44,"")</f>
        <v>0</v>
      </c>
      <c r="F44" s="28" t="str">
        <f t="shared" ref="F44:F76" si="5">IF(B44&gt;0.1,B44,"")</f>
        <v/>
      </c>
      <c r="G44"/>
      <c r="H44"/>
      <c r="J44" s="54" t="str">
        <f>"Tx_Abandon Penta1 - Penta 3 de "&amp;Analyses_CV_AS!B7</f>
        <v>Tx_Abandon Penta1 - Penta 3 de Janvier-Octobre 2024</v>
      </c>
    </row>
    <row r="45" spans="1:10" x14ac:dyDescent="0.25">
      <c r="A45" s="6" t="s">
        <v>22</v>
      </c>
      <c r="B45" s="23">
        <v>7.6256022023399858E-2</v>
      </c>
      <c r="C45">
        <v>6.6</v>
      </c>
      <c r="D45">
        <v>4.4000000000000004</v>
      </c>
      <c r="E45" s="28">
        <f t="shared" si="4"/>
        <v>7.6256022023399858E-2</v>
      </c>
      <c r="F45" s="28" t="str">
        <f t="shared" si="5"/>
        <v/>
      </c>
      <c r="G45"/>
      <c r="H45"/>
    </row>
    <row r="46" spans="1:10" x14ac:dyDescent="0.25">
      <c r="A46" s="6" t="s">
        <v>24</v>
      </c>
      <c r="B46" s="23">
        <v>6.0819251758827013E-2</v>
      </c>
      <c r="C46">
        <v>8.4</v>
      </c>
      <c r="D46">
        <v>1</v>
      </c>
      <c r="E46" s="28">
        <f t="shared" si="4"/>
        <v>6.0819251758827013E-2</v>
      </c>
      <c r="F46" s="28" t="str">
        <f t="shared" si="5"/>
        <v/>
      </c>
      <c r="G46"/>
      <c r="H46"/>
    </row>
    <row r="47" spans="1:10" x14ac:dyDescent="0.25">
      <c r="A47" s="6" t="s">
        <v>25</v>
      </c>
      <c r="B47" s="23">
        <v>1.3721185510428102E-3</v>
      </c>
      <c r="C47">
        <v>3</v>
      </c>
      <c r="D47">
        <v>2</v>
      </c>
      <c r="E47" s="28">
        <f t="shared" si="4"/>
        <v>1.3721185510428102E-3</v>
      </c>
      <c r="F47" s="28" t="str">
        <f t="shared" si="5"/>
        <v/>
      </c>
      <c r="G47"/>
      <c r="H47"/>
    </row>
    <row r="48" spans="1:10" x14ac:dyDescent="0.25">
      <c r="A48" s="6" t="s">
        <v>28</v>
      </c>
      <c r="B48" s="23">
        <v>0.11797381298770004</v>
      </c>
      <c r="C48">
        <v>8.4</v>
      </c>
      <c r="D48">
        <v>2.5</v>
      </c>
      <c r="E48" s="28" t="str">
        <f t="shared" si="4"/>
        <v/>
      </c>
      <c r="F48" s="28">
        <f t="shared" si="5"/>
        <v>0.11797381298770004</v>
      </c>
      <c r="G48"/>
      <c r="H48"/>
    </row>
    <row r="49" spans="1:8" x14ac:dyDescent="0.25">
      <c r="A49" s="6" t="s">
        <v>29</v>
      </c>
      <c r="B49" s="23">
        <v>3.8077548177385651E-2</v>
      </c>
      <c r="C49">
        <v>5.5</v>
      </c>
      <c r="D49">
        <v>2.2999999999999998</v>
      </c>
      <c r="E49" s="28">
        <f t="shared" si="4"/>
        <v>3.8077548177385651E-2</v>
      </c>
      <c r="F49" s="28" t="str">
        <f t="shared" si="5"/>
        <v/>
      </c>
      <c r="G49"/>
      <c r="H49"/>
    </row>
    <row r="50" spans="1:8" x14ac:dyDescent="0.25">
      <c r="A50" s="6" t="s">
        <v>32</v>
      </c>
      <c r="B50" s="23">
        <v>6.0421328806235047E-2</v>
      </c>
      <c r="C50">
        <v>7</v>
      </c>
      <c r="D50">
        <v>6.8</v>
      </c>
      <c r="E50" s="28">
        <f t="shared" si="4"/>
        <v>6.0421328806235047E-2</v>
      </c>
      <c r="F50" s="28" t="str">
        <f t="shared" si="5"/>
        <v/>
      </c>
      <c r="G50"/>
      <c r="H50"/>
    </row>
    <row r="51" spans="1:8" x14ac:dyDescent="0.25">
      <c r="A51" s="6" t="s">
        <v>33</v>
      </c>
      <c r="B51" s="23">
        <v>6.0015003750937733E-2</v>
      </c>
      <c r="C51">
        <v>4.8</v>
      </c>
      <c r="D51">
        <v>5.0999999999999996</v>
      </c>
      <c r="E51" s="28">
        <f t="shared" si="4"/>
        <v>6.0015003750937733E-2</v>
      </c>
      <c r="F51" s="28" t="str">
        <f t="shared" si="5"/>
        <v/>
      </c>
      <c r="G51"/>
      <c r="H51"/>
    </row>
    <row r="52" spans="1:8" x14ac:dyDescent="0.25">
      <c r="A52" s="6" t="s">
        <v>34</v>
      </c>
      <c r="B52" s="23">
        <v>0.12237687366167023</v>
      </c>
      <c r="C52">
        <v>6.2</v>
      </c>
      <c r="D52">
        <v>3.1</v>
      </c>
      <c r="E52" s="28" t="str">
        <f t="shared" si="4"/>
        <v/>
      </c>
      <c r="F52" s="28">
        <f t="shared" si="5"/>
        <v>0.12237687366167023</v>
      </c>
      <c r="G52"/>
      <c r="H52"/>
    </row>
    <row r="53" spans="1:8" x14ac:dyDescent="0.25">
      <c r="A53" s="6" t="s">
        <v>40</v>
      </c>
      <c r="B53" s="23">
        <v>9.4758956214064577E-2</v>
      </c>
      <c r="C53">
        <v>5.8</v>
      </c>
      <c r="D53">
        <v>4.3</v>
      </c>
      <c r="E53" s="28">
        <f t="shared" si="4"/>
        <v>9.4758956214064577E-2</v>
      </c>
      <c r="F53" s="28" t="str">
        <f t="shared" si="5"/>
        <v/>
      </c>
      <c r="G53"/>
      <c r="H53"/>
    </row>
    <row r="54" spans="1:8" x14ac:dyDescent="0.25">
      <c r="A54" s="6" t="s">
        <v>43</v>
      </c>
      <c r="B54" s="23">
        <v>4.2858943653094665E-2</v>
      </c>
      <c r="C54">
        <v>5.8</v>
      </c>
      <c r="D54">
        <v>5.3</v>
      </c>
      <c r="E54" s="28">
        <f t="shared" si="4"/>
        <v>4.2858943653094665E-2</v>
      </c>
      <c r="F54" s="28" t="str">
        <f t="shared" si="5"/>
        <v/>
      </c>
      <c r="G54"/>
      <c r="H54"/>
    </row>
    <row r="55" spans="1:8" x14ac:dyDescent="0.25">
      <c r="A55" s="6" t="s">
        <v>44</v>
      </c>
      <c r="B55" s="23">
        <v>0</v>
      </c>
      <c r="C55">
        <v>7.2</v>
      </c>
      <c r="D55">
        <v>3.7</v>
      </c>
      <c r="E55" s="28">
        <f t="shared" si="4"/>
        <v>0</v>
      </c>
      <c r="F55" s="28" t="str">
        <f t="shared" si="5"/>
        <v/>
      </c>
      <c r="G55"/>
      <c r="H55"/>
    </row>
    <row r="56" spans="1:8" x14ac:dyDescent="0.25">
      <c r="A56" s="6" t="s">
        <v>46</v>
      </c>
      <c r="B56" s="23">
        <v>4.0200286123032905E-2</v>
      </c>
      <c r="C56">
        <v>4.2</v>
      </c>
      <c r="D56">
        <v>7.3</v>
      </c>
      <c r="E56" s="28">
        <f t="shared" si="4"/>
        <v>4.0200286123032905E-2</v>
      </c>
      <c r="F56" s="28" t="str">
        <f t="shared" si="5"/>
        <v/>
      </c>
      <c r="G56"/>
      <c r="H56"/>
    </row>
    <row r="57" spans="1:8" x14ac:dyDescent="0.25">
      <c r="A57" s="6" t="s">
        <v>47</v>
      </c>
      <c r="B57" s="23">
        <v>5.0800825390586619E-2</v>
      </c>
      <c r="C57">
        <v>7.8</v>
      </c>
      <c r="D57">
        <v>5</v>
      </c>
      <c r="E57" s="28">
        <f t="shared" si="4"/>
        <v>5.0800825390586619E-2</v>
      </c>
      <c r="F57" s="28" t="str">
        <f t="shared" si="5"/>
        <v/>
      </c>
      <c r="G57"/>
      <c r="H57"/>
    </row>
    <row r="58" spans="1:8" x14ac:dyDescent="0.25">
      <c r="A58" s="6" t="s">
        <v>48</v>
      </c>
      <c r="B58" s="23">
        <v>3.2637884734558975E-2</v>
      </c>
      <c r="C58">
        <v>8.1999999999999993</v>
      </c>
      <c r="D58">
        <v>4.4000000000000004</v>
      </c>
      <c r="E58" s="28">
        <f t="shared" si="4"/>
        <v>3.2637884734558975E-2</v>
      </c>
      <c r="F58" s="28" t="str">
        <f t="shared" si="5"/>
        <v/>
      </c>
      <c r="G58"/>
      <c r="H58"/>
    </row>
    <row r="59" spans="1:8" x14ac:dyDescent="0.25">
      <c r="A59" s="6" t="s">
        <v>50</v>
      </c>
      <c r="B59" s="23">
        <v>2.7235134749750464E-2</v>
      </c>
      <c r="C59">
        <v>2.7</v>
      </c>
      <c r="D59">
        <v>5</v>
      </c>
      <c r="E59" s="28">
        <f t="shared" si="4"/>
        <v>2.7235134749750464E-2</v>
      </c>
      <c r="F59" s="28" t="str">
        <f t="shared" si="5"/>
        <v/>
      </c>
      <c r="G59"/>
      <c r="H59"/>
    </row>
    <row r="60" spans="1:8" x14ac:dyDescent="0.25">
      <c r="A60" s="6" t="s">
        <v>701</v>
      </c>
      <c r="B60" s="23">
        <v>4.8178861188577095E-2</v>
      </c>
      <c r="C60"/>
      <c r="D60"/>
      <c r="E60" s="28">
        <f t="shared" si="4"/>
        <v>4.8178861188577095E-2</v>
      </c>
      <c r="F60" s="28" t="str">
        <f t="shared" si="5"/>
        <v/>
      </c>
      <c r="G60"/>
      <c r="H60"/>
    </row>
    <row r="61" spans="1:8" x14ac:dyDescent="0.25">
      <c r="A61"/>
      <c r="B61"/>
      <c r="C61"/>
      <c r="D61"/>
      <c r="E61" s="5"/>
      <c r="F61" s="5" t="str">
        <f t="shared" si="5"/>
        <v/>
      </c>
      <c r="G61"/>
      <c r="H61"/>
    </row>
    <row r="62" spans="1:8" x14ac:dyDescent="0.25">
      <c r="A62"/>
      <c r="B62"/>
      <c r="C62"/>
      <c r="D62"/>
      <c r="E62" s="5"/>
      <c r="F62" s="5" t="str">
        <f t="shared" si="5"/>
        <v/>
      </c>
      <c r="G62"/>
      <c r="H62"/>
    </row>
    <row r="63" spans="1:8" x14ac:dyDescent="0.25">
      <c r="A63"/>
      <c r="B63"/>
      <c r="C63"/>
      <c r="D63"/>
      <c r="E63" s="5"/>
      <c r="F63" s="5" t="str">
        <f t="shared" si="5"/>
        <v/>
      </c>
      <c r="G63"/>
      <c r="H63"/>
    </row>
    <row r="64" spans="1:8" x14ac:dyDescent="0.25">
      <c r="A64"/>
      <c r="B64"/>
      <c r="C64"/>
      <c r="D64"/>
      <c r="E64" s="5"/>
      <c r="F64" s="5" t="str">
        <f t="shared" si="5"/>
        <v/>
      </c>
      <c r="G64"/>
      <c r="H64"/>
    </row>
    <row r="65" spans="1:8" x14ac:dyDescent="0.25">
      <c r="A65"/>
      <c r="B65"/>
      <c r="C65"/>
      <c r="D65"/>
      <c r="E65" s="5"/>
      <c r="F65" s="5" t="str">
        <f t="shared" si="5"/>
        <v/>
      </c>
      <c r="G65"/>
      <c r="H65"/>
    </row>
    <row r="66" spans="1:8" x14ac:dyDescent="0.25">
      <c r="A66"/>
      <c r="B66"/>
      <c r="C66"/>
      <c r="D66"/>
      <c r="E66" s="5"/>
      <c r="F66" s="5" t="str">
        <f t="shared" si="5"/>
        <v/>
      </c>
      <c r="G66"/>
      <c r="H66"/>
    </row>
    <row r="67" spans="1:8" x14ac:dyDescent="0.25">
      <c r="A67"/>
      <c r="B67"/>
      <c r="C67"/>
      <c r="D67"/>
      <c r="E67" s="5"/>
      <c r="F67" s="5" t="str">
        <f t="shared" si="5"/>
        <v/>
      </c>
      <c r="G67"/>
      <c r="H67"/>
    </row>
    <row r="68" spans="1:8" x14ac:dyDescent="0.25">
      <c r="A68"/>
      <c r="B68"/>
      <c r="C68"/>
      <c r="D68"/>
      <c r="E68" s="5"/>
      <c r="F68" s="5" t="str">
        <f t="shared" si="5"/>
        <v/>
      </c>
      <c r="G68"/>
      <c r="H68"/>
    </row>
    <row r="69" spans="1:8" x14ac:dyDescent="0.25">
      <c r="A69"/>
      <c r="B69"/>
      <c r="C69"/>
      <c r="D69"/>
      <c r="E69" s="5"/>
      <c r="F69" s="5" t="str">
        <f t="shared" si="5"/>
        <v/>
      </c>
      <c r="G69"/>
      <c r="H69"/>
    </row>
    <row r="70" spans="1:8" x14ac:dyDescent="0.25">
      <c r="A70"/>
      <c r="B70"/>
      <c r="C70"/>
      <c r="D70"/>
      <c r="E70" s="5"/>
      <c r="F70" s="5" t="str">
        <f t="shared" si="5"/>
        <v/>
      </c>
      <c r="G70"/>
      <c r="H70"/>
    </row>
    <row r="71" spans="1:8" x14ac:dyDescent="0.25">
      <c r="A71"/>
      <c r="B71"/>
      <c r="C71"/>
      <c r="D71"/>
      <c r="E71" s="5"/>
      <c r="F71" s="5" t="str">
        <f t="shared" si="5"/>
        <v/>
      </c>
      <c r="G71"/>
      <c r="H71"/>
    </row>
    <row r="72" spans="1:8" x14ac:dyDescent="0.25">
      <c r="A72"/>
      <c r="B72"/>
      <c r="C72"/>
      <c r="D72"/>
      <c r="E72" s="5"/>
      <c r="F72" s="5" t="str">
        <f t="shared" si="5"/>
        <v/>
      </c>
      <c r="G72"/>
      <c r="H72"/>
    </row>
    <row r="73" spans="1:8" x14ac:dyDescent="0.25">
      <c r="A73"/>
      <c r="B73"/>
      <c r="C73"/>
      <c r="D73"/>
      <c r="E73" s="5"/>
      <c r="F73" s="5" t="str">
        <f t="shared" si="5"/>
        <v/>
      </c>
      <c r="G73"/>
      <c r="H73"/>
    </row>
    <row r="74" spans="1:8" x14ac:dyDescent="0.25">
      <c r="A74"/>
      <c r="B74"/>
      <c r="C74"/>
      <c r="D74"/>
      <c r="E74" s="5"/>
      <c r="F74" s="5" t="str">
        <f t="shared" si="5"/>
        <v/>
      </c>
      <c r="G74"/>
      <c r="H74"/>
    </row>
    <row r="75" spans="1:8" x14ac:dyDescent="0.25">
      <c r="A75"/>
      <c r="B75"/>
      <c r="C75"/>
      <c r="D75"/>
      <c r="E75" s="5"/>
      <c r="F75" s="5" t="str">
        <f t="shared" si="5"/>
        <v/>
      </c>
      <c r="G75"/>
      <c r="H75"/>
    </row>
    <row r="76" spans="1:8" x14ac:dyDescent="0.25">
      <c r="A76"/>
      <c r="B76"/>
      <c r="C76"/>
      <c r="D76"/>
      <c r="E76" s="5"/>
      <c r="F76" s="5" t="str">
        <f t="shared" si="5"/>
        <v/>
      </c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/>
      <c r="F79"/>
      <c r="G79"/>
      <c r="H79"/>
    </row>
    <row r="80" spans="1:8" x14ac:dyDescent="0.25">
      <c r="A80"/>
      <c r="B80"/>
      <c r="C80"/>
      <c r="D80"/>
      <c r="E80" s="24">
        <v>10</v>
      </c>
      <c r="F80"/>
      <c r="G80"/>
      <c r="H80"/>
    </row>
    <row r="81" spans="1:10" ht="13" x14ac:dyDescent="0.3">
      <c r="A81" s="22" t="s">
        <v>4</v>
      </c>
      <c r="B81" s="22" t="s">
        <v>733</v>
      </c>
      <c r="C81" s="22" t="s">
        <v>725</v>
      </c>
      <c r="D81" s="22" t="s">
        <v>726</v>
      </c>
      <c r="E81" s="22" t="s">
        <v>734</v>
      </c>
      <c r="F81" s="22" t="s">
        <v>735</v>
      </c>
      <c r="G81" s="22" t="s">
        <v>736</v>
      </c>
      <c r="H81" s="22" t="s">
        <v>737</v>
      </c>
    </row>
    <row r="82" spans="1:10" x14ac:dyDescent="0.25">
      <c r="A82" t="s">
        <v>18</v>
      </c>
      <c r="B82" s="23" t="str">
        <f>VLOOKUP(A82,Analyses_CV_ZS!C15:AC52,27,FALSE)</f>
        <v>CAT1</v>
      </c>
      <c r="C82" s="25">
        <v>7.2</v>
      </c>
      <c r="D82" s="25">
        <v>5.2</v>
      </c>
      <c r="E82" s="27">
        <f>IF(B82="CAT1",$E$80,"")</f>
        <v>10</v>
      </c>
      <c r="F82" s="27" t="str">
        <f>IF(B82="CAT2",$E$80,"")</f>
        <v/>
      </c>
      <c r="G82" s="27" t="str">
        <f>IF(B82="CAT3",$E$80,"")</f>
        <v/>
      </c>
      <c r="H82" s="27" t="str">
        <f>IF(B82="CAT4",$E$80,"")</f>
        <v/>
      </c>
    </row>
    <row r="83" spans="1:10" x14ac:dyDescent="0.25">
      <c r="A83" t="s">
        <v>21</v>
      </c>
      <c r="B83" s="23" t="str">
        <f>VLOOKUP(A83,Analyses_CV_ZS!C16:AC53,27,FALSE)</f>
        <v>CAT1</v>
      </c>
      <c r="C83" s="25">
        <v>8</v>
      </c>
      <c r="D83" s="25">
        <v>6.3</v>
      </c>
      <c r="E83" s="27">
        <f t="shared" ref="E83:E115" si="6">IF(B83="CAT1",$E$80,"")</f>
        <v>10</v>
      </c>
      <c r="F83" s="27" t="str">
        <f t="shared" ref="F83:F115" si="7">IF(B83="CAT2",$E$80,"")</f>
        <v/>
      </c>
      <c r="G83" s="27" t="str">
        <f t="shared" ref="G83:G115" si="8">IF(B83="CAT3",$E$80,"")</f>
        <v/>
      </c>
      <c r="H83" s="27" t="str">
        <f t="shared" ref="H83:H115" si="9">IF(B83="CAT4",$E$80,"")</f>
        <v/>
      </c>
      <c r="J83" s="54" t="str">
        <f>"Stratification des ZS par Catégores de "&amp;Analyses_CV_AS!B7</f>
        <v>Stratification des ZS par Catégores de Janvier-Octobre 2024</v>
      </c>
    </row>
    <row r="84" spans="1:10" x14ac:dyDescent="0.25">
      <c r="A84" t="s">
        <v>22</v>
      </c>
      <c r="B84" s="23" t="str">
        <f>VLOOKUP(A84,Analyses_CV_ZS!C17:AC54,27,FALSE)</f>
        <v>CAT1</v>
      </c>
      <c r="C84" s="25">
        <v>6.6</v>
      </c>
      <c r="D84" s="25">
        <v>4.4000000000000004</v>
      </c>
      <c r="E84" s="27">
        <f t="shared" si="6"/>
        <v>10</v>
      </c>
      <c r="F84" s="27" t="str">
        <f t="shared" si="7"/>
        <v/>
      </c>
      <c r="G84" s="27" t="str">
        <f t="shared" si="8"/>
        <v/>
      </c>
      <c r="H84" s="27" t="str">
        <f t="shared" si="9"/>
        <v/>
      </c>
    </row>
    <row r="85" spans="1:10" x14ac:dyDescent="0.25">
      <c r="A85" t="s">
        <v>24</v>
      </c>
      <c r="B85" s="23" t="str">
        <f>VLOOKUP(A85,Analyses_CV_ZS!C18:AC55,27,FALSE)</f>
        <v>CAT1</v>
      </c>
      <c r="C85" s="25">
        <v>8.4</v>
      </c>
      <c r="D85" s="25">
        <v>1</v>
      </c>
      <c r="E85" s="27">
        <f t="shared" si="6"/>
        <v>10</v>
      </c>
      <c r="F85" s="27" t="str">
        <f t="shared" si="7"/>
        <v/>
      </c>
      <c r="G85" s="27" t="str">
        <f t="shared" si="8"/>
        <v/>
      </c>
      <c r="H85" s="27" t="str">
        <f t="shared" si="9"/>
        <v/>
      </c>
    </row>
    <row r="86" spans="1:10" x14ac:dyDescent="0.25">
      <c r="A86" t="s">
        <v>25</v>
      </c>
      <c r="B86" s="23" t="str">
        <f>VLOOKUP(A86,Analyses_CV_ZS!C19:AC56,27,FALSE)</f>
        <v>CAT1</v>
      </c>
      <c r="C86" s="25">
        <v>3</v>
      </c>
      <c r="D86" s="25">
        <v>2</v>
      </c>
      <c r="E86" s="27">
        <f t="shared" si="6"/>
        <v>10</v>
      </c>
      <c r="F86" s="27" t="str">
        <f t="shared" si="7"/>
        <v/>
      </c>
      <c r="G86" s="27" t="str">
        <f t="shared" si="8"/>
        <v/>
      </c>
      <c r="H86" s="27" t="str">
        <f t="shared" si="9"/>
        <v/>
      </c>
    </row>
    <row r="87" spans="1:10" x14ac:dyDescent="0.25">
      <c r="A87" t="s">
        <v>28</v>
      </c>
      <c r="B87" s="23" t="str">
        <f>VLOOKUP(A87,Analyses_CV_ZS!C20:AC57,27,FALSE)</f>
        <v>CAT2</v>
      </c>
      <c r="C87" s="25">
        <v>8.4</v>
      </c>
      <c r="D87" s="25">
        <v>2.5</v>
      </c>
      <c r="E87" s="27" t="str">
        <f t="shared" si="6"/>
        <v/>
      </c>
      <c r="F87" s="27">
        <f t="shared" si="7"/>
        <v>10</v>
      </c>
      <c r="G87" s="27" t="str">
        <f t="shared" si="8"/>
        <v/>
      </c>
      <c r="H87" s="27" t="str">
        <f t="shared" si="9"/>
        <v/>
      </c>
    </row>
    <row r="88" spans="1:10" x14ac:dyDescent="0.25">
      <c r="A88" t="s">
        <v>29</v>
      </c>
      <c r="B88" s="23" t="str">
        <f>VLOOKUP(A88,Analyses_CV_ZS!C21:AC58,27,FALSE)</f>
        <v>CAT1</v>
      </c>
      <c r="C88" s="25">
        <v>5.5</v>
      </c>
      <c r="D88" s="25">
        <v>2.2999999999999998</v>
      </c>
      <c r="E88" s="27">
        <f t="shared" si="6"/>
        <v>10</v>
      </c>
      <c r="F88" s="27" t="str">
        <f t="shared" si="7"/>
        <v/>
      </c>
      <c r="G88" s="27" t="str">
        <f t="shared" si="8"/>
        <v/>
      </c>
      <c r="H88" s="27" t="str">
        <f t="shared" si="9"/>
        <v/>
      </c>
    </row>
    <row r="89" spans="1:10" x14ac:dyDescent="0.25">
      <c r="A89" t="s">
        <v>32</v>
      </c>
      <c r="B89" s="23" t="str">
        <f>VLOOKUP(A89,Analyses_CV_ZS!C22:AC59,27,FALSE)</f>
        <v>CAT1</v>
      </c>
      <c r="C89" s="25">
        <v>7</v>
      </c>
      <c r="D89" s="25">
        <v>6.8</v>
      </c>
      <c r="E89" s="27">
        <f t="shared" si="6"/>
        <v>10</v>
      </c>
      <c r="F89" s="27" t="str">
        <f t="shared" si="7"/>
        <v/>
      </c>
      <c r="G89" s="27" t="str">
        <f t="shared" si="8"/>
        <v/>
      </c>
      <c r="H89" s="27" t="str">
        <f t="shared" si="9"/>
        <v/>
      </c>
    </row>
    <row r="90" spans="1:10" x14ac:dyDescent="0.25">
      <c r="A90" t="s">
        <v>33</v>
      </c>
      <c r="B90" s="23" t="str">
        <f>VLOOKUP(A90,Analyses_CV_ZS!C23:AC60,27,FALSE)</f>
        <v>CAT1</v>
      </c>
      <c r="C90" s="25">
        <v>4.8</v>
      </c>
      <c r="D90" s="25">
        <v>5.0999999999999996</v>
      </c>
      <c r="E90" s="27">
        <f t="shared" si="6"/>
        <v>10</v>
      </c>
      <c r="F90" s="27" t="str">
        <f t="shared" si="7"/>
        <v/>
      </c>
      <c r="G90" s="27" t="str">
        <f t="shared" si="8"/>
        <v/>
      </c>
      <c r="H90" s="27" t="str">
        <f t="shared" si="9"/>
        <v/>
      </c>
    </row>
    <row r="91" spans="1:10" x14ac:dyDescent="0.25">
      <c r="A91" t="s">
        <v>34</v>
      </c>
      <c r="B91" s="23" t="str">
        <f>VLOOKUP(A91,Analyses_CV_ZS!C24:AC61,27,FALSE)</f>
        <v>CAT4</v>
      </c>
      <c r="C91" s="25">
        <v>6.2</v>
      </c>
      <c r="D91" s="25">
        <v>3.1</v>
      </c>
      <c r="E91" s="27" t="str">
        <f t="shared" si="6"/>
        <v/>
      </c>
      <c r="F91" s="27" t="str">
        <f t="shared" si="7"/>
        <v/>
      </c>
      <c r="G91" s="27" t="str">
        <f t="shared" si="8"/>
        <v/>
      </c>
      <c r="H91" s="27">
        <f t="shared" si="9"/>
        <v>10</v>
      </c>
    </row>
    <row r="92" spans="1:10" x14ac:dyDescent="0.25">
      <c r="A92" t="s">
        <v>40</v>
      </c>
      <c r="B92" s="23" t="str">
        <f>VLOOKUP(A92,Analyses_CV_ZS!C25:AC62,27,FALSE)</f>
        <v>CAT1</v>
      </c>
      <c r="C92" s="25">
        <v>5.8</v>
      </c>
      <c r="D92" s="25">
        <v>4.3</v>
      </c>
      <c r="E92" s="27">
        <f t="shared" si="6"/>
        <v>10</v>
      </c>
      <c r="F92" s="27" t="str">
        <f t="shared" si="7"/>
        <v/>
      </c>
      <c r="G92" s="27" t="str">
        <f t="shared" si="8"/>
        <v/>
      </c>
      <c r="H92" s="27" t="str">
        <f t="shared" si="9"/>
        <v/>
      </c>
    </row>
    <row r="93" spans="1:10" x14ac:dyDescent="0.25">
      <c r="A93" t="s">
        <v>43</v>
      </c>
      <c r="B93" s="23" t="str">
        <f>VLOOKUP(A93,Analyses_CV_ZS!C26:AC63,27,FALSE)</f>
        <v>CAT1</v>
      </c>
      <c r="C93" s="25">
        <v>5.8</v>
      </c>
      <c r="D93" s="25">
        <v>5.3</v>
      </c>
      <c r="E93" s="27">
        <f t="shared" si="6"/>
        <v>10</v>
      </c>
      <c r="F93" s="27" t="str">
        <f t="shared" si="7"/>
        <v/>
      </c>
      <c r="G93" s="27" t="str">
        <f t="shared" si="8"/>
        <v/>
      </c>
      <c r="H93" s="27" t="str">
        <f t="shared" si="9"/>
        <v/>
      </c>
    </row>
    <row r="94" spans="1:10" x14ac:dyDescent="0.25">
      <c r="A94" t="s">
        <v>44</v>
      </c>
      <c r="B94" s="23" t="str">
        <f>VLOOKUP(A94,Analyses_CV_ZS!C27:AC64,27,FALSE)</f>
        <v>CAT1</v>
      </c>
      <c r="C94" s="25">
        <v>7.2</v>
      </c>
      <c r="D94" s="25">
        <v>3.7</v>
      </c>
      <c r="E94" s="27">
        <f t="shared" si="6"/>
        <v>10</v>
      </c>
      <c r="F94" s="27" t="str">
        <f t="shared" si="7"/>
        <v/>
      </c>
      <c r="G94" s="27" t="str">
        <f t="shared" si="8"/>
        <v/>
      </c>
      <c r="H94" s="27" t="str">
        <f t="shared" si="9"/>
        <v/>
      </c>
    </row>
    <row r="95" spans="1:10" x14ac:dyDescent="0.25">
      <c r="A95" t="s">
        <v>46</v>
      </c>
      <c r="B95" s="23" t="str">
        <f>VLOOKUP(A95,Analyses_CV_ZS!C28:AC65,27,FALSE)</f>
        <v>CAT1</v>
      </c>
      <c r="C95" s="25">
        <v>4.2</v>
      </c>
      <c r="D95" s="25">
        <v>7.3</v>
      </c>
      <c r="E95" s="27">
        <f t="shared" si="6"/>
        <v>10</v>
      </c>
      <c r="F95" s="27" t="str">
        <f t="shared" si="7"/>
        <v/>
      </c>
      <c r="G95" s="27" t="str">
        <f t="shared" si="8"/>
        <v/>
      </c>
      <c r="H95" s="27" t="str">
        <f t="shared" si="9"/>
        <v/>
      </c>
    </row>
    <row r="96" spans="1:10" x14ac:dyDescent="0.25">
      <c r="A96" t="s">
        <v>47</v>
      </c>
      <c r="B96" s="23" t="str">
        <f>VLOOKUP(A96,Analyses_CV_ZS!C29:AC66,27,FALSE)</f>
        <v>CAT1</v>
      </c>
      <c r="C96" s="25">
        <v>7.8</v>
      </c>
      <c r="D96" s="25">
        <v>5</v>
      </c>
      <c r="E96" s="27">
        <f t="shared" si="6"/>
        <v>10</v>
      </c>
      <c r="F96" s="27" t="str">
        <f t="shared" si="7"/>
        <v/>
      </c>
      <c r="G96" s="27" t="str">
        <f t="shared" si="8"/>
        <v/>
      </c>
      <c r="H96" s="27" t="str">
        <f t="shared" si="9"/>
        <v/>
      </c>
    </row>
    <row r="97" spans="1:8" x14ac:dyDescent="0.25">
      <c r="A97" t="s">
        <v>48</v>
      </c>
      <c r="B97" s="23" t="str">
        <f>VLOOKUP(A97,Analyses_CV_ZS!C30:AC67,27,FALSE)</f>
        <v>CAT1</v>
      </c>
      <c r="C97" s="25">
        <v>8.1999999999999993</v>
      </c>
      <c r="D97" s="25">
        <v>4.4000000000000004</v>
      </c>
      <c r="E97" s="27">
        <f t="shared" si="6"/>
        <v>10</v>
      </c>
      <c r="F97" s="27" t="str">
        <f t="shared" si="7"/>
        <v/>
      </c>
      <c r="G97" s="27" t="str">
        <f t="shared" si="8"/>
        <v/>
      </c>
      <c r="H97" s="27" t="str">
        <f t="shared" si="9"/>
        <v/>
      </c>
    </row>
    <row r="98" spans="1:8" x14ac:dyDescent="0.25">
      <c r="A98" t="s">
        <v>50</v>
      </c>
      <c r="B98" s="23" t="str">
        <f>VLOOKUP(A98,Analyses_CV_ZS!C31:AC68,27,FALSE)</f>
        <v>CAT1</v>
      </c>
      <c r="C98" s="25">
        <v>2.7</v>
      </c>
      <c r="D98" s="25">
        <v>5</v>
      </c>
      <c r="E98" s="27">
        <f t="shared" si="6"/>
        <v>10</v>
      </c>
      <c r="F98" s="27" t="str">
        <f t="shared" si="7"/>
        <v/>
      </c>
      <c r="G98" s="27" t="str">
        <f t="shared" si="8"/>
        <v/>
      </c>
      <c r="H98" s="27" t="str">
        <f t="shared" si="9"/>
        <v/>
      </c>
    </row>
    <row r="99" spans="1:8" x14ac:dyDescent="0.25">
      <c r="A99"/>
      <c r="B99" s="23"/>
      <c r="C99" s="25"/>
      <c r="D99" s="25"/>
      <c r="E99" s="26" t="str">
        <f t="shared" si="6"/>
        <v/>
      </c>
      <c r="F99" s="26" t="str">
        <f t="shared" si="7"/>
        <v/>
      </c>
      <c r="G99" s="26" t="str">
        <f t="shared" si="8"/>
        <v/>
      </c>
      <c r="H99" s="26" t="str">
        <f t="shared" si="9"/>
        <v/>
      </c>
    </row>
    <row r="100" spans="1:8" x14ac:dyDescent="0.25">
      <c r="A100"/>
      <c r="B100" s="23"/>
      <c r="C100" s="25"/>
      <c r="D100" s="25"/>
      <c r="E100" s="26" t="str">
        <f t="shared" si="6"/>
        <v/>
      </c>
      <c r="F100" s="26" t="str">
        <f t="shared" si="7"/>
        <v/>
      </c>
      <c r="G100" s="26" t="str">
        <f t="shared" si="8"/>
        <v/>
      </c>
      <c r="H100" s="26" t="str">
        <f t="shared" si="9"/>
        <v/>
      </c>
    </row>
    <row r="101" spans="1:8" x14ac:dyDescent="0.25">
      <c r="A101"/>
      <c r="B101" s="23"/>
      <c r="C101" s="25"/>
      <c r="D101" s="25"/>
      <c r="E101" s="26" t="str">
        <f t="shared" si="6"/>
        <v/>
      </c>
      <c r="F101" s="26" t="str">
        <f t="shared" si="7"/>
        <v/>
      </c>
      <c r="G101" s="26" t="str">
        <f t="shared" si="8"/>
        <v/>
      </c>
      <c r="H101" s="26" t="str">
        <f t="shared" si="9"/>
        <v/>
      </c>
    </row>
    <row r="102" spans="1:8" x14ac:dyDescent="0.25">
      <c r="A102"/>
      <c r="B102" s="23"/>
      <c r="C102" s="25"/>
      <c r="D102" s="25"/>
      <c r="E102" s="26" t="str">
        <f t="shared" si="6"/>
        <v/>
      </c>
      <c r="F102" s="26" t="str">
        <f t="shared" si="7"/>
        <v/>
      </c>
      <c r="G102" s="26" t="str">
        <f t="shared" si="8"/>
        <v/>
      </c>
      <c r="H102" s="26" t="str">
        <f t="shared" si="9"/>
        <v/>
      </c>
    </row>
    <row r="103" spans="1:8" x14ac:dyDescent="0.25">
      <c r="A103"/>
      <c r="B103" s="23"/>
      <c r="C103" s="25"/>
      <c r="D103" s="25"/>
      <c r="E103" s="26" t="str">
        <f t="shared" si="6"/>
        <v/>
      </c>
      <c r="F103" s="26" t="str">
        <f t="shared" si="7"/>
        <v/>
      </c>
      <c r="G103" s="26" t="str">
        <f t="shared" si="8"/>
        <v/>
      </c>
      <c r="H103" s="26" t="str">
        <f t="shared" si="9"/>
        <v/>
      </c>
    </row>
    <row r="104" spans="1:8" x14ac:dyDescent="0.25">
      <c r="A104"/>
      <c r="B104" s="23"/>
      <c r="C104" s="25"/>
      <c r="D104" s="25"/>
      <c r="E104" s="26" t="str">
        <f t="shared" si="6"/>
        <v/>
      </c>
      <c r="F104" s="26" t="str">
        <f t="shared" si="7"/>
        <v/>
      </c>
      <c r="G104" s="26" t="str">
        <f t="shared" si="8"/>
        <v/>
      </c>
      <c r="H104" s="26" t="str">
        <f t="shared" si="9"/>
        <v/>
      </c>
    </row>
    <row r="105" spans="1:8" x14ac:dyDescent="0.25">
      <c r="A105"/>
      <c r="B105" s="23"/>
      <c r="C105" s="25"/>
      <c r="D105" s="25"/>
      <c r="E105" s="26" t="str">
        <f t="shared" si="6"/>
        <v/>
      </c>
      <c r="F105" s="26" t="str">
        <f t="shared" si="7"/>
        <v/>
      </c>
      <c r="G105" s="26" t="str">
        <f t="shared" si="8"/>
        <v/>
      </c>
      <c r="H105" s="26" t="str">
        <f t="shared" si="9"/>
        <v/>
      </c>
    </row>
    <row r="106" spans="1:8" x14ac:dyDescent="0.25">
      <c r="A106"/>
      <c r="B106" s="23"/>
      <c r="C106" s="25"/>
      <c r="D106" s="25"/>
      <c r="E106" s="26" t="str">
        <f t="shared" si="6"/>
        <v/>
      </c>
      <c r="F106" s="26" t="str">
        <f t="shared" si="7"/>
        <v/>
      </c>
      <c r="G106" s="26" t="str">
        <f t="shared" si="8"/>
        <v/>
      </c>
      <c r="H106" s="26" t="str">
        <f t="shared" si="9"/>
        <v/>
      </c>
    </row>
    <row r="107" spans="1:8" x14ac:dyDescent="0.25">
      <c r="A107"/>
      <c r="B107" s="23"/>
      <c r="C107" s="25"/>
      <c r="D107" s="25"/>
      <c r="E107" s="26" t="str">
        <f t="shared" si="6"/>
        <v/>
      </c>
      <c r="F107" s="26" t="str">
        <f t="shared" si="7"/>
        <v/>
      </c>
      <c r="G107" s="26" t="str">
        <f t="shared" si="8"/>
        <v/>
      </c>
      <c r="H107" s="26" t="str">
        <f t="shared" si="9"/>
        <v/>
      </c>
    </row>
    <row r="108" spans="1:8" x14ac:dyDescent="0.25">
      <c r="A108"/>
      <c r="B108" s="23"/>
      <c r="C108" s="25"/>
      <c r="D108" s="25"/>
      <c r="E108" s="26" t="str">
        <f t="shared" si="6"/>
        <v/>
      </c>
      <c r="F108" s="26" t="str">
        <f t="shared" si="7"/>
        <v/>
      </c>
      <c r="G108" s="26" t="str">
        <f t="shared" si="8"/>
        <v/>
      </c>
      <c r="H108" s="26" t="str">
        <f t="shared" si="9"/>
        <v/>
      </c>
    </row>
    <row r="109" spans="1:8" x14ac:dyDescent="0.25">
      <c r="A109"/>
      <c r="B109" s="23"/>
      <c r="C109" s="25"/>
      <c r="D109" s="25"/>
      <c r="E109" s="26" t="str">
        <f t="shared" si="6"/>
        <v/>
      </c>
      <c r="F109" s="26" t="str">
        <f t="shared" si="7"/>
        <v/>
      </c>
      <c r="G109" s="26" t="str">
        <f t="shared" si="8"/>
        <v/>
      </c>
      <c r="H109" s="26" t="str">
        <f t="shared" si="9"/>
        <v/>
      </c>
    </row>
    <row r="110" spans="1:8" x14ac:dyDescent="0.25">
      <c r="A110"/>
      <c r="B110" s="23"/>
      <c r="C110" s="25"/>
      <c r="D110" s="25"/>
      <c r="E110" s="26" t="str">
        <f t="shared" si="6"/>
        <v/>
      </c>
      <c r="F110" s="26" t="str">
        <f t="shared" si="7"/>
        <v/>
      </c>
      <c r="G110" s="26" t="str">
        <f t="shared" si="8"/>
        <v/>
      </c>
      <c r="H110" s="26" t="str">
        <f t="shared" si="9"/>
        <v/>
      </c>
    </row>
    <row r="111" spans="1:8" x14ac:dyDescent="0.25">
      <c r="A111"/>
      <c r="B111" s="23"/>
      <c r="C111" s="25"/>
      <c r="D111" s="25"/>
      <c r="E111" s="26" t="str">
        <f t="shared" si="6"/>
        <v/>
      </c>
      <c r="F111" s="26" t="str">
        <f t="shared" si="7"/>
        <v/>
      </c>
      <c r="G111" s="26" t="str">
        <f t="shared" si="8"/>
        <v/>
      </c>
      <c r="H111" s="26" t="str">
        <f t="shared" si="9"/>
        <v/>
      </c>
    </row>
    <row r="112" spans="1:8" x14ac:dyDescent="0.25">
      <c r="A112"/>
      <c r="B112" s="23"/>
      <c r="C112" s="25"/>
      <c r="D112" s="25"/>
      <c r="E112" s="26" t="str">
        <f t="shared" si="6"/>
        <v/>
      </c>
      <c r="F112" s="26" t="str">
        <f t="shared" si="7"/>
        <v/>
      </c>
      <c r="G112" s="26" t="str">
        <f t="shared" si="8"/>
        <v/>
      </c>
      <c r="H112" s="26" t="str">
        <f t="shared" si="9"/>
        <v/>
      </c>
    </row>
    <row r="113" spans="1:8" x14ac:dyDescent="0.25">
      <c r="A113"/>
      <c r="B113" s="23"/>
      <c r="C113" s="25"/>
      <c r="D113" s="25"/>
      <c r="E113" s="26" t="str">
        <f t="shared" si="6"/>
        <v/>
      </c>
      <c r="F113" s="26" t="str">
        <f t="shared" si="7"/>
        <v/>
      </c>
      <c r="G113" s="26" t="str">
        <f t="shared" si="8"/>
        <v/>
      </c>
      <c r="H113" s="26" t="str">
        <f t="shared" si="9"/>
        <v/>
      </c>
    </row>
    <row r="114" spans="1:8" x14ac:dyDescent="0.25">
      <c r="A114"/>
      <c r="B114" s="23"/>
      <c r="C114" s="25"/>
      <c r="D114" s="25"/>
      <c r="E114" s="26" t="str">
        <f t="shared" si="6"/>
        <v/>
      </c>
      <c r="F114" s="26" t="str">
        <f t="shared" si="7"/>
        <v/>
      </c>
      <c r="G114" s="26" t="str">
        <f t="shared" si="8"/>
        <v/>
      </c>
      <c r="H114" s="26" t="str">
        <f t="shared" si="9"/>
        <v/>
      </c>
    </row>
    <row r="115" spans="1:8" x14ac:dyDescent="0.25">
      <c r="B115" s="19"/>
      <c r="C115" s="20"/>
      <c r="D115" s="20"/>
      <c r="E115" s="21" t="str">
        <f t="shared" si="6"/>
        <v/>
      </c>
      <c r="F115" s="21" t="str">
        <f t="shared" si="7"/>
        <v/>
      </c>
      <c r="G115" s="21" t="str">
        <f t="shared" si="8"/>
        <v/>
      </c>
      <c r="H115" s="21" t="str">
        <f t="shared" si="9"/>
        <v/>
      </c>
    </row>
    <row r="116" spans="1:8" x14ac:dyDescent="0.25">
      <c r="B116" s="19"/>
      <c r="E116" s="4"/>
      <c r="F116" s="4"/>
      <c r="G116" s="4"/>
      <c r="H116" s="4" t="s">
        <v>2</v>
      </c>
    </row>
  </sheetData>
  <sheetProtection password="EF87" sheet="1" selectLockedCells="1"/>
  <pageMargins left="0.7" right="0.7" top="0.75" bottom="0.75" header="0.3" footer="0.3"/>
  <pageSetup paperSize="9" orientation="portrait" r:id="rId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J115"/>
  <sheetViews>
    <sheetView showGridLines="0" zoomScale="70" zoomScaleNormal="70" workbookViewId="0">
      <selection activeCell="N91" sqref="N91"/>
    </sheetView>
  </sheetViews>
  <sheetFormatPr baseColWidth="10" defaultColWidth="11.453125" defaultRowHeight="12.5" x14ac:dyDescent="0.25"/>
  <cols>
    <col min="1" max="1" width="11.453125" style="2"/>
    <col min="2" max="2" width="6.453125" style="2" customWidth="1"/>
    <col min="3" max="4" width="7.7265625" style="2" customWidth="1"/>
    <col min="5" max="16384" width="11.453125" style="2"/>
  </cols>
  <sheetData>
    <row r="1" spans="1:10" x14ac:dyDescent="0.25">
      <c r="A1"/>
      <c r="B1"/>
      <c r="C1"/>
      <c r="D1"/>
      <c r="E1"/>
      <c r="F1"/>
      <c r="G1"/>
      <c r="H1"/>
    </row>
    <row r="2" spans="1:10" ht="13" x14ac:dyDescent="0.3">
      <c r="A2" s="22" t="s">
        <v>4</v>
      </c>
      <c r="B2" s="22" t="s">
        <v>696</v>
      </c>
      <c r="C2" s="22" t="s">
        <v>725</v>
      </c>
      <c r="D2" s="22" t="s">
        <v>726</v>
      </c>
      <c r="E2" s="22" t="s">
        <v>727</v>
      </c>
      <c r="F2" s="22" t="s">
        <v>728</v>
      </c>
      <c r="G2" s="22" t="s">
        <v>729</v>
      </c>
      <c r="H2" s="22" t="s">
        <v>730</v>
      </c>
    </row>
    <row r="3" spans="1:10" x14ac:dyDescent="0.25">
      <c r="A3" s="1" t="s">
        <v>700</v>
      </c>
      <c r="B3" t="s">
        <v>684</v>
      </c>
      <c r="C3"/>
      <c r="D3"/>
      <c r="E3" s="24"/>
      <c r="F3" s="24"/>
      <c r="G3" s="24"/>
      <c r="H3" s="24"/>
    </row>
    <row r="4" spans="1:10" x14ac:dyDescent="0.25">
      <c r="A4" s="6" t="s">
        <v>17</v>
      </c>
      <c r="B4" s="23">
        <v>0.87680415414203261</v>
      </c>
      <c r="C4">
        <v>5.3</v>
      </c>
      <c r="D4">
        <v>2.5</v>
      </c>
      <c r="E4" s="28" t="str">
        <f>IF(B4&lt;0.5,B4,"")</f>
        <v/>
      </c>
      <c r="F4" s="28" t="str">
        <f>IF(AND(B4&gt;=0.5,B4&lt;0.8),B4,"")</f>
        <v/>
      </c>
      <c r="G4" s="28">
        <f>IF(AND(B4&gt;=0.8,B4&lt;=0.94),B4,"")</f>
        <v>0.87680415414203261</v>
      </c>
      <c r="H4" s="28" t="str">
        <f>IF(B4&gt;0.95,B4,"")</f>
        <v/>
      </c>
    </row>
    <row r="5" spans="1:10" x14ac:dyDescent="0.25">
      <c r="A5" s="6" t="s">
        <v>19</v>
      </c>
      <c r="B5" s="23">
        <v>1.0995634969977892</v>
      </c>
      <c r="C5">
        <v>7.4</v>
      </c>
      <c r="D5">
        <v>7.8</v>
      </c>
      <c r="E5" s="28" t="str">
        <f t="shared" ref="E5:E20" si="0">IF(B5&lt;0.5,B5,"")</f>
        <v/>
      </c>
      <c r="F5" s="28" t="str">
        <f t="shared" ref="F5:F38" si="1">IF(AND(B5&gt;=0.5,B5&lt;0.8),B5,"")</f>
        <v/>
      </c>
      <c r="G5" s="28" t="str">
        <f t="shared" ref="G5:G38" si="2">IF(AND(B5&gt;=0.8,B5&lt;=0.94),B5,"")</f>
        <v/>
      </c>
      <c r="H5" s="28">
        <f t="shared" ref="H5:H38" si="3">IF(B5&gt;0.95,B5,"")</f>
        <v>1.0995634969977892</v>
      </c>
    </row>
    <row r="6" spans="1:10" x14ac:dyDescent="0.25">
      <c r="A6" s="6" t="s">
        <v>20</v>
      </c>
      <c r="B6" s="23">
        <v>0.74840567305321148</v>
      </c>
      <c r="C6">
        <v>4.5</v>
      </c>
      <c r="D6">
        <v>6</v>
      </c>
      <c r="E6" s="28" t="str">
        <f t="shared" si="0"/>
        <v/>
      </c>
      <c r="F6" s="28">
        <f t="shared" si="1"/>
        <v>0.74840567305321148</v>
      </c>
      <c r="G6" s="28" t="str">
        <f t="shared" si="2"/>
        <v/>
      </c>
      <c r="H6" s="28" t="str">
        <f t="shared" si="3"/>
        <v/>
      </c>
      <c r="J6" s="54" t="str">
        <f>"CV Penta 3 de "&amp;Analyses_CV_AS!B7</f>
        <v>CV Penta 3 de Janvier-Octobre 2024</v>
      </c>
    </row>
    <row r="7" spans="1:10" x14ac:dyDescent="0.25">
      <c r="A7" s="6" t="s">
        <v>23</v>
      </c>
      <c r="B7" s="23">
        <v>0.78069105307181819</v>
      </c>
      <c r="C7">
        <v>9</v>
      </c>
      <c r="D7">
        <v>5</v>
      </c>
      <c r="E7" s="28" t="str">
        <f t="shared" si="0"/>
        <v/>
      </c>
      <c r="F7" s="28">
        <f t="shared" si="1"/>
        <v>0.78069105307181819</v>
      </c>
      <c r="G7" s="28" t="str">
        <f t="shared" si="2"/>
        <v/>
      </c>
      <c r="H7" s="28" t="str">
        <f t="shared" si="3"/>
        <v/>
      </c>
    </row>
    <row r="8" spans="1:10" x14ac:dyDescent="0.25">
      <c r="A8" s="6" t="s">
        <v>26</v>
      </c>
      <c r="B8" s="23">
        <v>0.92833045875188913</v>
      </c>
      <c r="C8">
        <v>6</v>
      </c>
      <c r="D8">
        <v>6.2</v>
      </c>
      <c r="E8" s="28" t="str">
        <f t="shared" si="0"/>
        <v/>
      </c>
      <c r="F8" s="28" t="str">
        <f t="shared" si="1"/>
        <v/>
      </c>
      <c r="G8" s="28">
        <f t="shared" si="2"/>
        <v>0.92833045875188913</v>
      </c>
      <c r="H8" s="28" t="str">
        <f t="shared" si="3"/>
        <v/>
      </c>
    </row>
    <row r="9" spans="1:10" x14ac:dyDescent="0.25">
      <c r="A9" s="6" t="s">
        <v>27</v>
      </c>
      <c r="B9" s="23">
        <v>1.0756016961123636</v>
      </c>
      <c r="C9">
        <v>8.8000000000000007</v>
      </c>
      <c r="D9">
        <v>8.9</v>
      </c>
      <c r="E9" s="28" t="str">
        <f t="shared" si="0"/>
        <v/>
      </c>
      <c r="F9" s="28" t="str">
        <f t="shared" si="1"/>
        <v/>
      </c>
      <c r="G9" s="28" t="str">
        <f t="shared" si="2"/>
        <v/>
      </c>
      <c r="H9" s="28">
        <f t="shared" si="3"/>
        <v>1.0756016961123636</v>
      </c>
    </row>
    <row r="10" spans="1:10" x14ac:dyDescent="0.25">
      <c r="A10" s="6" t="s">
        <v>30</v>
      </c>
      <c r="B10" s="23">
        <v>1.0772790459417139</v>
      </c>
      <c r="C10">
        <v>9.6999999999999993</v>
      </c>
      <c r="D10">
        <v>4</v>
      </c>
      <c r="E10" s="28" t="str">
        <f t="shared" si="0"/>
        <v/>
      </c>
      <c r="F10" s="28" t="str">
        <f t="shared" si="1"/>
        <v/>
      </c>
      <c r="G10" s="28" t="str">
        <f t="shared" si="2"/>
        <v/>
      </c>
      <c r="H10" s="28">
        <f t="shared" si="3"/>
        <v>1.0772790459417139</v>
      </c>
    </row>
    <row r="11" spans="1:10" x14ac:dyDescent="0.25">
      <c r="A11" s="6" t="s">
        <v>31</v>
      </c>
      <c r="B11" s="23">
        <v>0.77130332631563758</v>
      </c>
      <c r="C11">
        <v>5.8</v>
      </c>
      <c r="D11">
        <v>1.3</v>
      </c>
      <c r="E11" s="28" t="str">
        <f t="shared" si="0"/>
        <v/>
      </c>
      <c r="F11" s="28">
        <f t="shared" si="1"/>
        <v>0.77130332631563758</v>
      </c>
      <c r="G11" s="28" t="str">
        <f t="shared" si="2"/>
        <v/>
      </c>
      <c r="H11" s="28" t="str">
        <f t="shared" si="3"/>
        <v/>
      </c>
    </row>
    <row r="12" spans="1:10" x14ac:dyDescent="0.25">
      <c r="A12" s="6" t="s">
        <v>35</v>
      </c>
      <c r="B12" s="23">
        <v>0.90451338846494311</v>
      </c>
      <c r="C12">
        <v>7.2</v>
      </c>
      <c r="D12">
        <v>5.0999999999999996</v>
      </c>
      <c r="E12" s="28" t="str">
        <f t="shared" si="0"/>
        <v/>
      </c>
      <c r="F12" s="28" t="str">
        <f t="shared" si="1"/>
        <v/>
      </c>
      <c r="G12" s="28">
        <f t="shared" si="2"/>
        <v>0.90451338846494311</v>
      </c>
      <c r="H12" s="28" t="str">
        <f t="shared" si="3"/>
        <v/>
      </c>
    </row>
    <row r="13" spans="1:10" x14ac:dyDescent="0.25">
      <c r="A13" s="6" t="s">
        <v>36</v>
      </c>
      <c r="B13" s="23">
        <v>0.9592465706364518</v>
      </c>
      <c r="C13">
        <v>4.4000000000000004</v>
      </c>
      <c r="D13">
        <v>3.7</v>
      </c>
      <c r="E13" s="28" t="str">
        <f t="shared" si="0"/>
        <v/>
      </c>
      <c r="F13" s="28" t="str">
        <f t="shared" si="1"/>
        <v/>
      </c>
      <c r="G13" s="28" t="str">
        <f t="shared" si="2"/>
        <v/>
      </c>
      <c r="H13" s="28">
        <f t="shared" si="3"/>
        <v>0.9592465706364518</v>
      </c>
    </row>
    <row r="14" spans="1:10" x14ac:dyDescent="0.25">
      <c r="A14" s="6" t="s">
        <v>37</v>
      </c>
      <c r="B14" s="23">
        <v>0.85903342303782226</v>
      </c>
      <c r="C14">
        <v>5.5</v>
      </c>
      <c r="D14">
        <v>7.2</v>
      </c>
      <c r="E14" s="28" t="str">
        <f t="shared" si="0"/>
        <v/>
      </c>
      <c r="F14" s="28" t="str">
        <f t="shared" si="1"/>
        <v/>
      </c>
      <c r="G14" s="28">
        <f t="shared" si="2"/>
        <v>0.85903342303782226</v>
      </c>
      <c r="H14" s="28" t="str">
        <f t="shared" si="3"/>
        <v/>
      </c>
    </row>
    <row r="15" spans="1:10" x14ac:dyDescent="0.25">
      <c r="A15" s="6" t="s">
        <v>38</v>
      </c>
      <c r="B15" s="23">
        <v>0.81599186824324565</v>
      </c>
      <c r="C15">
        <v>3</v>
      </c>
      <c r="D15">
        <v>6.4</v>
      </c>
      <c r="E15" s="28" t="str">
        <f t="shared" si="0"/>
        <v/>
      </c>
      <c r="F15" s="28" t="str">
        <f t="shared" si="1"/>
        <v/>
      </c>
      <c r="G15" s="28">
        <f t="shared" si="2"/>
        <v>0.81599186824324565</v>
      </c>
      <c r="H15" s="28" t="str">
        <f t="shared" si="3"/>
        <v/>
      </c>
    </row>
    <row r="16" spans="1:10" x14ac:dyDescent="0.25">
      <c r="A16" s="6" t="s">
        <v>39</v>
      </c>
      <c r="B16" s="23">
        <v>0.94654468564802752</v>
      </c>
      <c r="C16">
        <v>6.5</v>
      </c>
      <c r="D16">
        <v>3.6</v>
      </c>
      <c r="E16" s="28" t="str">
        <f t="shared" si="0"/>
        <v/>
      </c>
      <c r="F16" s="28" t="str">
        <f t="shared" si="1"/>
        <v/>
      </c>
      <c r="G16" s="28" t="str">
        <f t="shared" si="2"/>
        <v/>
      </c>
      <c r="H16" s="28" t="str">
        <f t="shared" si="3"/>
        <v/>
      </c>
    </row>
    <row r="17" spans="1:8" x14ac:dyDescent="0.25">
      <c r="A17" s="6" t="s">
        <v>41</v>
      </c>
      <c r="B17" s="23">
        <v>0.99920567963447149</v>
      </c>
      <c r="C17">
        <v>4.5</v>
      </c>
      <c r="D17">
        <v>4.8</v>
      </c>
      <c r="E17" s="28" t="str">
        <f t="shared" si="0"/>
        <v/>
      </c>
      <c r="F17" s="28" t="str">
        <f t="shared" si="1"/>
        <v/>
      </c>
      <c r="G17" s="28" t="str">
        <f t="shared" si="2"/>
        <v/>
      </c>
      <c r="H17" s="28">
        <f t="shared" si="3"/>
        <v>0.99920567963447149</v>
      </c>
    </row>
    <row r="18" spans="1:8" x14ac:dyDescent="0.25">
      <c r="A18" s="6" t="s">
        <v>42</v>
      </c>
      <c r="B18" s="23">
        <v>0.69582571237355328</v>
      </c>
      <c r="C18">
        <v>8.1999999999999993</v>
      </c>
      <c r="D18">
        <v>6.7</v>
      </c>
      <c r="E18" s="28" t="str">
        <f t="shared" si="0"/>
        <v/>
      </c>
      <c r="F18" s="28">
        <f t="shared" si="1"/>
        <v>0.69582571237355328</v>
      </c>
      <c r="G18" s="28" t="str">
        <f t="shared" si="2"/>
        <v/>
      </c>
      <c r="H18" s="28" t="str">
        <f t="shared" si="3"/>
        <v/>
      </c>
    </row>
    <row r="19" spans="1:8" x14ac:dyDescent="0.25">
      <c r="A19" s="6" t="s">
        <v>45</v>
      </c>
      <c r="B19" s="23">
        <v>0.75032412332709497</v>
      </c>
      <c r="C19">
        <v>7.5</v>
      </c>
      <c r="D19">
        <v>9.3000000000000007</v>
      </c>
      <c r="E19" s="28" t="str">
        <f t="shared" si="0"/>
        <v/>
      </c>
      <c r="F19" s="28">
        <f t="shared" si="1"/>
        <v>0.75032412332709497</v>
      </c>
      <c r="G19" s="28" t="str">
        <f t="shared" si="2"/>
        <v/>
      </c>
      <c r="H19" s="28" t="str">
        <f t="shared" si="3"/>
        <v/>
      </c>
    </row>
    <row r="20" spans="1:8" x14ac:dyDescent="0.25">
      <c r="A20" s="6" t="s">
        <v>49</v>
      </c>
      <c r="B20" s="23">
        <v>0.88940245341961555</v>
      </c>
      <c r="C20">
        <v>7.3</v>
      </c>
      <c r="D20">
        <v>6</v>
      </c>
      <c r="E20" s="28" t="str">
        <f t="shared" si="0"/>
        <v/>
      </c>
      <c r="F20" s="28" t="str">
        <f t="shared" si="1"/>
        <v/>
      </c>
      <c r="G20" s="28">
        <f t="shared" si="2"/>
        <v>0.88940245341961555</v>
      </c>
      <c r="H20" s="28" t="str">
        <f t="shared" si="3"/>
        <v/>
      </c>
    </row>
    <row r="21" spans="1:8" x14ac:dyDescent="0.25">
      <c r="A21" s="6" t="s">
        <v>701</v>
      </c>
      <c r="B21" s="23">
        <v>0.90641589427547975</v>
      </c>
      <c r="C21"/>
      <c r="D21"/>
      <c r="E21" s="28"/>
      <c r="F21" s="28" t="str">
        <f t="shared" si="1"/>
        <v/>
      </c>
      <c r="G21" s="28">
        <f t="shared" si="2"/>
        <v>0.90641589427547975</v>
      </c>
      <c r="H21" s="28" t="str">
        <f t="shared" si="3"/>
        <v/>
      </c>
    </row>
    <row r="22" spans="1:8" x14ac:dyDescent="0.25">
      <c r="A22"/>
      <c r="B22"/>
      <c r="C22"/>
      <c r="D22"/>
      <c r="E22" s="5"/>
      <c r="F22" s="5" t="str">
        <f t="shared" si="1"/>
        <v/>
      </c>
      <c r="G22" s="5" t="str">
        <f t="shared" si="2"/>
        <v/>
      </c>
      <c r="H22" s="5" t="str">
        <f t="shared" si="3"/>
        <v/>
      </c>
    </row>
    <row r="23" spans="1:8" x14ac:dyDescent="0.25">
      <c r="A23"/>
      <c r="B23"/>
      <c r="C23"/>
      <c r="D23"/>
      <c r="E23" s="5"/>
      <c r="F23" s="5" t="str">
        <f t="shared" si="1"/>
        <v/>
      </c>
      <c r="G23" s="5" t="str">
        <f t="shared" si="2"/>
        <v/>
      </c>
      <c r="H23" s="5" t="str">
        <f t="shared" si="3"/>
        <v/>
      </c>
    </row>
    <row r="24" spans="1:8" x14ac:dyDescent="0.25">
      <c r="A24"/>
      <c r="B24"/>
      <c r="C24"/>
      <c r="D24"/>
      <c r="E24" s="5"/>
      <c r="F24" s="5" t="str">
        <f t="shared" si="1"/>
        <v/>
      </c>
      <c r="G24" s="5" t="str">
        <f t="shared" si="2"/>
        <v/>
      </c>
      <c r="H24" s="5" t="str">
        <f t="shared" si="3"/>
        <v/>
      </c>
    </row>
    <row r="25" spans="1:8" x14ac:dyDescent="0.25">
      <c r="A25"/>
      <c r="B25"/>
      <c r="C25"/>
      <c r="D25"/>
      <c r="E25" s="5"/>
      <c r="F25" s="5" t="str">
        <f t="shared" si="1"/>
        <v/>
      </c>
      <c r="G25" s="5" t="str">
        <f t="shared" si="2"/>
        <v/>
      </c>
      <c r="H25" s="5" t="str">
        <f t="shared" si="3"/>
        <v/>
      </c>
    </row>
    <row r="26" spans="1:8" x14ac:dyDescent="0.25">
      <c r="A26"/>
      <c r="B26"/>
      <c r="C26"/>
      <c r="D26"/>
      <c r="E26" s="5"/>
      <c r="F26" s="5" t="str">
        <f t="shared" si="1"/>
        <v/>
      </c>
      <c r="G26" s="5" t="str">
        <f t="shared" si="2"/>
        <v/>
      </c>
      <c r="H26" s="5" t="str">
        <f t="shared" si="3"/>
        <v/>
      </c>
    </row>
    <row r="27" spans="1:8" x14ac:dyDescent="0.25">
      <c r="A27"/>
      <c r="B27"/>
      <c r="C27"/>
      <c r="D27"/>
      <c r="E27" s="5"/>
      <c r="F27" s="5" t="str">
        <f t="shared" si="1"/>
        <v/>
      </c>
      <c r="G27" s="5" t="str">
        <f t="shared" si="2"/>
        <v/>
      </c>
      <c r="H27" s="5" t="str">
        <f t="shared" si="3"/>
        <v/>
      </c>
    </row>
    <row r="28" spans="1:8" x14ac:dyDescent="0.25">
      <c r="A28"/>
      <c r="B28"/>
      <c r="C28"/>
      <c r="D28"/>
      <c r="E28" s="5"/>
      <c r="F28" s="5" t="str">
        <f t="shared" si="1"/>
        <v/>
      </c>
      <c r="G28" s="5" t="str">
        <f t="shared" si="2"/>
        <v/>
      </c>
      <c r="H28" s="5" t="str">
        <f t="shared" si="3"/>
        <v/>
      </c>
    </row>
    <row r="29" spans="1:8" x14ac:dyDescent="0.25">
      <c r="A29"/>
      <c r="B29"/>
      <c r="C29"/>
      <c r="D29"/>
      <c r="E29" s="5"/>
      <c r="F29" s="5" t="str">
        <f t="shared" si="1"/>
        <v/>
      </c>
      <c r="G29" s="5" t="str">
        <f t="shared" si="2"/>
        <v/>
      </c>
      <c r="H29" s="5" t="str">
        <f t="shared" si="3"/>
        <v/>
      </c>
    </row>
    <row r="30" spans="1:8" x14ac:dyDescent="0.25">
      <c r="A30"/>
      <c r="B30"/>
      <c r="C30"/>
      <c r="D30"/>
      <c r="E30" s="5"/>
      <c r="F30" s="5" t="str">
        <f t="shared" si="1"/>
        <v/>
      </c>
      <c r="G30" s="5" t="str">
        <f t="shared" si="2"/>
        <v/>
      </c>
      <c r="H30" s="5" t="str">
        <f t="shared" si="3"/>
        <v/>
      </c>
    </row>
    <row r="31" spans="1:8" x14ac:dyDescent="0.25">
      <c r="A31"/>
      <c r="B31"/>
      <c r="C31"/>
      <c r="D31"/>
      <c r="E31" s="5"/>
      <c r="F31" s="5" t="str">
        <f t="shared" si="1"/>
        <v/>
      </c>
      <c r="G31" s="5" t="str">
        <f t="shared" si="2"/>
        <v/>
      </c>
      <c r="H31" s="5" t="str">
        <f t="shared" si="3"/>
        <v/>
      </c>
    </row>
    <row r="32" spans="1:8" x14ac:dyDescent="0.25">
      <c r="A32"/>
      <c r="B32"/>
      <c r="C32"/>
      <c r="D32"/>
      <c r="E32" s="5"/>
      <c r="F32" s="5" t="str">
        <f t="shared" si="1"/>
        <v/>
      </c>
      <c r="G32" s="5" t="str">
        <f t="shared" si="2"/>
        <v/>
      </c>
      <c r="H32" s="5" t="str">
        <f t="shared" si="3"/>
        <v/>
      </c>
    </row>
    <row r="33" spans="1:10" x14ac:dyDescent="0.25">
      <c r="A33"/>
      <c r="B33"/>
      <c r="C33"/>
      <c r="D33"/>
      <c r="E33" s="5"/>
      <c r="F33" s="5" t="str">
        <f t="shared" si="1"/>
        <v/>
      </c>
      <c r="G33" s="5" t="str">
        <f t="shared" si="2"/>
        <v/>
      </c>
      <c r="H33" s="5" t="str">
        <f t="shared" si="3"/>
        <v/>
      </c>
    </row>
    <row r="34" spans="1:10" x14ac:dyDescent="0.25">
      <c r="A34"/>
      <c r="B34"/>
      <c r="C34"/>
      <c r="D34"/>
      <c r="E34" s="5"/>
      <c r="F34" s="5" t="str">
        <f t="shared" si="1"/>
        <v/>
      </c>
      <c r="G34" s="5" t="str">
        <f t="shared" si="2"/>
        <v/>
      </c>
      <c r="H34" s="5" t="str">
        <f t="shared" si="3"/>
        <v/>
      </c>
    </row>
    <row r="35" spans="1:10" x14ac:dyDescent="0.25">
      <c r="A35"/>
      <c r="B35"/>
      <c r="C35"/>
      <c r="D35"/>
      <c r="E35" s="5"/>
      <c r="F35" s="5" t="str">
        <f t="shared" si="1"/>
        <v/>
      </c>
      <c r="G35" s="5" t="str">
        <f t="shared" si="2"/>
        <v/>
      </c>
      <c r="H35" s="5" t="str">
        <f t="shared" si="3"/>
        <v/>
      </c>
    </row>
    <row r="36" spans="1:10" x14ac:dyDescent="0.25">
      <c r="A36"/>
      <c r="B36"/>
      <c r="C36"/>
      <c r="D36"/>
      <c r="E36" s="5"/>
      <c r="F36" s="5" t="str">
        <f t="shared" si="1"/>
        <v/>
      </c>
      <c r="G36" s="5" t="str">
        <f t="shared" si="2"/>
        <v/>
      </c>
      <c r="H36" s="5" t="str">
        <f t="shared" si="3"/>
        <v/>
      </c>
    </row>
    <row r="37" spans="1:10" x14ac:dyDescent="0.25">
      <c r="A37"/>
      <c r="B37"/>
      <c r="C37"/>
      <c r="D37"/>
      <c r="E37" s="5"/>
      <c r="F37" s="5" t="str">
        <f t="shared" si="1"/>
        <v/>
      </c>
      <c r="G37" s="5" t="str">
        <f t="shared" si="2"/>
        <v/>
      </c>
      <c r="H37" s="5" t="str">
        <f t="shared" si="3"/>
        <v/>
      </c>
    </row>
    <row r="38" spans="1:10" x14ac:dyDescent="0.25">
      <c r="A38"/>
      <c r="B38"/>
      <c r="C38"/>
      <c r="D38"/>
      <c r="E38" s="5"/>
      <c r="F38" s="5" t="str">
        <f t="shared" si="1"/>
        <v/>
      </c>
      <c r="G38" s="5" t="str">
        <f t="shared" si="2"/>
        <v/>
      </c>
      <c r="H38" s="5" t="str">
        <f t="shared" si="3"/>
        <v/>
      </c>
    </row>
    <row r="39" spans="1:10" x14ac:dyDescent="0.25">
      <c r="A39"/>
      <c r="B39"/>
      <c r="C39"/>
      <c r="D39"/>
      <c r="E39"/>
      <c r="F39"/>
      <c r="G39"/>
      <c r="H39"/>
    </row>
    <row r="40" spans="1:10" x14ac:dyDescent="0.25">
      <c r="A40"/>
      <c r="B40"/>
      <c r="C40"/>
      <c r="D40"/>
      <c r="E40"/>
      <c r="F40"/>
      <c r="G40"/>
      <c r="H40"/>
    </row>
    <row r="41" spans="1:10" ht="13" x14ac:dyDescent="0.3">
      <c r="A41" s="22" t="s">
        <v>4</v>
      </c>
      <c r="B41" s="22" t="s">
        <v>724</v>
      </c>
      <c r="C41" s="22" t="s">
        <v>725</v>
      </c>
      <c r="D41" s="22" t="s">
        <v>726</v>
      </c>
      <c r="E41" s="22" t="s">
        <v>731</v>
      </c>
      <c r="F41" s="22" t="s">
        <v>732</v>
      </c>
      <c r="G41"/>
      <c r="H41"/>
    </row>
    <row r="42" spans="1:10" hidden="1" x14ac:dyDescent="0.25">
      <c r="A42" s="1" t="s">
        <v>700</v>
      </c>
      <c r="B42" t="s">
        <v>695</v>
      </c>
      <c r="C42"/>
      <c r="D42"/>
      <c r="E42"/>
      <c r="F42"/>
      <c r="G42"/>
      <c r="H42"/>
    </row>
    <row r="43" spans="1:10" x14ac:dyDescent="0.25">
      <c r="A43" s="6" t="s">
        <v>17</v>
      </c>
      <c r="B43" s="23">
        <v>8.8368760449008835E-2</v>
      </c>
      <c r="C43">
        <v>5.3</v>
      </c>
      <c r="D43">
        <v>2.5</v>
      </c>
      <c r="E43" s="28">
        <f>IF(B43&lt;=0.1,B43,"")</f>
        <v>8.8368760449008835E-2</v>
      </c>
      <c r="F43" s="28" t="str">
        <f>IF(B43&gt;0.1,B43,"")</f>
        <v/>
      </c>
      <c r="G43"/>
      <c r="H43"/>
    </row>
    <row r="44" spans="1:10" x14ac:dyDescent="0.25">
      <c r="A44" s="6" t="s">
        <v>19</v>
      </c>
      <c r="B44" s="23">
        <v>0</v>
      </c>
      <c r="C44">
        <v>7.4</v>
      </c>
      <c r="D44">
        <v>7.8</v>
      </c>
      <c r="E44" s="28">
        <f t="shared" ref="E44:E60" si="4">IF(B44&lt;=0.1,B44,"")</f>
        <v>0</v>
      </c>
      <c r="F44" s="28" t="str">
        <f t="shared" ref="F44:F76" si="5">IF(B44&gt;0.1,B44,"")</f>
        <v/>
      </c>
      <c r="G44"/>
      <c r="H44"/>
      <c r="J44" s="54" t="str">
        <f>"Tx_Abandon Penta1 - Penta 3 de "&amp;Analyses_CV_AS!B7</f>
        <v>Tx_Abandon Penta1 - Penta 3 de Janvier-Octobre 2024</v>
      </c>
    </row>
    <row r="45" spans="1:10" x14ac:dyDescent="0.25">
      <c r="A45" s="6" t="s">
        <v>20</v>
      </c>
      <c r="B45" s="23">
        <v>0.11972689587905389</v>
      </c>
      <c r="C45">
        <v>4.5</v>
      </c>
      <c r="D45">
        <v>6</v>
      </c>
      <c r="E45" s="28" t="str">
        <f t="shared" si="4"/>
        <v/>
      </c>
      <c r="F45" s="28">
        <f t="shared" si="5"/>
        <v>0.11972689587905389</v>
      </c>
      <c r="G45"/>
      <c r="H45"/>
    </row>
    <row r="46" spans="1:10" x14ac:dyDescent="0.25">
      <c r="A46" s="6" t="s">
        <v>23</v>
      </c>
      <c r="B46" s="23">
        <v>9.2843326885880081E-2</v>
      </c>
      <c r="C46">
        <v>9</v>
      </c>
      <c r="D46">
        <v>5</v>
      </c>
      <c r="E46" s="28">
        <f t="shared" si="4"/>
        <v>9.2843326885880081E-2</v>
      </c>
      <c r="F46" s="28" t="str">
        <f t="shared" si="5"/>
        <v/>
      </c>
      <c r="G46"/>
      <c r="H46"/>
    </row>
    <row r="47" spans="1:10" x14ac:dyDescent="0.25">
      <c r="A47" s="6" t="s">
        <v>26</v>
      </c>
      <c r="B47" s="23">
        <v>1.6783643576441867E-2</v>
      </c>
      <c r="C47">
        <v>6</v>
      </c>
      <c r="D47">
        <v>6.2</v>
      </c>
      <c r="E47" s="28">
        <f t="shared" si="4"/>
        <v>1.6783643576441867E-2</v>
      </c>
      <c r="F47" s="28" t="str">
        <f t="shared" si="5"/>
        <v/>
      </c>
      <c r="G47"/>
      <c r="H47"/>
    </row>
    <row r="48" spans="1:10" x14ac:dyDescent="0.25">
      <c r="A48" s="6" t="s">
        <v>27</v>
      </c>
      <c r="B48" s="23">
        <v>8.9631974673525919E-2</v>
      </c>
      <c r="C48">
        <v>8.5</v>
      </c>
      <c r="D48">
        <v>8.9</v>
      </c>
      <c r="E48" s="28">
        <f t="shared" si="4"/>
        <v>8.9631974673525919E-2</v>
      </c>
      <c r="F48" s="28" t="str">
        <f t="shared" si="5"/>
        <v/>
      </c>
      <c r="G48"/>
      <c r="H48"/>
    </row>
    <row r="49" spans="1:8" x14ac:dyDescent="0.25">
      <c r="A49" s="6" t="s">
        <v>30</v>
      </c>
      <c r="B49" s="23">
        <v>0</v>
      </c>
      <c r="C49">
        <v>9.6999999999999993</v>
      </c>
      <c r="D49">
        <v>4</v>
      </c>
      <c r="E49" s="28">
        <f t="shared" si="4"/>
        <v>0</v>
      </c>
      <c r="F49" s="28" t="str">
        <f t="shared" si="5"/>
        <v/>
      </c>
      <c r="G49"/>
      <c r="H49"/>
    </row>
    <row r="50" spans="1:8" x14ac:dyDescent="0.25">
      <c r="A50" s="6" t="s">
        <v>31</v>
      </c>
      <c r="B50" s="23">
        <v>0.11549149010072941</v>
      </c>
      <c r="C50">
        <v>5.8</v>
      </c>
      <c r="D50">
        <v>1.3</v>
      </c>
      <c r="E50" s="28" t="str">
        <f t="shared" si="4"/>
        <v/>
      </c>
      <c r="F50" s="28">
        <f t="shared" si="5"/>
        <v>0.11549149010072941</v>
      </c>
      <c r="G50"/>
      <c r="H50"/>
    </row>
    <row r="51" spans="1:8" x14ac:dyDescent="0.25">
      <c r="A51" s="6" t="s">
        <v>35</v>
      </c>
      <c r="B51" s="23">
        <v>2.0535857532488367E-2</v>
      </c>
      <c r="C51">
        <v>7.2</v>
      </c>
      <c r="D51">
        <v>5.0999999999999996</v>
      </c>
      <c r="E51" s="28">
        <f t="shared" si="4"/>
        <v>2.0535857532488367E-2</v>
      </c>
      <c r="F51" s="28" t="str">
        <f t="shared" si="5"/>
        <v/>
      </c>
      <c r="G51"/>
      <c r="H51"/>
    </row>
    <row r="52" spans="1:8" x14ac:dyDescent="0.25">
      <c r="A52" s="6" t="s">
        <v>36</v>
      </c>
      <c r="B52" s="23">
        <v>1.4363885088919288E-2</v>
      </c>
      <c r="C52">
        <v>4.4000000000000004</v>
      </c>
      <c r="D52">
        <v>3.7</v>
      </c>
      <c r="E52" s="28">
        <f t="shared" si="4"/>
        <v>1.4363885088919288E-2</v>
      </c>
      <c r="F52" s="28" t="str">
        <f t="shared" si="5"/>
        <v/>
      </c>
      <c r="G52"/>
      <c r="H52"/>
    </row>
    <row r="53" spans="1:8" x14ac:dyDescent="0.25">
      <c r="A53" s="6" t="s">
        <v>37</v>
      </c>
      <c r="B53" s="23">
        <v>2.4254029041008457E-2</v>
      </c>
      <c r="C53">
        <v>5.5</v>
      </c>
      <c r="D53">
        <v>7.2</v>
      </c>
      <c r="E53" s="28">
        <f t="shared" si="4"/>
        <v>2.4254029041008457E-2</v>
      </c>
      <c r="F53" s="28" t="str">
        <f t="shared" si="5"/>
        <v/>
      </c>
      <c r="G53"/>
      <c r="H53"/>
    </row>
    <row r="54" spans="1:8" x14ac:dyDescent="0.25">
      <c r="A54" s="6" t="s">
        <v>38</v>
      </c>
      <c r="B54" s="23">
        <v>0.18666666666666668</v>
      </c>
      <c r="C54">
        <v>3</v>
      </c>
      <c r="D54">
        <v>6.4</v>
      </c>
      <c r="E54" s="28" t="str">
        <f t="shared" si="4"/>
        <v/>
      </c>
      <c r="F54" s="28">
        <f t="shared" si="5"/>
        <v>0.18666666666666668</v>
      </c>
      <c r="G54"/>
      <c r="H54"/>
    </row>
    <row r="55" spans="1:8" x14ac:dyDescent="0.25">
      <c r="A55" s="6" t="s">
        <v>39</v>
      </c>
      <c r="B55" s="23">
        <v>5.6056236481614993E-2</v>
      </c>
      <c r="C55">
        <v>6.5</v>
      </c>
      <c r="D55">
        <v>3.7</v>
      </c>
      <c r="E55" s="28">
        <f t="shared" si="4"/>
        <v>5.6056236481614993E-2</v>
      </c>
      <c r="F55" s="28" t="str">
        <f t="shared" si="5"/>
        <v/>
      </c>
      <c r="G55"/>
      <c r="H55"/>
    </row>
    <row r="56" spans="1:8" x14ac:dyDescent="0.25">
      <c r="A56" s="6" t="s">
        <v>41</v>
      </c>
      <c r="B56" s="23">
        <v>2.232189423177219E-2</v>
      </c>
      <c r="C56">
        <v>4.5</v>
      </c>
      <c r="D56">
        <v>4.8</v>
      </c>
      <c r="E56" s="28">
        <f t="shared" si="4"/>
        <v>2.232189423177219E-2</v>
      </c>
      <c r="F56" s="28" t="str">
        <f t="shared" si="5"/>
        <v/>
      </c>
      <c r="G56"/>
      <c r="H56"/>
    </row>
    <row r="57" spans="1:8" x14ac:dyDescent="0.25">
      <c r="A57" s="6" t="s">
        <v>42</v>
      </c>
      <c r="B57" s="23">
        <v>0.11664418005642095</v>
      </c>
      <c r="C57">
        <v>8.1999999999999993</v>
      </c>
      <c r="D57">
        <v>6.7</v>
      </c>
      <c r="E57" s="28" t="str">
        <f t="shared" si="4"/>
        <v/>
      </c>
      <c r="F57" s="28">
        <f t="shared" si="5"/>
        <v>0.11664418005642095</v>
      </c>
      <c r="G57"/>
      <c r="H57"/>
    </row>
    <row r="58" spans="1:8" x14ac:dyDescent="0.25">
      <c r="A58" s="6" t="s">
        <v>45</v>
      </c>
      <c r="B58" s="23">
        <v>3.0099502487562189E-2</v>
      </c>
      <c r="C58">
        <v>7.5</v>
      </c>
      <c r="D58">
        <v>9.5</v>
      </c>
      <c r="E58" s="28">
        <f t="shared" si="4"/>
        <v>3.0099502487562189E-2</v>
      </c>
      <c r="F58" s="28" t="str">
        <f t="shared" si="5"/>
        <v/>
      </c>
      <c r="G58"/>
      <c r="H58"/>
    </row>
    <row r="59" spans="1:8" x14ac:dyDescent="0.25">
      <c r="A59" s="6" t="s">
        <v>49</v>
      </c>
      <c r="B59" s="23">
        <v>1.8764073054791094E-2</v>
      </c>
      <c r="C59">
        <v>7.3</v>
      </c>
      <c r="D59">
        <v>6</v>
      </c>
      <c r="E59" s="28">
        <f t="shared" si="4"/>
        <v>1.8764073054791094E-2</v>
      </c>
      <c r="F59" s="28" t="str">
        <f t="shared" si="5"/>
        <v/>
      </c>
      <c r="G59"/>
      <c r="H59"/>
    </row>
    <row r="60" spans="1:8" x14ac:dyDescent="0.25">
      <c r="A60" s="6" t="s">
        <v>701</v>
      </c>
      <c r="B60" s="23">
        <v>3.8941049715253195E-2</v>
      </c>
      <c r="C60"/>
      <c r="D60"/>
      <c r="E60" s="28">
        <f t="shared" si="4"/>
        <v>3.8941049715253195E-2</v>
      </c>
      <c r="F60" s="28" t="str">
        <f t="shared" si="5"/>
        <v/>
      </c>
      <c r="G60"/>
      <c r="H60"/>
    </row>
    <row r="61" spans="1:8" x14ac:dyDescent="0.25">
      <c r="A61"/>
      <c r="B61"/>
      <c r="C61"/>
      <c r="D61"/>
      <c r="E61" s="5"/>
      <c r="F61" s="5" t="str">
        <f t="shared" si="5"/>
        <v/>
      </c>
      <c r="G61"/>
      <c r="H61"/>
    </row>
    <row r="62" spans="1:8" x14ac:dyDescent="0.25">
      <c r="A62"/>
      <c r="B62"/>
      <c r="C62"/>
      <c r="D62"/>
      <c r="E62" s="5"/>
      <c r="F62" s="5" t="str">
        <f t="shared" si="5"/>
        <v/>
      </c>
      <c r="G62"/>
      <c r="H62"/>
    </row>
    <row r="63" spans="1:8" x14ac:dyDescent="0.25">
      <c r="A63"/>
      <c r="B63"/>
      <c r="C63"/>
      <c r="D63"/>
      <c r="E63" s="5"/>
      <c r="F63" s="5" t="str">
        <f t="shared" si="5"/>
        <v/>
      </c>
      <c r="G63"/>
      <c r="H63"/>
    </row>
    <row r="64" spans="1:8" x14ac:dyDescent="0.25">
      <c r="A64"/>
      <c r="B64"/>
      <c r="C64"/>
      <c r="D64"/>
      <c r="E64" s="5"/>
      <c r="F64" s="5" t="str">
        <f t="shared" si="5"/>
        <v/>
      </c>
      <c r="G64"/>
      <c r="H64"/>
    </row>
    <row r="65" spans="1:8" x14ac:dyDescent="0.25">
      <c r="A65"/>
      <c r="B65"/>
      <c r="C65"/>
      <c r="D65"/>
      <c r="E65" s="5"/>
      <c r="F65" s="5" t="str">
        <f t="shared" si="5"/>
        <v/>
      </c>
      <c r="G65"/>
      <c r="H65"/>
    </row>
    <row r="66" spans="1:8" x14ac:dyDescent="0.25">
      <c r="A66"/>
      <c r="B66"/>
      <c r="C66"/>
      <c r="D66"/>
      <c r="E66" s="5"/>
      <c r="F66" s="5" t="str">
        <f t="shared" si="5"/>
        <v/>
      </c>
      <c r="G66"/>
      <c r="H66"/>
    </row>
    <row r="67" spans="1:8" x14ac:dyDescent="0.25">
      <c r="A67"/>
      <c r="B67"/>
      <c r="C67"/>
      <c r="D67"/>
      <c r="E67" s="5"/>
      <c r="F67" s="5" t="str">
        <f t="shared" si="5"/>
        <v/>
      </c>
      <c r="G67"/>
      <c r="H67"/>
    </row>
    <row r="68" spans="1:8" x14ac:dyDescent="0.25">
      <c r="A68"/>
      <c r="B68"/>
      <c r="C68"/>
      <c r="D68"/>
      <c r="E68" s="5"/>
      <c r="F68" s="5" t="str">
        <f t="shared" si="5"/>
        <v/>
      </c>
      <c r="G68"/>
      <c r="H68"/>
    </row>
    <row r="69" spans="1:8" x14ac:dyDescent="0.25">
      <c r="A69"/>
      <c r="B69"/>
      <c r="C69"/>
      <c r="D69"/>
      <c r="E69" s="5"/>
      <c r="F69" s="5" t="str">
        <f t="shared" si="5"/>
        <v/>
      </c>
      <c r="G69"/>
      <c r="H69"/>
    </row>
    <row r="70" spans="1:8" x14ac:dyDescent="0.25">
      <c r="A70"/>
      <c r="B70"/>
      <c r="C70"/>
      <c r="D70"/>
      <c r="E70" s="5"/>
      <c r="F70" s="5" t="str">
        <f t="shared" si="5"/>
        <v/>
      </c>
      <c r="G70"/>
      <c r="H70"/>
    </row>
    <row r="71" spans="1:8" x14ac:dyDescent="0.25">
      <c r="A71"/>
      <c r="B71"/>
      <c r="C71"/>
      <c r="D71"/>
      <c r="E71" s="5"/>
      <c r="F71" s="5" t="str">
        <f t="shared" si="5"/>
        <v/>
      </c>
      <c r="G71"/>
      <c r="H71"/>
    </row>
    <row r="72" spans="1:8" x14ac:dyDescent="0.25">
      <c r="A72"/>
      <c r="B72"/>
      <c r="C72"/>
      <c r="D72"/>
      <c r="E72" s="5"/>
      <c r="F72" s="5" t="str">
        <f t="shared" si="5"/>
        <v/>
      </c>
      <c r="G72"/>
      <c r="H72"/>
    </row>
    <row r="73" spans="1:8" x14ac:dyDescent="0.25">
      <c r="A73"/>
      <c r="B73"/>
      <c r="C73"/>
      <c r="D73"/>
      <c r="E73" s="5"/>
      <c r="F73" s="5" t="str">
        <f t="shared" si="5"/>
        <v/>
      </c>
      <c r="G73"/>
      <c r="H73"/>
    </row>
    <row r="74" spans="1:8" x14ac:dyDescent="0.25">
      <c r="A74"/>
      <c r="B74"/>
      <c r="C74"/>
      <c r="D74"/>
      <c r="E74" s="5"/>
      <c r="F74" s="5" t="str">
        <f t="shared" si="5"/>
        <v/>
      </c>
      <c r="G74"/>
      <c r="H74"/>
    </row>
    <row r="75" spans="1:8" x14ac:dyDescent="0.25">
      <c r="A75"/>
      <c r="B75"/>
      <c r="C75"/>
      <c r="D75"/>
      <c r="E75" s="5"/>
      <c r="F75" s="5" t="str">
        <f t="shared" si="5"/>
        <v/>
      </c>
      <c r="G75"/>
      <c r="H75"/>
    </row>
    <row r="76" spans="1:8" x14ac:dyDescent="0.25">
      <c r="A76"/>
      <c r="B76"/>
      <c r="C76"/>
      <c r="D76"/>
      <c r="E76" s="5"/>
      <c r="F76" s="5" t="str">
        <f t="shared" si="5"/>
        <v/>
      </c>
      <c r="G76"/>
      <c r="H76"/>
    </row>
    <row r="77" spans="1:8" x14ac:dyDescent="0.25">
      <c r="A77"/>
      <c r="B77"/>
      <c r="C77"/>
      <c r="D77"/>
      <c r="E77"/>
      <c r="F77"/>
      <c r="G77"/>
      <c r="H77"/>
    </row>
    <row r="78" spans="1:8" x14ac:dyDescent="0.25">
      <c r="A78"/>
      <c r="B78"/>
      <c r="C78"/>
      <c r="D78"/>
      <c r="E78"/>
      <c r="F78"/>
      <c r="G78"/>
      <c r="H78"/>
    </row>
    <row r="79" spans="1:8" x14ac:dyDescent="0.25">
      <c r="A79"/>
      <c r="B79"/>
      <c r="C79"/>
      <c r="D79"/>
      <c r="E79" s="24">
        <v>10</v>
      </c>
      <c r="F79"/>
      <c r="G79"/>
      <c r="H79"/>
    </row>
    <row r="80" spans="1:8" ht="13" x14ac:dyDescent="0.3">
      <c r="A80" s="22" t="s">
        <v>4</v>
      </c>
      <c r="B80" s="22" t="s">
        <v>733</v>
      </c>
      <c r="C80" s="22" t="s">
        <v>725</v>
      </c>
      <c r="D80" s="22" t="s">
        <v>726</v>
      </c>
      <c r="E80" s="22" t="s">
        <v>734</v>
      </c>
      <c r="F80" s="22" t="s">
        <v>735</v>
      </c>
      <c r="G80" s="22" t="s">
        <v>736</v>
      </c>
      <c r="H80" s="22" t="s">
        <v>737</v>
      </c>
    </row>
    <row r="81" spans="1:10" x14ac:dyDescent="0.25">
      <c r="A81" t="s">
        <v>17</v>
      </c>
      <c r="B81" s="23" t="str">
        <f>VLOOKUP(A81,Analyses_CV_ZS!C15:AC52,27,FALSE)</f>
        <v>CAT1</v>
      </c>
      <c r="C81" s="25">
        <v>5.3</v>
      </c>
      <c r="D81" s="25">
        <v>2.5</v>
      </c>
      <c r="E81" s="27">
        <f>IF(B81="CAT1",$E$79,"")</f>
        <v>10</v>
      </c>
      <c r="F81" s="27" t="str">
        <f>IF(B81="CAT2",$E$79,"")</f>
        <v/>
      </c>
      <c r="G81" s="27" t="str">
        <f>IF(B81="CAT3",$E$79,"")</f>
        <v/>
      </c>
      <c r="H81" s="27" t="str">
        <f>IF(B81="CAT4",$E$79,"")</f>
        <v/>
      </c>
    </row>
    <row r="82" spans="1:10" x14ac:dyDescent="0.25">
      <c r="A82" t="s">
        <v>19</v>
      </c>
      <c r="B82" s="23" t="str">
        <f>VLOOKUP(A82,Analyses_CV_ZS!C16:AC53,27,FALSE)</f>
        <v>CAT1</v>
      </c>
      <c r="C82" s="25">
        <v>7.4</v>
      </c>
      <c r="D82" s="25">
        <v>7.8</v>
      </c>
      <c r="E82" s="27">
        <f t="shared" ref="E82:E114" si="6">IF(B82="CAT1",$E$79,"")</f>
        <v>10</v>
      </c>
      <c r="F82" s="27" t="str">
        <f t="shared" ref="F82:F114" si="7">IF(B82="CAT2",$E$79,"")</f>
        <v/>
      </c>
      <c r="G82" s="27" t="str">
        <f t="shared" ref="G82:G114" si="8">IF(B82="CAT3",$E$79,"")</f>
        <v/>
      </c>
      <c r="H82" s="27" t="str">
        <f t="shared" ref="H82:H114" si="9">IF(B82="CAT4",$E$79,"")</f>
        <v/>
      </c>
      <c r="J82" s="54" t="str">
        <f>"Stratification des ZS par Catégores de "&amp;Analyses_CV_AS!B7</f>
        <v>Stratification des ZS par Catégores de Janvier-Octobre 2024</v>
      </c>
    </row>
    <row r="83" spans="1:10" x14ac:dyDescent="0.25">
      <c r="A83" t="s">
        <v>20</v>
      </c>
      <c r="B83" s="23" t="str">
        <f>VLOOKUP(A83,Analyses_CV_ZS!C17:AC54,27,FALSE)</f>
        <v>CAT4</v>
      </c>
      <c r="C83" s="25">
        <v>4.5</v>
      </c>
      <c r="D83" s="25">
        <v>6</v>
      </c>
      <c r="E83" s="27" t="str">
        <f t="shared" si="6"/>
        <v/>
      </c>
      <c r="F83" s="27" t="str">
        <f t="shared" si="7"/>
        <v/>
      </c>
      <c r="G83" s="27" t="str">
        <f t="shared" si="8"/>
        <v/>
      </c>
      <c r="H83" s="27">
        <f t="shared" si="9"/>
        <v>10</v>
      </c>
    </row>
    <row r="84" spans="1:10" x14ac:dyDescent="0.25">
      <c r="A84" t="s">
        <v>23</v>
      </c>
      <c r="B84" s="23" t="str">
        <f>VLOOKUP(A84,Analyses_CV_ZS!C18:AC55,27,FALSE)</f>
        <v>CAT3</v>
      </c>
      <c r="C84" s="25">
        <v>9</v>
      </c>
      <c r="D84" s="25">
        <v>5</v>
      </c>
      <c r="E84" s="27" t="str">
        <f t="shared" si="6"/>
        <v/>
      </c>
      <c r="F84" s="27" t="str">
        <f t="shared" si="7"/>
        <v/>
      </c>
      <c r="G84" s="27">
        <f t="shared" si="8"/>
        <v>10</v>
      </c>
      <c r="H84" s="27" t="str">
        <f t="shared" si="9"/>
        <v/>
      </c>
    </row>
    <row r="85" spans="1:10" x14ac:dyDescent="0.25">
      <c r="A85" t="s">
        <v>26</v>
      </c>
      <c r="B85" s="23" t="str">
        <f>VLOOKUP(A85,Analyses_CV_ZS!C19:AC56,27,FALSE)</f>
        <v>CAT1</v>
      </c>
      <c r="C85" s="25">
        <v>6</v>
      </c>
      <c r="D85" s="25">
        <v>6.2</v>
      </c>
      <c r="E85" s="27">
        <f t="shared" si="6"/>
        <v>10</v>
      </c>
      <c r="F85" s="27" t="str">
        <f t="shared" si="7"/>
        <v/>
      </c>
      <c r="G85" s="27" t="str">
        <f t="shared" si="8"/>
        <v/>
      </c>
      <c r="H85" s="27" t="str">
        <f t="shared" si="9"/>
        <v/>
      </c>
    </row>
    <row r="86" spans="1:10" x14ac:dyDescent="0.25">
      <c r="A86" t="s">
        <v>27</v>
      </c>
      <c r="B86" s="23" t="str">
        <f>VLOOKUP(A86,Analyses_CV_ZS!C20:AC57,27,FALSE)</f>
        <v>CAT1</v>
      </c>
      <c r="C86" s="25">
        <v>8.8000000000000007</v>
      </c>
      <c r="D86" s="25">
        <v>8.9</v>
      </c>
      <c r="E86" s="27">
        <f t="shared" si="6"/>
        <v>10</v>
      </c>
      <c r="F86" s="27" t="str">
        <f t="shared" si="7"/>
        <v/>
      </c>
      <c r="G86" s="27" t="str">
        <f t="shared" si="8"/>
        <v/>
      </c>
      <c r="H86" s="27" t="str">
        <f t="shared" si="9"/>
        <v/>
      </c>
    </row>
    <row r="87" spans="1:10" x14ac:dyDescent="0.25">
      <c r="A87" t="s">
        <v>30</v>
      </c>
      <c r="B87" s="23" t="str">
        <f>VLOOKUP(A87,Analyses_CV_ZS!C21:AC58,27,FALSE)</f>
        <v>CAT1</v>
      </c>
      <c r="C87" s="25">
        <v>9.6999999999999993</v>
      </c>
      <c r="D87" s="25">
        <v>4</v>
      </c>
      <c r="E87" s="27">
        <f t="shared" si="6"/>
        <v>10</v>
      </c>
      <c r="F87" s="27" t="str">
        <f t="shared" si="7"/>
        <v/>
      </c>
      <c r="G87" s="27" t="str">
        <f t="shared" si="8"/>
        <v/>
      </c>
      <c r="H87" s="27" t="str">
        <f t="shared" si="9"/>
        <v/>
      </c>
    </row>
    <row r="88" spans="1:10" x14ac:dyDescent="0.25">
      <c r="A88" t="s">
        <v>31</v>
      </c>
      <c r="B88" s="23" t="str">
        <f>VLOOKUP(A88,Analyses_CV_ZS!C22:AC59,27,FALSE)</f>
        <v>CAT4</v>
      </c>
      <c r="C88" s="25">
        <v>5.8</v>
      </c>
      <c r="D88" s="25">
        <v>1.3</v>
      </c>
      <c r="E88" s="27" t="str">
        <f t="shared" si="6"/>
        <v/>
      </c>
      <c r="F88" s="27" t="str">
        <f t="shared" si="7"/>
        <v/>
      </c>
      <c r="G88" s="27" t="str">
        <f t="shared" si="8"/>
        <v/>
      </c>
      <c r="H88" s="27">
        <f t="shared" si="9"/>
        <v>10</v>
      </c>
    </row>
    <row r="89" spans="1:10" x14ac:dyDescent="0.25">
      <c r="A89" t="s">
        <v>35</v>
      </c>
      <c r="B89" s="23" t="str">
        <f>VLOOKUP(A89,Analyses_CV_ZS!C23:AC60,27,FALSE)</f>
        <v>CAT1</v>
      </c>
      <c r="C89" s="25">
        <v>7.2</v>
      </c>
      <c r="D89" s="25">
        <v>5.0999999999999996</v>
      </c>
      <c r="E89" s="27">
        <f t="shared" si="6"/>
        <v>10</v>
      </c>
      <c r="F89" s="27" t="str">
        <f t="shared" si="7"/>
        <v/>
      </c>
      <c r="G89" s="27" t="str">
        <f t="shared" si="8"/>
        <v/>
      </c>
      <c r="H89" s="27" t="str">
        <f t="shared" si="9"/>
        <v/>
      </c>
    </row>
    <row r="90" spans="1:10" x14ac:dyDescent="0.25">
      <c r="A90" t="s">
        <v>36</v>
      </c>
      <c r="B90" s="23" t="str">
        <f>VLOOKUP(A90,Analyses_CV_ZS!C24:AC61,27,FALSE)</f>
        <v>CAT1</v>
      </c>
      <c r="C90" s="25">
        <v>4.4000000000000004</v>
      </c>
      <c r="D90" s="25">
        <v>3.7</v>
      </c>
      <c r="E90" s="27">
        <f t="shared" si="6"/>
        <v>10</v>
      </c>
      <c r="F90" s="27" t="str">
        <f t="shared" si="7"/>
        <v/>
      </c>
      <c r="G90" s="27" t="str">
        <f t="shared" si="8"/>
        <v/>
      </c>
      <c r="H90" s="27" t="str">
        <f t="shared" si="9"/>
        <v/>
      </c>
    </row>
    <row r="91" spans="1:10" x14ac:dyDescent="0.25">
      <c r="A91" t="s">
        <v>37</v>
      </c>
      <c r="B91" s="23" t="str">
        <f>VLOOKUP(A91,Analyses_CV_ZS!C25:AC62,27,FALSE)</f>
        <v>CAT3</v>
      </c>
      <c r="C91" s="25">
        <v>5.5</v>
      </c>
      <c r="D91" s="25">
        <v>7.2</v>
      </c>
      <c r="E91" s="27" t="str">
        <f t="shared" si="6"/>
        <v/>
      </c>
      <c r="F91" s="27" t="str">
        <f t="shared" si="7"/>
        <v/>
      </c>
      <c r="G91" s="27">
        <f t="shared" si="8"/>
        <v>10</v>
      </c>
      <c r="H91" s="27" t="str">
        <f t="shared" si="9"/>
        <v/>
      </c>
    </row>
    <row r="92" spans="1:10" x14ac:dyDescent="0.25">
      <c r="A92" t="s">
        <v>38</v>
      </c>
      <c r="B92" s="23" t="str">
        <f>VLOOKUP(A92,Analyses_CV_ZS!C26:AC63,27,FALSE)</f>
        <v>CAT2</v>
      </c>
      <c r="C92" s="25">
        <v>3</v>
      </c>
      <c r="D92" s="25">
        <v>6.4</v>
      </c>
      <c r="E92" s="27" t="str">
        <f t="shared" si="6"/>
        <v/>
      </c>
      <c r="F92" s="27">
        <f t="shared" si="7"/>
        <v>10</v>
      </c>
      <c r="G92" s="27" t="str">
        <f t="shared" si="8"/>
        <v/>
      </c>
      <c r="H92" s="27" t="str">
        <f t="shared" si="9"/>
        <v/>
      </c>
    </row>
    <row r="93" spans="1:10" x14ac:dyDescent="0.25">
      <c r="A93" t="s">
        <v>39</v>
      </c>
      <c r="B93" s="23" t="str">
        <f>VLOOKUP(A93,Analyses_CV_ZS!C27:AC64,27,FALSE)</f>
        <v>CAT1</v>
      </c>
      <c r="C93" s="25">
        <v>6.5</v>
      </c>
      <c r="D93" s="25">
        <v>3.7</v>
      </c>
      <c r="E93" s="27">
        <f t="shared" si="6"/>
        <v>10</v>
      </c>
      <c r="F93" s="27" t="str">
        <f t="shared" si="7"/>
        <v/>
      </c>
      <c r="G93" s="27" t="str">
        <f t="shared" si="8"/>
        <v/>
      </c>
      <c r="H93" s="27" t="str">
        <f t="shared" si="9"/>
        <v/>
      </c>
    </row>
    <row r="94" spans="1:10" x14ac:dyDescent="0.25">
      <c r="A94" t="s">
        <v>41</v>
      </c>
      <c r="B94" s="23" t="str">
        <f>VLOOKUP(A94,Analyses_CV_ZS!C28:AC65,27,FALSE)</f>
        <v>CAT1</v>
      </c>
      <c r="C94" s="25">
        <v>4.5</v>
      </c>
      <c r="D94" s="25">
        <v>4.8</v>
      </c>
      <c r="E94" s="27">
        <f t="shared" si="6"/>
        <v>10</v>
      </c>
      <c r="F94" s="27" t="str">
        <f t="shared" si="7"/>
        <v/>
      </c>
      <c r="G94" s="27" t="str">
        <f t="shared" si="8"/>
        <v/>
      </c>
      <c r="H94" s="27" t="str">
        <f t="shared" si="9"/>
        <v/>
      </c>
    </row>
    <row r="95" spans="1:10" x14ac:dyDescent="0.25">
      <c r="A95" t="s">
        <v>42</v>
      </c>
      <c r="B95" s="23" t="str">
        <f>VLOOKUP(A95,Analyses_CV_ZS!C29:AC66,27,FALSE)</f>
        <v>CAT4</v>
      </c>
      <c r="C95" s="25">
        <v>8.1999999999999993</v>
      </c>
      <c r="D95" s="25">
        <v>6.7</v>
      </c>
      <c r="E95" s="27" t="str">
        <f t="shared" si="6"/>
        <v/>
      </c>
      <c r="F95" s="27" t="str">
        <f t="shared" si="7"/>
        <v/>
      </c>
      <c r="G95" s="27" t="str">
        <f t="shared" si="8"/>
        <v/>
      </c>
      <c r="H95" s="27">
        <f t="shared" si="9"/>
        <v>10</v>
      </c>
    </row>
    <row r="96" spans="1:10" x14ac:dyDescent="0.25">
      <c r="A96" t="s">
        <v>45</v>
      </c>
      <c r="B96" s="23" t="str">
        <f>VLOOKUP(A96,Analyses_CV_ZS!C30:AC67,27,FALSE)</f>
        <v>CAT3</v>
      </c>
      <c r="C96" s="25">
        <v>7.5</v>
      </c>
      <c r="D96" s="25">
        <v>9.4</v>
      </c>
      <c r="E96" s="27" t="str">
        <f t="shared" si="6"/>
        <v/>
      </c>
      <c r="F96" s="27" t="str">
        <f t="shared" si="7"/>
        <v/>
      </c>
      <c r="G96" s="27">
        <f t="shared" si="8"/>
        <v>10</v>
      </c>
      <c r="H96" s="27" t="str">
        <f t="shared" si="9"/>
        <v/>
      </c>
    </row>
    <row r="97" spans="1:8" x14ac:dyDescent="0.25">
      <c r="A97" t="s">
        <v>49</v>
      </c>
      <c r="B97" s="23" t="str">
        <f>VLOOKUP(A97,Analyses_CV_ZS!C31:AC68,27,FALSE)</f>
        <v>CAT1</v>
      </c>
      <c r="C97" s="25">
        <v>7.1</v>
      </c>
      <c r="D97" s="25">
        <v>6</v>
      </c>
      <c r="E97" s="27">
        <f t="shared" si="6"/>
        <v>10</v>
      </c>
      <c r="F97" s="27" t="str">
        <f t="shared" si="7"/>
        <v/>
      </c>
      <c r="G97" s="27" t="str">
        <f t="shared" si="8"/>
        <v/>
      </c>
      <c r="H97" s="27" t="str">
        <f t="shared" si="9"/>
        <v/>
      </c>
    </row>
    <row r="98" spans="1:8" x14ac:dyDescent="0.25">
      <c r="A98"/>
      <c r="B98" s="23"/>
      <c r="C98" s="25"/>
      <c r="D98" s="25"/>
      <c r="E98" s="26" t="str">
        <f t="shared" si="6"/>
        <v/>
      </c>
      <c r="F98" s="26" t="str">
        <f t="shared" si="7"/>
        <v/>
      </c>
      <c r="G98" s="26" t="str">
        <f t="shared" si="8"/>
        <v/>
      </c>
      <c r="H98" s="26" t="str">
        <f t="shared" si="9"/>
        <v/>
      </c>
    </row>
    <row r="99" spans="1:8" x14ac:dyDescent="0.25">
      <c r="A99"/>
      <c r="B99" s="23"/>
      <c r="C99" s="25"/>
      <c r="D99" s="25"/>
      <c r="E99" s="26" t="str">
        <f t="shared" si="6"/>
        <v/>
      </c>
      <c r="F99" s="26" t="str">
        <f t="shared" si="7"/>
        <v/>
      </c>
      <c r="G99" s="26" t="str">
        <f t="shared" si="8"/>
        <v/>
      </c>
      <c r="H99" s="26" t="str">
        <f t="shared" si="9"/>
        <v/>
      </c>
    </row>
    <row r="100" spans="1:8" x14ac:dyDescent="0.25">
      <c r="A100"/>
      <c r="B100" s="23"/>
      <c r="C100" s="25"/>
      <c r="D100" s="25"/>
      <c r="E100" s="26" t="str">
        <f t="shared" si="6"/>
        <v/>
      </c>
      <c r="F100" s="26" t="str">
        <f t="shared" si="7"/>
        <v/>
      </c>
      <c r="G100" s="26" t="str">
        <f t="shared" si="8"/>
        <v/>
      </c>
      <c r="H100" s="26" t="str">
        <f t="shared" si="9"/>
        <v/>
      </c>
    </row>
    <row r="101" spans="1:8" x14ac:dyDescent="0.25">
      <c r="A101"/>
      <c r="B101" s="23"/>
      <c r="C101" s="25"/>
      <c r="D101" s="25"/>
      <c r="E101" s="26" t="str">
        <f t="shared" si="6"/>
        <v/>
      </c>
      <c r="F101" s="26" t="str">
        <f t="shared" si="7"/>
        <v/>
      </c>
      <c r="G101" s="26" t="str">
        <f t="shared" si="8"/>
        <v/>
      </c>
      <c r="H101" s="26" t="str">
        <f t="shared" si="9"/>
        <v/>
      </c>
    </row>
    <row r="102" spans="1:8" x14ac:dyDescent="0.25">
      <c r="A102"/>
      <c r="B102" s="23"/>
      <c r="C102" s="25"/>
      <c r="D102" s="25"/>
      <c r="E102" s="26" t="str">
        <f t="shared" si="6"/>
        <v/>
      </c>
      <c r="F102" s="26" t="str">
        <f t="shared" si="7"/>
        <v/>
      </c>
      <c r="G102" s="26" t="str">
        <f t="shared" si="8"/>
        <v/>
      </c>
      <c r="H102" s="26" t="str">
        <f t="shared" si="9"/>
        <v/>
      </c>
    </row>
    <row r="103" spans="1:8" x14ac:dyDescent="0.25">
      <c r="A103"/>
      <c r="B103" s="23"/>
      <c r="C103" s="25"/>
      <c r="D103" s="25"/>
      <c r="E103" s="26" t="str">
        <f t="shared" si="6"/>
        <v/>
      </c>
      <c r="F103" s="26" t="str">
        <f t="shared" si="7"/>
        <v/>
      </c>
      <c r="G103" s="26" t="str">
        <f t="shared" si="8"/>
        <v/>
      </c>
      <c r="H103" s="26" t="str">
        <f t="shared" si="9"/>
        <v/>
      </c>
    </row>
    <row r="104" spans="1:8" x14ac:dyDescent="0.25">
      <c r="A104"/>
      <c r="B104" s="23"/>
      <c r="C104" s="25"/>
      <c r="D104" s="25"/>
      <c r="E104" s="26" t="str">
        <f t="shared" si="6"/>
        <v/>
      </c>
      <c r="F104" s="26" t="str">
        <f t="shared" si="7"/>
        <v/>
      </c>
      <c r="G104" s="26" t="str">
        <f t="shared" si="8"/>
        <v/>
      </c>
      <c r="H104" s="26" t="str">
        <f t="shared" si="9"/>
        <v/>
      </c>
    </row>
    <row r="105" spans="1:8" x14ac:dyDescent="0.25">
      <c r="A105"/>
      <c r="B105" s="23"/>
      <c r="C105" s="25"/>
      <c r="D105" s="25"/>
      <c r="E105" s="26" t="str">
        <f t="shared" si="6"/>
        <v/>
      </c>
      <c r="F105" s="26" t="str">
        <f t="shared" si="7"/>
        <v/>
      </c>
      <c r="G105" s="26" t="str">
        <f t="shared" si="8"/>
        <v/>
      </c>
      <c r="H105" s="26" t="str">
        <f t="shared" si="9"/>
        <v/>
      </c>
    </row>
    <row r="106" spans="1:8" x14ac:dyDescent="0.25">
      <c r="A106"/>
      <c r="B106" s="23"/>
      <c r="C106" s="25"/>
      <c r="D106" s="25"/>
      <c r="E106" s="26" t="str">
        <f t="shared" si="6"/>
        <v/>
      </c>
      <c r="F106" s="26" t="str">
        <f t="shared" si="7"/>
        <v/>
      </c>
      <c r="G106" s="26" t="str">
        <f t="shared" si="8"/>
        <v/>
      </c>
      <c r="H106" s="26" t="str">
        <f t="shared" si="9"/>
        <v/>
      </c>
    </row>
    <row r="107" spans="1:8" x14ac:dyDescent="0.25">
      <c r="A107"/>
      <c r="B107" s="23"/>
      <c r="C107" s="25"/>
      <c r="D107" s="25"/>
      <c r="E107" s="26" t="str">
        <f t="shared" si="6"/>
        <v/>
      </c>
      <c r="F107" s="26" t="str">
        <f t="shared" si="7"/>
        <v/>
      </c>
      <c r="G107" s="26" t="str">
        <f t="shared" si="8"/>
        <v/>
      </c>
      <c r="H107" s="26" t="str">
        <f t="shared" si="9"/>
        <v/>
      </c>
    </row>
    <row r="108" spans="1:8" x14ac:dyDescent="0.25">
      <c r="A108"/>
      <c r="B108" s="23"/>
      <c r="C108" s="25"/>
      <c r="D108" s="25"/>
      <c r="E108" s="26" t="str">
        <f t="shared" si="6"/>
        <v/>
      </c>
      <c r="F108" s="26" t="str">
        <f t="shared" si="7"/>
        <v/>
      </c>
      <c r="G108" s="26" t="str">
        <f t="shared" si="8"/>
        <v/>
      </c>
      <c r="H108" s="26" t="str">
        <f t="shared" si="9"/>
        <v/>
      </c>
    </row>
    <row r="109" spans="1:8" x14ac:dyDescent="0.25">
      <c r="A109"/>
      <c r="B109" s="23"/>
      <c r="C109" s="25"/>
      <c r="D109" s="25"/>
      <c r="E109" s="26" t="str">
        <f t="shared" si="6"/>
        <v/>
      </c>
      <c r="F109" s="26" t="str">
        <f t="shared" si="7"/>
        <v/>
      </c>
      <c r="G109" s="26" t="str">
        <f t="shared" si="8"/>
        <v/>
      </c>
      <c r="H109" s="26" t="str">
        <f t="shared" si="9"/>
        <v/>
      </c>
    </row>
    <row r="110" spans="1:8" x14ac:dyDescent="0.25">
      <c r="A110"/>
      <c r="B110" s="23"/>
      <c r="C110" s="25"/>
      <c r="D110" s="25"/>
      <c r="E110" s="26" t="str">
        <f t="shared" si="6"/>
        <v/>
      </c>
      <c r="F110" s="26" t="str">
        <f t="shared" si="7"/>
        <v/>
      </c>
      <c r="G110" s="26" t="str">
        <f t="shared" si="8"/>
        <v/>
      </c>
      <c r="H110" s="26" t="str">
        <f t="shared" si="9"/>
        <v/>
      </c>
    </row>
    <row r="111" spans="1:8" x14ac:dyDescent="0.25">
      <c r="A111"/>
      <c r="B111" s="23"/>
      <c r="C111" s="25"/>
      <c r="D111" s="25"/>
      <c r="E111" s="26" t="str">
        <f t="shared" si="6"/>
        <v/>
      </c>
      <c r="F111" s="26" t="str">
        <f t="shared" si="7"/>
        <v/>
      </c>
      <c r="G111" s="26" t="str">
        <f t="shared" si="8"/>
        <v/>
      </c>
      <c r="H111" s="26" t="str">
        <f t="shared" si="9"/>
        <v/>
      </c>
    </row>
    <row r="112" spans="1:8" x14ac:dyDescent="0.25">
      <c r="A112"/>
      <c r="B112" s="23"/>
      <c r="C112" s="25"/>
      <c r="D112" s="25"/>
      <c r="E112" s="26" t="str">
        <f t="shared" si="6"/>
        <v/>
      </c>
      <c r="F112" s="26" t="str">
        <f t="shared" si="7"/>
        <v/>
      </c>
      <c r="G112" s="26" t="str">
        <f t="shared" si="8"/>
        <v/>
      </c>
      <c r="H112" s="26" t="str">
        <f t="shared" si="9"/>
        <v/>
      </c>
    </row>
    <row r="113" spans="1:8" x14ac:dyDescent="0.25">
      <c r="A113"/>
      <c r="B113" s="23"/>
      <c r="C113" s="25"/>
      <c r="D113" s="25"/>
      <c r="E113" s="26" t="str">
        <f t="shared" si="6"/>
        <v/>
      </c>
      <c r="F113" s="26" t="str">
        <f t="shared" si="7"/>
        <v/>
      </c>
      <c r="G113" s="26" t="str">
        <f t="shared" si="8"/>
        <v/>
      </c>
      <c r="H113" s="26" t="str">
        <f t="shared" si="9"/>
        <v/>
      </c>
    </row>
    <row r="114" spans="1:8" x14ac:dyDescent="0.25">
      <c r="B114" s="19"/>
      <c r="C114" s="20"/>
      <c r="D114" s="20"/>
      <c r="E114" s="21" t="str">
        <f t="shared" si="6"/>
        <v/>
      </c>
      <c r="F114" s="21" t="str">
        <f t="shared" si="7"/>
        <v/>
      </c>
      <c r="G114" s="21" t="str">
        <f t="shared" si="8"/>
        <v/>
      </c>
      <c r="H114" s="21" t="str">
        <f t="shared" si="9"/>
        <v/>
      </c>
    </row>
    <row r="115" spans="1:8" x14ac:dyDescent="0.25">
      <c r="B115" s="19"/>
      <c r="E115" s="4"/>
      <c r="F115" s="4"/>
      <c r="G115" s="4"/>
      <c r="H115" s="4" t="s">
        <v>2</v>
      </c>
    </row>
  </sheetData>
  <sheetProtection password="EF87" sheet="1" selectLockedCells="1"/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35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baseColWidth="10" defaultColWidth="10.90625" defaultRowHeight="12.5" x14ac:dyDescent="0.25"/>
  <sheetData>
    <row r="1" spans="1:4" x14ac:dyDescent="0.25">
      <c r="A1" s="271" t="s">
        <v>962</v>
      </c>
      <c r="B1" s="271" t="s">
        <v>4</v>
      </c>
      <c r="C1" s="272" t="s">
        <v>763</v>
      </c>
      <c r="D1" s="272" t="s">
        <v>676</v>
      </c>
    </row>
    <row r="2" spans="1:4" ht="14" x14ac:dyDescent="0.3">
      <c r="A2" s="268">
        <v>13</v>
      </c>
      <c r="B2" s="268" t="s">
        <v>884</v>
      </c>
      <c r="C2" s="269">
        <f>Analyses_CV_ZS!Z18</f>
        <v>1138.1322500000006</v>
      </c>
      <c r="D2" s="270">
        <f>Analyses_CV_ZS!AA18</f>
        <v>297</v>
      </c>
    </row>
    <row r="3" spans="1:4" ht="14" x14ac:dyDescent="0.3">
      <c r="A3" s="268">
        <v>19</v>
      </c>
      <c r="B3" s="268" t="s">
        <v>900</v>
      </c>
      <c r="C3" s="269">
        <f>Analyses_CV_ZS!Z19</f>
        <v>293.24883333333321</v>
      </c>
      <c r="D3" s="270">
        <f>Analyses_CV_ZS!AA19</f>
        <v>367</v>
      </c>
    </row>
    <row r="4" spans="1:4" ht="14" x14ac:dyDescent="0.3">
      <c r="A4" s="268">
        <v>9</v>
      </c>
      <c r="B4" s="268" t="s">
        <v>885</v>
      </c>
      <c r="C4" s="269">
        <f>Analyses_CV_ZS!Z20</f>
        <v>996.17141666666646</v>
      </c>
      <c r="D4" s="270">
        <f>Analyses_CV_ZS!AA20</f>
        <v>764</v>
      </c>
    </row>
    <row r="5" spans="1:4" ht="14" x14ac:dyDescent="0.3">
      <c r="A5" s="268">
        <v>32</v>
      </c>
      <c r="B5" s="268" t="s">
        <v>886</v>
      </c>
      <c r="C5" s="269">
        <f>Analyses_CV_ZS!Z21</f>
        <v>864.00800000000027</v>
      </c>
      <c r="D5" s="270">
        <f>Analyses_CV_ZS!AA21</f>
        <v>268</v>
      </c>
    </row>
    <row r="6" spans="1:4" ht="14" x14ac:dyDescent="0.3">
      <c r="A6" s="268">
        <v>29</v>
      </c>
      <c r="B6" s="268" t="s">
        <v>901</v>
      </c>
      <c r="C6" s="269">
        <f>Analyses_CV_ZS!Z22</f>
        <v>213.48783333333338</v>
      </c>
      <c r="D6" s="270">
        <f>Analyses_CV_ZS!AA22</f>
        <v>320</v>
      </c>
    </row>
    <row r="7" spans="1:4" ht="14" x14ac:dyDescent="0.3">
      <c r="A7" s="268">
        <v>25</v>
      </c>
      <c r="B7" s="268" t="s">
        <v>902</v>
      </c>
      <c r="C7" s="269">
        <f>Analyses_CV_ZS!Z23</f>
        <v>178.36866666666668</v>
      </c>
      <c r="D7" s="270">
        <f>Analyses_CV_ZS!AA23</f>
        <v>1119</v>
      </c>
    </row>
    <row r="8" spans="1:4" ht="14" x14ac:dyDescent="0.3">
      <c r="A8" s="268">
        <v>17</v>
      </c>
      <c r="B8" s="268" t="s">
        <v>739</v>
      </c>
      <c r="C8" s="269">
        <f>Analyses_CV_ZS!Z24</f>
        <v>1251.2745833333331</v>
      </c>
      <c r="D8" s="270">
        <f>Analyses_CV_ZS!AA24</f>
        <v>256</v>
      </c>
    </row>
    <row r="9" spans="1:4" ht="14" x14ac:dyDescent="0.3">
      <c r="A9" s="268">
        <v>10</v>
      </c>
      <c r="B9" s="268" t="s">
        <v>740</v>
      </c>
      <c r="C9" s="269">
        <f>Analyses_CV_ZS!Z25</f>
        <v>472.68724999999989</v>
      </c>
      <c r="D9" s="270">
        <f>Analyses_CV_ZS!AA25</f>
        <v>2190</v>
      </c>
    </row>
    <row r="10" spans="1:4" ht="14" x14ac:dyDescent="0.3">
      <c r="A10" s="268">
        <v>20</v>
      </c>
      <c r="B10" s="268" t="s">
        <v>903</v>
      </c>
      <c r="C10" s="269">
        <f>Analyses_CV_ZS!Z26</f>
        <v>278.59108333333336</v>
      </c>
      <c r="D10" s="270">
        <f>Analyses_CV_ZS!AA26</f>
        <v>641</v>
      </c>
    </row>
    <row r="11" spans="1:4" ht="14" x14ac:dyDescent="0.3">
      <c r="A11" s="268">
        <v>24</v>
      </c>
      <c r="B11" s="268" t="s">
        <v>887</v>
      </c>
      <c r="C11" s="269">
        <f>Analyses_CV_ZS!Z27</f>
        <v>948.6139166666668</v>
      </c>
      <c r="D11" s="270">
        <f>Analyses_CV_ZS!AA27</f>
        <v>507</v>
      </c>
    </row>
    <row r="12" spans="1:4" ht="14" x14ac:dyDescent="0.3">
      <c r="A12" s="268">
        <v>4</v>
      </c>
      <c r="B12" s="268" t="s">
        <v>888</v>
      </c>
      <c r="C12" s="269">
        <f>Analyses_CV_ZS!Z28</f>
        <v>265.77391666666665</v>
      </c>
      <c r="D12" s="270">
        <f>Analyses_CV_ZS!AA28</f>
        <v>740</v>
      </c>
    </row>
    <row r="13" spans="1:4" ht="14" x14ac:dyDescent="0.3">
      <c r="A13" s="268">
        <v>31</v>
      </c>
      <c r="B13" s="268" t="s">
        <v>904</v>
      </c>
      <c r="C13" s="269">
        <f>Analyses_CV_ZS!Z29</f>
        <v>3803.8785833333327</v>
      </c>
      <c r="D13" s="270">
        <f>Analyses_CV_ZS!AA29</f>
        <v>1979</v>
      </c>
    </row>
    <row r="14" spans="1:4" ht="14" x14ac:dyDescent="0.3">
      <c r="A14" s="268">
        <v>18</v>
      </c>
      <c r="B14" s="268" t="s">
        <v>905</v>
      </c>
      <c r="C14" s="269">
        <f>Analyses_CV_ZS!Z30</f>
        <v>29.964833333333218</v>
      </c>
      <c r="D14" s="270">
        <f>Analyses_CV_ZS!AA30</f>
        <v>1082</v>
      </c>
    </row>
    <row r="15" spans="1:4" ht="14" x14ac:dyDescent="0.3">
      <c r="A15" s="268">
        <v>5</v>
      </c>
      <c r="B15" s="268" t="s">
        <v>889</v>
      </c>
      <c r="C15" s="269">
        <f>Analyses_CV_ZS!Z31</f>
        <v>835.01691666666659</v>
      </c>
      <c r="D15" s="270">
        <f>Analyses_CV_ZS!AA31</f>
        <v>928</v>
      </c>
    </row>
    <row r="16" spans="1:4" ht="14" x14ac:dyDescent="0.3">
      <c r="A16" s="268">
        <v>14</v>
      </c>
      <c r="B16" s="268" t="s">
        <v>890</v>
      </c>
      <c r="C16" s="269">
        <f>Analyses_CV_ZS!Z32</f>
        <v>2123.1976666666669</v>
      </c>
      <c r="D16" s="270">
        <f>Analyses_CV_ZS!AA32</f>
        <v>622</v>
      </c>
    </row>
    <row r="17" spans="1:4" ht="14" x14ac:dyDescent="0.3">
      <c r="A17" s="268">
        <v>2</v>
      </c>
      <c r="B17" s="268" t="s">
        <v>906</v>
      </c>
      <c r="C17" s="269">
        <f>Analyses_CV_ZS!Z33</f>
        <v>568.10608333333323</v>
      </c>
      <c r="D17" s="270">
        <f>Analyses_CV_ZS!AA33</f>
        <v>1032</v>
      </c>
    </row>
    <row r="18" spans="1:4" ht="14" x14ac:dyDescent="0.3">
      <c r="A18" s="268">
        <v>22</v>
      </c>
      <c r="B18" s="268" t="s">
        <v>907</v>
      </c>
      <c r="C18" s="269">
        <f>Analyses_CV_ZS!Z34</f>
        <v>339.6013333333334</v>
      </c>
      <c r="D18" s="270">
        <f>Analyses_CV_ZS!AA34</f>
        <v>424</v>
      </c>
    </row>
    <row r="19" spans="1:4" ht="14" x14ac:dyDescent="0.3">
      <c r="A19" s="268">
        <v>26</v>
      </c>
      <c r="B19" s="268" t="s">
        <v>908</v>
      </c>
      <c r="C19" s="269">
        <f>Analyses_CV_ZS!Z35</f>
        <v>5762.636833333333</v>
      </c>
      <c r="D19" s="270">
        <f>Analyses_CV_ZS!AA35</f>
        <v>1344</v>
      </c>
    </row>
    <row r="20" spans="1:4" ht="14" x14ac:dyDescent="0.3">
      <c r="A20" s="268">
        <v>34</v>
      </c>
      <c r="B20" s="268" t="s">
        <v>891</v>
      </c>
      <c r="C20" s="269">
        <f>Analyses_CV_ZS!Z36</f>
        <v>665.5331666666666</v>
      </c>
      <c r="D20" s="270">
        <f>Analyses_CV_ZS!AA36</f>
        <v>273</v>
      </c>
    </row>
    <row r="21" spans="1:4" ht="14" x14ac:dyDescent="0.3">
      <c r="A21" s="268">
        <v>3</v>
      </c>
      <c r="B21" s="268" t="s">
        <v>892</v>
      </c>
      <c r="C21" s="269">
        <f>Analyses_CV_ZS!Z37</f>
        <v>469.80233333333325</v>
      </c>
      <c r="D21" s="270">
        <f>Analyses_CV_ZS!AA37</f>
        <v>670</v>
      </c>
    </row>
    <row r="22" spans="1:4" ht="14" x14ac:dyDescent="0.3">
      <c r="A22" s="268">
        <v>8</v>
      </c>
      <c r="B22" s="268" t="s">
        <v>893</v>
      </c>
      <c r="C22" s="269">
        <f>Analyses_CV_ZS!Z38</f>
        <v>1125.3214166666667</v>
      </c>
      <c r="D22" s="270">
        <f>Analyses_CV_ZS!AA38</f>
        <v>204</v>
      </c>
    </row>
    <row r="23" spans="1:4" ht="14" x14ac:dyDescent="0.3">
      <c r="A23" s="268">
        <v>12</v>
      </c>
      <c r="B23" s="268" t="s">
        <v>894</v>
      </c>
      <c r="C23" s="269">
        <f>Analyses_CV_ZS!Z39</f>
        <v>375.18674999999996</v>
      </c>
      <c r="D23" s="270">
        <f>Analyses_CV_ZS!AA39</f>
        <v>522</v>
      </c>
    </row>
    <row r="24" spans="1:4" ht="14" x14ac:dyDescent="0.3">
      <c r="A24" s="268">
        <v>7</v>
      </c>
      <c r="B24" s="268" t="s">
        <v>895</v>
      </c>
      <c r="C24" s="269">
        <f>Analyses_CV_ZS!Z40</f>
        <v>215.84383333333321</v>
      </c>
      <c r="D24" s="270">
        <f>Analyses_CV_ZS!AA40</f>
        <v>238</v>
      </c>
    </row>
    <row r="25" spans="1:4" ht="14" x14ac:dyDescent="0.3">
      <c r="A25" s="268">
        <v>21</v>
      </c>
      <c r="B25" s="268" t="s">
        <v>909</v>
      </c>
      <c r="C25" s="269">
        <f>Analyses_CV_ZS!Z41</f>
        <v>995.03466666666668</v>
      </c>
      <c r="D25" s="270">
        <f>Analyses_CV_ZS!AA41</f>
        <v>2524</v>
      </c>
    </row>
    <row r="26" spans="1:4" ht="14" x14ac:dyDescent="0.3">
      <c r="A26" s="268">
        <v>11</v>
      </c>
      <c r="B26" s="268" t="s">
        <v>896</v>
      </c>
      <c r="C26" s="269">
        <f>Analyses_CV_ZS!Z42</f>
        <v>236.46191666666658</v>
      </c>
      <c r="D26" s="270">
        <f>Analyses_CV_ZS!AA42</f>
        <v>365</v>
      </c>
    </row>
    <row r="27" spans="1:4" ht="14" x14ac:dyDescent="0.3">
      <c r="A27" s="268">
        <v>6</v>
      </c>
      <c r="B27" s="268" t="s">
        <v>897</v>
      </c>
      <c r="C27" s="269">
        <f>Analyses_CV_ZS!Z43</f>
        <v>2523.8056666666671</v>
      </c>
      <c r="D27" s="270">
        <f>Analyses_CV_ZS!AA43</f>
        <v>783</v>
      </c>
    </row>
    <row r="28" spans="1:4" ht="14" x14ac:dyDescent="0.3">
      <c r="A28" s="268">
        <v>23</v>
      </c>
      <c r="B28" s="268" t="s">
        <v>910</v>
      </c>
      <c r="C28" s="269">
        <f>Analyses_CV_ZS!Z44</f>
        <v>1208.35475</v>
      </c>
      <c r="D28" s="270">
        <f>Analyses_CV_ZS!AA44</f>
        <v>3216</v>
      </c>
    </row>
    <row r="29" spans="1:4" ht="14" x14ac:dyDescent="0.3">
      <c r="A29" s="268">
        <v>28</v>
      </c>
      <c r="B29" s="268" t="s">
        <v>911</v>
      </c>
      <c r="C29" s="269">
        <f>Analyses_CV_ZS!Z45</f>
        <v>0</v>
      </c>
      <c r="D29" s="270">
        <f>Analyses_CV_ZS!AA45</f>
        <v>1448</v>
      </c>
    </row>
    <row r="30" spans="1:4" ht="14" x14ac:dyDescent="0.3">
      <c r="A30" s="268">
        <v>33</v>
      </c>
      <c r="B30" s="268" t="s">
        <v>898</v>
      </c>
      <c r="C30" s="269">
        <f>Analyses_CV_ZS!Z46</f>
        <v>2183.7019166666664</v>
      </c>
      <c r="D30" s="270">
        <f>Analyses_CV_ZS!AA46</f>
        <v>1035</v>
      </c>
    </row>
    <row r="31" spans="1:4" ht="14" x14ac:dyDescent="0.3">
      <c r="A31" s="268">
        <v>16</v>
      </c>
      <c r="B31" s="268" t="s">
        <v>912</v>
      </c>
      <c r="C31" s="269">
        <f>Analyses_CV_ZS!Z47</f>
        <v>738.84316666666666</v>
      </c>
      <c r="D31" s="270">
        <f>Analyses_CV_ZS!AA47</f>
        <v>827</v>
      </c>
    </row>
    <row r="32" spans="1:4" ht="14" x14ac:dyDescent="0.3">
      <c r="A32" s="268">
        <v>27</v>
      </c>
      <c r="B32" s="268" t="s">
        <v>913</v>
      </c>
      <c r="C32" s="269">
        <f>Analyses_CV_ZS!Z48</f>
        <v>543.05424999999991</v>
      </c>
      <c r="D32" s="270">
        <f>Analyses_CV_ZS!AA48</f>
        <v>486</v>
      </c>
    </row>
    <row r="33" spans="1:4" ht="14" x14ac:dyDescent="0.3">
      <c r="A33" s="268">
        <v>30</v>
      </c>
      <c r="B33" s="268" t="s">
        <v>914</v>
      </c>
      <c r="C33" s="269">
        <f>Analyses_CV_ZS!Z49</f>
        <v>728.31941666666671</v>
      </c>
      <c r="D33" s="270">
        <f>Analyses_CV_ZS!AA49</f>
        <v>1032</v>
      </c>
    </row>
    <row r="34" spans="1:4" ht="14" x14ac:dyDescent="0.3">
      <c r="A34" s="268">
        <v>1</v>
      </c>
      <c r="B34" s="268" t="s">
        <v>899</v>
      </c>
      <c r="C34" s="269">
        <f>Analyses_CV_ZS!Z50</f>
        <v>726.15125000000012</v>
      </c>
      <c r="D34" s="270">
        <f>Analyses_CV_ZS!AA50</f>
        <v>83</v>
      </c>
    </row>
    <row r="35" spans="1:4" ht="14" x14ac:dyDescent="0.3">
      <c r="A35" s="268">
        <v>15</v>
      </c>
      <c r="B35" s="268" t="s">
        <v>915</v>
      </c>
      <c r="C35" s="269">
        <f>Analyses_CV_ZS!Z51</f>
        <v>118.87275000000005</v>
      </c>
      <c r="D35" s="270">
        <f>Analyses_CV_ZS!AA51</f>
        <v>1015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opLeftCell="A16" workbookViewId="0">
      <selection activeCell="A21" sqref="A21:A37"/>
    </sheetView>
  </sheetViews>
  <sheetFormatPr baseColWidth="10" defaultColWidth="10.90625" defaultRowHeight="12.5" x14ac:dyDescent="0.25"/>
  <cols>
    <col min="1" max="5" width="15" customWidth="1"/>
  </cols>
  <sheetData>
    <row r="1" spans="1:6" x14ac:dyDescent="0.25">
      <c r="A1" s="1" t="s">
        <v>700</v>
      </c>
      <c r="B1" t="s">
        <v>813</v>
      </c>
      <c r="C1" t="s">
        <v>803</v>
      </c>
      <c r="D1" t="s">
        <v>804</v>
      </c>
      <c r="E1" t="s">
        <v>807</v>
      </c>
      <c r="F1" t="s">
        <v>814</v>
      </c>
    </row>
    <row r="2" spans="1:6" x14ac:dyDescent="0.25">
      <c r="A2" s="6" t="s">
        <v>739</v>
      </c>
      <c r="B2" s="7">
        <v>144662.0705</v>
      </c>
      <c r="C2">
        <v>136437</v>
      </c>
      <c r="D2">
        <v>131124</v>
      </c>
      <c r="E2">
        <v>136839</v>
      </c>
      <c r="F2" s="7">
        <v>165801.79999999999</v>
      </c>
    </row>
    <row r="3" spans="1:6" x14ac:dyDescent="0.25">
      <c r="A3" s="76" t="s">
        <v>17</v>
      </c>
      <c r="B3" s="7">
        <v>8706.6193333333322</v>
      </c>
      <c r="C3">
        <v>8374</v>
      </c>
      <c r="D3">
        <v>7634</v>
      </c>
      <c r="E3">
        <v>9099</v>
      </c>
      <c r="F3" s="7">
        <v>9978.9333333333325</v>
      </c>
    </row>
    <row r="4" spans="1:6" x14ac:dyDescent="0.25">
      <c r="A4" s="76" t="s">
        <v>19</v>
      </c>
      <c r="B4" s="7">
        <v>15523.432749999994</v>
      </c>
      <c r="C4">
        <v>16095</v>
      </c>
      <c r="D4">
        <v>17069</v>
      </c>
      <c r="E4">
        <v>16414</v>
      </c>
      <c r="F4" s="7">
        <v>17791.900000000005</v>
      </c>
    </row>
    <row r="5" spans="1:6" x14ac:dyDescent="0.25">
      <c r="A5" s="76" t="s">
        <v>20</v>
      </c>
      <c r="B5" s="7">
        <v>4823.5871666666662</v>
      </c>
      <c r="C5">
        <v>4101</v>
      </c>
      <c r="D5">
        <v>3610</v>
      </c>
      <c r="E5">
        <v>4046</v>
      </c>
      <c r="F5" s="7">
        <v>5528.4666666666653</v>
      </c>
    </row>
    <row r="6" spans="1:6" x14ac:dyDescent="0.25">
      <c r="A6" s="76" t="s">
        <v>23</v>
      </c>
      <c r="B6" s="7">
        <v>7809.7475000000004</v>
      </c>
      <c r="C6">
        <v>6721</v>
      </c>
      <c r="D6">
        <v>6097</v>
      </c>
      <c r="E6">
        <v>6907</v>
      </c>
      <c r="F6" s="7">
        <v>8951.0000000000018</v>
      </c>
    </row>
    <row r="7" spans="1:6" x14ac:dyDescent="0.25">
      <c r="A7" s="76" t="s">
        <v>26</v>
      </c>
      <c r="B7" s="7">
        <v>6941.4936666666672</v>
      </c>
      <c r="C7">
        <v>6554</v>
      </c>
      <c r="D7">
        <v>6444</v>
      </c>
      <c r="E7">
        <v>6698</v>
      </c>
      <c r="F7" s="7">
        <v>7955.8666666666659</v>
      </c>
    </row>
    <row r="8" spans="1:6" x14ac:dyDescent="0.25">
      <c r="A8" s="76" t="s">
        <v>27</v>
      </c>
      <c r="B8" s="7">
        <v>4277.6057500000006</v>
      </c>
      <c r="C8">
        <v>5054</v>
      </c>
      <c r="D8">
        <v>4601</v>
      </c>
      <c r="E8">
        <v>4687</v>
      </c>
      <c r="F8" s="7">
        <v>4902.7</v>
      </c>
    </row>
    <row r="9" spans="1:6" x14ac:dyDescent="0.25">
      <c r="A9" s="76" t="s">
        <v>30</v>
      </c>
      <c r="B9" s="7">
        <v>16083.112416666669</v>
      </c>
      <c r="C9">
        <v>17113</v>
      </c>
      <c r="D9">
        <v>17326</v>
      </c>
      <c r="E9">
        <v>17120</v>
      </c>
      <c r="F9" s="7">
        <v>18433.366666666665</v>
      </c>
    </row>
    <row r="10" spans="1:6" x14ac:dyDescent="0.25">
      <c r="A10" s="76" t="s">
        <v>31</v>
      </c>
      <c r="B10" s="7">
        <v>13206.218166666666</v>
      </c>
      <c r="C10">
        <v>11516</v>
      </c>
      <c r="D10">
        <v>10186</v>
      </c>
      <c r="E10">
        <v>12592</v>
      </c>
      <c r="F10" s="7">
        <v>15136.066666666666</v>
      </c>
    </row>
    <row r="11" spans="1:6" x14ac:dyDescent="0.25">
      <c r="A11" s="76" t="s">
        <v>35</v>
      </c>
      <c r="B11" s="7">
        <v>6749.4854999999998</v>
      </c>
      <c r="C11">
        <v>6233</v>
      </c>
      <c r="D11">
        <v>6105</v>
      </c>
      <c r="E11">
        <v>6394</v>
      </c>
      <c r="F11" s="7">
        <v>7735.8000000000011</v>
      </c>
    </row>
    <row r="12" spans="1:6" x14ac:dyDescent="0.25">
      <c r="A12" s="76" t="s">
        <v>36</v>
      </c>
      <c r="B12" s="7">
        <v>10515.544499999998</v>
      </c>
      <c r="C12">
        <v>10234</v>
      </c>
      <c r="D12">
        <v>10087</v>
      </c>
      <c r="E12">
        <v>9697</v>
      </c>
      <c r="F12" s="7">
        <v>12052.2</v>
      </c>
    </row>
    <row r="13" spans="1:6" x14ac:dyDescent="0.25">
      <c r="A13" s="76" t="s">
        <v>37</v>
      </c>
      <c r="B13" s="7">
        <v>7118.4657499999994</v>
      </c>
      <c r="C13">
        <v>6267</v>
      </c>
      <c r="D13">
        <v>6115</v>
      </c>
      <c r="E13">
        <v>6562</v>
      </c>
      <c r="F13" s="7">
        <v>8158.7000000000016</v>
      </c>
    </row>
    <row r="14" spans="1:6" x14ac:dyDescent="0.25">
      <c r="A14" s="76" t="s">
        <v>38</v>
      </c>
      <c r="B14" s="7">
        <v>2840.7145833333338</v>
      </c>
      <c r="C14">
        <v>2850</v>
      </c>
      <c r="D14">
        <v>2318</v>
      </c>
      <c r="E14">
        <v>2384</v>
      </c>
      <c r="F14" s="7">
        <v>3255.833333333333</v>
      </c>
    </row>
    <row r="15" spans="1:6" x14ac:dyDescent="0.25">
      <c r="A15" s="76" t="s">
        <v>39</v>
      </c>
      <c r="B15" s="7">
        <v>5532.7551666666659</v>
      </c>
      <c r="C15">
        <v>5548</v>
      </c>
      <c r="D15">
        <v>5237</v>
      </c>
      <c r="E15">
        <v>5450</v>
      </c>
      <c r="F15" s="7">
        <v>6341.2666666666664</v>
      </c>
    </row>
    <row r="16" spans="1:6" x14ac:dyDescent="0.25">
      <c r="A16" s="76" t="s">
        <v>41</v>
      </c>
      <c r="B16" s="7">
        <v>9380.4510833333334</v>
      </c>
      <c r="C16">
        <v>9587</v>
      </c>
      <c r="D16">
        <v>9373</v>
      </c>
      <c r="E16">
        <v>9654</v>
      </c>
      <c r="F16" s="7">
        <v>10751.23333333333</v>
      </c>
    </row>
    <row r="17" spans="1:6" x14ac:dyDescent="0.25">
      <c r="A17" s="76" t="s">
        <v>42</v>
      </c>
      <c r="B17" s="7">
        <v>10350.292999999998</v>
      </c>
      <c r="C17">
        <v>8153</v>
      </c>
      <c r="D17">
        <v>7202</v>
      </c>
      <c r="E17">
        <v>7735</v>
      </c>
      <c r="F17" s="7">
        <v>11862.800000000001</v>
      </c>
    </row>
    <row r="18" spans="1:6" x14ac:dyDescent="0.25">
      <c r="A18" s="76" t="s">
        <v>45</v>
      </c>
      <c r="B18" s="7">
        <v>10392.841916666668</v>
      </c>
      <c r="C18">
        <v>8040</v>
      </c>
      <c r="D18">
        <v>7798</v>
      </c>
      <c r="E18">
        <v>7121</v>
      </c>
      <c r="F18" s="7">
        <v>11911.566666666668</v>
      </c>
    </row>
    <row r="19" spans="1:6" x14ac:dyDescent="0.25">
      <c r="A19" s="76" t="s">
        <v>49</v>
      </c>
      <c r="B19" s="7">
        <v>4409.7022500000012</v>
      </c>
      <c r="C19">
        <v>3997</v>
      </c>
      <c r="D19">
        <v>3922</v>
      </c>
      <c r="E19">
        <v>4279</v>
      </c>
      <c r="F19" s="7">
        <v>5054.1000000000004</v>
      </c>
    </row>
    <row r="20" spans="1:6" x14ac:dyDescent="0.25">
      <c r="A20" s="6" t="s">
        <v>740</v>
      </c>
      <c r="B20" s="7">
        <v>169504.53033333333</v>
      </c>
      <c r="C20">
        <v>189689</v>
      </c>
      <c r="D20">
        <v>180550</v>
      </c>
      <c r="E20">
        <v>179207</v>
      </c>
      <c r="F20" s="7">
        <v>194274.53333333338</v>
      </c>
    </row>
    <row r="21" spans="1:6" x14ac:dyDescent="0.25">
      <c r="A21" s="76" t="s">
        <v>18</v>
      </c>
      <c r="B21" s="7">
        <v>6193.3249166666674</v>
      </c>
      <c r="C21">
        <v>6274</v>
      </c>
      <c r="D21">
        <v>6014</v>
      </c>
      <c r="E21">
        <v>6062</v>
      </c>
      <c r="F21" s="7">
        <v>7098.3666666666668</v>
      </c>
    </row>
    <row r="22" spans="1:6" x14ac:dyDescent="0.25">
      <c r="A22" s="76" t="s">
        <v>21</v>
      </c>
      <c r="B22" s="7">
        <v>6399.3512499999997</v>
      </c>
      <c r="C22">
        <v>6705</v>
      </c>
      <c r="D22">
        <v>6735</v>
      </c>
      <c r="E22">
        <v>6664</v>
      </c>
      <c r="F22" s="7">
        <v>7334.5000000000018</v>
      </c>
    </row>
    <row r="23" spans="1:6" x14ac:dyDescent="0.25">
      <c r="A23" s="76" t="s">
        <v>22</v>
      </c>
      <c r="B23" s="7">
        <v>7013.6785</v>
      </c>
      <c r="C23">
        <v>7265</v>
      </c>
      <c r="D23">
        <v>6711</v>
      </c>
      <c r="E23">
        <v>6335</v>
      </c>
      <c r="F23" s="7">
        <v>8038.6</v>
      </c>
    </row>
    <row r="24" spans="1:6" x14ac:dyDescent="0.25">
      <c r="A24" s="76" t="s">
        <v>24</v>
      </c>
      <c r="B24" s="7">
        <v>9584.0925833333349</v>
      </c>
      <c r="C24">
        <v>15209</v>
      </c>
      <c r="D24">
        <v>14284</v>
      </c>
      <c r="E24">
        <v>13329</v>
      </c>
      <c r="F24" s="7">
        <v>10984.633333333335</v>
      </c>
    </row>
    <row r="25" spans="1:6" x14ac:dyDescent="0.25">
      <c r="A25" s="76" t="s">
        <v>25</v>
      </c>
      <c r="B25" s="7">
        <v>6924.9452500000007</v>
      </c>
      <c r="C25">
        <v>7288</v>
      </c>
      <c r="D25">
        <v>7278</v>
      </c>
      <c r="E25">
        <v>6738</v>
      </c>
      <c r="F25" s="7">
        <v>7936.9000000000015</v>
      </c>
    </row>
    <row r="26" spans="1:6" x14ac:dyDescent="0.25">
      <c r="A26" s="76" t="s">
        <v>28</v>
      </c>
      <c r="B26" s="7">
        <v>19347.803833333335</v>
      </c>
      <c r="C26">
        <v>22683</v>
      </c>
      <c r="D26">
        <v>20007</v>
      </c>
      <c r="E26">
        <v>22618</v>
      </c>
      <c r="F26" s="7">
        <v>22175.133333333339</v>
      </c>
    </row>
    <row r="27" spans="1:6" x14ac:dyDescent="0.25">
      <c r="A27" s="76" t="s">
        <v>29</v>
      </c>
      <c r="B27" s="7">
        <v>11143.133749999999</v>
      </c>
      <c r="C27">
        <v>12921</v>
      </c>
      <c r="D27">
        <v>12429</v>
      </c>
      <c r="E27">
        <v>12266</v>
      </c>
      <c r="F27" s="7">
        <v>12771.500000000002</v>
      </c>
    </row>
    <row r="28" spans="1:6" x14ac:dyDescent="0.25">
      <c r="A28" s="76" t="s">
        <v>32</v>
      </c>
      <c r="B28" s="7">
        <v>12549.661916666664</v>
      </c>
      <c r="C28">
        <v>12959</v>
      </c>
      <c r="D28">
        <v>12176</v>
      </c>
      <c r="E28">
        <v>12482</v>
      </c>
      <c r="F28" s="7">
        <v>14383.566666666666</v>
      </c>
    </row>
    <row r="29" spans="1:6" x14ac:dyDescent="0.25">
      <c r="A29" s="76" t="s">
        <v>33</v>
      </c>
      <c r="B29" s="7">
        <v>4165.1404999999995</v>
      </c>
      <c r="C29">
        <v>3999</v>
      </c>
      <c r="D29">
        <v>3759</v>
      </c>
      <c r="E29">
        <v>3616</v>
      </c>
      <c r="F29" s="7">
        <v>4773.7999999999993</v>
      </c>
    </row>
    <row r="30" spans="1:6" x14ac:dyDescent="0.25">
      <c r="A30" s="76" t="s">
        <v>34</v>
      </c>
      <c r="B30" s="7">
        <v>14972.01275</v>
      </c>
      <c r="C30">
        <v>9340</v>
      </c>
      <c r="D30">
        <v>8197</v>
      </c>
      <c r="E30">
        <v>8292</v>
      </c>
      <c r="F30" s="7">
        <v>17159.900000000001</v>
      </c>
    </row>
    <row r="31" spans="1:6" x14ac:dyDescent="0.25">
      <c r="A31" s="76" t="s">
        <v>40</v>
      </c>
      <c r="B31" s="7">
        <v>13289.541916666671</v>
      </c>
      <c r="C31">
        <v>18088</v>
      </c>
      <c r="D31">
        <v>16374</v>
      </c>
      <c r="E31">
        <v>18696</v>
      </c>
      <c r="F31" s="7">
        <v>15231.566666666664</v>
      </c>
    </row>
    <row r="32" spans="1:6" x14ac:dyDescent="0.25">
      <c r="A32" s="76" t="s">
        <v>43</v>
      </c>
      <c r="B32" s="7">
        <v>15246.414000000001</v>
      </c>
      <c r="C32">
        <v>15866</v>
      </c>
      <c r="D32">
        <v>15186</v>
      </c>
      <c r="E32">
        <v>13502</v>
      </c>
      <c r="F32" s="7">
        <v>17474.399999999998</v>
      </c>
    </row>
    <row r="33" spans="1:6" x14ac:dyDescent="0.25">
      <c r="A33" s="76" t="s">
        <v>44</v>
      </c>
      <c r="B33" s="7">
        <v>10973.054416666666</v>
      </c>
      <c r="C33">
        <v>17230</v>
      </c>
      <c r="D33">
        <v>18843</v>
      </c>
      <c r="E33">
        <v>16888</v>
      </c>
      <c r="F33" s="7">
        <v>12576.566666666668</v>
      </c>
    </row>
    <row r="34" spans="1:6" x14ac:dyDescent="0.25">
      <c r="A34" s="76" t="s">
        <v>46</v>
      </c>
      <c r="B34" s="7">
        <v>6261.5835000000006</v>
      </c>
      <c r="C34">
        <v>6990</v>
      </c>
      <c r="D34">
        <v>6709</v>
      </c>
      <c r="E34">
        <v>6367</v>
      </c>
      <c r="F34" s="7">
        <v>7176.5999999999995</v>
      </c>
    </row>
    <row r="35" spans="1:6" x14ac:dyDescent="0.25">
      <c r="A35" s="76" t="s">
        <v>47</v>
      </c>
      <c r="B35" s="7">
        <v>9604.4509166666667</v>
      </c>
      <c r="C35">
        <v>10177</v>
      </c>
      <c r="D35">
        <v>9660</v>
      </c>
      <c r="E35">
        <v>10150</v>
      </c>
      <c r="F35" s="7">
        <v>11007.966666666667</v>
      </c>
    </row>
    <row r="36" spans="1:6" x14ac:dyDescent="0.25">
      <c r="A36" s="76" t="s">
        <v>48</v>
      </c>
      <c r="B36" s="7">
        <v>9813.3564999999999</v>
      </c>
      <c r="C36">
        <v>9682</v>
      </c>
      <c r="D36">
        <v>9366</v>
      </c>
      <c r="E36">
        <v>9120</v>
      </c>
      <c r="F36" s="7">
        <v>11247.4</v>
      </c>
    </row>
    <row r="37" spans="1:6" x14ac:dyDescent="0.25">
      <c r="A37" s="76" t="s">
        <v>50</v>
      </c>
      <c r="B37" s="7">
        <v>6022.9838333333337</v>
      </c>
      <c r="C37">
        <v>7013</v>
      </c>
      <c r="D37">
        <v>6822</v>
      </c>
      <c r="E37">
        <v>6082</v>
      </c>
      <c r="F37" s="7">
        <v>6903.1333333333341</v>
      </c>
    </row>
    <row r="38" spans="1:6" x14ac:dyDescent="0.25">
      <c r="A38" s="6" t="s">
        <v>701</v>
      </c>
      <c r="B38" s="7">
        <v>314166.60083333339</v>
      </c>
      <c r="C38">
        <v>326126</v>
      </c>
      <c r="D38">
        <v>311674</v>
      </c>
      <c r="E38">
        <v>316046</v>
      </c>
      <c r="F38" s="7">
        <v>360076.33333333337</v>
      </c>
    </row>
  </sheetData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E10" sqref="E10"/>
    </sheetView>
  </sheetViews>
  <sheetFormatPr baseColWidth="10" defaultColWidth="10.90625" defaultRowHeight="12.5" x14ac:dyDescent="0.25"/>
  <cols>
    <col min="1" max="1" width="6" customWidth="1"/>
  </cols>
  <sheetData>
    <row r="2" spans="1:2" x14ac:dyDescent="0.25">
      <c r="A2" t="s">
        <v>734</v>
      </c>
      <c r="B2" s="75" t="s">
        <v>918</v>
      </c>
    </row>
    <row r="3" spans="1:2" x14ac:dyDescent="0.25">
      <c r="A3" t="s">
        <v>735</v>
      </c>
      <c r="B3" s="73" t="s">
        <v>919</v>
      </c>
    </row>
    <row r="4" spans="1:2" x14ac:dyDescent="0.25">
      <c r="A4" t="s">
        <v>736</v>
      </c>
      <c r="B4" s="73" t="s">
        <v>920</v>
      </c>
    </row>
    <row r="5" spans="1:2" x14ac:dyDescent="0.25">
      <c r="A5" t="s">
        <v>737</v>
      </c>
      <c r="B5" s="73" t="s">
        <v>921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INSTRUCTIONS</vt:lpstr>
      <vt:lpstr>Data_Entry</vt:lpstr>
      <vt:lpstr>ANAPEV</vt:lpstr>
      <vt:lpstr>MASHAKO</vt:lpstr>
      <vt:lpstr>Analyses_CV_ZS</vt:lpstr>
      <vt:lpstr>Analyses_CV_AS</vt:lpstr>
      <vt:lpstr>Courbes_CV</vt:lpstr>
      <vt:lpstr>Graphiques_Routine</vt:lpstr>
      <vt:lpstr>Cartes_NK</vt:lpstr>
      <vt:lpstr>Cartes_Goma</vt:lpstr>
      <vt:lpstr>Cartes_Butembo</vt:lpstr>
      <vt:lpstr>QGIS</vt:lpstr>
      <vt:lpstr>VAL</vt:lpstr>
      <vt:lpstr>Dico</vt:lpstr>
      <vt:lpstr>CV_ZS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M.</dc:creator>
  <cp:lastModifiedBy>FADIKA</cp:lastModifiedBy>
  <cp:lastPrinted>2024-08-15T08:56:04Z</cp:lastPrinted>
  <dcterms:created xsi:type="dcterms:W3CDTF">2024-07-01T13:09:55Z</dcterms:created>
  <dcterms:modified xsi:type="dcterms:W3CDTF">2026-03-16T14:07:41Z</dcterms:modified>
</cp:coreProperties>
</file>