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13_ncr:1_{C4FE4B0C-1634-42CB-938C-F37153FF00F7}" xr6:coauthVersionLast="47" xr6:coauthVersionMax="47" xr10:uidLastSave="{00000000-0000-0000-0000-000000000000}"/>
  <bookViews>
    <workbookView xWindow="-98" yWindow="-98" windowWidth="21795" windowHeight="12975" firstSheet="5" activeTab="7" xr2:uid="{0B50397C-5180-45F3-B22C-35A5BE61B634}"/>
  </bookViews>
  <sheets>
    <sheet name="Annee Bonne" sheetId="8" r:id="rId1"/>
    <sheet name="Annee Mauvaise" sheetId="7" r:id="rId2"/>
    <sheet name="Deterministe" sheetId="1" r:id="rId3"/>
    <sheet name="Decision sous incertitude" sheetId="9" r:id="rId4"/>
    <sheet name="Gain Strategie-Moyenne" sheetId="11" r:id="rId5"/>
    <sheet name="Gain Strategie-Pessimiste" sheetId="12" r:id="rId6"/>
    <sheet name="Gain Strategie-Bonne" sheetId="13" r:id="rId7"/>
    <sheet name="Programmation stochastique" sheetId="15" r:id="rId8"/>
  </sheets>
  <definedNames>
    <definedName name="Achat_Scenario_Bonne" comment="Achat pendant l'annee bonne">'Programmation stochastique'!$S$26:$T$26</definedName>
    <definedName name="Achat_Scenario_M" comment="Les acahts effectues pendant la mauvaise annee">'Programmation stochastique'!$E$26:$F$26</definedName>
    <definedName name="Achat_Scenario_Moyen" comment="Achats effectues pendant l'annee Moyenne">'Programmation stochastique'!$L$26:$M$26</definedName>
    <definedName name="Bet_prod_bon">'Programmation stochastique'!$T$49</definedName>
    <definedName name="Bet_prod_mauvais">'Programmation stochastique'!$F$49</definedName>
    <definedName name="Bet_prod_moyen">'Programmation stochastique'!$M$49</definedName>
    <definedName name="Demande_Bon">'Programmation stochastique'!$S$37:$U$37</definedName>
    <definedName name="Demande_Mauvais">'Programmation stochastique'!$E$37:$G$37</definedName>
    <definedName name="Demande_Moyen">'Programmation stochastique'!$L$37:$N$37</definedName>
    <definedName name="Dispo_bon">'Programmation stochastique'!$S$35:$U$35</definedName>
    <definedName name="Dispo_mauvais">'Programmation stochastique'!$E$35:$G$35</definedName>
    <definedName name="Dispo_moyen">'Programmation stochastique'!$L$35:$N$35</definedName>
    <definedName name="OBJ" comment="La variable objective">'Programmation stochastique'!$S$10</definedName>
    <definedName name="Quota_bon">'Programmation stochastique'!$T$45:$T$46</definedName>
    <definedName name="Quota_mauvais">'Programmation stochastique'!$F$45:$F$46</definedName>
    <definedName name="Quota_moyen">'Programmation stochastique'!$M$45:$M$46</definedName>
    <definedName name="solver_adj" localSheetId="0" hidden="1">'Annee Bonne'!$C$5:$E$5,'Annee Bonne'!$C$6:$D$6,'Annee Bonne'!$C$23,'Annee Bonne'!$D$25:$D$26</definedName>
    <definedName name="solver_adj" localSheetId="1" hidden="1">'Annee Mauvaise'!$C$5:$E$5,'Annee Mauvaise'!$C$6:$D$6,'Annee Mauvaise'!$C$23,'Annee Mauvaise'!$D$25:$D$26</definedName>
    <definedName name="solver_adj" localSheetId="2" hidden="1">Deterministe!$C$23,Deterministe!$D$25:$D$26,Deterministe!$C$5:$E$5,Deterministe!$C$6:$D$6</definedName>
    <definedName name="solver_adj" localSheetId="6" hidden="1">'Gain Strategie-Bonne'!$C$6:$D$6,'Gain Strategie-Bonne'!$C$23,'Gain Strategie-Bonne'!$D$25:$D$26</definedName>
    <definedName name="solver_adj" localSheetId="4" hidden="1">'Gain Strategie-Moyenne'!$C$6:$D$6,'Gain Strategie-Moyenne'!$C$23,'Gain Strategie-Moyenne'!$D$25:$D$26</definedName>
    <definedName name="solver_adj" localSheetId="5" hidden="1">'Gain Strategie-Pessimiste'!$C$6:$D$6,'Gain Strategie-Pessimiste'!$C$23,'Gain Strategie-Pessimiste'!$D$25:$D$26</definedName>
    <definedName name="solver_adj" localSheetId="7" hidden="1">'Programmation stochastique'!$E$26:$F$26,'Programmation stochastique'!$L$26:$M$26,'Programmation stochastique'!$S$26:$T$26,'Programmation stochastique'!$T$45:$T$46,'Programmation stochastique'!$M$45:$M$46,'Programmation stochastique'!$F$45:$F$46,'Programmation stochastique'!$E$43,'Programmation stochastique'!$L$43,'Programmation stochastique'!$S$43,'Programmation stochastique'!$J$17:$L$17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6" hidden="1">0.0001</definedName>
    <definedName name="solver_cvg" localSheetId="4" hidden="1">0.0001</definedName>
    <definedName name="solver_cvg" localSheetId="5" hidden="1">0.0001</definedName>
    <definedName name="solver_cvg" localSheetId="7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drv" localSheetId="7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6" hidden="1">2</definedName>
    <definedName name="solver_eng" localSheetId="4" hidden="1">2</definedName>
    <definedName name="solver_eng" localSheetId="5" hidden="1">2</definedName>
    <definedName name="solver_eng" localSheetId="7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6" hidden="1">1</definedName>
    <definedName name="solver_est" localSheetId="4" hidden="1">1</definedName>
    <definedName name="solver_est" localSheetId="5" hidden="1">1</definedName>
    <definedName name="solver_est" localSheetId="7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6" hidden="1">2147483647</definedName>
    <definedName name="solver_itr" localSheetId="4" hidden="1">2147483647</definedName>
    <definedName name="solver_itr" localSheetId="5" hidden="1">2147483647</definedName>
    <definedName name="solver_itr" localSheetId="7" hidden="1">2147483647</definedName>
    <definedName name="solver_lhs1" localSheetId="0" hidden="1">'Annee Bonne'!$C$15:$E$15</definedName>
    <definedName name="solver_lhs1" localSheetId="1" hidden="1">'Annee Mauvaise'!$C$15:$E$15</definedName>
    <definedName name="solver_lhs1" localSheetId="2" hidden="1">Deterministe!$C$15:$D$15</definedName>
    <definedName name="solver_lhs1" localSheetId="6" hidden="1">'Gain Strategie-Bonne'!$C$15:$E$15</definedName>
    <definedName name="solver_lhs1" localSheetId="4" hidden="1">'Gain Strategie-Moyenne'!$C$15:$E$15</definedName>
    <definedName name="solver_lhs1" localSheetId="5" hidden="1">'Gain Strategie-Pessimiste'!$C$15:$E$15</definedName>
    <definedName name="solver_lhs1" localSheetId="7" hidden="1">'Programmation stochastique'!$T$45</definedName>
    <definedName name="solver_lhs10" localSheetId="7" hidden="1">'Programmation stochastique'!$S$43</definedName>
    <definedName name="solver_lhs11" localSheetId="7" hidden="1">'Programmation stochastique'!$L$35:$N$35</definedName>
    <definedName name="solver_lhs12" localSheetId="7" hidden="1">'Programmation stochastique'!$M$45</definedName>
    <definedName name="solver_lhs13" localSheetId="7" hidden="1">'Programmation stochastique'!$L$43</definedName>
    <definedName name="solver_lhs14" localSheetId="7" hidden="1">'Programmation stochastique'!$E$43</definedName>
    <definedName name="solver_lhs15" localSheetId="7" hidden="1">'Programmation stochastique'!$F$47</definedName>
    <definedName name="solver_lhs16" localSheetId="7" hidden="1">'Programmation stochastique'!$F$45</definedName>
    <definedName name="solver_lhs2" localSheetId="0" hidden="1">'Annee Bonne'!$C$23</definedName>
    <definedName name="solver_lhs2" localSheetId="1" hidden="1">'Annee Mauvaise'!$C$23</definedName>
    <definedName name="solver_lhs2" localSheetId="2" hidden="1">Deterministe!$C$23</definedName>
    <definedName name="solver_lhs2" localSheetId="6" hidden="1">'Gain Strategie-Bonne'!$C$23</definedName>
    <definedName name="solver_lhs2" localSheetId="4" hidden="1">'Gain Strategie-Moyenne'!$C$23</definedName>
    <definedName name="solver_lhs2" localSheetId="5" hidden="1">'Gain Strategie-Pessimiste'!$C$23</definedName>
    <definedName name="solver_lhs2" localSheetId="7" hidden="1">'Programmation stochastique'!$M$17</definedName>
    <definedName name="solver_lhs3" localSheetId="0" hidden="1">'Annee Bonne'!$D$25</definedName>
    <definedName name="solver_lhs3" localSheetId="1" hidden="1">'Annee Mauvaise'!$D$25</definedName>
    <definedName name="solver_lhs3" localSheetId="2" hidden="1">Deterministe!$D$23</definedName>
    <definedName name="solver_lhs3" localSheetId="6" hidden="1">'Gain Strategie-Bonne'!$D$25</definedName>
    <definedName name="solver_lhs3" localSheetId="4" hidden="1">'Gain Strategie-Moyenne'!$D$25</definedName>
    <definedName name="solver_lhs3" localSheetId="5" hidden="1">'Gain Strategie-Pessimiste'!$D$25</definedName>
    <definedName name="solver_lhs3" localSheetId="7" hidden="1">'Programmation stochastique'!$M$47</definedName>
    <definedName name="solver_lhs4" localSheetId="0" hidden="1">'Annee Bonne'!$D$25:$D$26</definedName>
    <definedName name="solver_lhs4" localSheetId="1" hidden="1">'Annee Mauvaise'!$D$25:$D$26</definedName>
    <definedName name="solver_lhs4" localSheetId="2" hidden="1">Deterministe!$D$25</definedName>
    <definedName name="solver_lhs4" localSheetId="6" hidden="1">'Gain Strategie-Bonne'!$D$25:$D$26</definedName>
    <definedName name="solver_lhs4" localSheetId="4" hidden="1">'Gain Strategie-Moyenne'!$D$25:$D$26</definedName>
    <definedName name="solver_lhs4" localSheetId="5" hidden="1">'Gain Strategie-Pessimiste'!$D$25:$D$26</definedName>
    <definedName name="solver_lhs4" localSheetId="7" hidden="1">'Programmation stochastique'!$F$45:$F$46</definedName>
    <definedName name="solver_lhs5" localSheetId="0" hidden="1">'Annee Bonne'!$D$27</definedName>
    <definedName name="solver_lhs5" localSheetId="1" hidden="1">'Annee Mauvaise'!$D$27</definedName>
    <definedName name="solver_lhs5" localSheetId="2" hidden="1">Deterministe!$F$6</definedName>
    <definedName name="solver_lhs5" localSheetId="6" hidden="1">'Gain Strategie-Bonne'!$D$27</definedName>
    <definedName name="solver_lhs5" localSheetId="4" hidden="1">'Gain Strategie-Moyenne'!$D$27</definedName>
    <definedName name="solver_lhs5" localSheetId="5" hidden="1">'Gain Strategie-Pessimiste'!$D$27</definedName>
    <definedName name="solver_lhs5" localSheetId="7" hidden="1">'Programmation stochastique'!$E$35:$G$35</definedName>
    <definedName name="solver_lhs6" localSheetId="0" hidden="1">'Annee Bonne'!$F$5</definedName>
    <definedName name="solver_lhs6" localSheetId="1" hidden="1">'Annee Mauvaise'!$F$5</definedName>
    <definedName name="solver_lhs6" localSheetId="2" hidden="1">Deterministe!$F$5</definedName>
    <definedName name="solver_lhs6" localSheetId="6" hidden="1">'Gain Strategie-Bonne'!$F$5</definedName>
    <definedName name="solver_lhs6" localSheetId="4" hidden="1">'Gain Strategie-Moyenne'!$D$27</definedName>
    <definedName name="solver_lhs6" localSheetId="5" hidden="1">'Gain Strategie-Pessimiste'!$F$5</definedName>
    <definedName name="solver_lhs6" localSheetId="7" hidden="1">'Programmation stochastique'!$T$45:$T$46</definedName>
    <definedName name="solver_lhs7" localSheetId="0" hidden="1">'Annee Bonne'!$C$23</definedName>
    <definedName name="solver_lhs7" localSheetId="1" hidden="1">'Annee Mauvaise'!$C$23</definedName>
    <definedName name="solver_lhs7" localSheetId="2" hidden="1">Deterministe!$D$27</definedName>
    <definedName name="solver_lhs7" localSheetId="6" hidden="1">'Gain Strategie-Bonne'!$C$23</definedName>
    <definedName name="solver_lhs7" localSheetId="4" hidden="1">'Gain Strategie-Moyenne'!$D$27</definedName>
    <definedName name="solver_lhs7" localSheetId="5" hidden="1">'Gain Strategie-Pessimiste'!$C$23</definedName>
    <definedName name="solver_lhs7" localSheetId="7" hidden="1">'Programmation stochastique'!$S$35:$U$35</definedName>
    <definedName name="solver_lhs8" localSheetId="0" hidden="1">'Annee Bonne'!$C$15:$D$15</definedName>
    <definedName name="solver_lhs8" localSheetId="1" hidden="1">'Annee Mauvaise'!$C$15:$D$15</definedName>
    <definedName name="solver_lhs8" localSheetId="2" hidden="1">Deterministe!$D$26</definedName>
    <definedName name="solver_lhs8" localSheetId="6" hidden="1">'Gain Strategie-Bonne'!$C$15:$D$15</definedName>
    <definedName name="solver_lhs8" localSheetId="4" hidden="1">'Gain Strategie-Moyenne'!$D$27</definedName>
    <definedName name="solver_lhs8" localSheetId="5" hidden="1">'Gain Strategie-Pessimiste'!$C$15:$D$15</definedName>
    <definedName name="solver_lhs8" localSheetId="7" hidden="1">'Programmation stochastique'!$T$47</definedName>
    <definedName name="solver_lhs9" localSheetId="0" hidden="1">'Annee Bonne'!$D$23</definedName>
    <definedName name="solver_lhs9" localSheetId="1" hidden="1">'Annee Mauvaise'!$D$23</definedName>
    <definedName name="solver_lhs9" localSheetId="2" hidden="1">Deterministe!$D$26</definedName>
    <definedName name="solver_lhs9" localSheetId="6" hidden="1">'Gain Strategie-Bonne'!$D$23</definedName>
    <definedName name="solver_lhs9" localSheetId="4" hidden="1">'Gain Strategie-Moyenne'!$D$23</definedName>
    <definedName name="solver_lhs9" localSheetId="5" hidden="1">'Gain Strategie-Pessimiste'!$D$23</definedName>
    <definedName name="solver_lhs9" localSheetId="7" hidden="1">'Programmation stochastique'!$M$45:$M$46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6" hidden="1">2147483647</definedName>
    <definedName name="solver_mip" localSheetId="4" hidden="1">2147483647</definedName>
    <definedName name="solver_mip" localSheetId="5" hidden="1">2147483647</definedName>
    <definedName name="solver_mip" localSheetId="7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6" hidden="1">30</definedName>
    <definedName name="solver_mni" localSheetId="4" hidden="1">30</definedName>
    <definedName name="solver_mni" localSheetId="5" hidden="1">30</definedName>
    <definedName name="solver_mni" localSheetId="7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6" hidden="1">0.075</definedName>
    <definedName name="solver_mrt" localSheetId="4" hidden="1">0.075</definedName>
    <definedName name="solver_mrt" localSheetId="5" hidden="1">0.075</definedName>
    <definedName name="solver_mrt" localSheetId="7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6" hidden="1">2</definedName>
    <definedName name="solver_msl" localSheetId="4" hidden="1">2</definedName>
    <definedName name="solver_msl" localSheetId="5" hidden="1">2</definedName>
    <definedName name="solver_msl" localSheetId="7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6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6" hidden="1">2147483647</definedName>
    <definedName name="solver_nod" localSheetId="4" hidden="1">2147483647</definedName>
    <definedName name="solver_nod" localSheetId="5" hidden="1">2147483647</definedName>
    <definedName name="solver_nod" localSheetId="7" hidden="1">2147483647</definedName>
    <definedName name="solver_num" localSheetId="0" hidden="1">6</definedName>
    <definedName name="solver_num" localSheetId="1" hidden="1">6</definedName>
    <definedName name="solver_num" localSheetId="2" hidden="1">9</definedName>
    <definedName name="solver_num" localSheetId="6" hidden="1">5</definedName>
    <definedName name="solver_num" localSheetId="4" hidden="1">5</definedName>
    <definedName name="solver_num" localSheetId="5" hidden="1">5</definedName>
    <definedName name="solver_num" localSheetId="7" hidden="1">16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6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opt" localSheetId="0" hidden="1">'Annee Bonne'!$I$23</definedName>
    <definedName name="solver_opt" localSheetId="1" hidden="1">'Annee Mauvaise'!$I$23</definedName>
    <definedName name="solver_opt" localSheetId="2" hidden="1">Deterministe!$I$14</definedName>
    <definedName name="solver_opt" localSheetId="6" hidden="1">'Gain Strategie-Bonne'!$I$23</definedName>
    <definedName name="solver_opt" localSheetId="4" hidden="1">'Gain Strategie-Moyenne'!$I$23</definedName>
    <definedName name="solver_opt" localSheetId="5" hidden="1">'Gain Strategie-Pessimiste'!$I$23</definedName>
    <definedName name="solver_opt" localSheetId="7" hidden="1">'Programmation stochastique'!$S$10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6" hidden="1">0.000001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6" hidden="1">1</definedName>
    <definedName name="solver_rbv" localSheetId="4" hidden="1">1</definedName>
    <definedName name="solver_rbv" localSheetId="5" hidden="1">1</definedName>
    <definedName name="solver_rbv" localSheetId="7" hidden="1">2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6" hidden="1">3</definedName>
    <definedName name="solver_rel1" localSheetId="4" hidden="1">3</definedName>
    <definedName name="solver_rel1" localSheetId="5" hidden="1">3</definedName>
    <definedName name="solver_rel1" localSheetId="7" hidden="1">3</definedName>
    <definedName name="solver_rel10" localSheetId="7" hidden="1">5</definedName>
    <definedName name="solver_rel11" localSheetId="7" hidden="1">3</definedName>
    <definedName name="solver_rel12" localSheetId="7" hidden="1">3</definedName>
    <definedName name="solver_rel13" localSheetId="7" hidden="1">5</definedName>
    <definedName name="solver_rel14" localSheetId="7" hidden="1">5</definedName>
    <definedName name="solver_rel15" localSheetId="7" hidden="1">2</definedName>
    <definedName name="solver_rel16" localSheetId="7" hidden="1">3</definedName>
    <definedName name="solver_rel2" localSheetId="0" hidden="1">5</definedName>
    <definedName name="solver_rel2" localSheetId="1" hidden="1">5</definedName>
    <definedName name="solver_rel2" localSheetId="2" hidden="1">5</definedName>
    <definedName name="solver_rel2" localSheetId="6" hidden="1">5</definedName>
    <definedName name="solver_rel2" localSheetId="4" hidden="1">5</definedName>
    <definedName name="solver_rel2" localSheetId="5" hidden="1">5</definedName>
    <definedName name="solver_rel2" localSheetId="7" hidden="1">1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6" hidden="1">3</definedName>
    <definedName name="solver_rel3" localSheetId="4" hidden="1">3</definedName>
    <definedName name="solver_rel3" localSheetId="5" hidden="1">3</definedName>
    <definedName name="solver_rel3" localSheetId="7" hidden="1">2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6" hidden="1">1</definedName>
    <definedName name="solver_rel4" localSheetId="4" hidden="1">1</definedName>
    <definedName name="solver_rel4" localSheetId="5" hidden="1">1</definedName>
    <definedName name="solver_rel4" localSheetId="7" hidden="1">1</definedName>
    <definedName name="solver_rel5" localSheetId="0" hidden="1">2</definedName>
    <definedName name="solver_rel5" localSheetId="1" hidden="1">2</definedName>
    <definedName name="solver_rel5" localSheetId="2" hidden="1">3</definedName>
    <definedName name="solver_rel5" localSheetId="6" hidden="1">2</definedName>
    <definedName name="solver_rel5" localSheetId="4" hidden="1">2</definedName>
    <definedName name="solver_rel5" localSheetId="5" hidden="1">2</definedName>
    <definedName name="solver_rel5" localSheetId="7" hidden="1">3</definedName>
    <definedName name="solver_rel6" localSheetId="0" hidden="1">1</definedName>
    <definedName name="solver_rel6" localSheetId="1" hidden="1">2</definedName>
    <definedName name="solver_rel6" localSheetId="2" hidden="1">1</definedName>
    <definedName name="solver_rel6" localSheetId="6" hidden="1">1</definedName>
    <definedName name="solver_rel6" localSheetId="4" hidden="1">2</definedName>
    <definedName name="solver_rel6" localSheetId="5" hidden="1">2</definedName>
    <definedName name="solver_rel6" localSheetId="7" hidden="1">1</definedName>
    <definedName name="solver_rel7" localSheetId="0" hidden="1">5</definedName>
    <definedName name="solver_rel7" localSheetId="1" hidden="1">5</definedName>
    <definedName name="solver_rel7" localSheetId="2" hidden="1">2</definedName>
    <definedName name="solver_rel7" localSheetId="6" hidden="1">5</definedName>
    <definedName name="solver_rel7" localSheetId="4" hidden="1">2</definedName>
    <definedName name="solver_rel7" localSheetId="5" hidden="1">5</definedName>
    <definedName name="solver_rel7" localSheetId="7" hidden="1">3</definedName>
    <definedName name="solver_rel8" localSheetId="0" hidden="1">3</definedName>
    <definedName name="solver_rel8" localSheetId="1" hidden="1">3</definedName>
    <definedName name="solver_rel8" localSheetId="2" hidden="1">1</definedName>
    <definedName name="solver_rel8" localSheetId="6" hidden="1">3</definedName>
    <definedName name="solver_rel8" localSheetId="4" hidden="1">2</definedName>
    <definedName name="solver_rel8" localSheetId="5" hidden="1">3</definedName>
    <definedName name="solver_rel8" localSheetId="7" hidden="1">2</definedName>
    <definedName name="solver_rel9" localSheetId="0" hidden="1">3</definedName>
    <definedName name="solver_rel9" localSheetId="1" hidden="1">3</definedName>
    <definedName name="solver_rel9" localSheetId="2" hidden="1">1</definedName>
    <definedName name="solver_rel9" localSheetId="6" hidden="1">3</definedName>
    <definedName name="solver_rel9" localSheetId="4" hidden="1">3</definedName>
    <definedName name="solver_rel9" localSheetId="5" hidden="1">3</definedName>
    <definedName name="solver_rel9" localSheetId="7" hidden="1">1</definedName>
    <definedName name="solver_rhs1" localSheetId="0" hidden="1">'Annee Bonne'!$C$17:$E$17</definedName>
    <definedName name="solver_rhs1" localSheetId="1" hidden="1">'Annee Mauvaise'!$C$17:$E$17</definedName>
    <definedName name="solver_rhs1" localSheetId="2" hidden="1">Deterministe!$C$17:$D$17</definedName>
    <definedName name="solver_rhs1" localSheetId="6" hidden="1">'Gain Strategie-Bonne'!$C$17:$E$17</definedName>
    <definedName name="solver_rhs1" localSheetId="4" hidden="1">'Gain Strategie-Moyenne'!$C$17:$E$17</definedName>
    <definedName name="solver_rhs1" localSheetId="5" hidden="1">'Gain Strategie-Pessimiste'!$C$17:$E$17</definedName>
    <definedName name="solver_rhs1" localSheetId="7" hidden="1">'Programmation stochastique'!$T$43</definedName>
    <definedName name="solver_rhs10" localSheetId="7" hidden="1">"binary"</definedName>
    <definedName name="solver_rhs11" localSheetId="7" hidden="1">Demande_Moyen</definedName>
    <definedName name="solver_rhs12" localSheetId="7" hidden="1">'Programmation stochastique'!$M$43</definedName>
    <definedName name="solver_rhs13" localSheetId="7" hidden="1">"binary"</definedName>
    <definedName name="solver_rhs14" localSheetId="7" hidden="1">"binary"</definedName>
    <definedName name="solver_rhs15" localSheetId="7" hidden="1">Bet_prod_mauvais</definedName>
    <definedName name="solver_rhs16" localSheetId="7" hidden="1">'Programmation stochastique'!$F$43</definedName>
    <definedName name="solver_rhs2" localSheetId="0" hidden="1">"binary"</definedName>
    <definedName name="solver_rhs2" localSheetId="1" hidden="1">"binary"</definedName>
    <definedName name="solver_rhs2" localSheetId="2" hidden="1">"binary"</definedName>
    <definedName name="solver_rhs2" localSheetId="6" hidden="1">"binary"</definedName>
    <definedName name="solver_rhs2" localSheetId="4" hidden="1">"binary"</definedName>
    <definedName name="solver_rhs2" localSheetId="5" hidden="1">"binary"</definedName>
    <definedName name="solver_rhs2" localSheetId="7" hidden="1">'Programmation stochastique'!$N$17</definedName>
    <definedName name="solver_rhs3" localSheetId="0" hidden="1">'Annee Bonne'!$D$23</definedName>
    <definedName name="solver_rhs3" localSheetId="1" hidden="1">'Annee Mauvaise'!$D$23</definedName>
    <definedName name="solver_rhs3" localSheetId="2" hidden="1">Deterministe!$D$23</definedName>
    <definedName name="solver_rhs3" localSheetId="6" hidden="1">'Gain Strategie-Bonne'!$D$23</definedName>
    <definedName name="solver_rhs3" localSheetId="4" hidden="1">'Gain Strategie-Moyenne'!$D$23</definedName>
    <definedName name="solver_rhs3" localSheetId="5" hidden="1">'Gain Strategie-Pessimiste'!$D$23</definedName>
    <definedName name="solver_rhs3" localSheetId="7" hidden="1">Bet_prod_moyen</definedName>
    <definedName name="solver_rhs4" localSheetId="0" hidden="1">'Annee Bonne'!$F$25:$F$26</definedName>
    <definedName name="solver_rhs4" localSheetId="1" hidden="1">'Annee Mauvaise'!$F$25:$F$26</definedName>
    <definedName name="solver_rhs4" localSheetId="2" hidden="1">Deterministe!$F$25</definedName>
    <definedName name="solver_rhs4" localSheetId="6" hidden="1">'Gain Strategie-Bonne'!$F$25:$F$26</definedName>
    <definedName name="solver_rhs4" localSheetId="4" hidden="1">'Gain Strategie-Moyenne'!$F$25:$F$26</definedName>
    <definedName name="solver_rhs4" localSheetId="5" hidden="1">'Gain Strategie-Pessimiste'!$F$25:$F$26</definedName>
    <definedName name="solver_rhs4" localSheetId="7" hidden="1">'Programmation stochastique'!$H$45:$H$46</definedName>
    <definedName name="solver_rhs5" localSheetId="0" hidden="1">'Annee Bonne'!$D$29</definedName>
    <definedName name="solver_rhs5" localSheetId="1" hidden="1">'Annee Mauvaise'!$D$29</definedName>
    <definedName name="solver_rhs5" localSheetId="2" hidden="1">Deterministe!$H$6</definedName>
    <definedName name="solver_rhs5" localSheetId="6" hidden="1">'Gain Strategie-Bonne'!$D$29</definedName>
    <definedName name="solver_rhs5" localSheetId="4" hidden="1">'Gain Strategie-Moyenne'!$D$29</definedName>
    <definedName name="solver_rhs5" localSheetId="5" hidden="1">'Gain Strategie-Pessimiste'!$D$29</definedName>
    <definedName name="solver_rhs5" localSheetId="7" hidden="1">Demande_Mauvais</definedName>
    <definedName name="solver_rhs6" localSheetId="0" hidden="1">'Annee Bonne'!$H$5</definedName>
    <definedName name="solver_rhs6" localSheetId="1" hidden="1">'Annee Mauvaise'!$H$5</definedName>
    <definedName name="solver_rhs6" localSheetId="2" hidden="1">Deterministe!$H$5</definedName>
    <definedName name="solver_rhs6" localSheetId="6" hidden="1">'Gain Strategie-Bonne'!$H$5</definedName>
    <definedName name="solver_rhs6" localSheetId="4" hidden="1">'Gain Strategie-Moyenne'!$D$29</definedName>
    <definedName name="solver_rhs6" localSheetId="5" hidden="1">'Gain Strategie-Pessimiste'!$H$5</definedName>
    <definedName name="solver_rhs6" localSheetId="7" hidden="1">'Programmation stochastique'!$V$45:$V$46</definedName>
    <definedName name="solver_rhs7" localSheetId="0" hidden="1">"binary"</definedName>
    <definedName name="solver_rhs7" localSheetId="1" hidden="1">"binary"</definedName>
    <definedName name="solver_rhs7" localSheetId="2" hidden="1">Deterministe!$D$29</definedName>
    <definedName name="solver_rhs7" localSheetId="6" hidden="1">"binary"</definedName>
    <definedName name="solver_rhs7" localSheetId="4" hidden="1">'Gain Strategie-Moyenne'!$D$29</definedName>
    <definedName name="solver_rhs7" localSheetId="5" hidden="1">"binary"</definedName>
    <definedName name="solver_rhs7" localSheetId="7" hidden="1">Demande_Bon</definedName>
    <definedName name="solver_rhs8" localSheetId="0" hidden="1">'Annee Bonne'!$C$17:$D$17</definedName>
    <definedName name="solver_rhs8" localSheetId="1" hidden="1">'Annee Mauvaise'!$C$17:$D$17</definedName>
    <definedName name="solver_rhs8" localSheetId="2" hidden="1">Deterministe!$F$26</definedName>
    <definedName name="solver_rhs8" localSheetId="6" hidden="1">'Gain Strategie-Bonne'!$C$17:$D$17</definedName>
    <definedName name="solver_rhs8" localSheetId="4" hidden="1">'Gain Strategie-Moyenne'!$D$29</definedName>
    <definedName name="solver_rhs8" localSheetId="5" hidden="1">'Gain Strategie-Pessimiste'!$C$17:$D$17</definedName>
    <definedName name="solver_rhs8" localSheetId="7" hidden="1">Bet_prod_bon</definedName>
    <definedName name="solver_rhs9" localSheetId="0" hidden="1">'Annee Bonne'!$D$23</definedName>
    <definedName name="solver_rhs9" localSheetId="1" hidden="1">'Annee Mauvaise'!$D$23</definedName>
    <definedName name="solver_rhs9" localSheetId="2" hidden="1">Deterministe!$F$26</definedName>
    <definedName name="solver_rhs9" localSheetId="6" hidden="1">'Gain Strategie-Bonne'!$D$23</definedName>
    <definedName name="solver_rhs9" localSheetId="4" hidden="1">'Gain Strategie-Moyenne'!$D$23</definedName>
    <definedName name="solver_rhs9" localSheetId="5" hidden="1">'Gain Strategie-Pessimiste'!$D$23</definedName>
    <definedName name="solver_rhs9" localSheetId="7" hidden="1">'Programmation stochastique'!$O$45:$O$46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6" hidden="1">2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6" hidden="1">0</definedName>
    <definedName name="solver_rsd" localSheetId="4" hidden="1">0</definedName>
    <definedName name="solver_rsd" localSheetId="5" hidden="1">0</definedName>
    <definedName name="solver_rsd" localSheetId="7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6" hidden="1">1</definedName>
    <definedName name="solver_scl" localSheetId="4" hidden="1">1</definedName>
    <definedName name="solver_scl" localSheetId="5" hidden="1">1</definedName>
    <definedName name="solver_scl" localSheetId="7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6" hidden="1">100</definedName>
    <definedName name="solver_ssz" localSheetId="4" hidden="1">100</definedName>
    <definedName name="solver_ssz" localSheetId="5" hidden="1">100</definedName>
    <definedName name="solver_ssz" localSheetId="7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6" hidden="1">2147483647</definedName>
    <definedName name="solver_tim" localSheetId="4" hidden="1">2147483647</definedName>
    <definedName name="solver_tim" localSheetId="5" hidden="1">2147483647</definedName>
    <definedName name="solver_tim" localSheetId="7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6" hidden="1">0.01</definedName>
    <definedName name="solver_tol" localSheetId="4" hidden="1">0.01</definedName>
    <definedName name="solver_tol" localSheetId="5" hidden="1">0.01</definedName>
    <definedName name="solver_tol" localSheetId="7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6" hidden="1">1</definedName>
    <definedName name="solver_typ" localSheetId="4" hidden="1">1</definedName>
    <definedName name="solver_typ" localSheetId="5" hidden="1">1</definedName>
    <definedName name="solver_typ" localSheetId="7" hidden="1">1</definedName>
    <definedName name="solver_val" localSheetId="0" hidden="1">0</definedName>
    <definedName name="solver_val" localSheetId="1" hidden="1">0</definedName>
    <definedName name="solver_val" localSheetId="2" hidden="1">44400</definedName>
    <definedName name="solver_val" localSheetId="6" hidden="1">0</definedName>
    <definedName name="solver_val" localSheetId="4" hidden="1">0</definedName>
    <definedName name="solver_val" localSheetId="5" hidden="1">0</definedName>
    <definedName name="solver_val" localSheetId="7" hidden="1">108390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6" hidden="1">3</definedName>
    <definedName name="solver_ver" localSheetId="4" hidden="1">3</definedName>
    <definedName name="solver_ver" localSheetId="5" hidden="1">3</definedName>
    <definedName name="solver_ver" localSheetId="7" hidden="1">3</definedName>
    <definedName name="Superficie">'Programmation stochastique'!$J$17:$L$17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5" l="1"/>
  <c r="AC15" i="15" s="1"/>
  <c r="AC12" i="15"/>
  <c r="AA18" i="15"/>
  <c r="H26" i="9"/>
  <c r="H27" i="9"/>
  <c r="H25" i="9"/>
  <c r="F6" i="8"/>
  <c r="E9" i="7"/>
  <c r="F6" i="7"/>
  <c r="R6" i="15"/>
  <c r="M56" i="15"/>
  <c r="Q7" i="15" s="1"/>
  <c r="F56" i="15"/>
  <c r="P7" i="15" s="1"/>
  <c r="Z9" i="15"/>
  <c r="AA9" i="15"/>
  <c r="AB9" i="15"/>
  <c r="T25" i="15"/>
  <c r="T35" i="15" s="1"/>
  <c r="T34" i="15" s="1"/>
  <c r="T29" i="15" s="1"/>
  <c r="U25" i="15"/>
  <c r="U35" i="15" s="1"/>
  <c r="U34" i="15" s="1"/>
  <c r="S25" i="15"/>
  <c r="S33" i="15" s="1"/>
  <c r="M25" i="15"/>
  <c r="M35" i="15" s="1"/>
  <c r="M34" i="15" s="1"/>
  <c r="M29" i="15" s="1"/>
  <c r="N25" i="15"/>
  <c r="N35" i="15" s="1"/>
  <c r="M49" i="15" s="1"/>
  <c r="L25" i="15"/>
  <c r="L35" i="15" s="1"/>
  <c r="L34" i="15" s="1"/>
  <c r="L29" i="15" s="1"/>
  <c r="F25" i="15"/>
  <c r="F33" i="15" s="1"/>
  <c r="G25" i="15"/>
  <c r="G35" i="15" s="1"/>
  <c r="E25" i="15"/>
  <c r="E35" i="15" s="1"/>
  <c r="E34" i="15" s="1"/>
  <c r="E29" i="15" s="1"/>
  <c r="M17" i="15"/>
  <c r="V46" i="15"/>
  <c r="O46" i="15"/>
  <c r="T43" i="15"/>
  <c r="M43" i="15"/>
  <c r="M50" i="15"/>
  <c r="N29" i="15" s="1"/>
  <c r="T50" i="15"/>
  <c r="U29" i="15" s="1"/>
  <c r="T47" i="15"/>
  <c r="V45" i="15"/>
  <c r="M47" i="15"/>
  <c r="O45" i="15"/>
  <c r="T31" i="15"/>
  <c r="S31" i="15"/>
  <c r="M31" i="15"/>
  <c r="L31" i="15"/>
  <c r="F50" i="15"/>
  <c r="G29" i="15" s="1"/>
  <c r="F47" i="15"/>
  <c r="H46" i="15"/>
  <c r="H45" i="15"/>
  <c r="F43" i="15"/>
  <c r="F31" i="15"/>
  <c r="E31" i="15"/>
  <c r="Q4" i="15"/>
  <c r="R4" i="15"/>
  <c r="P4" i="15"/>
  <c r="I62" i="9"/>
  <c r="I61" i="9"/>
  <c r="H66" i="9"/>
  <c r="I66" i="9" s="1"/>
  <c r="H65" i="9"/>
  <c r="I65" i="9" s="1"/>
  <c r="H64" i="9"/>
  <c r="I64" i="9" s="1"/>
  <c r="G52" i="9"/>
  <c r="G53" i="9"/>
  <c r="G51" i="9"/>
  <c r="F52" i="9"/>
  <c r="F53" i="9"/>
  <c r="F51" i="9"/>
  <c r="E53" i="9"/>
  <c r="E52" i="9"/>
  <c r="E51" i="9"/>
  <c r="H41" i="9"/>
  <c r="H42" i="9"/>
  <c r="H40" i="9"/>
  <c r="H35" i="9"/>
  <c r="H36" i="9"/>
  <c r="H34" i="9"/>
  <c r="D30" i="13"/>
  <c r="D27" i="13"/>
  <c r="F26" i="13"/>
  <c r="F25" i="13"/>
  <c r="D23" i="13"/>
  <c r="I21" i="13"/>
  <c r="D11" i="13"/>
  <c r="C11" i="13"/>
  <c r="I22" i="13" s="1"/>
  <c r="E7" i="13"/>
  <c r="E13" i="13" s="1"/>
  <c r="D7" i="13"/>
  <c r="D13" i="13" s="1"/>
  <c r="C7" i="13"/>
  <c r="C13" i="13" s="1"/>
  <c r="C7" i="12"/>
  <c r="D30" i="12"/>
  <c r="D27" i="12"/>
  <c r="F26" i="12"/>
  <c r="F25" i="12"/>
  <c r="D23" i="12"/>
  <c r="I21" i="12"/>
  <c r="C15" i="12"/>
  <c r="C14" i="12" s="1"/>
  <c r="C9" i="12" s="1"/>
  <c r="D11" i="12"/>
  <c r="C11" i="12"/>
  <c r="I22" i="12" s="1"/>
  <c r="E7" i="12"/>
  <c r="E13" i="12" s="1"/>
  <c r="D7" i="12"/>
  <c r="D13" i="12" s="1"/>
  <c r="C13" i="12"/>
  <c r="D30" i="11"/>
  <c r="D27" i="11"/>
  <c r="F26" i="11"/>
  <c r="F25" i="11"/>
  <c r="D23" i="11"/>
  <c r="I21" i="11"/>
  <c r="E15" i="11"/>
  <c r="D29" i="11" s="1"/>
  <c r="D15" i="11"/>
  <c r="D14" i="11" s="1"/>
  <c r="D9" i="11" s="1"/>
  <c r="C15" i="11"/>
  <c r="C14" i="11" s="1"/>
  <c r="C9" i="11" s="1"/>
  <c r="E13" i="11"/>
  <c r="D13" i="11"/>
  <c r="C13" i="11"/>
  <c r="D11" i="11"/>
  <c r="C11" i="11"/>
  <c r="D30" i="8"/>
  <c r="D27" i="8"/>
  <c r="F26" i="8"/>
  <c r="F25" i="8"/>
  <c r="D23" i="8"/>
  <c r="I21" i="8"/>
  <c r="D15" i="8"/>
  <c r="D14" i="8" s="1"/>
  <c r="D9" i="8" s="1"/>
  <c r="C15" i="8"/>
  <c r="C14" i="8" s="1"/>
  <c r="C9" i="8" s="1"/>
  <c r="D11" i="8"/>
  <c r="C11" i="8"/>
  <c r="I22" i="8" s="1"/>
  <c r="E7" i="8"/>
  <c r="E13" i="8" s="1"/>
  <c r="D7" i="8"/>
  <c r="D13" i="8" s="1"/>
  <c r="C7" i="8"/>
  <c r="C13" i="8" s="1"/>
  <c r="F5" i="8"/>
  <c r="I21" i="7"/>
  <c r="D30" i="7"/>
  <c r="D27" i="7"/>
  <c r="F26" i="7"/>
  <c r="F25" i="7"/>
  <c r="D23" i="7"/>
  <c r="D11" i="7"/>
  <c r="C11" i="7"/>
  <c r="I22" i="7" s="1"/>
  <c r="E7" i="7"/>
  <c r="E15" i="7" s="1"/>
  <c r="D7" i="7"/>
  <c r="D13" i="7" s="1"/>
  <c r="C7" i="7"/>
  <c r="C13" i="7" s="1"/>
  <c r="F5" i="7"/>
  <c r="F26" i="1"/>
  <c r="AB15" i="15" l="1"/>
  <c r="Z15" i="15"/>
  <c r="AA15" i="15"/>
  <c r="AC18" i="15"/>
  <c r="AE18" i="15" s="1"/>
  <c r="H53" i="9"/>
  <c r="J64" i="9"/>
  <c r="J65" i="9"/>
  <c r="J66" i="9"/>
  <c r="K64" i="9"/>
  <c r="K66" i="9"/>
  <c r="K65" i="9"/>
  <c r="E13" i="7"/>
  <c r="F55" i="15"/>
  <c r="P6" i="15" s="1"/>
  <c r="P8" i="15" s="1"/>
  <c r="M55" i="15"/>
  <c r="Q6" i="15" s="1"/>
  <c r="Q8" i="15" s="1"/>
  <c r="S35" i="15"/>
  <c r="S34" i="15" s="1"/>
  <c r="S29" i="15" s="1"/>
  <c r="T54" i="15" s="1"/>
  <c r="R5" i="15" s="1"/>
  <c r="E33" i="15"/>
  <c r="T55" i="15"/>
  <c r="T56" i="15"/>
  <c r="R7" i="15" s="1"/>
  <c r="R8" i="15" s="1"/>
  <c r="M54" i="15"/>
  <c r="Q5" i="15" s="1"/>
  <c r="Q10" i="15" s="1"/>
  <c r="N34" i="15"/>
  <c r="T49" i="15"/>
  <c r="T33" i="15"/>
  <c r="U33" i="15"/>
  <c r="L33" i="15"/>
  <c r="M33" i="15"/>
  <c r="N33" i="15"/>
  <c r="F49" i="15"/>
  <c r="G34" i="15"/>
  <c r="G33" i="15"/>
  <c r="F35" i="15"/>
  <c r="F34" i="15" s="1"/>
  <c r="F29" i="15" s="1"/>
  <c r="F54" i="15" s="1"/>
  <c r="P5" i="15" s="1"/>
  <c r="P10" i="15" s="1"/>
  <c r="H52" i="9"/>
  <c r="H51" i="9"/>
  <c r="C15" i="13"/>
  <c r="C14" i="13" s="1"/>
  <c r="C9" i="13" s="1"/>
  <c r="D15" i="13"/>
  <c r="D14" i="13" s="1"/>
  <c r="D9" i="13" s="1"/>
  <c r="E15" i="13"/>
  <c r="D15" i="12"/>
  <c r="D14" i="12" s="1"/>
  <c r="D9" i="12" s="1"/>
  <c r="E15" i="12"/>
  <c r="I22" i="11"/>
  <c r="E14" i="11"/>
  <c r="E9" i="11" s="1"/>
  <c r="I20" i="11"/>
  <c r="E15" i="8"/>
  <c r="C15" i="7"/>
  <c r="C14" i="7" s="1"/>
  <c r="C9" i="7" s="1"/>
  <c r="D15" i="7"/>
  <c r="D14" i="7" s="1"/>
  <c r="D9" i="7" s="1"/>
  <c r="D29" i="7"/>
  <c r="E14" i="7"/>
  <c r="R10" i="15" l="1"/>
  <c r="M57" i="15"/>
  <c r="F57" i="15"/>
  <c r="T57" i="15"/>
  <c r="D29" i="13"/>
  <c r="E14" i="13"/>
  <c r="E9" i="13" s="1"/>
  <c r="D29" i="12"/>
  <c r="E14" i="12"/>
  <c r="I23" i="11"/>
  <c r="D29" i="8"/>
  <c r="E14" i="8"/>
  <c r="E9" i="8" s="1"/>
  <c r="I20" i="7"/>
  <c r="I23" i="7" s="1"/>
  <c r="E15" i="1"/>
  <c r="D29" i="1" s="1"/>
  <c r="D13" i="1"/>
  <c r="E13" i="1"/>
  <c r="C13" i="1"/>
  <c r="C15" i="1"/>
  <c r="C14" i="1" s="1"/>
  <c r="C9" i="1" s="1"/>
  <c r="D30" i="1"/>
  <c r="I12" i="1"/>
  <c r="D15" i="1"/>
  <c r="D14" i="1" s="1"/>
  <c r="D9" i="1" s="1"/>
  <c r="E14" i="1"/>
  <c r="E9" i="1" s="1"/>
  <c r="F25" i="1"/>
  <c r="D23" i="1"/>
  <c r="D27" i="1"/>
  <c r="F5" i="1"/>
  <c r="D11" i="1"/>
  <c r="C11" i="1"/>
  <c r="I13" i="1" s="1"/>
  <c r="I20" i="13" l="1"/>
  <c r="I23" i="13" s="1"/>
  <c r="E9" i="12"/>
  <c r="I20" i="12"/>
  <c r="I23" i="12" s="1"/>
  <c r="I20" i="8"/>
  <c r="I23" i="8" s="1"/>
  <c r="I11" i="1"/>
  <c r="I14" i="1" s="1"/>
  <c r="AC13" i="15" l="1"/>
  <c r="AC14" i="15"/>
</calcChain>
</file>

<file path=xl/sharedStrings.xml><?xml version="1.0" encoding="utf-8"?>
<sst xmlns="http://schemas.openxmlformats.org/spreadsheetml/2006/main" count="538" uniqueCount="89">
  <si>
    <t>Ble</t>
  </si>
  <si>
    <t>Mais</t>
  </si>
  <si>
    <t>Betterave</t>
  </si>
  <si>
    <t>≤</t>
  </si>
  <si>
    <t>Rendement</t>
  </si>
  <si>
    <t>Vente</t>
  </si>
  <si>
    <t>Achat</t>
  </si>
  <si>
    <t>Demande</t>
  </si>
  <si>
    <t>Couts</t>
  </si>
  <si>
    <t>Cout</t>
  </si>
  <si>
    <t>Profit</t>
  </si>
  <si>
    <t>≥</t>
  </si>
  <si>
    <t>Production</t>
  </si>
  <si>
    <t>Quota</t>
  </si>
  <si>
    <t>=</t>
  </si>
  <si>
    <t>X1</t>
  </si>
  <si>
    <t>X2</t>
  </si>
  <si>
    <t xml:space="preserve"> ≤ quota</t>
  </si>
  <si>
    <t>≥ quota</t>
  </si>
  <si>
    <t>Surface</t>
  </si>
  <si>
    <t>Qte Achat</t>
  </si>
  <si>
    <t>Ecart P-D</t>
  </si>
  <si>
    <t>Superficie</t>
  </si>
  <si>
    <t>[Unite]</t>
  </si>
  <si>
    <r>
      <t xml:space="preserve">Depasser </t>
    </r>
    <r>
      <rPr>
        <sz val="9"/>
        <color theme="1"/>
        <rFont val="Aptos Narrow"/>
        <family val="2"/>
      </rPr>
      <t>× Quota</t>
    </r>
  </si>
  <si>
    <t>[Acres]</t>
  </si>
  <si>
    <t>S1</t>
  </si>
  <si>
    <t>S2</t>
  </si>
  <si>
    <t>S3</t>
  </si>
  <si>
    <t>Total ventes</t>
  </si>
  <si>
    <t>Depasser Quota ?</t>
  </si>
  <si>
    <t>Quantite disponible</t>
  </si>
  <si>
    <t>Variables qui sera ensuite utilisee pour faire de l'analyse stochastique a cause de la meteo</t>
  </si>
  <si>
    <t>Amelioration type annee</t>
  </si>
  <si>
    <t>Strategie</t>
  </si>
  <si>
    <t>L1</t>
  </si>
  <si>
    <t>L2</t>
  </si>
  <si>
    <t>L3</t>
  </si>
  <si>
    <t>Mauvais</t>
  </si>
  <si>
    <t>Moyenne</t>
  </si>
  <si>
    <t>Bonne</t>
  </si>
  <si>
    <t>Scenario</t>
  </si>
  <si>
    <t>Pessimiste</t>
  </si>
  <si>
    <t>Equilibre</t>
  </si>
  <si>
    <t>Optimiste</t>
  </si>
  <si>
    <t>Matrice de gain/profit</t>
  </si>
  <si>
    <t>Deterministe</t>
  </si>
  <si>
    <t>Sous-Incertitude</t>
  </si>
  <si>
    <t xml:space="preserve"> --&gt; On fixe les valeurs des rendements</t>
  </si>
  <si>
    <t>Rendements</t>
  </si>
  <si>
    <t>Decision</t>
  </si>
  <si>
    <t>MAXIMAX</t>
  </si>
  <si>
    <t>MAXIMIN</t>
  </si>
  <si>
    <t>Ici, on liste les gains les gains maximum possible selon chaque strategie</t>
  </si>
  <si>
    <t>Ici, on liste les gains les gains min possible selon chaque strategie</t>
  </si>
  <si>
    <t>Table de regret</t>
  </si>
  <si>
    <t>Regret</t>
  </si>
  <si>
    <t>Minimax Regret</t>
  </si>
  <si>
    <t>SAVAGE</t>
  </si>
  <si>
    <t>WALD</t>
  </si>
  <si>
    <t>Hurwicz</t>
  </si>
  <si>
    <r>
      <t xml:space="preserve">Ici, on liste les </t>
    </r>
    <r>
      <rPr>
        <b/>
        <sz val="11"/>
        <color theme="1"/>
        <rFont val="Aptos Narrow"/>
        <family val="2"/>
        <scheme val="minor"/>
      </rPr>
      <t>REGRETS</t>
    </r>
    <r>
      <rPr>
        <i/>
        <sz val="11"/>
        <color theme="1"/>
        <rFont val="Aptos Narrow"/>
        <family val="2"/>
        <scheme val="minor"/>
      </rPr>
      <t xml:space="preserve"> max possible selon chaque strategie</t>
    </r>
  </si>
  <si>
    <t>Min</t>
  </si>
  <si>
    <t>Max</t>
  </si>
  <si>
    <t>Intuition du manager</t>
  </si>
  <si>
    <r>
      <rPr>
        <b/>
        <i/>
        <sz val="11"/>
        <color theme="1"/>
        <rFont val="Aptos Narrow"/>
        <family val="2"/>
        <scheme val="minor"/>
      </rPr>
      <t>Averse</t>
    </r>
    <r>
      <rPr>
        <i/>
        <sz val="11"/>
        <color theme="1"/>
        <rFont val="Aptos Narrow"/>
        <family val="2"/>
        <scheme val="minor"/>
      </rPr>
      <t xml:space="preserve"> au risque</t>
    </r>
  </si>
  <si>
    <r>
      <rPr>
        <b/>
        <i/>
        <sz val="11"/>
        <color theme="1"/>
        <rFont val="Aptos Narrow"/>
        <family val="2"/>
        <scheme val="minor"/>
      </rPr>
      <t>Aime</t>
    </r>
    <r>
      <rPr>
        <i/>
        <sz val="11"/>
        <color theme="1"/>
        <rFont val="Aptos Narrow"/>
        <family val="2"/>
        <scheme val="minor"/>
      </rPr>
      <t xml:space="preserve"> le risque</t>
    </r>
  </si>
  <si>
    <t>a</t>
  </si>
  <si>
    <t>(1-a)</t>
  </si>
  <si>
    <r>
      <t xml:space="preserve">Profit espere : </t>
    </r>
    <r>
      <rPr>
        <sz val="8"/>
        <color theme="1"/>
        <rFont val="Aptos Narrow"/>
        <family val="2"/>
        <scheme val="minor"/>
      </rPr>
      <t>Aime risque</t>
    </r>
  </si>
  <si>
    <r>
      <t xml:space="preserve">Profit espere : </t>
    </r>
    <r>
      <rPr>
        <sz val="8"/>
        <color theme="1"/>
        <rFont val="Aptos Narrow"/>
        <family val="2"/>
        <scheme val="minor"/>
      </rPr>
      <t>Averse risque</t>
    </r>
  </si>
  <si>
    <t>Probabilite</t>
  </si>
  <si>
    <t>Bon</t>
  </si>
  <si>
    <t>Moyem</t>
  </si>
  <si>
    <t>OBJ</t>
  </si>
  <si>
    <t>EC</t>
  </si>
  <si>
    <t>Equivalent certain</t>
  </si>
  <si>
    <t>Option 1</t>
  </si>
  <si>
    <t>Option 2</t>
  </si>
  <si>
    <t>Option 3</t>
  </si>
  <si>
    <t>VEIP =</t>
  </si>
  <si>
    <t>Valeur espérée d'une information parfaite</t>
  </si>
  <si>
    <t>Information parfaite * prob</t>
  </si>
  <si>
    <t>-</t>
  </si>
  <si>
    <t>Cout Totaux</t>
  </si>
  <si>
    <t>Profit*</t>
  </si>
  <si>
    <t>Resultat solution PS</t>
  </si>
  <si>
    <t>PROFIT ( E )</t>
  </si>
  <si>
    <t>Laplace Baye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</si>
</sst>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"/>
    <numFmt numFmtId="166" formatCode="0.0%"/>
    <numFmt numFmtId="167" formatCode="\&lt;\=\ #,##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u val="doubleAccounting"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Aptos Narrow"/>
      <family val="2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u val="double"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i/>
      <sz val="8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3" borderId="0" xfId="0" applyFill="1" applyAlignment="1">
      <alignment horizontal="center"/>
    </xf>
    <xf numFmtId="164" fontId="4" fillId="2" borderId="0" xfId="1" applyNumberFormat="1" applyFont="1" applyFill="1"/>
    <xf numFmtId="0" fontId="0" fillId="0" borderId="1" xfId="0" applyBorder="1"/>
    <xf numFmtId="164" fontId="0" fillId="0" borderId="1" xfId="1" applyNumberFormat="1" applyFont="1" applyBorder="1"/>
    <xf numFmtId="0" fontId="0" fillId="4" borderId="1" xfId="0" applyFill="1" applyBorder="1"/>
    <xf numFmtId="0" fontId="2" fillId="0" borderId="1" xfId="0" applyFont="1" applyBorder="1"/>
    <xf numFmtId="164" fontId="0" fillId="0" borderId="1" xfId="0" applyNumberFormat="1" applyBorder="1"/>
    <xf numFmtId="0" fontId="0" fillId="5" borderId="1" xfId="0" applyFill="1" applyBorder="1"/>
    <xf numFmtId="0" fontId="0" fillId="3" borderId="1" xfId="0" applyFill="1" applyBorder="1"/>
    <xf numFmtId="164" fontId="0" fillId="5" borderId="1" xfId="1" applyNumberFormat="1" applyFont="1" applyFill="1" applyBorder="1"/>
    <xf numFmtId="0" fontId="7" fillId="0" borderId="0" xfId="0" applyFont="1"/>
    <xf numFmtId="0" fontId="2" fillId="4" borderId="2" xfId="0" applyFont="1" applyFill="1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0" fontId="0" fillId="4" borderId="4" xfId="0" applyFill="1" applyBorder="1"/>
    <xf numFmtId="0" fontId="0" fillId="4" borderId="5" xfId="0" applyFill="1" applyBorder="1"/>
    <xf numFmtId="0" fontId="3" fillId="0" borderId="6" xfId="0" applyFont="1" applyBorder="1" applyAlignment="1">
      <alignment horizontal="center"/>
    </xf>
    <xf numFmtId="0" fontId="0" fillId="3" borderId="7" xfId="0" applyFill="1" applyBorder="1"/>
    <xf numFmtId="0" fontId="0" fillId="0" borderId="6" xfId="0" applyBorder="1"/>
    <xf numFmtId="0" fontId="5" fillId="0" borderId="6" xfId="0" applyFont="1" applyBorder="1"/>
    <xf numFmtId="0" fontId="0" fillId="3" borderId="8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1" applyNumberFormat="1" applyFont="1" applyBorder="1"/>
    <xf numFmtId="0" fontId="2" fillId="0" borderId="0" xfId="0" applyFont="1" applyAlignment="1">
      <alignment horizontal="right"/>
    </xf>
    <xf numFmtId="0" fontId="0" fillId="6" borderId="1" xfId="0" applyFill="1" applyBorder="1"/>
    <xf numFmtId="0" fontId="9" fillId="0" borderId="0" xfId="0" applyFont="1"/>
    <xf numFmtId="0" fontId="10" fillId="0" borderId="0" xfId="0" applyFont="1"/>
    <xf numFmtId="0" fontId="0" fillId="3" borderId="12" xfId="0" applyFill="1" applyBorder="1"/>
    <xf numFmtId="166" fontId="0" fillId="0" borderId="0" xfId="2" applyNumberFormat="1" applyFont="1"/>
    <xf numFmtId="44" fontId="0" fillId="0" borderId="0" xfId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/>
    <xf numFmtId="44" fontId="2" fillId="7" borderId="1" xfId="1" applyFont="1" applyFill="1" applyBorder="1" applyAlignment="1"/>
    <xf numFmtId="0" fontId="2" fillId="5" borderId="1" xfId="0" applyFont="1" applyFill="1" applyBorder="1" applyAlignment="1">
      <alignment horizontal="center"/>
    </xf>
    <xf numFmtId="44" fontId="2" fillId="5" borderId="1" xfId="1" applyFont="1" applyFill="1" applyBorder="1" applyAlignment="1"/>
    <xf numFmtId="0" fontId="2" fillId="8" borderId="1" xfId="0" applyFont="1" applyFill="1" applyBorder="1" applyAlignment="1">
      <alignment horizontal="center"/>
    </xf>
    <xf numFmtId="0" fontId="0" fillId="8" borderId="1" xfId="0" applyFill="1" applyBorder="1"/>
    <xf numFmtId="44" fontId="2" fillId="8" borderId="1" xfId="1" applyFont="1" applyFill="1" applyBorder="1" applyAlignment="1"/>
    <xf numFmtId="44" fontId="0" fillId="0" borderId="0" xfId="0" applyNumberFormat="1"/>
    <xf numFmtId="0" fontId="11" fillId="0" borderId="0" xfId="0" applyFont="1"/>
    <xf numFmtId="44" fontId="2" fillId="8" borderId="4" xfId="1" applyFont="1" applyFill="1" applyBorder="1" applyAlignment="1"/>
    <xf numFmtId="44" fontId="0" fillId="0" borderId="0" xfId="1" applyFont="1" applyAlignment="1">
      <alignment horizontal="center"/>
    </xf>
    <xf numFmtId="9" fontId="0" fillId="9" borderId="1" xfId="2" applyFont="1" applyFill="1" applyBorder="1" applyAlignment="1">
      <alignment horizontal="center"/>
    </xf>
    <xf numFmtId="9" fontId="0" fillId="10" borderId="1" xfId="2" applyFont="1" applyFill="1" applyBorder="1" applyAlignment="1">
      <alignment horizontal="center"/>
    </xf>
    <xf numFmtId="9" fontId="0" fillId="11" borderId="1" xfId="2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2" fontId="0" fillId="11" borderId="1" xfId="2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44" fontId="2" fillId="8" borderId="18" xfId="1" applyFont="1" applyFill="1" applyBorder="1" applyAlignment="1"/>
    <xf numFmtId="44" fontId="0" fillId="0" borderId="19" xfId="1" applyFont="1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22" xfId="0" applyBorder="1"/>
    <xf numFmtId="0" fontId="0" fillId="0" borderId="21" xfId="0" applyBorder="1"/>
    <xf numFmtId="44" fontId="0" fillId="0" borderId="22" xfId="0" applyNumberFormat="1" applyBorder="1"/>
    <xf numFmtId="0" fontId="0" fillId="0" borderId="23" xfId="0" applyBorder="1" applyAlignment="1">
      <alignment horizontal="center"/>
    </xf>
    <xf numFmtId="44" fontId="0" fillId="0" borderId="24" xfId="0" applyNumberFormat="1" applyBorder="1"/>
    <xf numFmtId="44" fontId="0" fillId="0" borderId="25" xfId="0" applyNumberFormat="1" applyBorder="1"/>
    <xf numFmtId="0" fontId="0" fillId="0" borderId="17" xfId="0" applyBorder="1"/>
    <xf numFmtId="0" fontId="2" fillId="0" borderId="20" xfId="0" applyFont="1" applyBorder="1"/>
    <xf numFmtId="44" fontId="4" fillId="12" borderId="22" xfId="0" applyNumberFormat="1" applyFont="1" applyFill="1" applyBorder="1"/>
    <xf numFmtId="44" fontId="0" fillId="0" borderId="24" xfId="1" applyFont="1" applyBorder="1" applyAlignment="1">
      <alignment horizontal="center"/>
    </xf>
    <xf numFmtId="44" fontId="2" fillId="5" borderId="26" xfId="1" applyFont="1" applyFill="1" applyBorder="1" applyAlignment="1"/>
    <xf numFmtId="44" fontId="4" fillId="12" borderId="25" xfId="0" applyNumberFormat="1" applyFont="1" applyFill="1" applyBorder="1"/>
    <xf numFmtId="44" fontId="4" fillId="12" borderId="24" xfId="0" applyNumberFormat="1" applyFont="1" applyFill="1" applyBorder="1"/>
    <xf numFmtId="0" fontId="11" fillId="0" borderId="1" xfId="0" applyFont="1" applyBorder="1" applyAlignment="1">
      <alignment horizontal="center"/>
    </xf>
    <xf numFmtId="0" fontId="0" fillId="0" borderId="11" xfId="0" applyBorder="1"/>
    <xf numFmtId="0" fontId="8" fillId="0" borderId="11" xfId="0" applyFont="1" applyBorder="1" applyAlignment="1">
      <alignment horizontal="center" vertical="center" wrapText="1"/>
    </xf>
    <xf numFmtId="44" fontId="4" fillId="12" borderId="19" xfId="0" applyNumberFormat="1" applyFont="1" applyFill="1" applyBorder="1"/>
    <xf numFmtId="44" fontId="0" fillId="0" borderId="19" xfId="0" applyNumberFormat="1" applyBorder="1"/>
    <xf numFmtId="44" fontId="0" fillId="0" borderId="19" xfId="1" applyFont="1" applyBorder="1"/>
    <xf numFmtId="44" fontId="0" fillId="0" borderId="20" xfId="1" applyFont="1" applyBorder="1"/>
    <xf numFmtId="44" fontId="0" fillId="0" borderId="0" xfId="1" applyFont="1" applyBorder="1"/>
    <xf numFmtId="44" fontId="0" fillId="0" borderId="22" xfId="1" applyFont="1" applyBorder="1"/>
    <xf numFmtId="44" fontId="2" fillId="5" borderId="27" xfId="1" applyFont="1" applyFill="1" applyBorder="1" applyAlignment="1"/>
    <xf numFmtId="44" fontId="0" fillId="0" borderId="24" xfId="1" applyFont="1" applyBorder="1"/>
    <xf numFmtId="44" fontId="0" fillId="0" borderId="25" xfId="1" applyFont="1" applyBorder="1"/>
    <xf numFmtId="2" fontId="2" fillId="0" borderId="1" xfId="0" applyNumberFormat="1" applyFont="1" applyBorder="1"/>
    <xf numFmtId="164" fontId="0" fillId="0" borderId="0" xfId="0" applyNumberFormat="1"/>
    <xf numFmtId="44" fontId="4" fillId="2" borderId="0" xfId="1" applyFont="1" applyFill="1"/>
    <xf numFmtId="167" fontId="0" fillId="8" borderId="0" xfId="0" applyNumberFormat="1" applyFill="1"/>
    <xf numFmtId="1" fontId="2" fillId="8" borderId="28" xfId="0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44" fontId="2" fillId="0" borderId="0" xfId="1" applyFont="1"/>
    <xf numFmtId="165" fontId="0" fillId="8" borderId="1" xfId="0" applyNumberFormat="1" applyFill="1" applyBorder="1"/>
    <xf numFmtId="1" fontId="0" fillId="8" borderId="1" xfId="0" applyNumberFormat="1" applyFill="1" applyBorder="1"/>
    <xf numFmtId="44" fontId="2" fillId="0" borderId="0" xfId="0" applyNumberFormat="1" applyFont="1"/>
    <xf numFmtId="164" fontId="2" fillId="0" borderId="0" xfId="0" applyNumberFormat="1" applyFont="1"/>
    <xf numFmtId="0" fontId="11" fillId="0" borderId="29" xfId="0" applyFont="1" applyBorder="1"/>
    <xf numFmtId="44" fontId="11" fillId="0" borderId="30" xfId="0" applyNumberFormat="1" applyFont="1" applyBorder="1" applyAlignment="1">
      <alignment horizontal="right"/>
    </xf>
    <xf numFmtId="0" fontId="11" fillId="0" borderId="30" xfId="0" applyFont="1" applyBorder="1" applyAlignment="1">
      <alignment horizontal="right"/>
    </xf>
    <xf numFmtId="0" fontId="2" fillId="0" borderId="30" xfId="0" applyFont="1" applyBorder="1" applyAlignment="1">
      <alignment horizontal="right"/>
    </xf>
    <xf numFmtId="44" fontId="2" fillId="0" borderId="31" xfId="0" applyNumberFormat="1" applyFont="1" applyBorder="1"/>
    <xf numFmtId="44" fontId="2" fillId="0" borderId="0" xfId="1" applyFont="1" applyAlignment="1">
      <alignment horizontal="center"/>
    </xf>
    <xf numFmtId="0" fontId="11" fillId="0" borderId="10" xfId="0" applyFont="1" applyBorder="1" applyAlignment="1">
      <alignment horizontal="center"/>
    </xf>
    <xf numFmtId="9" fontId="11" fillId="0" borderId="13" xfId="2" applyFont="1" applyBorder="1" applyAlignment="1">
      <alignment horizontal="center"/>
    </xf>
    <xf numFmtId="9" fontId="11" fillId="0" borderId="14" xfId="2" applyFont="1" applyBorder="1" applyAlignment="1">
      <alignment horizontal="center"/>
    </xf>
    <xf numFmtId="9" fontId="11" fillId="0" borderId="15" xfId="2" applyFont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" fillId="0" borderId="15" xfId="0" applyFont="1" applyBorder="1"/>
    <xf numFmtId="0" fontId="0" fillId="8" borderId="15" xfId="0" applyFill="1" applyBorder="1"/>
    <xf numFmtId="0" fontId="0" fillId="7" borderId="15" xfId="0" applyFill="1" applyBorder="1"/>
    <xf numFmtId="0" fontId="0" fillId="5" borderId="15" xfId="0" applyFill="1" applyBorder="1"/>
    <xf numFmtId="0" fontId="2" fillId="0" borderId="32" xfId="0" applyFont="1" applyBorder="1" applyAlignment="1">
      <alignment horizontal="center" vertical="center"/>
    </xf>
    <xf numFmtId="9" fontId="0" fillId="9" borderId="18" xfId="2" applyFont="1" applyFill="1" applyBorder="1" applyAlignment="1">
      <alignment horizontal="center"/>
    </xf>
    <xf numFmtId="9" fontId="0" fillId="10" borderId="18" xfId="2" applyFont="1" applyFill="1" applyBorder="1" applyAlignment="1">
      <alignment horizontal="center"/>
    </xf>
    <xf numFmtId="9" fontId="0" fillId="11" borderId="18" xfId="2" applyFont="1" applyFill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44" fontId="0" fillId="0" borderId="22" xfId="1" applyFont="1" applyBorder="1" applyAlignment="1">
      <alignment horizontal="center"/>
    </xf>
    <xf numFmtId="0" fontId="0" fillId="0" borderId="0" xfId="0" applyBorder="1"/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4" fontId="2" fillId="2" borderId="25" xfId="1" applyFont="1" applyFill="1" applyBorder="1" applyAlignment="1">
      <alignment horizontal="center"/>
    </xf>
    <xf numFmtId="0" fontId="0" fillId="0" borderId="18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  <color rgb="FFFFCC99"/>
      <color rgb="FF99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selon la MaxMoy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sous incertitude'!$E$24</c:f>
              <c:strCache>
                <c:ptCount val="1"/>
                <c:pt idx="0">
                  <c:v>Mauvais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incertitude'!$D$25:$D$27</c:f>
              <c:strCache>
                <c:ptCount val="3"/>
                <c:pt idx="0">
                  <c:v>Pessimiste</c:v>
                </c:pt>
                <c:pt idx="1">
                  <c:v>Equilibre</c:v>
                </c:pt>
                <c:pt idx="2">
                  <c:v>Optimiste</c:v>
                </c:pt>
              </c:strCache>
            </c:strRef>
          </c:cat>
          <c:val>
            <c:numRef>
              <c:f>'Decision sous incertitude'!$E$25:$E$27</c:f>
              <c:numCache>
                <c:formatCode>_("$"* #,##0.00_);_("$"* \(#,##0.00\);_("$"* "-"??_);_(@_)</c:formatCode>
                <c:ptCount val="3"/>
                <c:pt idx="0">
                  <c:v>59949.999999999993</c:v>
                </c:pt>
                <c:pt idx="1">
                  <c:v>55120.000000000007</c:v>
                </c:pt>
                <c:pt idx="2">
                  <c:v>47700.000000000007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A-4601-89B9-CEFA4629A6D6}"/>
            </c:ext>
          </c:extLst>
        </c:ser>
        <c:ser>
          <c:idx val="1"/>
          <c:order val="1"/>
          <c:tx>
            <c:strRef>
              <c:f>'Decision sous incertitude'!$F$24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incertitude'!$D$25:$D$27</c:f>
              <c:strCache>
                <c:ptCount val="3"/>
                <c:pt idx="0">
                  <c:v>Pessimiste</c:v>
                </c:pt>
                <c:pt idx="1">
                  <c:v>Equilibre</c:v>
                </c:pt>
                <c:pt idx="2">
                  <c:v>Optimiste</c:v>
                </c:pt>
              </c:strCache>
            </c:strRef>
          </c:cat>
          <c:val>
            <c:numRef>
              <c:f>'Decision sous incertitude'!$F$25:$F$27</c:f>
              <c:numCache>
                <c:formatCode>_("$"* #,##0.00_);_("$"* \(#,##0.00\);_("$"* "-"??_);_(@_)</c:formatCode>
                <c:ptCount val="3"/>
                <c:pt idx="0">
                  <c:v>86600</c:v>
                </c:pt>
                <c:pt idx="1">
                  <c:v>118600</c:v>
                </c:pt>
                <c:pt idx="2">
                  <c:v>107683.33333333331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A-4601-89B9-CEFA4629A6D6}"/>
            </c:ext>
          </c:extLst>
        </c:ser>
        <c:ser>
          <c:idx val="2"/>
          <c:order val="2"/>
          <c:tx>
            <c:strRef>
              <c:f>'Decision sous incertitude'!$G$24</c:f>
              <c:strCache>
                <c:ptCount val="1"/>
                <c:pt idx="0">
                  <c:v>Bonne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incertitude'!$D$25:$D$27</c:f>
              <c:strCache>
                <c:ptCount val="3"/>
                <c:pt idx="0">
                  <c:v>Pessimiste</c:v>
                </c:pt>
                <c:pt idx="1">
                  <c:v>Equilibre</c:v>
                </c:pt>
                <c:pt idx="2">
                  <c:v>Optimiste</c:v>
                </c:pt>
              </c:strCache>
            </c:strRef>
          </c:cat>
          <c:val>
            <c:numRef>
              <c:f>'Decision sous incertitude'!$G$25:$G$27</c:f>
              <c:numCache>
                <c:formatCode>_("$"* #,##0.00_);_("$"* \(#,##0.00\);_("$"* "-"??_);_(@_)</c:formatCode>
                <c:ptCount val="3"/>
                <c:pt idx="0">
                  <c:v>113249.99999999999</c:v>
                </c:pt>
                <c:pt idx="1">
                  <c:v>148000</c:v>
                </c:pt>
                <c:pt idx="2">
                  <c:v>167666.66666666669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A-4601-89B9-CEFA4629A6D6}"/>
            </c:ext>
          </c:extLst>
        </c:ser>
        <c:ser>
          <c:idx val="3"/>
          <c:order val="3"/>
          <c:tx>
            <c:strRef>
              <c:f>'Decision sous incertitude'!$H$23</c:f>
              <c:strCache>
                <c:ptCount val="1"/>
                <c:pt idx="0">
                  <c:v>Laplace Baye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2240283399194798E-2"/>
                  <c:y val="-4.11101278323285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7A-4601-89B9-CEFA4629A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'Decision sous incertitude'!$H$25:$H$27</c:f>
              <c:numCache>
                <c:formatCode>_("$"* #,##0.00_);_("$"* \(#,##0.00\);_("$"* "-"??_);_(@_)</c:formatCode>
                <c:ptCount val="3"/>
                <c:pt idx="0">
                  <c:v>86600</c:v>
                </c:pt>
                <c:pt idx="1">
                  <c:v>107240</c:v>
                </c:pt>
                <c:pt idx="2">
                  <c:v>107683.33333333333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7A-4601-89B9-CEFA4629A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7444383"/>
        <c:axId val="1117443903"/>
      </c:barChart>
      <c:catAx>
        <c:axId val="111744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43903"/>
        <c:crosses val="autoZero"/>
        <c:auto val="1"/>
        <c:lblAlgn val="ctr"/>
        <c:lblOffset val="100"/>
        <c:noMultiLvlLbl val="0"/>
      </c:catAx>
      <c:valAx>
        <c:axId val="11174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44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sous incertitude'!$E$33</c:f>
              <c:strCache>
                <c:ptCount val="1"/>
                <c:pt idx="0">
                  <c:v>Mauvais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incertitude'!$D$34:$D$36</c:f>
              <c:strCache>
                <c:ptCount val="3"/>
                <c:pt idx="0">
                  <c:v>Pessimiste</c:v>
                </c:pt>
                <c:pt idx="1">
                  <c:v>Equilibre</c:v>
                </c:pt>
                <c:pt idx="2">
                  <c:v>Optimiste</c:v>
                </c:pt>
              </c:strCache>
            </c:strRef>
          </c:cat>
          <c:val>
            <c:numRef>
              <c:f>'Decision sous incertitude'!$E$34:$E$36</c:f>
              <c:numCache>
                <c:formatCode>_("$"* #,##0.00_);_("$"* \(#,##0.00\);_("$"* "-"??_);_(@_)</c:formatCode>
                <c:ptCount val="3"/>
                <c:pt idx="0">
                  <c:v>59949.999999999993</c:v>
                </c:pt>
                <c:pt idx="1">
                  <c:v>55120.000000000007</c:v>
                </c:pt>
                <c:pt idx="2">
                  <c:v>47700.000000000007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D-426D-8E1F-E05764A80808}"/>
            </c:ext>
          </c:extLst>
        </c:ser>
        <c:ser>
          <c:idx val="1"/>
          <c:order val="1"/>
          <c:tx>
            <c:strRef>
              <c:f>'Decision sous incertitude'!$F$33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incertitude'!$D$34:$D$36</c:f>
              <c:strCache>
                <c:ptCount val="3"/>
                <c:pt idx="0">
                  <c:v>Pessimiste</c:v>
                </c:pt>
                <c:pt idx="1">
                  <c:v>Equilibre</c:v>
                </c:pt>
                <c:pt idx="2">
                  <c:v>Optimiste</c:v>
                </c:pt>
              </c:strCache>
            </c:strRef>
          </c:cat>
          <c:val>
            <c:numRef>
              <c:f>'Decision sous incertitude'!$F$34:$F$36</c:f>
              <c:numCache>
                <c:formatCode>_("$"* #,##0.00_);_("$"* \(#,##0.00\);_("$"* "-"??_);_(@_)</c:formatCode>
                <c:ptCount val="3"/>
                <c:pt idx="0">
                  <c:v>86600</c:v>
                </c:pt>
                <c:pt idx="1">
                  <c:v>118600</c:v>
                </c:pt>
                <c:pt idx="2">
                  <c:v>107683.33333333331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D-426D-8E1F-E05764A80808}"/>
            </c:ext>
          </c:extLst>
        </c:ser>
        <c:ser>
          <c:idx val="2"/>
          <c:order val="2"/>
          <c:tx>
            <c:strRef>
              <c:f>'Decision sous incertitude'!$G$33</c:f>
              <c:strCache>
                <c:ptCount val="1"/>
                <c:pt idx="0">
                  <c:v>Bonne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incertitude'!$D$34:$D$36</c:f>
              <c:strCache>
                <c:ptCount val="3"/>
                <c:pt idx="0">
                  <c:v>Pessimiste</c:v>
                </c:pt>
                <c:pt idx="1">
                  <c:v>Equilibre</c:v>
                </c:pt>
                <c:pt idx="2">
                  <c:v>Optimiste</c:v>
                </c:pt>
              </c:strCache>
            </c:strRef>
          </c:cat>
          <c:val>
            <c:numRef>
              <c:f>'Decision sous incertitude'!$G$34:$G$36</c:f>
              <c:numCache>
                <c:formatCode>_("$"* #,##0.00_);_("$"* \(#,##0.00\);_("$"* "-"??_);_(@_)</c:formatCode>
                <c:ptCount val="3"/>
                <c:pt idx="0">
                  <c:v>113249.99999999999</c:v>
                </c:pt>
                <c:pt idx="1">
                  <c:v>148000</c:v>
                </c:pt>
                <c:pt idx="2">
                  <c:v>167666.66666666669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D-426D-8E1F-E05764A808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495711"/>
        <c:axId val="1145496191"/>
      </c:barChart>
      <c:lineChart>
        <c:grouping val="standard"/>
        <c:varyColors val="0"/>
        <c:ser>
          <c:idx val="3"/>
          <c:order val="3"/>
          <c:tx>
            <c:strRef>
              <c:f>'Decision sous incertitude'!$H$33</c:f>
              <c:strCache>
                <c:ptCount val="1"/>
                <c:pt idx="0">
                  <c:v>MAXIMAX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incertitude'!$D$34:$D$36</c:f>
              <c:strCache>
                <c:ptCount val="3"/>
                <c:pt idx="0">
                  <c:v>Pessimiste</c:v>
                </c:pt>
                <c:pt idx="1">
                  <c:v>Equilibre</c:v>
                </c:pt>
                <c:pt idx="2">
                  <c:v>Optimiste</c:v>
                </c:pt>
              </c:strCache>
            </c:strRef>
          </c:cat>
          <c:val>
            <c:numRef>
              <c:f>'Decision sous incertitude'!$H$34:$H$36</c:f>
              <c:numCache>
                <c:formatCode>_("$"* #,##0.00_);_("$"* \(#,##0.00\);_("$"* "-"??_);_(@_)</c:formatCode>
                <c:ptCount val="3"/>
                <c:pt idx="0">
                  <c:v>113249.99999999999</c:v>
                </c:pt>
                <c:pt idx="1">
                  <c:v>148000</c:v>
                </c:pt>
                <c:pt idx="2">
                  <c:v>167666.66666666669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D-426D-8E1F-E05764A808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5495711"/>
        <c:axId val="1145496191"/>
      </c:lineChart>
      <c:catAx>
        <c:axId val="114549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96191"/>
        <c:crosses val="autoZero"/>
        <c:auto val="1"/>
        <c:lblAlgn val="ctr"/>
        <c:lblOffset val="100"/>
        <c:noMultiLvlLbl val="0"/>
      </c:catAx>
      <c:valAx>
        <c:axId val="11454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95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sous incertitude'!$E$39</c:f>
              <c:strCache>
                <c:ptCount val="1"/>
                <c:pt idx="0">
                  <c:v>Mauvais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incertitude'!$D$40:$D$42</c:f>
              <c:strCache>
                <c:ptCount val="3"/>
                <c:pt idx="0">
                  <c:v>Pessimiste</c:v>
                </c:pt>
                <c:pt idx="1">
                  <c:v>Equilibre</c:v>
                </c:pt>
                <c:pt idx="2">
                  <c:v>Optimiste</c:v>
                </c:pt>
              </c:strCache>
            </c:strRef>
          </c:cat>
          <c:val>
            <c:numRef>
              <c:f>'Decision sous incertitude'!$E$40:$E$42</c:f>
              <c:numCache>
                <c:formatCode>_("$"* #,##0.00_);_("$"* \(#,##0.00\);_("$"* "-"??_);_(@_)</c:formatCode>
                <c:ptCount val="3"/>
                <c:pt idx="0">
                  <c:v>59949.999999999993</c:v>
                </c:pt>
                <c:pt idx="1">
                  <c:v>55120.000000000007</c:v>
                </c:pt>
                <c:pt idx="2">
                  <c:v>47700.000000000007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2-4F2A-8DEA-5E6A4524D462}"/>
            </c:ext>
          </c:extLst>
        </c:ser>
        <c:ser>
          <c:idx val="1"/>
          <c:order val="1"/>
          <c:tx>
            <c:strRef>
              <c:f>'Decision sous incertitude'!$F$39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incertitude'!$D$40:$D$42</c:f>
              <c:strCache>
                <c:ptCount val="3"/>
                <c:pt idx="0">
                  <c:v>Pessimiste</c:v>
                </c:pt>
                <c:pt idx="1">
                  <c:v>Equilibre</c:v>
                </c:pt>
                <c:pt idx="2">
                  <c:v>Optimiste</c:v>
                </c:pt>
              </c:strCache>
            </c:strRef>
          </c:cat>
          <c:val>
            <c:numRef>
              <c:f>'Decision sous incertitude'!$F$40:$F$42</c:f>
              <c:numCache>
                <c:formatCode>_("$"* #,##0.00_);_("$"* \(#,##0.00\);_("$"* "-"??_);_(@_)</c:formatCode>
                <c:ptCount val="3"/>
                <c:pt idx="0">
                  <c:v>86600</c:v>
                </c:pt>
                <c:pt idx="1">
                  <c:v>118600</c:v>
                </c:pt>
                <c:pt idx="2">
                  <c:v>107683.33333333331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2-4F2A-8DEA-5E6A4524D462}"/>
            </c:ext>
          </c:extLst>
        </c:ser>
        <c:ser>
          <c:idx val="2"/>
          <c:order val="2"/>
          <c:tx>
            <c:strRef>
              <c:f>'Decision sous incertitude'!$G$39</c:f>
              <c:strCache>
                <c:ptCount val="1"/>
                <c:pt idx="0">
                  <c:v>Bonne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incertitude'!$D$40:$D$42</c:f>
              <c:strCache>
                <c:ptCount val="3"/>
                <c:pt idx="0">
                  <c:v>Pessimiste</c:v>
                </c:pt>
                <c:pt idx="1">
                  <c:v>Equilibre</c:v>
                </c:pt>
                <c:pt idx="2">
                  <c:v>Optimiste</c:v>
                </c:pt>
              </c:strCache>
            </c:strRef>
          </c:cat>
          <c:val>
            <c:numRef>
              <c:f>'Decision sous incertitude'!$G$40:$G$42</c:f>
              <c:numCache>
                <c:formatCode>_("$"* #,##0.00_);_("$"* \(#,##0.00\);_("$"* "-"??_);_(@_)</c:formatCode>
                <c:ptCount val="3"/>
                <c:pt idx="0">
                  <c:v>113249.99999999999</c:v>
                </c:pt>
                <c:pt idx="1">
                  <c:v>148000</c:v>
                </c:pt>
                <c:pt idx="2">
                  <c:v>167666.66666666669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2-4F2A-8DEA-5E6A4524D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3653231"/>
        <c:axId val="1123652271"/>
      </c:barChart>
      <c:lineChart>
        <c:grouping val="standard"/>
        <c:varyColors val="0"/>
        <c:ser>
          <c:idx val="3"/>
          <c:order val="3"/>
          <c:tx>
            <c:strRef>
              <c:f>'Decision sous incertitude'!$H$39</c:f>
              <c:strCache>
                <c:ptCount val="1"/>
                <c:pt idx="0">
                  <c:v>MAXIMIN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incertitude'!$D$40:$D$42</c:f>
              <c:strCache>
                <c:ptCount val="3"/>
                <c:pt idx="0">
                  <c:v>Pessimiste</c:v>
                </c:pt>
                <c:pt idx="1">
                  <c:v>Equilibre</c:v>
                </c:pt>
                <c:pt idx="2">
                  <c:v>Optimiste</c:v>
                </c:pt>
              </c:strCache>
            </c:strRef>
          </c:cat>
          <c:val>
            <c:numRef>
              <c:f>'Decision sous incertitude'!$H$40:$H$42</c:f>
              <c:numCache>
                <c:formatCode>_("$"* #,##0.00_);_("$"* \(#,##0.00\);_("$"* "-"??_);_(@_)</c:formatCode>
                <c:ptCount val="3"/>
                <c:pt idx="0">
                  <c:v>59949.999999999993</c:v>
                </c:pt>
                <c:pt idx="1">
                  <c:v>55120.000000000007</c:v>
                </c:pt>
                <c:pt idx="2">
                  <c:v>47700.000000000007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2-4F2A-8DEA-5E6A4524D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3653231"/>
        <c:axId val="1123652271"/>
      </c:lineChart>
      <c:catAx>
        <c:axId val="11236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52271"/>
        <c:crosses val="autoZero"/>
        <c:auto val="1"/>
        <c:lblAlgn val="ctr"/>
        <c:lblOffset val="100"/>
        <c:noMultiLvlLbl val="0"/>
      </c:catAx>
      <c:valAx>
        <c:axId val="11236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53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Minimax Regret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'Decision sous incertitude'!$D$51</c:f>
              <c:strCache>
                <c:ptCount val="1"/>
                <c:pt idx="0">
                  <c:v>Pessimiste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incertitude'!$E$50:$H$50</c:f>
              <c:strCache>
                <c:ptCount val="4"/>
                <c:pt idx="0">
                  <c:v>Mauvais</c:v>
                </c:pt>
                <c:pt idx="1">
                  <c:v>Moyenne</c:v>
                </c:pt>
                <c:pt idx="2">
                  <c:v>Bonne</c:v>
                </c:pt>
                <c:pt idx="3">
                  <c:v>Minimax Regret</c:v>
                </c:pt>
              </c:strCache>
            </c:strRef>
          </c:cat>
          <c:val>
            <c:numRef>
              <c:f>'Decision sous incertitude'!$E$51:$H$51</c:f>
              <c:numCache>
                <c:formatCode>_("$"* #,##0.00_);_("$"* \(#,##0.00\);_("$"* "-"??_);_(@_)</c:formatCode>
                <c:ptCount val="4"/>
                <c:pt idx="0">
                  <c:v>0</c:v>
                </c:pt>
                <c:pt idx="1">
                  <c:v>32000</c:v>
                </c:pt>
                <c:pt idx="2">
                  <c:v>54416.666666666701</c:v>
                </c:pt>
                <c:pt idx="3">
                  <c:v>54416.666666666701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CAA-8692-88C2CAF7BD77}"/>
            </c:ext>
          </c:extLst>
        </c:ser>
        <c:ser>
          <c:idx val="1"/>
          <c:order val="1"/>
          <c:tx>
            <c:strRef>
              <c:f>'Decision sous incertitude'!$D$52</c:f>
              <c:strCache>
                <c:ptCount val="1"/>
                <c:pt idx="0">
                  <c:v>Equilibre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incertitude'!$E$50:$H$50</c:f>
              <c:strCache>
                <c:ptCount val="4"/>
                <c:pt idx="0">
                  <c:v>Mauvais</c:v>
                </c:pt>
                <c:pt idx="1">
                  <c:v>Moyenne</c:v>
                </c:pt>
                <c:pt idx="2">
                  <c:v>Bonne</c:v>
                </c:pt>
                <c:pt idx="3">
                  <c:v>Minimax Regret</c:v>
                </c:pt>
              </c:strCache>
            </c:strRef>
          </c:cat>
          <c:val>
            <c:numRef>
              <c:f>'Decision sous incertitude'!$E$52:$H$52</c:f>
              <c:numCache>
                <c:formatCode>_("$"* #,##0.00_);_("$"* \(#,##0.00\);_("$"* "-"??_);_(@_)</c:formatCode>
                <c:ptCount val="4"/>
                <c:pt idx="0">
                  <c:v>4829.9999999999854</c:v>
                </c:pt>
                <c:pt idx="1">
                  <c:v>0</c:v>
                </c:pt>
                <c:pt idx="2">
                  <c:v>19666.666666666686</c:v>
                </c:pt>
                <c:pt idx="3">
                  <c:v>19666.666666666686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0-4CAA-8692-88C2CAF7BD77}"/>
            </c:ext>
          </c:extLst>
        </c:ser>
        <c:ser>
          <c:idx val="2"/>
          <c:order val="2"/>
          <c:tx>
            <c:strRef>
              <c:f>'Decision sous incertitude'!$D$53</c:f>
              <c:strCache>
                <c:ptCount val="1"/>
                <c:pt idx="0">
                  <c:v>Optimiste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'Decision sous incertitude'!$E$50:$H$50</c:f>
              <c:strCache>
                <c:ptCount val="4"/>
                <c:pt idx="0">
                  <c:v>Mauvais</c:v>
                </c:pt>
                <c:pt idx="1">
                  <c:v>Moyenne</c:v>
                </c:pt>
                <c:pt idx="2">
                  <c:v>Bonne</c:v>
                </c:pt>
                <c:pt idx="3">
                  <c:v>Minimax Regret</c:v>
                </c:pt>
              </c:strCache>
            </c:strRef>
          </c:cat>
          <c:val>
            <c:numRef>
              <c:f>'Decision sous incertitude'!$E$53:$H$53</c:f>
              <c:numCache>
                <c:formatCode>_("$"* #,##0.00_);_("$"* \(#,##0.00\);_("$"* "-"??_);_(@_)</c:formatCode>
                <c:ptCount val="4"/>
                <c:pt idx="0">
                  <c:v>12249.999999999985</c:v>
                </c:pt>
                <c:pt idx="1">
                  <c:v>10916.666666666686</c:v>
                </c:pt>
                <c:pt idx="2">
                  <c:v>0</c:v>
                </c:pt>
                <c:pt idx="3">
                  <c:v>12249.999999999985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0-4CAA-8692-88C2CAF7BD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915231"/>
        <c:axId val="1144912351"/>
      </c:barChart>
      <c:catAx>
        <c:axId val="114491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12351"/>
        <c:crosses val="autoZero"/>
        <c:auto val="1"/>
        <c:lblAlgn val="ctr"/>
        <c:lblOffset val="100"/>
        <c:noMultiLvlLbl val="0"/>
      </c:catAx>
      <c:valAx>
        <c:axId val="11449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15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225592</xdr:colOff>
      <xdr:row>5</xdr:row>
      <xdr:rowOff>100264</xdr:rowOff>
    </xdr:from>
    <xdr:to>
      <xdr:col>10</xdr:col>
      <xdr:colOff>95249</xdr:colOff>
      <xdr:row>5</xdr:row>
      <xdr:rowOff>110290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54D9BFC-75CE-4746-BAEA-1623187CC2FB}"/>
            </a:ext>
          </a:extLst>
        </xdr:cNvPr>
        <xdr:cNvCxnSpPr/>
      </xdr:nvCxnSpPr>
      <xdr:spPr>
        <a:xfrm flipH="1">
          <a:off x="5759617" y="1005139"/>
          <a:ext cx="1193632" cy="100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285748</xdr:colOff>
      <xdr:row>3</xdr:row>
      <xdr:rowOff>75197</xdr:rowOff>
    </xdr:from>
    <xdr:to>
      <xdr:col>12</xdr:col>
      <xdr:colOff>581526</xdr:colOff>
      <xdr:row>5</xdr:row>
      <xdr:rowOff>165435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5225E5-BD8E-4A91-BF8A-9D5E8E7D9D0A}"/>
            </a:ext>
          </a:extLst>
        </xdr:cNvPr>
        <xdr:cNvSpPr txBox="1"/>
      </xdr:nvSpPr>
      <xdr:spPr>
        <a:xfrm>
          <a:off x="7143748" y="618122"/>
          <a:ext cx="1876928" cy="452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i="1"/>
            <a:t>Fun : Controler l'achat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225592</xdr:colOff>
      <xdr:row>5</xdr:row>
      <xdr:rowOff>100264</xdr:rowOff>
    </xdr:from>
    <xdr:to>
      <xdr:col>10</xdr:col>
      <xdr:colOff>95249</xdr:colOff>
      <xdr:row>5</xdr:row>
      <xdr:rowOff>110290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B6531F3-574E-45F5-9917-0AC7AC0B4FC7}"/>
            </a:ext>
          </a:extLst>
        </xdr:cNvPr>
        <xdr:cNvCxnSpPr/>
      </xdr:nvCxnSpPr>
      <xdr:spPr>
        <a:xfrm flipH="1">
          <a:off x="5759617" y="1005139"/>
          <a:ext cx="1193632" cy="100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285748</xdr:colOff>
      <xdr:row>3</xdr:row>
      <xdr:rowOff>75197</xdr:rowOff>
    </xdr:from>
    <xdr:to>
      <xdr:col>12</xdr:col>
      <xdr:colOff>581526</xdr:colOff>
      <xdr:row>5</xdr:row>
      <xdr:rowOff>165435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6DF133-BF15-4E44-8307-CB8DA18EA6AF}"/>
            </a:ext>
          </a:extLst>
        </xdr:cNvPr>
        <xdr:cNvSpPr txBox="1"/>
      </xdr:nvSpPr>
      <xdr:spPr>
        <a:xfrm>
          <a:off x="7143748" y="618122"/>
          <a:ext cx="1876928" cy="452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i="1"/>
            <a:t>Fun : Controler l'achat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63657</xdr:colOff>
      <xdr:row>0</xdr:row>
      <xdr:rowOff>33934</xdr:rowOff>
    </xdr:from>
    <xdr:to>
      <xdr:col>3</xdr:col>
      <xdr:colOff>25449</xdr:colOff>
      <xdr:row>2</xdr:row>
      <xdr:rowOff>99090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2276A45-9636-4194-CA76-3F798DF5DB6D}"/>
            </a:ext>
          </a:extLst>
        </xdr:cNvPr>
        <xdr:cNvSpPr/>
      </xdr:nvSpPr>
      <xdr:spPr>
        <a:xfrm>
          <a:off x="1367078" y="33934"/>
          <a:ext cx="613503" cy="43278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115957</xdr:colOff>
      <xdr:row>15</xdr:row>
      <xdr:rowOff>150675</xdr:rowOff>
    </xdr:from>
    <xdr:to>
      <xdr:col>8</xdr:col>
      <xdr:colOff>540923</xdr:colOff>
      <xdr:row>18</xdr:row>
      <xdr:rowOff>37894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370B1FD-501C-4509-9F20-B9F86186E9D5}"/>
            </a:ext>
          </a:extLst>
        </xdr:cNvPr>
        <xdr:cNvSpPr/>
      </xdr:nvSpPr>
      <xdr:spPr>
        <a:xfrm>
          <a:off x="6633062" y="2907912"/>
          <a:ext cx="424966" cy="438666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11</xdr:col>
      <xdr:colOff>240886</xdr:colOff>
      <xdr:row>22</xdr:row>
      <xdr:rowOff>175244</xdr:rowOff>
    </xdr:from>
    <xdr:to>
      <xdr:col>12</xdr:col>
      <xdr:colOff>17049</xdr:colOff>
      <xdr:row>25</xdr:row>
      <xdr:rowOff>60945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F8E61AB-9D29-4849-869E-18B777CF7A78}"/>
            </a:ext>
          </a:extLst>
        </xdr:cNvPr>
        <xdr:cNvSpPr/>
      </xdr:nvSpPr>
      <xdr:spPr>
        <a:xfrm>
          <a:off x="8130072" y="4482201"/>
          <a:ext cx="424967" cy="42407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</xdr:col>
      <xdr:colOff>46538</xdr:colOff>
      <xdr:row>3</xdr:row>
      <xdr:rowOff>150395</xdr:rowOff>
    </xdr:from>
    <xdr:to>
      <xdr:col>1</xdr:col>
      <xdr:colOff>641098</xdr:colOff>
      <xdr:row>17</xdr:row>
      <xdr:rowOff>71354</xdr:rowOff>
    </xdr:to>
    <xdr:sp macro="" textlink="">
      <xdr:nvSpPr>
        <xdr:cNvPr id="7" name="Arrow: Curved Right 6">
          <a:extLst>
            <a:ext uri="{FF2B5EF4-FFF2-40B4-BE49-F238E27FC236}">
              <a16:creationId xmlns:a16="http://schemas.microsoft.com/office/drawing/2014/main" id="{9B16786E-C2D2-F4A2-F114-6831B0A7FDD7}"/>
            </a:ext>
          </a:extLst>
        </xdr:cNvPr>
        <xdr:cNvSpPr/>
      </xdr:nvSpPr>
      <xdr:spPr>
        <a:xfrm>
          <a:off x="698249" y="701842"/>
          <a:ext cx="594560" cy="2494380"/>
        </a:xfrm>
        <a:prstGeom prst="curved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915484</xdr:colOff>
      <xdr:row>3</xdr:row>
      <xdr:rowOff>163094</xdr:rowOff>
    </xdr:from>
    <xdr:to>
      <xdr:col>13</xdr:col>
      <xdr:colOff>25649</xdr:colOff>
      <xdr:row>24</xdr:row>
      <xdr:rowOff>115469</xdr:rowOff>
    </xdr:to>
    <xdr:sp macro="" textlink="">
      <xdr:nvSpPr>
        <xdr:cNvPr id="8" name="Arrow: Curved Left 7">
          <a:extLst>
            <a:ext uri="{FF2B5EF4-FFF2-40B4-BE49-F238E27FC236}">
              <a16:creationId xmlns:a16="http://schemas.microsoft.com/office/drawing/2014/main" id="{72AE9B7E-BC08-4443-8D44-0731B85E2CE4}"/>
            </a:ext>
          </a:extLst>
        </xdr:cNvPr>
        <xdr:cNvSpPr/>
      </xdr:nvSpPr>
      <xdr:spPr>
        <a:xfrm rot="20823519">
          <a:off x="8343314" y="714541"/>
          <a:ext cx="2744703" cy="3812507"/>
        </a:xfrm>
        <a:prstGeom prst="curvedLeftArrow">
          <a:avLst>
            <a:gd name="adj1" fmla="val 16662"/>
            <a:gd name="adj2" fmla="val 50000"/>
            <a:gd name="adj3" fmla="val 25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608460</xdr:colOff>
      <xdr:row>31</xdr:row>
      <xdr:rowOff>45734</xdr:rowOff>
    </xdr:from>
    <xdr:to>
      <xdr:col>1</xdr:col>
      <xdr:colOff>383994</xdr:colOff>
      <xdr:row>33</xdr:row>
      <xdr:rowOff>114405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F2ABF0A-5186-4EAE-B389-BCA94ECE7C8F}"/>
            </a:ext>
          </a:extLst>
        </xdr:cNvPr>
        <xdr:cNvSpPr/>
      </xdr:nvSpPr>
      <xdr:spPr>
        <a:xfrm>
          <a:off x="608460" y="5682803"/>
          <a:ext cx="424967" cy="432353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13</xdr:col>
      <xdr:colOff>216401</xdr:colOff>
      <xdr:row>13</xdr:row>
      <xdr:rowOff>119815</xdr:rowOff>
    </xdr:from>
    <xdr:to>
      <xdr:col>20</xdr:col>
      <xdr:colOff>643355</xdr:colOff>
      <xdr:row>35</xdr:row>
      <xdr:rowOff>91909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4FEFF-040B-A019-0C8A-91D6A3146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609936</xdr:colOff>
      <xdr:row>14</xdr:row>
      <xdr:rowOff>0</xdr:rowOff>
    </xdr:from>
    <xdr:to>
      <xdr:col>31</xdr:col>
      <xdr:colOff>242302</xdr:colOff>
      <xdr:row>35</xdr:row>
      <xdr:rowOff>133684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047DDE-E0D6-5472-E6F4-9A63B250E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224755</xdr:colOff>
      <xdr:row>36</xdr:row>
      <xdr:rowOff>136524</xdr:rowOff>
    </xdr:from>
    <xdr:to>
      <xdr:col>21</xdr:col>
      <xdr:colOff>66841</xdr:colOff>
      <xdr:row>53</xdr:row>
      <xdr:rowOff>142038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B55B05-CA47-EB3E-9F19-3F8D81A65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634163</xdr:colOff>
      <xdr:row>36</xdr:row>
      <xdr:rowOff>153235</xdr:rowOff>
    </xdr:from>
    <xdr:to>
      <xdr:col>31</xdr:col>
      <xdr:colOff>233946</xdr:colOff>
      <xdr:row>53</xdr:row>
      <xdr:rowOff>125328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278143-1F2D-AFE5-DCBC-0B8D6444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E27A-A112-4696-89A7-2BF2B6DD390A}">
  <sheetPr codeName="Sheet1"/>
  <dimension ref="A3:L30"/>
  <sheetViews>
    <sheetView zoomScale="95" workbookViewId="0">
      <selection activeCell="H14" sqref="H14:I17"/>
    </sheetView>
  </sheetViews>
  <sheetFormatPr defaultRowHeight="14.25" x14ac:dyDescent="0.45"/>
  <cols>
    <col min="2" max="2" width="10.6640625" bestFit="1" customWidth="1"/>
    <col min="3" max="3" width="9.46484375" bestFit="1" customWidth="1"/>
    <col min="4" max="4" width="12" bestFit="1" customWidth="1"/>
    <col min="9" max="9" width="9.46484375" bestFit="1" customWidth="1"/>
    <col min="11" max="11" width="13.06640625" style="6" bestFit="1" customWidth="1"/>
  </cols>
  <sheetData>
    <row r="3" spans="2:10" x14ac:dyDescent="0.45">
      <c r="C3" s="12" t="s">
        <v>0</v>
      </c>
      <c r="D3" s="12" t="s">
        <v>1</v>
      </c>
      <c r="E3" s="12" t="s">
        <v>2</v>
      </c>
    </row>
    <row r="4" spans="2:10" x14ac:dyDescent="0.45">
      <c r="C4" s="12" t="s">
        <v>26</v>
      </c>
      <c r="D4" s="12" t="s">
        <v>27</v>
      </c>
      <c r="E4" s="12" t="s">
        <v>28</v>
      </c>
      <c r="H4" s="2" t="s">
        <v>22</v>
      </c>
    </row>
    <row r="5" spans="2:10" x14ac:dyDescent="0.45">
      <c r="B5" s="9" t="s">
        <v>19</v>
      </c>
      <c r="C5" s="11">
        <v>183.33333333333334</v>
      </c>
      <c r="D5" s="11">
        <v>66.666666666666671</v>
      </c>
      <c r="E5" s="11">
        <v>249.99999999999994</v>
      </c>
      <c r="F5">
        <f>SUM(C5:E5)</f>
        <v>499.99999999999994</v>
      </c>
      <c r="G5" s="3" t="s">
        <v>3</v>
      </c>
      <c r="H5" s="1">
        <v>500</v>
      </c>
      <c r="I5" s="2" t="s">
        <v>25</v>
      </c>
    </row>
    <row r="6" spans="2:10" x14ac:dyDescent="0.45">
      <c r="B6" s="9" t="s">
        <v>20</v>
      </c>
      <c r="C6" s="11">
        <v>0</v>
      </c>
      <c r="D6" s="11">
        <v>0</v>
      </c>
      <c r="E6" s="9">
        <v>0</v>
      </c>
      <c r="F6">
        <f>SUM(C6:E6)</f>
        <v>0</v>
      </c>
      <c r="G6" s="3" t="s">
        <v>11</v>
      </c>
      <c r="H6">
        <v>0</v>
      </c>
    </row>
    <row r="7" spans="2:10" x14ac:dyDescent="0.45">
      <c r="B7" s="31" t="s">
        <v>4</v>
      </c>
      <c r="C7" s="31">
        <f>2.5*J10</f>
        <v>3</v>
      </c>
      <c r="D7" s="31">
        <f>3*J10</f>
        <v>3.5999999999999996</v>
      </c>
      <c r="E7" s="31">
        <f>20*J10</f>
        <v>24</v>
      </c>
      <c r="F7" s="33" t="s">
        <v>32</v>
      </c>
    </row>
    <row r="8" spans="2:10" x14ac:dyDescent="0.45">
      <c r="B8" s="9" t="s">
        <v>5</v>
      </c>
      <c r="C8" s="10">
        <v>170</v>
      </c>
      <c r="D8" s="10">
        <v>150</v>
      </c>
      <c r="E8" s="13"/>
    </row>
    <row r="9" spans="2:10" x14ac:dyDescent="0.45">
      <c r="B9" s="9" t="s">
        <v>29</v>
      </c>
      <c r="C9" s="16">
        <f>C8*C14</f>
        <v>59500</v>
      </c>
      <c r="D9" s="16">
        <f t="shared" ref="D9:E9" si="0">D8*D14</f>
        <v>0</v>
      </c>
      <c r="E9" s="16">
        <f t="shared" si="0"/>
        <v>0</v>
      </c>
    </row>
    <row r="10" spans="2:10" x14ac:dyDescent="0.45">
      <c r="B10" s="9" t="s">
        <v>13</v>
      </c>
      <c r="C10" s="9"/>
      <c r="D10" s="9"/>
      <c r="E10" s="9">
        <v>6000</v>
      </c>
      <c r="G10" t="s">
        <v>33</v>
      </c>
      <c r="J10" s="35">
        <v>1.2</v>
      </c>
    </row>
    <row r="11" spans="2:10" x14ac:dyDescent="0.45">
      <c r="B11" s="9" t="s">
        <v>6</v>
      </c>
      <c r="C11" s="10">
        <f>C8*1.4</f>
        <v>237.99999999999997</v>
      </c>
      <c r="D11" s="10">
        <f>D8*1.4</f>
        <v>210</v>
      </c>
      <c r="E11" s="10"/>
    </row>
    <row r="12" spans="2:10" x14ac:dyDescent="0.45">
      <c r="B12" s="9" t="s">
        <v>8</v>
      </c>
      <c r="C12" s="10">
        <v>150</v>
      </c>
      <c r="D12" s="10">
        <v>230</v>
      </c>
      <c r="E12" s="10">
        <v>260</v>
      </c>
    </row>
    <row r="13" spans="2:10" x14ac:dyDescent="0.45">
      <c r="B13" s="9" t="s">
        <v>12</v>
      </c>
      <c r="C13" s="29">
        <f>C5*C7</f>
        <v>550</v>
      </c>
      <c r="D13" s="29">
        <f t="shared" ref="D13:E13" si="1">D5*D7</f>
        <v>240</v>
      </c>
      <c r="E13" s="29">
        <f t="shared" si="1"/>
        <v>5999.9999999999982</v>
      </c>
    </row>
    <row r="14" spans="2:10" x14ac:dyDescent="0.45">
      <c r="B14" s="9" t="s">
        <v>21</v>
      </c>
      <c r="C14" s="14">
        <f>C15-C17</f>
        <v>350</v>
      </c>
      <c r="D14" s="14">
        <f t="shared" ref="D14:E14" si="2">D15-D17</f>
        <v>0</v>
      </c>
      <c r="E14" s="14">
        <f t="shared" si="2"/>
        <v>5999.9999999999982</v>
      </c>
    </row>
    <row r="15" spans="2:10" x14ac:dyDescent="0.45">
      <c r="B15" s="9" t="s">
        <v>31</v>
      </c>
      <c r="C15" s="14">
        <f>C5*C7+C6</f>
        <v>550</v>
      </c>
      <c r="D15" s="14">
        <f>D5*D7+D6</f>
        <v>240</v>
      </c>
      <c r="E15" s="14">
        <f>E5*E7+E6</f>
        <v>5999.9999999999982</v>
      </c>
    </row>
    <row r="16" spans="2:10" x14ac:dyDescent="0.45">
      <c r="C16" s="3" t="s">
        <v>11</v>
      </c>
      <c r="D16" s="3" t="s">
        <v>11</v>
      </c>
      <c r="E16" s="3" t="s">
        <v>11</v>
      </c>
    </row>
    <row r="17" spans="1:12" x14ac:dyDescent="0.45">
      <c r="B17" s="9" t="s">
        <v>7</v>
      </c>
      <c r="C17" s="15">
        <v>200</v>
      </c>
      <c r="D17" s="15">
        <v>240</v>
      </c>
      <c r="E17" s="15">
        <v>0</v>
      </c>
      <c r="F17" s="2" t="s">
        <v>23</v>
      </c>
    </row>
    <row r="20" spans="1:12" x14ac:dyDescent="0.45">
      <c r="H20" s="2" t="s">
        <v>5</v>
      </c>
      <c r="I20" s="6">
        <f>SUMPRODUCT(C14:E14,C8:E8)+SUMPRODUCT(C25:C26,D25:D26)</f>
        <v>275500</v>
      </c>
    </row>
    <row r="21" spans="1:12" x14ac:dyDescent="0.45">
      <c r="H21" s="2" t="s">
        <v>9</v>
      </c>
      <c r="I21" s="6">
        <f>SUMPRODUCT(C5:E5,C12:E12)</f>
        <v>107833.33333333331</v>
      </c>
    </row>
    <row r="22" spans="1:12" ht="14.65" thickBot="1" x14ac:dyDescent="0.5">
      <c r="C22" s="2" t="s">
        <v>2</v>
      </c>
      <c r="D22" s="26" t="s">
        <v>24</v>
      </c>
      <c r="H22" s="2" t="s">
        <v>6</v>
      </c>
      <c r="I22" s="6">
        <f>SUMPRODUCT(C6:E6,C11:E11)</f>
        <v>0</v>
      </c>
    </row>
    <row r="23" spans="1:12" ht="15.75" thickTop="1" x14ac:dyDescent="0.6">
      <c r="B23" s="17" t="s">
        <v>30</v>
      </c>
      <c r="C23" s="18">
        <v>0</v>
      </c>
      <c r="D23" s="27">
        <f>C23*E10</f>
        <v>0</v>
      </c>
      <c r="H23" s="2" t="s">
        <v>10</v>
      </c>
      <c r="I23" s="8">
        <f>I20-I21-I22</f>
        <v>167666.66666666669</v>
      </c>
    </row>
    <row r="24" spans="1:12" ht="14.65" thickBot="1" x14ac:dyDescent="0.5">
      <c r="C24" s="19" t="s">
        <v>5</v>
      </c>
      <c r="D24" s="28" t="s">
        <v>11</v>
      </c>
      <c r="E24" s="25"/>
      <c r="F24" s="25"/>
      <c r="K24"/>
      <c r="L24" s="6"/>
    </row>
    <row r="25" spans="1:12" ht="15" thickTop="1" thickBot="1" x14ac:dyDescent="0.5">
      <c r="A25" s="9" t="s">
        <v>15</v>
      </c>
      <c r="B25" s="9" t="s">
        <v>17</v>
      </c>
      <c r="C25" s="20">
        <v>36</v>
      </c>
      <c r="D25" s="22">
        <v>6000</v>
      </c>
      <c r="E25" s="23" t="s">
        <v>3</v>
      </c>
      <c r="F25" s="24">
        <f>E10</f>
        <v>6000</v>
      </c>
    </row>
    <row r="26" spans="1:12" ht="15" thickTop="1" thickBot="1" x14ac:dyDescent="0.5">
      <c r="A26" s="9" t="s">
        <v>16</v>
      </c>
      <c r="B26" s="9" t="s">
        <v>18</v>
      </c>
      <c r="C26" s="10">
        <v>10</v>
      </c>
      <c r="D26" s="21">
        <v>0</v>
      </c>
      <c r="E26" s="23" t="s">
        <v>3</v>
      </c>
      <c r="F26" s="34">
        <f>C23*1000000</f>
        <v>0</v>
      </c>
      <c r="K26"/>
      <c r="L26" s="6"/>
    </row>
    <row r="27" spans="1:12" ht="14.65" thickTop="1" x14ac:dyDescent="0.45">
      <c r="D27" s="4">
        <f>SUM(D25:D26)</f>
        <v>6000</v>
      </c>
      <c r="K27"/>
      <c r="L27" s="6"/>
    </row>
    <row r="28" spans="1:12" x14ac:dyDescent="0.45">
      <c r="D28" s="5" t="s">
        <v>14</v>
      </c>
      <c r="K28"/>
      <c r="L28" s="6"/>
    </row>
    <row r="29" spans="1:12" x14ac:dyDescent="0.45">
      <c r="C29" t="s">
        <v>12</v>
      </c>
      <c r="D29" s="7">
        <f>E15</f>
        <v>5999.9999999999982</v>
      </c>
      <c r="E29" s="2" t="s">
        <v>23</v>
      </c>
      <c r="K29"/>
      <c r="L29" s="6"/>
    </row>
    <row r="30" spans="1:12" x14ac:dyDescent="0.45">
      <c r="C30" t="s">
        <v>5</v>
      </c>
      <c r="D30" s="6">
        <f>SUMPRODUCT(C25:C26,D25:D26)</f>
        <v>216000</v>
      </c>
    </row>
  </sheetData>
  <conditionalFormatting sqref="C15">
    <cfRule type="iconSet" priority="1">
      <iconSet iconSet="3Symbols2">
        <cfvo type="percent" val="0"/>
        <cfvo type="formula" val="$C$17-150"/>
        <cfvo type="formula" val="$C$17"/>
      </iconSet>
    </cfRule>
  </conditionalFormatting>
  <conditionalFormatting sqref="D15">
    <cfRule type="iconSet" priority="2">
      <iconSet iconSet="3Symbols2">
        <cfvo type="percent" val="0"/>
        <cfvo type="formula" val="$D$17-150"/>
        <cfvo type="formula" val="$D$17"/>
      </iconSet>
    </cfRule>
  </conditionalFormatting>
  <conditionalFormatting sqref="E15">
    <cfRule type="iconSet" priority="3">
      <iconSet iconSet="3Symbols2">
        <cfvo type="percent" val="0"/>
        <cfvo type="formula" val="$E$17-150"/>
        <cfvo type="formula" val="$E$17"/>
      </iconSet>
    </cfRule>
  </conditionalFormatting>
  <conditionalFormatting sqref="F5">
    <cfRule type="iconSet" priority="5">
      <iconSet iconSet="3Symbols2">
        <cfvo type="percent" val="0"/>
        <cfvo type="num" val="0"/>
        <cfvo type="num" val="25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DC8C30C-265B-4DEA-A022-BB2A204F3E7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6000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D25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05F8-74B4-4E73-BA55-4BD4F1A7783B}">
  <sheetPr codeName="Sheet2"/>
  <dimension ref="A3:L30"/>
  <sheetViews>
    <sheetView zoomScale="95" workbookViewId="0">
      <selection activeCell="E9" sqref="E9"/>
    </sheetView>
  </sheetViews>
  <sheetFormatPr defaultRowHeight="14.25" x14ac:dyDescent="0.45"/>
  <cols>
    <col min="2" max="2" width="10.6640625" bestFit="1" customWidth="1"/>
    <col min="3" max="3" width="9.46484375" bestFit="1" customWidth="1"/>
    <col min="4" max="4" width="12" bestFit="1" customWidth="1"/>
    <col min="9" max="9" width="9.46484375" bestFit="1" customWidth="1"/>
    <col min="11" max="11" width="13.06640625" style="6" bestFit="1" customWidth="1"/>
  </cols>
  <sheetData>
    <row r="3" spans="2:10" x14ac:dyDescent="0.45">
      <c r="C3" s="12" t="s">
        <v>0</v>
      </c>
      <c r="D3" s="12" t="s">
        <v>1</v>
      </c>
      <c r="E3" s="12" t="s">
        <v>2</v>
      </c>
    </row>
    <row r="4" spans="2:10" x14ac:dyDescent="0.45">
      <c r="C4" s="12" t="s">
        <v>26</v>
      </c>
      <c r="D4" s="12" t="s">
        <v>27</v>
      </c>
      <c r="E4" s="12" t="s">
        <v>28</v>
      </c>
      <c r="H4" s="2" t="s">
        <v>22</v>
      </c>
    </row>
    <row r="5" spans="2:10" x14ac:dyDescent="0.45">
      <c r="B5" s="9" t="s">
        <v>19</v>
      </c>
      <c r="C5" s="11">
        <v>100</v>
      </c>
      <c r="D5" s="11">
        <v>24.999999999999986</v>
      </c>
      <c r="E5" s="11">
        <v>375</v>
      </c>
      <c r="F5">
        <f>SUM(C5:E5)</f>
        <v>500</v>
      </c>
      <c r="G5" s="3" t="s">
        <v>3</v>
      </c>
      <c r="H5" s="1">
        <v>500</v>
      </c>
      <c r="I5" s="2" t="s">
        <v>25</v>
      </c>
    </row>
    <row r="6" spans="2:10" x14ac:dyDescent="0.45">
      <c r="B6" s="9" t="s">
        <v>20</v>
      </c>
      <c r="C6" s="11">
        <v>0</v>
      </c>
      <c r="D6" s="11">
        <v>180.00000000000003</v>
      </c>
      <c r="E6" s="9">
        <v>0</v>
      </c>
      <c r="F6">
        <f>SUM(C6:E6)</f>
        <v>180.00000000000003</v>
      </c>
      <c r="G6" s="3" t="s">
        <v>11</v>
      </c>
      <c r="H6">
        <v>0</v>
      </c>
    </row>
    <row r="7" spans="2:10" x14ac:dyDescent="0.45">
      <c r="B7" s="31" t="s">
        <v>4</v>
      </c>
      <c r="C7" s="31">
        <f>2.5*J10</f>
        <v>2</v>
      </c>
      <c r="D7" s="31">
        <f>3*J10</f>
        <v>2.4000000000000004</v>
      </c>
      <c r="E7" s="31">
        <f>20*J10</f>
        <v>16</v>
      </c>
      <c r="F7" s="33" t="s">
        <v>32</v>
      </c>
    </row>
    <row r="8" spans="2:10" x14ac:dyDescent="0.45">
      <c r="B8" s="9" t="s">
        <v>5</v>
      </c>
      <c r="C8" s="10">
        <v>170</v>
      </c>
      <c r="D8" s="10">
        <v>150</v>
      </c>
      <c r="E8" s="13"/>
    </row>
    <row r="9" spans="2:10" x14ac:dyDescent="0.45">
      <c r="B9" s="9" t="s">
        <v>29</v>
      </c>
      <c r="C9" s="16">
        <f>C8*C14</f>
        <v>0</v>
      </c>
      <c r="D9" s="16">
        <f t="shared" ref="D9:E9" si="0">D8*D14</f>
        <v>0</v>
      </c>
      <c r="E9" s="16">
        <f t="shared" si="0"/>
        <v>0</v>
      </c>
    </row>
    <row r="10" spans="2:10" x14ac:dyDescent="0.45">
      <c r="B10" s="9" t="s">
        <v>13</v>
      </c>
      <c r="C10" s="9"/>
      <c r="D10" s="9"/>
      <c r="E10" s="9">
        <v>6000</v>
      </c>
      <c r="G10" t="s">
        <v>33</v>
      </c>
      <c r="J10" s="35">
        <v>0.8</v>
      </c>
    </row>
    <row r="11" spans="2:10" x14ac:dyDescent="0.45">
      <c r="B11" s="9" t="s">
        <v>6</v>
      </c>
      <c r="C11" s="10">
        <f>C8*1.4</f>
        <v>237.99999999999997</v>
      </c>
      <c r="D11" s="10">
        <f>D8*1.4</f>
        <v>210</v>
      </c>
      <c r="E11" s="10"/>
    </row>
    <row r="12" spans="2:10" x14ac:dyDescent="0.45">
      <c r="B12" s="9" t="s">
        <v>8</v>
      </c>
      <c r="C12" s="10">
        <v>150</v>
      </c>
      <c r="D12" s="10">
        <v>230</v>
      </c>
      <c r="E12" s="10">
        <v>260</v>
      </c>
    </row>
    <row r="13" spans="2:10" x14ac:dyDescent="0.45">
      <c r="B13" s="9" t="s">
        <v>12</v>
      </c>
      <c r="C13" s="29">
        <f>C5*C7</f>
        <v>200</v>
      </c>
      <c r="D13" s="29">
        <f t="shared" ref="D13:E13" si="1">D5*D7</f>
        <v>59.999999999999972</v>
      </c>
      <c r="E13" s="29">
        <f t="shared" si="1"/>
        <v>6000</v>
      </c>
    </row>
    <row r="14" spans="2:10" x14ac:dyDescent="0.45">
      <c r="B14" s="9" t="s">
        <v>21</v>
      </c>
      <c r="C14" s="14">
        <f>C15-C17</f>
        <v>0</v>
      </c>
      <c r="D14" s="14">
        <f t="shared" ref="D14:E14" si="2">D15-D17</f>
        <v>0</v>
      </c>
      <c r="E14" s="14">
        <f t="shared" si="2"/>
        <v>6000</v>
      </c>
    </row>
    <row r="15" spans="2:10" x14ac:dyDescent="0.45">
      <c r="B15" s="9" t="s">
        <v>31</v>
      </c>
      <c r="C15" s="14">
        <f>C5*C7+C6</f>
        <v>200</v>
      </c>
      <c r="D15" s="14">
        <f>D5*D7+D6</f>
        <v>240</v>
      </c>
      <c r="E15" s="14">
        <f>E5*E7+E6</f>
        <v>6000</v>
      </c>
    </row>
    <row r="16" spans="2:10" x14ac:dyDescent="0.45">
      <c r="C16" s="3" t="s">
        <v>11</v>
      </c>
      <c r="D16" s="3" t="s">
        <v>11</v>
      </c>
      <c r="E16" s="3" t="s">
        <v>11</v>
      </c>
    </row>
    <row r="17" spans="1:12" x14ac:dyDescent="0.45">
      <c r="B17" s="9" t="s">
        <v>7</v>
      </c>
      <c r="C17" s="15">
        <v>200</v>
      </c>
      <c r="D17" s="15">
        <v>240</v>
      </c>
      <c r="E17" s="15">
        <v>0</v>
      </c>
      <c r="F17" s="2" t="s">
        <v>23</v>
      </c>
    </row>
    <row r="20" spans="1:12" x14ac:dyDescent="0.45">
      <c r="H20" s="2" t="s">
        <v>5</v>
      </c>
      <c r="I20" s="6">
        <f>SUMPRODUCT(C14:E14,C8:E8)+SUMPRODUCT(C25:C26,D25:D26)</f>
        <v>216000</v>
      </c>
    </row>
    <row r="21" spans="1:12" x14ac:dyDescent="0.45">
      <c r="H21" s="2" t="s">
        <v>9</v>
      </c>
      <c r="I21" s="6">
        <f>SUMPRODUCT(C5:E5,C12:E12)</f>
        <v>118250</v>
      </c>
    </row>
    <row r="22" spans="1:12" ht="14.65" thickBot="1" x14ac:dyDescent="0.5">
      <c r="C22" s="2" t="s">
        <v>2</v>
      </c>
      <c r="D22" s="26" t="s">
        <v>24</v>
      </c>
      <c r="H22" s="2" t="s">
        <v>6</v>
      </c>
      <c r="I22" s="6">
        <f>SUMPRODUCT(C6:E6,C11:E11)</f>
        <v>37800.000000000007</v>
      </c>
    </row>
    <row r="23" spans="1:12" ht="15.75" thickTop="1" x14ac:dyDescent="0.6">
      <c r="B23" s="17" t="s">
        <v>30</v>
      </c>
      <c r="C23" s="18">
        <v>0</v>
      </c>
      <c r="D23" s="27">
        <f>C23*E10</f>
        <v>0</v>
      </c>
      <c r="H23" s="2" t="s">
        <v>10</v>
      </c>
      <c r="I23" s="8">
        <f>I20-I21-I22</f>
        <v>59949.999999999993</v>
      </c>
    </row>
    <row r="24" spans="1:12" ht="14.65" thickBot="1" x14ac:dyDescent="0.5">
      <c r="C24" s="19" t="s">
        <v>5</v>
      </c>
      <c r="D24" s="28" t="s">
        <v>11</v>
      </c>
      <c r="E24" s="25"/>
      <c r="F24" s="25"/>
      <c r="K24"/>
      <c r="L24" s="6"/>
    </row>
    <row r="25" spans="1:12" ht="15" thickTop="1" thickBot="1" x14ac:dyDescent="0.5">
      <c r="A25" s="9" t="s">
        <v>15</v>
      </c>
      <c r="B25" s="9" t="s">
        <v>17</v>
      </c>
      <c r="C25" s="20">
        <v>36</v>
      </c>
      <c r="D25" s="22">
        <v>6000</v>
      </c>
      <c r="E25" s="23" t="s">
        <v>3</v>
      </c>
      <c r="F25" s="24">
        <f>E10</f>
        <v>6000</v>
      </c>
    </row>
    <row r="26" spans="1:12" ht="15" thickTop="1" thickBot="1" x14ac:dyDescent="0.5">
      <c r="A26" s="9" t="s">
        <v>16</v>
      </c>
      <c r="B26" s="9" t="s">
        <v>18</v>
      </c>
      <c r="C26" s="10">
        <v>10</v>
      </c>
      <c r="D26" s="21">
        <v>0</v>
      </c>
      <c r="E26" s="23" t="s">
        <v>3</v>
      </c>
      <c r="F26" s="34">
        <f>C23*1000000</f>
        <v>0</v>
      </c>
      <c r="K26"/>
      <c r="L26" s="6"/>
    </row>
    <row r="27" spans="1:12" ht="14.65" thickTop="1" x14ac:dyDescent="0.45">
      <c r="D27" s="4">
        <f>SUM(D25:D26)</f>
        <v>6000</v>
      </c>
      <c r="K27"/>
      <c r="L27" s="6"/>
    </row>
    <row r="28" spans="1:12" x14ac:dyDescent="0.45">
      <c r="D28" s="5" t="s">
        <v>14</v>
      </c>
      <c r="K28"/>
      <c r="L28" s="6"/>
    </row>
    <row r="29" spans="1:12" x14ac:dyDescent="0.45">
      <c r="C29" t="s">
        <v>12</v>
      </c>
      <c r="D29" s="7">
        <f>E15</f>
        <v>6000</v>
      </c>
      <c r="E29" s="2" t="s">
        <v>23</v>
      </c>
      <c r="K29"/>
      <c r="L29" s="6"/>
    </row>
    <row r="30" spans="1:12" x14ac:dyDescent="0.45">
      <c r="C30" t="s">
        <v>5</v>
      </c>
      <c r="D30" s="6">
        <f>SUMPRODUCT(C25:C26,D25:D26)</f>
        <v>216000</v>
      </c>
    </row>
  </sheetData>
  <conditionalFormatting sqref="C15">
    <cfRule type="iconSet" priority="1">
      <iconSet iconSet="3Symbols2">
        <cfvo type="percent" val="0"/>
        <cfvo type="formula" val="$C$17-150"/>
        <cfvo type="formula" val="$C$17"/>
      </iconSet>
    </cfRule>
  </conditionalFormatting>
  <conditionalFormatting sqref="D15">
    <cfRule type="iconSet" priority="2">
      <iconSet iconSet="3Symbols2">
        <cfvo type="percent" val="0"/>
        <cfvo type="formula" val="$D$17-150"/>
        <cfvo type="formula" val="$D$17"/>
      </iconSet>
    </cfRule>
  </conditionalFormatting>
  <conditionalFormatting sqref="E15">
    <cfRule type="iconSet" priority="3">
      <iconSet iconSet="3Symbols2">
        <cfvo type="percent" val="0"/>
        <cfvo type="formula" val="$E$17-150"/>
        <cfvo type="formula" val="$E$17"/>
      </iconSet>
    </cfRule>
  </conditionalFormatting>
  <conditionalFormatting sqref="F5">
    <cfRule type="iconSet" priority="6">
      <iconSet iconSet="3Symbols2">
        <cfvo type="percent" val="0"/>
        <cfvo type="num" val="0"/>
        <cfvo type="num" val="25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195B830A-075F-4BEC-B013-B15D9BFAC47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6000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D25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A423-20BF-468D-8EB0-D486E7C25D9F}">
  <sheetPr codeName="Sheet3"/>
  <dimension ref="A3:L30"/>
  <sheetViews>
    <sheetView showGridLines="0" zoomScale="93" zoomScaleNormal="40" workbookViewId="0">
      <selection activeCell="K21" sqref="K21"/>
    </sheetView>
  </sheetViews>
  <sheetFormatPr defaultRowHeight="14.25" x14ac:dyDescent="0.45"/>
  <cols>
    <col min="2" max="2" width="10.6640625" bestFit="1" customWidth="1"/>
    <col min="3" max="3" width="9.46484375" bestFit="1" customWidth="1"/>
    <col min="4" max="4" width="12" bestFit="1" customWidth="1"/>
    <col min="9" max="9" width="9.9296875" bestFit="1" customWidth="1"/>
    <col min="11" max="11" width="13.06640625" style="6" bestFit="1" customWidth="1"/>
  </cols>
  <sheetData>
    <row r="3" spans="2:9" x14ac:dyDescent="0.45">
      <c r="C3" s="12" t="s">
        <v>0</v>
      </c>
      <c r="D3" s="12" t="s">
        <v>1</v>
      </c>
      <c r="E3" s="12" t="s">
        <v>2</v>
      </c>
    </row>
    <row r="4" spans="2:9" x14ac:dyDescent="0.45">
      <c r="C4" s="12" t="s">
        <v>26</v>
      </c>
      <c r="D4" s="12" t="s">
        <v>27</v>
      </c>
      <c r="E4" s="12" t="s">
        <v>28</v>
      </c>
      <c r="H4" s="2" t="s">
        <v>22</v>
      </c>
    </row>
    <row r="5" spans="2:9" x14ac:dyDescent="0.45">
      <c r="B5" s="9" t="s">
        <v>19</v>
      </c>
      <c r="C5" s="11">
        <v>120</v>
      </c>
      <c r="D5" s="11">
        <v>80</v>
      </c>
      <c r="E5" s="11">
        <v>300</v>
      </c>
      <c r="F5">
        <f>SUM(C5:E5)</f>
        <v>500</v>
      </c>
      <c r="G5" s="3" t="s">
        <v>3</v>
      </c>
      <c r="H5" s="1">
        <v>500</v>
      </c>
      <c r="I5" s="2" t="s">
        <v>25</v>
      </c>
    </row>
    <row r="6" spans="2:9" x14ac:dyDescent="0.45">
      <c r="B6" s="9" t="s">
        <v>20</v>
      </c>
      <c r="C6" s="11">
        <v>0</v>
      </c>
      <c r="D6" s="11">
        <v>0</v>
      </c>
      <c r="E6" s="9">
        <v>0</v>
      </c>
      <c r="G6" s="3"/>
    </row>
    <row r="7" spans="2:9" x14ac:dyDescent="0.45">
      <c r="B7" s="31" t="s">
        <v>4</v>
      </c>
      <c r="C7" s="31">
        <v>2.5</v>
      </c>
      <c r="D7" s="31">
        <v>3</v>
      </c>
      <c r="E7" s="31">
        <v>20</v>
      </c>
      <c r="F7" s="33" t="s">
        <v>32</v>
      </c>
    </row>
    <row r="8" spans="2:9" x14ac:dyDescent="0.45">
      <c r="B8" s="9" t="s">
        <v>5</v>
      </c>
      <c r="C8" s="10">
        <v>170</v>
      </c>
      <c r="D8" s="10">
        <v>150</v>
      </c>
      <c r="E8" s="13"/>
    </row>
    <row r="9" spans="2:9" x14ac:dyDescent="0.45">
      <c r="B9" s="9" t="s">
        <v>29</v>
      </c>
      <c r="C9" s="16">
        <f>C8*C14</f>
        <v>17000</v>
      </c>
      <c r="D9" s="16">
        <f t="shared" ref="D9:E9" si="0">D8*D14</f>
        <v>0</v>
      </c>
      <c r="E9" s="16">
        <f t="shared" si="0"/>
        <v>0</v>
      </c>
    </row>
    <row r="10" spans="2:9" x14ac:dyDescent="0.45">
      <c r="B10" s="9" t="s">
        <v>13</v>
      </c>
      <c r="C10" s="9"/>
      <c r="D10" s="9"/>
      <c r="E10" s="9">
        <v>6000</v>
      </c>
    </row>
    <row r="11" spans="2:9" x14ac:dyDescent="0.45">
      <c r="B11" s="9" t="s">
        <v>6</v>
      </c>
      <c r="C11" s="10">
        <f>C8*1.4</f>
        <v>237.99999999999997</v>
      </c>
      <c r="D11" s="10">
        <f>D8*1.4</f>
        <v>210</v>
      </c>
      <c r="E11" s="10"/>
      <c r="H11" s="2" t="s">
        <v>5</v>
      </c>
      <c r="I11" s="6">
        <f>SUMPRODUCT(C14:E14,C8:E8)+SUMPRODUCT(C25:C26,D25:D26)</f>
        <v>233000</v>
      </c>
    </row>
    <row r="12" spans="2:9" x14ac:dyDescent="0.45">
      <c r="B12" s="9" t="s">
        <v>8</v>
      </c>
      <c r="C12" s="10">
        <v>150</v>
      </c>
      <c r="D12" s="10">
        <v>230</v>
      </c>
      <c r="E12" s="10">
        <v>260</v>
      </c>
      <c r="H12" s="2" t="s">
        <v>9</v>
      </c>
      <c r="I12" s="6">
        <f>SUMPRODUCT(C5:E5,C12:E12)</f>
        <v>114400</v>
      </c>
    </row>
    <row r="13" spans="2:9" x14ac:dyDescent="0.45">
      <c r="B13" s="9" t="s">
        <v>12</v>
      </c>
      <c r="C13" s="29">
        <f>C5*C7</f>
        <v>300</v>
      </c>
      <c r="D13" s="29">
        <f t="shared" ref="D13:E13" si="1">D5*D7</f>
        <v>240</v>
      </c>
      <c r="E13" s="29">
        <f t="shared" si="1"/>
        <v>6000</v>
      </c>
      <c r="H13" s="2" t="s">
        <v>6</v>
      </c>
      <c r="I13" s="6">
        <f>SUMPRODUCT(C6:E6,C11:E11)</f>
        <v>0</v>
      </c>
    </row>
    <row r="14" spans="2:9" ht="15.4" x14ac:dyDescent="0.6">
      <c r="B14" s="9" t="s">
        <v>21</v>
      </c>
      <c r="C14" s="14">
        <f>C15-C17</f>
        <v>100</v>
      </c>
      <c r="D14" s="14">
        <f t="shared" ref="D14:E14" si="2">D15-D17</f>
        <v>0</v>
      </c>
      <c r="E14" s="14">
        <f t="shared" si="2"/>
        <v>6000</v>
      </c>
      <c r="H14" s="2" t="s">
        <v>10</v>
      </c>
      <c r="I14" s="8">
        <f>I11-I12-I13</f>
        <v>118600</v>
      </c>
    </row>
    <row r="15" spans="2:9" x14ac:dyDescent="0.45">
      <c r="B15" s="9" t="s">
        <v>31</v>
      </c>
      <c r="C15" s="14">
        <f>C5*C7+C6</f>
        <v>300</v>
      </c>
      <c r="D15" s="14">
        <f>D5*D7+D6</f>
        <v>240</v>
      </c>
      <c r="E15" s="14">
        <f>E5*E7+E6</f>
        <v>6000</v>
      </c>
    </row>
    <row r="16" spans="2:9" x14ac:dyDescent="0.45">
      <c r="C16" s="3" t="s">
        <v>11</v>
      </c>
      <c r="D16" s="3" t="s">
        <v>11</v>
      </c>
      <c r="E16" s="3" t="s">
        <v>11</v>
      </c>
    </row>
    <row r="17" spans="1:12" x14ac:dyDescent="0.45">
      <c r="B17" s="9" t="s">
        <v>7</v>
      </c>
      <c r="C17" s="15">
        <v>200</v>
      </c>
      <c r="D17" s="15">
        <v>240</v>
      </c>
      <c r="E17" s="15">
        <v>0</v>
      </c>
      <c r="F17" s="2" t="s">
        <v>23</v>
      </c>
    </row>
    <row r="22" spans="1:12" ht="14.65" thickBot="1" x14ac:dyDescent="0.5">
      <c r="C22" s="2" t="s">
        <v>2</v>
      </c>
      <c r="D22" s="26" t="s">
        <v>24</v>
      </c>
    </row>
    <row r="23" spans="1:12" ht="14.65" thickTop="1" x14ac:dyDescent="0.45">
      <c r="B23" s="17" t="s">
        <v>30</v>
      </c>
      <c r="C23" s="18">
        <v>0</v>
      </c>
      <c r="D23" s="27">
        <f>C23*E10</f>
        <v>0</v>
      </c>
    </row>
    <row r="24" spans="1:12" ht="14.65" thickBot="1" x14ac:dyDescent="0.5">
      <c r="C24" s="19" t="s">
        <v>5</v>
      </c>
      <c r="D24" s="28" t="s">
        <v>11</v>
      </c>
      <c r="E24" s="25"/>
      <c r="F24" s="25"/>
      <c r="K24"/>
      <c r="L24" s="6"/>
    </row>
    <row r="25" spans="1:12" ht="15" thickTop="1" thickBot="1" x14ac:dyDescent="0.5">
      <c r="A25" s="9" t="s">
        <v>15</v>
      </c>
      <c r="B25" s="9" t="s">
        <v>17</v>
      </c>
      <c r="C25" s="20">
        <v>36</v>
      </c>
      <c r="D25" s="22">
        <v>6000</v>
      </c>
      <c r="E25" s="23" t="s">
        <v>3</v>
      </c>
      <c r="F25" s="24">
        <f>E10</f>
        <v>6000</v>
      </c>
    </row>
    <row r="26" spans="1:12" ht="15" thickTop="1" thickBot="1" x14ac:dyDescent="0.5">
      <c r="A26" s="9" t="s">
        <v>16</v>
      </c>
      <c r="B26" s="9" t="s">
        <v>18</v>
      </c>
      <c r="C26" s="10">
        <v>10</v>
      </c>
      <c r="D26" s="21">
        <v>0</v>
      </c>
      <c r="E26" s="23" t="s">
        <v>3</v>
      </c>
      <c r="F26">
        <f>C23*1000000</f>
        <v>0</v>
      </c>
      <c r="K26"/>
      <c r="L26" s="6"/>
    </row>
    <row r="27" spans="1:12" ht="14.65" thickTop="1" x14ac:dyDescent="0.45">
      <c r="D27" s="4">
        <f>SUM(D25:D26)</f>
        <v>6000</v>
      </c>
      <c r="K27"/>
      <c r="L27" s="6"/>
    </row>
    <row r="28" spans="1:12" x14ac:dyDescent="0.45">
      <c r="D28" s="5" t="s">
        <v>14</v>
      </c>
      <c r="K28"/>
      <c r="L28" s="6"/>
    </row>
    <row r="29" spans="1:12" x14ac:dyDescent="0.45">
      <c r="C29" t="s">
        <v>12</v>
      </c>
      <c r="D29" s="7">
        <f>E15</f>
        <v>6000</v>
      </c>
      <c r="E29" s="2" t="s">
        <v>23</v>
      </c>
      <c r="K29"/>
      <c r="L29" s="6"/>
    </row>
    <row r="30" spans="1:12" x14ac:dyDescent="0.45">
      <c r="C30" t="s">
        <v>5</v>
      </c>
      <c r="D30" s="6">
        <f>SUMPRODUCT(C25:C26,D25:D26)</f>
        <v>216000</v>
      </c>
    </row>
  </sheetData>
  <conditionalFormatting sqref="C15">
    <cfRule type="iconSet" priority="1">
      <iconSet iconSet="3Symbols2">
        <cfvo type="percent" val="0"/>
        <cfvo type="formula" val="$C$17-150"/>
        <cfvo type="formula" val="$C$17"/>
      </iconSet>
    </cfRule>
  </conditionalFormatting>
  <conditionalFormatting sqref="D15">
    <cfRule type="iconSet" priority="2">
      <iconSet iconSet="3Symbols2">
        <cfvo type="percent" val="0"/>
        <cfvo type="formula" val="$D$17-150"/>
        <cfvo type="formula" val="$D$17"/>
      </iconSet>
    </cfRule>
  </conditionalFormatting>
  <conditionalFormatting sqref="E15">
    <cfRule type="iconSet" priority="3">
      <iconSet iconSet="3Symbols2">
        <cfvo type="percent" val="0"/>
        <cfvo type="formula" val="$E$17-150"/>
        <cfvo type="formula" val="$E$17"/>
      </iconSet>
    </cfRule>
  </conditionalFormatting>
  <conditionalFormatting sqref="F5">
    <cfRule type="iconSet" priority="6">
      <iconSet iconSet="3Symbols2">
        <cfvo type="percent" val="0"/>
        <cfvo type="num" val="0"/>
        <cfvo type="num" val="25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41624C9B-0FA5-41BB-84DC-C333CD855DC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6000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D25</xm:sqref>
        </x14:conditionalFormatting>
        <x14:conditionalFormatting xmlns:xm="http://schemas.microsoft.com/office/excel/2006/main">
          <x14:cfRule type="iconSet" priority="4" id="{3FD4A8DF-361A-4976-854A-A2302DFFFBC2}">
            <x14:iconSet iconSet="3Symbols2" custom="1">
              <x14:cfvo type="percent">
                <xm:f>0</xm:f>
              </x14:cfvo>
              <x14:cfvo type="num">
                <xm:f>6000</xm:f>
              </x14:cfvo>
              <x14:cfvo type="num" gte="0">
                <xm:f>6000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D27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1798-1823-4E90-87D0-EBD55B45D9D4}">
  <sheetPr codeName="Sheet4"/>
  <dimension ref="A3:K66"/>
  <sheetViews>
    <sheetView showGridLines="0" topLeftCell="A17" zoomScale="74" zoomScaleNormal="57" workbookViewId="0">
      <selection activeCell="L78" sqref="L78"/>
    </sheetView>
  </sheetViews>
  <sheetFormatPr defaultRowHeight="14.25" x14ac:dyDescent="0.45"/>
  <cols>
    <col min="3" max="3" width="9.06640625" customWidth="1"/>
    <col min="4" max="4" width="12.3984375" customWidth="1"/>
    <col min="5" max="5" width="12" bestFit="1" customWidth="1"/>
    <col min="6" max="6" width="13.19921875" customWidth="1"/>
    <col min="7" max="7" width="13.3984375" customWidth="1"/>
    <col min="8" max="9" width="12.796875" customWidth="1"/>
    <col min="10" max="10" width="15.59765625" customWidth="1"/>
    <col min="11" max="11" width="17.1328125" customWidth="1"/>
    <col min="15" max="15" width="11.19921875" bestFit="1" customWidth="1"/>
  </cols>
  <sheetData>
    <row r="3" spans="1:8" x14ac:dyDescent="0.45">
      <c r="E3" s="106" t="s">
        <v>41</v>
      </c>
      <c r="F3" s="106"/>
      <c r="G3" s="106"/>
    </row>
    <row r="4" spans="1:8" x14ac:dyDescent="0.45">
      <c r="A4" s="48" t="s">
        <v>46</v>
      </c>
      <c r="E4" s="37" t="s">
        <v>38</v>
      </c>
      <c r="F4" s="37" t="s">
        <v>39</v>
      </c>
      <c r="G4" s="37" t="s">
        <v>40</v>
      </c>
    </row>
    <row r="5" spans="1:8" x14ac:dyDescent="0.45">
      <c r="D5" s="2" t="s">
        <v>4</v>
      </c>
      <c r="E5" s="51">
        <v>0.8</v>
      </c>
      <c r="F5" s="52">
        <v>1</v>
      </c>
      <c r="G5" s="53">
        <v>1.2</v>
      </c>
    </row>
    <row r="6" spans="1:8" x14ac:dyDescent="0.45">
      <c r="D6" s="2"/>
      <c r="E6" s="107" t="s">
        <v>34</v>
      </c>
      <c r="F6" s="108"/>
      <c r="G6" s="109"/>
    </row>
    <row r="7" spans="1:8" x14ac:dyDescent="0.45">
      <c r="D7" s="2"/>
      <c r="E7" s="44" t="s">
        <v>42</v>
      </c>
      <c r="F7" s="39" t="s">
        <v>43</v>
      </c>
      <c r="G7" s="42" t="s">
        <v>44</v>
      </c>
    </row>
    <row r="8" spans="1:8" x14ac:dyDescent="0.45">
      <c r="E8" s="44" t="s">
        <v>35</v>
      </c>
      <c r="F8" s="39" t="s">
        <v>36</v>
      </c>
      <c r="G8" s="42" t="s">
        <v>37</v>
      </c>
    </row>
    <row r="9" spans="1:8" x14ac:dyDescent="0.45">
      <c r="C9" s="110" t="s">
        <v>19</v>
      </c>
      <c r="D9" s="12" t="s">
        <v>0</v>
      </c>
      <c r="E9" s="45">
        <v>100</v>
      </c>
      <c r="F9" s="40">
        <v>120</v>
      </c>
      <c r="G9" s="14">
        <v>183.33333333333334</v>
      </c>
    </row>
    <row r="10" spans="1:8" x14ac:dyDescent="0.45">
      <c r="C10" s="110"/>
      <c r="D10" s="12" t="s">
        <v>1</v>
      </c>
      <c r="E10" s="45">
        <v>24.999999999999986</v>
      </c>
      <c r="F10" s="40">
        <v>80</v>
      </c>
      <c r="G10" s="14">
        <v>66.666666666666671</v>
      </c>
    </row>
    <row r="11" spans="1:8" x14ac:dyDescent="0.45">
      <c r="C11" s="110"/>
      <c r="D11" s="12" t="s">
        <v>2</v>
      </c>
      <c r="E11" s="45">
        <v>375</v>
      </c>
      <c r="F11" s="40">
        <v>300</v>
      </c>
      <c r="G11" s="14">
        <v>249.99999999999994</v>
      </c>
    </row>
    <row r="12" spans="1:8" x14ac:dyDescent="0.45">
      <c r="D12" s="12" t="s">
        <v>10</v>
      </c>
      <c r="E12" s="46">
        <v>59949.999999999993</v>
      </c>
      <c r="F12" s="41">
        <v>118600</v>
      </c>
      <c r="G12" s="43">
        <v>167666.66666666669</v>
      </c>
    </row>
    <row r="13" spans="1:8" x14ac:dyDescent="0.45">
      <c r="D13" s="2"/>
    </row>
    <row r="14" spans="1:8" x14ac:dyDescent="0.45">
      <c r="D14" s="2"/>
    </row>
    <row r="15" spans="1:8" x14ac:dyDescent="0.45">
      <c r="E15" s="12" t="s">
        <v>0</v>
      </c>
      <c r="F15" s="12" t="s">
        <v>1</v>
      </c>
      <c r="G15" s="12" t="s">
        <v>2</v>
      </c>
      <c r="H15" s="48" t="s">
        <v>49</v>
      </c>
    </row>
    <row r="16" spans="1:8" x14ac:dyDescent="0.45">
      <c r="D16" s="37" t="s">
        <v>38</v>
      </c>
      <c r="E16" s="54">
        <v>2</v>
      </c>
      <c r="F16" s="54">
        <v>2.4000000000000004</v>
      </c>
      <c r="G16" s="54">
        <v>16</v>
      </c>
      <c r="H16" s="51">
        <v>0.8</v>
      </c>
    </row>
    <row r="17" spans="1:11" x14ac:dyDescent="0.45">
      <c r="D17" s="37" t="s">
        <v>39</v>
      </c>
      <c r="E17" s="55">
        <v>2.5</v>
      </c>
      <c r="F17" s="55">
        <v>3</v>
      </c>
      <c r="G17" s="55">
        <v>20</v>
      </c>
      <c r="H17" s="52">
        <v>1</v>
      </c>
    </row>
    <row r="18" spans="1:11" x14ac:dyDescent="0.45">
      <c r="D18" s="37" t="s">
        <v>40</v>
      </c>
      <c r="E18" s="56">
        <v>3</v>
      </c>
      <c r="F18" s="56">
        <v>3.5999999999999996</v>
      </c>
      <c r="G18" s="56">
        <v>24</v>
      </c>
      <c r="H18" s="53">
        <v>1.2</v>
      </c>
    </row>
    <row r="19" spans="1:11" x14ac:dyDescent="0.45">
      <c r="D19" s="2"/>
    </row>
    <row r="20" spans="1:11" x14ac:dyDescent="0.45">
      <c r="A20" s="48" t="s">
        <v>47</v>
      </c>
      <c r="D20" s="2"/>
    </row>
    <row r="21" spans="1:11" x14ac:dyDescent="0.45">
      <c r="D21" s="2"/>
    </row>
    <row r="22" spans="1:11" ht="14.65" thickBot="1" x14ac:dyDescent="0.5">
      <c r="A22" s="32" t="s">
        <v>45</v>
      </c>
      <c r="D22" s="2"/>
      <c r="I22" s="126"/>
    </row>
    <row r="23" spans="1:11" x14ac:dyDescent="0.45">
      <c r="D23" s="120" t="s">
        <v>4</v>
      </c>
      <c r="E23" s="121">
        <v>0.8</v>
      </c>
      <c r="F23" s="122">
        <v>1</v>
      </c>
      <c r="G23" s="123">
        <v>1.2</v>
      </c>
      <c r="H23" s="127" t="s">
        <v>88</v>
      </c>
      <c r="I23" s="63" t="s">
        <v>48</v>
      </c>
    </row>
    <row r="24" spans="1:11" x14ac:dyDescent="0.45">
      <c r="D24" s="124"/>
      <c r="E24" s="38" t="s">
        <v>38</v>
      </c>
      <c r="F24" s="38" t="s">
        <v>39</v>
      </c>
      <c r="G24" s="38" t="s">
        <v>40</v>
      </c>
      <c r="H24" s="128"/>
      <c r="I24" s="116" t="s">
        <v>0</v>
      </c>
      <c r="J24" s="12" t="s">
        <v>1</v>
      </c>
      <c r="K24" s="12" t="s">
        <v>2</v>
      </c>
    </row>
    <row r="25" spans="1:11" x14ac:dyDescent="0.45">
      <c r="D25" s="61" t="s">
        <v>42</v>
      </c>
      <c r="E25" s="49">
        <v>59949.999999999993</v>
      </c>
      <c r="F25" s="62">
        <v>86600</v>
      </c>
      <c r="G25" s="62">
        <v>113249.99999999999</v>
      </c>
      <c r="H25" s="125">
        <f>AVERAGE(E25:G25)</f>
        <v>86600</v>
      </c>
      <c r="I25" s="117">
        <v>100</v>
      </c>
      <c r="J25" s="45">
        <v>24.999999999999986</v>
      </c>
      <c r="K25" s="45">
        <v>375</v>
      </c>
    </row>
    <row r="26" spans="1:11" x14ac:dyDescent="0.45">
      <c r="D26" s="61" t="s">
        <v>43</v>
      </c>
      <c r="E26" s="62">
        <v>55120.000000000007</v>
      </c>
      <c r="F26" s="41">
        <v>118600</v>
      </c>
      <c r="G26" s="62">
        <v>148000</v>
      </c>
      <c r="H26" s="125">
        <f t="shared" ref="H26:H27" si="0">AVERAGE(E26:G26)</f>
        <v>107240</v>
      </c>
      <c r="I26" s="118">
        <v>120</v>
      </c>
      <c r="J26" s="40">
        <v>80</v>
      </c>
      <c r="K26" s="40">
        <v>300</v>
      </c>
    </row>
    <row r="27" spans="1:11" ht="14.65" thickBot="1" x14ac:dyDescent="0.5">
      <c r="D27" s="66" t="s">
        <v>44</v>
      </c>
      <c r="E27" s="72">
        <v>47700.000000000007</v>
      </c>
      <c r="F27" s="67">
        <v>107683.33333333331</v>
      </c>
      <c r="G27" s="73">
        <v>167666.66666666669</v>
      </c>
      <c r="H27" s="129">
        <f t="shared" si="0"/>
        <v>107683.33333333333</v>
      </c>
      <c r="I27" s="119">
        <v>183.33333333333334</v>
      </c>
      <c r="J27" s="14">
        <v>66.666666666666671</v>
      </c>
      <c r="K27" s="14">
        <v>249.99999999999994</v>
      </c>
    </row>
    <row r="32" spans="1:11" ht="14.65" thickBot="1" x14ac:dyDescent="0.5"/>
    <row r="33" spans="1:9" x14ac:dyDescent="0.45">
      <c r="A33" s="48" t="s">
        <v>50</v>
      </c>
      <c r="D33" s="69"/>
      <c r="E33" s="130" t="s">
        <v>38</v>
      </c>
      <c r="F33" s="130" t="s">
        <v>39</v>
      </c>
      <c r="G33" s="130" t="s">
        <v>40</v>
      </c>
      <c r="H33" s="70" t="s">
        <v>51</v>
      </c>
      <c r="I33" s="32" t="s">
        <v>53</v>
      </c>
    </row>
    <row r="34" spans="1:9" x14ac:dyDescent="0.45">
      <c r="D34" s="61" t="s">
        <v>42</v>
      </c>
      <c r="E34" s="49">
        <v>59949.999999999993</v>
      </c>
      <c r="F34" s="62">
        <v>86600</v>
      </c>
      <c r="G34" s="62">
        <v>113249.99999999999</v>
      </c>
      <c r="H34" s="65">
        <f>MAX(E34:G34)</f>
        <v>113249.99999999999</v>
      </c>
    </row>
    <row r="35" spans="1:9" x14ac:dyDescent="0.45">
      <c r="D35" s="61" t="s">
        <v>43</v>
      </c>
      <c r="E35" s="62">
        <v>55120.000000000007</v>
      </c>
      <c r="F35" s="41">
        <v>118600</v>
      </c>
      <c r="G35" s="62">
        <v>148000</v>
      </c>
      <c r="H35" s="65">
        <f t="shared" ref="H35:H36" si="1">MAX(E35:G35)</f>
        <v>148000</v>
      </c>
    </row>
    <row r="36" spans="1:9" ht="15.75" thickBot="1" x14ac:dyDescent="0.65">
      <c r="D36" s="66" t="s">
        <v>44</v>
      </c>
      <c r="E36" s="72">
        <v>47700.000000000007</v>
      </c>
      <c r="F36" s="67">
        <v>107683.33333333331</v>
      </c>
      <c r="G36" s="73">
        <v>167666.66666666669</v>
      </c>
      <c r="H36" s="74">
        <f t="shared" si="1"/>
        <v>167666.66666666669</v>
      </c>
    </row>
    <row r="38" spans="1:9" ht="14.65" thickBot="1" x14ac:dyDescent="0.5"/>
    <row r="39" spans="1:9" x14ac:dyDescent="0.45">
      <c r="D39" s="69"/>
      <c r="E39" s="130" t="s">
        <v>38</v>
      </c>
      <c r="F39" s="130" t="s">
        <v>39</v>
      </c>
      <c r="G39" s="130" t="s">
        <v>40</v>
      </c>
      <c r="H39" s="70" t="s">
        <v>52</v>
      </c>
      <c r="I39" s="32" t="s">
        <v>54</v>
      </c>
    </row>
    <row r="40" spans="1:9" ht="15.4" x14ac:dyDescent="0.6">
      <c r="A40" t="s">
        <v>59</v>
      </c>
      <c r="D40" s="61" t="s">
        <v>42</v>
      </c>
      <c r="E40" s="49">
        <v>59949.999999999993</v>
      </c>
      <c r="F40" s="62">
        <v>86600</v>
      </c>
      <c r="G40" s="62">
        <v>113249.99999999999</v>
      </c>
      <c r="H40" s="71">
        <f>MIN(E40:G40)</f>
        <v>59949.999999999993</v>
      </c>
    </row>
    <row r="41" spans="1:9" x14ac:dyDescent="0.45">
      <c r="D41" s="61" t="s">
        <v>43</v>
      </c>
      <c r="E41" s="62">
        <v>55120.000000000007</v>
      </c>
      <c r="F41" s="41">
        <v>118600</v>
      </c>
      <c r="G41" s="62">
        <v>148000</v>
      </c>
      <c r="H41" s="65">
        <f t="shared" ref="H41:H42" si="2">MIN(E41:G41)</f>
        <v>55120.000000000007</v>
      </c>
    </row>
    <row r="42" spans="1:9" ht="14.65" thickBot="1" x14ac:dyDescent="0.5">
      <c r="D42" s="66" t="s">
        <v>44</v>
      </c>
      <c r="E42" s="72">
        <v>47700.000000000007</v>
      </c>
      <c r="F42" s="67">
        <v>107683.33333333331</v>
      </c>
      <c r="G42" s="73">
        <v>167666.66666666669</v>
      </c>
      <c r="H42" s="68">
        <f t="shared" si="2"/>
        <v>47700.000000000007</v>
      </c>
    </row>
    <row r="45" spans="1:9" ht="14.65" thickBot="1" x14ac:dyDescent="0.5"/>
    <row r="46" spans="1:9" x14ac:dyDescent="0.45">
      <c r="D46" s="57" t="s">
        <v>42</v>
      </c>
      <c r="E46" s="58">
        <v>59949.999999999993</v>
      </c>
      <c r="F46" s="59">
        <v>86600</v>
      </c>
      <c r="G46" s="59">
        <v>113249.99999999999</v>
      </c>
      <c r="H46" s="60"/>
    </row>
    <row r="47" spans="1:9" x14ac:dyDescent="0.45">
      <c r="D47" s="61" t="s">
        <v>43</v>
      </c>
      <c r="E47" s="62">
        <v>55120.000000000007</v>
      </c>
      <c r="F47" s="41">
        <v>118600</v>
      </c>
      <c r="G47" s="62">
        <v>148000</v>
      </c>
      <c r="H47" s="63"/>
    </row>
    <row r="48" spans="1:9" x14ac:dyDescent="0.45">
      <c r="D48" s="61" t="s">
        <v>44</v>
      </c>
      <c r="E48" s="62">
        <v>47700.000000000007</v>
      </c>
      <c r="F48" s="47">
        <v>107683.33333333331</v>
      </c>
      <c r="G48" s="43">
        <v>167666.66666666669</v>
      </c>
      <c r="H48" s="63"/>
    </row>
    <row r="49" spans="1:11" ht="14.65" thickBot="1" x14ac:dyDescent="0.5">
      <c r="D49" s="64"/>
      <c r="H49" s="63"/>
    </row>
    <row r="50" spans="1:11" x14ac:dyDescent="0.45">
      <c r="A50" t="s">
        <v>58</v>
      </c>
      <c r="B50" s="32" t="s">
        <v>55</v>
      </c>
      <c r="D50" s="61" t="s">
        <v>56</v>
      </c>
      <c r="E50" s="130" t="s">
        <v>38</v>
      </c>
      <c r="F50" s="130" t="s">
        <v>39</v>
      </c>
      <c r="G50" s="130" t="s">
        <v>40</v>
      </c>
      <c r="H50" s="63" t="s">
        <v>57</v>
      </c>
      <c r="I50" s="32" t="s">
        <v>61</v>
      </c>
    </row>
    <row r="51" spans="1:11" x14ac:dyDescent="0.45">
      <c r="D51" s="61" t="s">
        <v>42</v>
      </c>
      <c r="E51" s="47">
        <f>MAX($E$46:$E$48)-E46</f>
        <v>0</v>
      </c>
      <c r="F51" s="47">
        <f>MAX($F$46:$F$48)-F46</f>
        <v>32000</v>
      </c>
      <c r="G51" s="47">
        <f>MAX($G$46:$G$48)-G46</f>
        <v>54416.666666666701</v>
      </c>
      <c r="H51" s="65">
        <f>MAX(E51:G51)</f>
        <v>54416.666666666701</v>
      </c>
    </row>
    <row r="52" spans="1:11" x14ac:dyDescent="0.45">
      <c r="D52" s="61" t="s">
        <v>43</v>
      </c>
      <c r="E52" s="47">
        <f>MAX($E$46:$E$48)-E47</f>
        <v>4829.9999999999854</v>
      </c>
      <c r="F52" s="47">
        <f t="shared" ref="F52:F53" si="3">MAX($F$46:$F$48)-F47</f>
        <v>0</v>
      </c>
      <c r="G52" s="47">
        <f t="shared" ref="G52:G53" si="4">MAX($G$46:$G$48)-G47</f>
        <v>19666.666666666686</v>
      </c>
      <c r="H52" s="65">
        <f t="shared" ref="H52:H53" si="5">MAX(E52:G52)</f>
        <v>19666.666666666686</v>
      </c>
    </row>
    <row r="53" spans="1:11" ht="15.75" thickBot="1" x14ac:dyDescent="0.65">
      <c r="D53" s="66" t="s">
        <v>44</v>
      </c>
      <c r="E53" s="67">
        <f>MAX($E$46:$E$48)-E48</f>
        <v>12249.999999999985</v>
      </c>
      <c r="F53" s="67">
        <f t="shared" si="3"/>
        <v>10916.666666666686</v>
      </c>
      <c r="G53" s="67">
        <f t="shared" si="4"/>
        <v>0</v>
      </c>
      <c r="H53" s="74">
        <f t="shared" si="5"/>
        <v>12249.999999999985</v>
      </c>
    </row>
    <row r="59" spans="1:11" x14ac:dyDescent="0.45">
      <c r="H59" s="112" t="s">
        <v>64</v>
      </c>
      <c r="I59" s="112"/>
    </row>
    <row r="60" spans="1:11" x14ac:dyDescent="0.45">
      <c r="H60" s="76" t="s">
        <v>67</v>
      </c>
      <c r="I60" s="76" t="s">
        <v>68</v>
      </c>
    </row>
    <row r="61" spans="1:11" x14ac:dyDescent="0.45">
      <c r="H61" s="9">
        <v>0.8</v>
      </c>
      <c r="I61" s="9">
        <f>1-H61</f>
        <v>0.19999999999999996</v>
      </c>
      <c r="J61" s="32" t="s">
        <v>65</v>
      </c>
    </row>
    <row r="62" spans="1:11" x14ac:dyDescent="0.45">
      <c r="H62" s="77">
        <v>0.3</v>
      </c>
      <c r="I62" s="77">
        <f>1-H62</f>
        <v>0.7</v>
      </c>
      <c r="J62" s="32" t="s">
        <v>66</v>
      </c>
    </row>
    <row r="63" spans="1:11" ht="25.9" customHeight="1" thickBot="1" x14ac:dyDescent="0.5">
      <c r="H63" s="77" t="s">
        <v>62</v>
      </c>
      <c r="I63" s="77" t="s">
        <v>63</v>
      </c>
      <c r="J63" s="78" t="s">
        <v>69</v>
      </c>
      <c r="K63" s="78" t="s">
        <v>70</v>
      </c>
    </row>
    <row r="64" spans="1:11" ht="15.4" x14ac:dyDescent="0.6">
      <c r="D64" s="57" t="s">
        <v>42</v>
      </c>
      <c r="E64" s="58">
        <v>59949.999999999993</v>
      </c>
      <c r="F64" s="59">
        <v>86600</v>
      </c>
      <c r="G64" s="59">
        <v>113249.99999999999</v>
      </c>
      <c r="H64" s="79">
        <f>MIN(E64:G64)</f>
        <v>59949.999999999993</v>
      </c>
      <c r="I64" s="80">
        <f>MAX(F64:H64)</f>
        <v>113249.99999999999</v>
      </c>
      <c r="J64" s="81">
        <f>SUMPRODUCT($H$62:$I$62,H64:I64)</f>
        <v>97259.999999999985</v>
      </c>
      <c r="K64" s="82">
        <f>SUMPRODUCT($H$61:$I$61,H64:I64)</f>
        <v>70610</v>
      </c>
    </row>
    <row r="65" spans="1:11" x14ac:dyDescent="0.45">
      <c r="D65" s="61" t="s">
        <v>43</v>
      </c>
      <c r="E65" s="62">
        <v>55120.000000000007</v>
      </c>
      <c r="F65" s="41">
        <v>118600</v>
      </c>
      <c r="G65" s="62">
        <v>148000</v>
      </c>
      <c r="H65" s="47">
        <f t="shared" ref="H65:H66" si="6">MIN(E65:G65)</f>
        <v>55120.000000000007</v>
      </c>
      <c r="I65" s="47">
        <f t="shared" ref="I65:I66" si="7">MAX(F65:H65)</f>
        <v>148000</v>
      </c>
      <c r="J65" s="83">
        <f t="shared" ref="J65" si="8">SUMPRODUCT($H$62:$I$62,H65:I65)</f>
        <v>120136</v>
      </c>
      <c r="K65" s="84">
        <f t="shared" ref="K65:K66" si="9">SUMPRODUCT($H$61:$I$61,H65:I65)</f>
        <v>73696</v>
      </c>
    </row>
    <row r="66" spans="1:11" ht="15.75" thickBot="1" x14ac:dyDescent="0.65">
      <c r="A66" t="s">
        <v>60</v>
      </c>
      <c r="D66" s="66" t="s">
        <v>44</v>
      </c>
      <c r="E66" s="72">
        <v>47700.000000000007</v>
      </c>
      <c r="F66" s="67">
        <v>107683.33333333331</v>
      </c>
      <c r="G66" s="85">
        <v>167666.66666666669</v>
      </c>
      <c r="H66" s="67">
        <f t="shared" si="6"/>
        <v>47700.000000000007</v>
      </c>
      <c r="I66" s="75">
        <f t="shared" si="7"/>
        <v>167666.66666666669</v>
      </c>
      <c r="J66" s="86">
        <f>SUMPRODUCT($H$62:$I$62,H66:I66)</f>
        <v>131676.66666666669</v>
      </c>
      <c r="K66" s="87">
        <f t="shared" si="9"/>
        <v>71693.333333333343</v>
      </c>
    </row>
  </sheetData>
  <mergeCells count="6">
    <mergeCell ref="E3:G3"/>
    <mergeCell ref="E6:G6"/>
    <mergeCell ref="C9:C11"/>
    <mergeCell ref="D23:D24"/>
    <mergeCell ref="H59:I59"/>
    <mergeCell ref="H23:H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608F-B40E-4400-92D7-F79CBA953717}">
  <sheetPr codeName="Sheet5"/>
  <dimension ref="A3:L30"/>
  <sheetViews>
    <sheetView topLeftCell="A2" zoomScale="95" workbookViewId="0">
      <selection activeCell="F6" sqref="F6"/>
    </sheetView>
  </sheetViews>
  <sheetFormatPr defaultRowHeight="14.25" x14ac:dyDescent="0.45"/>
  <cols>
    <col min="2" max="2" width="10.6640625" bestFit="1" customWidth="1"/>
    <col min="3" max="3" width="9.46484375" bestFit="1" customWidth="1"/>
    <col min="4" max="4" width="12" bestFit="1" customWidth="1"/>
    <col min="9" max="9" width="9.46484375" bestFit="1" customWidth="1"/>
    <col min="11" max="11" width="13.06640625" style="6" bestFit="1" customWidth="1"/>
  </cols>
  <sheetData>
    <row r="3" spans="2:11" x14ac:dyDescent="0.45">
      <c r="C3" s="12" t="s">
        <v>0</v>
      </c>
      <c r="D3" s="12" t="s">
        <v>1</v>
      </c>
      <c r="E3" s="12" t="s">
        <v>2</v>
      </c>
    </row>
    <row r="4" spans="2:11" x14ac:dyDescent="0.45">
      <c r="C4" s="12" t="s">
        <v>26</v>
      </c>
      <c r="D4" s="12" t="s">
        <v>27</v>
      </c>
      <c r="E4" s="12" t="s">
        <v>28</v>
      </c>
      <c r="H4" s="2"/>
    </row>
    <row r="5" spans="2:11" x14ac:dyDescent="0.45">
      <c r="B5" s="9" t="s">
        <v>19</v>
      </c>
      <c r="C5" s="9">
        <v>100</v>
      </c>
      <c r="D5" s="9">
        <v>24.999999999999986</v>
      </c>
      <c r="E5" s="9">
        <v>375</v>
      </c>
      <c r="G5" s="3"/>
      <c r="I5" s="2"/>
    </row>
    <row r="6" spans="2:11" x14ac:dyDescent="0.45">
      <c r="B6" s="9" t="s">
        <v>20</v>
      </c>
      <c r="C6" s="11">
        <v>0</v>
      </c>
      <c r="D6" s="11">
        <v>165.00000000000006</v>
      </c>
      <c r="E6" s="9">
        <v>0</v>
      </c>
      <c r="G6" s="3"/>
    </row>
    <row r="7" spans="2:11" x14ac:dyDescent="0.45">
      <c r="B7" s="31" t="s">
        <v>4</v>
      </c>
      <c r="C7" s="31">
        <v>2.5</v>
      </c>
      <c r="D7" s="31">
        <v>3</v>
      </c>
      <c r="E7" s="31">
        <v>20</v>
      </c>
      <c r="F7" s="33" t="s">
        <v>32</v>
      </c>
    </row>
    <row r="8" spans="2:11" x14ac:dyDescent="0.45">
      <c r="B8" s="9" t="s">
        <v>5</v>
      </c>
      <c r="C8" s="10">
        <v>170</v>
      </c>
      <c r="D8" s="10">
        <v>150</v>
      </c>
      <c r="E8" s="13"/>
    </row>
    <row r="9" spans="2:11" x14ac:dyDescent="0.45">
      <c r="B9" s="9" t="s">
        <v>29</v>
      </c>
      <c r="C9" s="16">
        <f>C8*C14</f>
        <v>8500</v>
      </c>
      <c r="D9" s="16">
        <f t="shared" ref="D9:E9" si="0">D8*D14</f>
        <v>0</v>
      </c>
      <c r="E9" s="16">
        <f t="shared" si="0"/>
        <v>0</v>
      </c>
    </row>
    <row r="10" spans="2:11" x14ac:dyDescent="0.45">
      <c r="B10" s="9" t="s">
        <v>13</v>
      </c>
      <c r="C10" s="9"/>
      <c r="D10" s="9"/>
      <c r="E10" s="9">
        <v>6000</v>
      </c>
    </row>
    <row r="11" spans="2:11" x14ac:dyDescent="0.45">
      <c r="B11" s="9" t="s">
        <v>6</v>
      </c>
      <c r="C11" s="10">
        <f>C8*1.4</f>
        <v>237.99999999999997</v>
      </c>
      <c r="D11" s="10">
        <f>D8*1.4</f>
        <v>210</v>
      </c>
      <c r="E11" s="10"/>
    </row>
    <row r="12" spans="2:11" x14ac:dyDescent="0.45">
      <c r="B12" s="9" t="s">
        <v>8</v>
      </c>
      <c r="C12" s="10">
        <v>150</v>
      </c>
      <c r="D12" s="10">
        <v>230</v>
      </c>
      <c r="E12" s="10">
        <v>260</v>
      </c>
    </row>
    <row r="13" spans="2:11" x14ac:dyDescent="0.45">
      <c r="B13" s="9" t="s">
        <v>12</v>
      </c>
      <c r="C13" s="29">
        <f>C5*C7</f>
        <v>250</v>
      </c>
      <c r="D13" s="29">
        <f t="shared" ref="D13:E13" si="1">D5*D7</f>
        <v>74.999999999999957</v>
      </c>
      <c r="E13" s="29">
        <f t="shared" si="1"/>
        <v>7500</v>
      </c>
    </row>
    <row r="14" spans="2:11" x14ac:dyDescent="0.45">
      <c r="B14" s="9" t="s">
        <v>21</v>
      </c>
      <c r="C14" s="14">
        <f>C15-C17</f>
        <v>50</v>
      </c>
      <c r="D14" s="14">
        <f t="shared" ref="D14:E14" si="2">D15-D17</f>
        <v>0</v>
      </c>
      <c r="E14" s="14">
        <f t="shared" si="2"/>
        <v>7500</v>
      </c>
      <c r="J14" s="4" t="s">
        <v>42</v>
      </c>
      <c r="K14" s="50">
        <v>86600</v>
      </c>
    </row>
    <row r="15" spans="2:11" x14ac:dyDescent="0.45">
      <c r="B15" s="9" t="s">
        <v>31</v>
      </c>
      <c r="C15" s="14">
        <f>C5*C7+C6</f>
        <v>250</v>
      </c>
      <c r="D15" s="14">
        <f>D5*D7+D6</f>
        <v>240</v>
      </c>
      <c r="E15" s="14">
        <f>E5*E7+E6</f>
        <v>7500</v>
      </c>
      <c r="J15" s="4" t="s">
        <v>43</v>
      </c>
      <c r="K15" s="41">
        <v>118600</v>
      </c>
    </row>
    <row r="16" spans="2:11" x14ac:dyDescent="0.45">
      <c r="C16" s="3" t="s">
        <v>11</v>
      </c>
      <c r="D16" s="3" t="s">
        <v>11</v>
      </c>
      <c r="E16" s="3" t="s">
        <v>11</v>
      </c>
      <c r="J16" s="4" t="s">
        <v>44</v>
      </c>
      <c r="K16" s="47">
        <v>107683.33333333331</v>
      </c>
    </row>
    <row r="17" spans="1:12" x14ac:dyDescent="0.45">
      <c r="B17" s="9" t="s">
        <v>7</v>
      </c>
      <c r="C17" s="15">
        <v>200</v>
      </c>
      <c r="D17" s="15">
        <v>240</v>
      </c>
      <c r="E17" s="15">
        <v>0</v>
      </c>
      <c r="F17" s="2" t="s">
        <v>23</v>
      </c>
    </row>
    <row r="20" spans="1:12" x14ac:dyDescent="0.45">
      <c r="H20" s="2" t="s">
        <v>5</v>
      </c>
      <c r="I20" s="6">
        <f>SUMPRODUCT(C14:E14,C8:E8)+SUMPRODUCT(C25:C26,D25:D26)</f>
        <v>239500.00000000003</v>
      </c>
    </row>
    <row r="21" spans="1:12" x14ac:dyDescent="0.45">
      <c r="H21" s="2" t="s">
        <v>9</v>
      </c>
      <c r="I21" s="6">
        <f>SUMPRODUCT(C5:E5,C12:E12)</f>
        <v>118250</v>
      </c>
    </row>
    <row r="22" spans="1:12" ht="14.65" thickBot="1" x14ac:dyDescent="0.5">
      <c r="C22" s="2" t="s">
        <v>2</v>
      </c>
      <c r="D22" s="26" t="s">
        <v>24</v>
      </c>
      <c r="H22" s="2" t="s">
        <v>6</v>
      </c>
      <c r="I22" s="6">
        <f>SUMPRODUCT(C6:E6,C11:E11)</f>
        <v>34650.000000000015</v>
      </c>
    </row>
    <row r="23" spans="1:12" ht="15.75" thickTop="1" x14ac:dyDescent="0.6">
      <c r="B23" s="17" t="s">
        <v>30</v>
      </c>
      <c r="C23" s="18">
        <v>1</v>
      </c>
      <c r="D23" s="27">
        <f>C23*E10</f>
        <v>6000</v>
      </c>
      <c r="H23" s="2" t="s">
        <v>10</v>
      </c>
      <c r="I23" s="8">
        <f>I20-I21-I22</f>
        <v>86600.000000000015</v>
      </c>
    </row>
    <row r="24" spans="1:12" ht="14.65" thickBot="1" x14ac:dyDescent="0.5">
      <c r="C24" s="19" t="s">
        <v>5</v>
      </c>
      <c r="D24" s="28" t="s">
        <v>11</v>
      </c>
      <c r="E24" s="25"/>
      <c r="F24" s="25"/>
      <c r="K24"/>
      <c r="L24" s="6"/>
    </row>
    <row r="25" spans="1:12" ht="15" thickTop="1" thickBot="1" x14ac:dyDescent="0.5">
      <c r="A25" s="9" t="s">
        <v>15</v>
      </c>
      <c r="B25" s="9" t="s">
        <v>17</v>
      </c>
      <c r="C25" s="20">
        <v>36</v>
      </c>
      <c r="D25" s="22">
        <v>6000.0000000000009</v>
      </c>
      <c r="E25" s="23" t="s">
        <v>3</v>
      </c>
      <c r="F25" s="24">
        <f>E10</f>
        <v>6000</v>
      </c>
    </row>
    <row r="26" spans="1:12" ht="15" thickTop="1" thickBot="1" x14ac:dyDescent="0.5">
      <c r="A26" s="9" t="s">
        <v>16</v>
      </c>
      <c r="B26" s="9" t="s">
        <v>18</v>
      </c>
      <c r="C26" s="10">
        <v>10</v>
      </c>
      <c r="D26" s="21">
        <v>1499.9999999999991</v>
      </c>
      <c r="E26" s="23" t="s">
        <v>3</v>
      </c>
      <c r="F26">
        <f>C23*1000000</f>
        <v>1000000</v>
      </c>
      <c r="K26"/>
      <c r="L26" s="6"/>
    </row>
    <row r="27" spans="1:12" ht="14.65" thickTop="1" x14ac:dyDescent="0.45">
      <c r="D27" s="4">
        <f>SUM(D25:D26)</f>
        <v>7500</v>
      </c>
      <c r="K27"/>
      <c r="L27" s="6"/>
    </row>
    <row r="28" spans="1:12" x14ac:dyDescent="0.45">
      <c r="D28" s="5" t="s">
        <v>14</v>
      </c>
      <c r="K28"/>
      <c r="L28" s="6"/>
    </row>
    <row r="29" spans="1:12" x14ac:dyDescent="0.45">
      <c r="C29" t="s">
        <v>12</v>
      </c>
      <c r="D29" s="7">
        <f>E15</f>
        <v>7500</v>
      </c>
      <c r="E29" s="2" t="s">
        <v>23</v>
      </c>
      <c r="K29"/>
      <c r="L29" s="6"/>
    </row>
    <row r="30" spans="1:12" x14ac:dyDescent="0.45">
      <c r="C30" t="s">
        <v>5</v>
      </c>
      <c r="D30" s="6">
        <f>SUMPRODUCT(C25:C26,D25:D26)</f>
        <v>231000.00000000003</v>
      </c>
    </row>
  </sheetData>
  <conditionalFormatting sqref="C15">
    <cfRule type="iconSet" priority="1">
      <iconSet iconSet="3Symbols2">
        <cfvo type="percent" val="0"/>
        <cfvo type="formula" val="$C$17-150"/>
        <cfvo type="formula" val="$C$17"/>
      </iconSet>
    </cfRule>
  </conditionalFormatting>
  <conditionalFormatting sqref="E15">
    <cfRule type="iconSet" priority="3">
      <iconSet iconSet="3Symbols2">
        <cfvo type="percent" val="0"/>
        <cfvo type="formula" val="$E$17-150"/>
        <cfvo type="formula" val="$E$17"/>
      </iconSet>
    </cfRule>
  </conditionalFormatting>
  <conditionalFormatting sqref="F5">
    <cfRule type="iconSet" priority="6">
      <iconSet iconSet="3Symbols2">
        <cfvo type="percent" val="0"/>
        <cfvo type="num" val="0"/>
        <cfvo type="num" val="25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78C04F5-C382-483E-AB58-461A0375969E}">
            <x14:iconSet iconSet="3Symbols2" custom="1">
              <x14:cfvo type="percent">
                <xm:f>0</xm:f>
              </x14:cfvo>
              <x14:cfvo type="formula">
                <xm:f>$D$17</xm:f>
              </x14:cfvo>
              <x14:cfvo type="formula">
                <xm:f>$D$17+10000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D15</xm:sqref>
        </x14:conditionalFormatting>
        <x14:conditionalFormatting xmlns:xm="http://schemas.microsoft.com/office/excel/2006/main">
          <x14:cfRule type="iconSet" priority="5" id="{423529CF-853E-48C8-B3E5-B91B2C096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6000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D25</xm:sqref>
        </x14:conditionalFormatting>
        <x14:conditionalFormatting xmlns:xm="http://schemas.microsoft.com/office/excel/2006/main">
          <x14:cfRule type="iconSet" priority="4" id="{D16B0A1E-E139-408B-A7D7-AE787973B577}">
            <x14:iconSet iconSet="3Symbols2" custom="1">
              <x14:cfvo type="percent">
                <xm:f>0</xm:f>
              </x14:cfvo>
              <x14:cfvo type="num">
                <xm:f>$D$29</xm:f>
              </x14:cfvo>
              <x14:cfvo type="num" gte="0">
                <xm:f>$D$29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D27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7544-EF09-4EFD-977B-7FDE08819C7D}">
  <sheetPr codeName="Sheet6"/>
  <dimension ref="A3:L30"/>
  <sheetViews>
    <sheetView topLeftCell="A2" zoomScale="95" workbookViewId="0">
      <selection activeCell="C5" sqref="C5:E5"/>
    </sheetView>
  </sheetViews>
  <sheetFormatPr defaultRowHeight="14.25" x14ac:dyDescent="0.45"/>
  <cols>
    <col min="2" max="2" width="10.6640625" bestFit="1" customWidth="1"/>
    <col min="3" max="3" width="9.46484375" bestFit="1" customWidth="1"/>
    <col min="4" max="4" width="12" bestFit="1" customWidth="1"/>
    <col min="9" max="9" width="9.46484375" bestFit="1" customWidth="1"/>
    <col min="11" max="11" width="13.06640625" style="6" bestFit="1" customWidth="1"/>
    <col min="12" max="12" width="11" bestFit="1" customWidth="1"/>
  </cols>
  <sheetData>
    <row r="3" spans="2:12" x14ac:dyDescent="0.45">
      <c r="C3" s="12" t="s">
        <v>0</v>
      </c>
      <c r="D3" s="12" t="s">
        <v>1</v>
      </c>
      <c r="E3" s="12" t="s">
        <v>2</v>
      </c>
    </row>
    <row r="4" spans="2:12" x14ac:dyDescent="0.45">
      <c r="C4" s="12" t="s">
        <v>26</v>
      </c>
      <c r="D4" s="12" t="s">
        <v>27</v>
      </c>
      <c r="E4" s="12" t="s">
        <v>28</v>
      </c>
      <c r="H4" s="2"/>
    </row>
    <row r="5" spans="2:12" x14ac:dyDescent="0.45">
      <c r="B5" s="9" t="s">
        <v>19</v>
      </c>
      <c r="C5" s="9">
        <v>120</v>
      </c>
      <c r="D5" s="9">
        <v>80</v>
      </c>
      <c r="E5" s="9">
        <v>300</v>
      </c>
      <c r="G5" s="3"/>
      <c r="I5" s="2"/>
    </row>
    <row r="6" spans="2:12" x14ac:dyDescent="0.45">
      <c r="B6" s="9" t="s">
        <v>20</v>
      </c>
      <c r="C6" s="11">
        <v>0</v>
      </c>
      <c r="D6" s="11">
        <v>47.999999999999972</v>
      </c>
      <c r="E6" s="9">
        <v>0</v>
      </c>
      <c r="G6" s="3"/>
    </row>
    <row r="7" spans="2:12" x14ac:dyDescent="0.45">
      <c r="B7" s="31" t="s">
        <v>4</v>
      </c>
      <c r="C7" s="31">
        <f>2.5*J10</f>
        <v>2</v>
      </c>
      <c r="D7" s="31">
        <f>3*J10</f>
        <v>2.4000000000000004</v>
      </c>
      <c r="E7" s="31">
        <f>20*J10</f>
        <v>16</v>
      </c>
      <c r="F7" s="33" t="s">
        <v>32</v>
      </c>
    </row>
    <row r="8" spans="2:12" x14ac:dyDescent="0.45">
      <c r="B8" s="9" t="s">
        <v>5</v>
      </c>
      <c r="C8" s="10">
        <v>170</v>
      </c>
      <c r="D8" s="10">
        <v>150</v>
      </c>
      <c r="E8" s="13"/>
    </row>
    <row r="9" spans="2:12" x14ac:dyDescent="0.45">
      <c r="B9" s="9" t="s">
        <v>29</v>
      </c>
      <c r="C9" s="16">
        <f>C8*C14</f>
        <v>6800</v>
      </c>
      <c r="D9" s="16">
        <f t="shared" ref="D9:E9" si="0">D8*D14</f>
        <v>0</v>
      </c>
      <c r="E9" s="16">
        <f t="shared" si="0"/>
        <v>0</v>
      </c>
    </row>
    <row r="10" spans="2:12" x14ac:dyDescent="0.45">
      <c r="B10" s="9" t="s">
        <v>13</v>
      </c>
      <c r="C10" s="9"/>
      <c r="D10" s="9"/>
      <c r="E10" s="9">
        <v>6000</v>
      </c>
      <c r="G10" t="s">
        <v>33</v>
      </c>
      <c r="J10" s="35">
        <v>0.8</v>
      </c>
    </row>
    <row r="11" spans="2:12" x14ac:dyDescent="0.45">
      <c r="B11" s="9" t="s">
        <v>6</v>
      </c>
      <c r="C11" s="10">
        <f>C8*1.4</f>
        <v>237.99999999999997</v>
      </c>
      <c r="D11" s="10">
        <f>D8*1.4</f>
        <v>210</v>
      </c>
      <c r="E11" s="10"/>
    </row>
    <row r="12" spans="2:12" x14ac:dyDescent="0.45">
      <c r="B12" s="9" t="s">
        <v>8</v>
      </c>
      <c r="C12" s="10">
        <v>150</v>
      </c>
      <c r="D12" s="10">
        <v>230</v>
      </c>
      <c r="E12" s="10">
        <v>260</v>
      </c>
    </row>
    <row r="13" spans="2:12" x14ac:dyDescent="0.45">
      <c r="B13" s="9" t="s">
        <v>12</v>
      </c>
      <c r="C13" s="29">
        <f>C5*C7</f>
        <v>240</v>
      </c>
      <c r="D13" s="29">
        <f t="shared" ref="D13:E13" si="1">D5*D7</f>
        <v>192.00000000000003</v>
      </c>
      <c r="E13" s="29">
        <f t="shared" si="1"/>
        <v>4800</v>
      </c>
      <c r="K13" s="4" t="s">
        <v>42</v>
      </c>
      <c r="L13" s="49">
        <v>59949.999999999993</v>
      </c>
    </row>
    <row r="14" spans="2:12" x14ac:dyDescent="0.45">
      <c r="B14" s="9" t="s">
        <v>21</v>
      </c>
      <c r="C14" s="14">
        <f>C15-C17</f>
        <v>40</v>
      </c>
      <c r="D14" s="14">
        <f t="shared" ref="D14:E14" si="2">D15-D17</f>
        <v>0</v>
      </c>
      <c r="E14" s="14">
        <f t="shared" si="2"/>
        <v>4800</v>
      </c>
      <c r="K14" s="4" t="s">
        <v>43</v>
      </c>
      <c r="L14" s="50">
        <v>55120.000000000007</v>
      </c>
    </row>
    <row r="15" spans="2:12" x14ac:dyDescent="0.45">
      <c r="B15" s="9" t="s">
        <v>31</v>
      </c>
      <c r="C15" s="14">
        <f>C5*C7+C6</f>
        <v>240</v>
      </c>
      <c r="D15" s="14">
        <f>D5*D7+D6</f>
        <v>240</v>
      </c>
      <c r="E15" s="14">
        <f>E5*E7+E6</f>
        <v>4800</v>
      </c>
      <c r="K15" s="4" t="s">
        <v>44</v>
      </c>
      <c r="L15" s="50">
        <v>47700.000000000007</v>
      </c>
    </row>
    <row r="16" spans="2:12" x14ac:dyDescent="0.45">
      <c r="C16" s="3" t="s">
        <v>11</v>
      </c>
      <c r="D16" s="3" t="s">
        <v>11</v>
      </c>
      <c r="E16" s="3" t="s">
        <v>11</v>
      </c>
    </row>
    <row r="17" spans="1:12" x14ac:dyDescent="0.45">
      <c r="B17" s="9" t="s">
        <v>7</v>
      </c>
      <c r="C17" s="15">
        <v>200</v>
      </c>
      <c r="D17" s="15">
        <v>240</v>
      </c>
      <c r="E17" s="15">
        <v>0</v>
      </c>
      <c r="F17" s="2" t="s">
        <v>23</v>
      </c>
    </row>
    <row r="20" spans="1:12" x14ac:dyDescent="0.45">
      <c r="H20" s="2" t="s">
        <v>5</v>
      </c>
      <c r="I20" s="6">
        <f>SUMPRODUCT(C14:E14,C8:E8)+SUMPRODUCT(C25:C26,D25:D26)</f>
        <v>179600</v>
      </c>
    </row>
    <row r="21" spans="1:12" x14ac:dyDescent="0.45">
      <c r="H21" s="2" t="s">
        <v>9</v>
      </c>
      <c r="I21" s="6">
        <f>SUMPRODUCT(C5:E5,C12:E12)</f>
        <v>114400</v>
      </c>
    </row>
    <row r="22" spans="1:12" ht="14.65" thickBot="1" x14ac:dyDescent="0.5">
      <c r="C22" s="2" t="s">
        <v>2</v>
      </c>
      <c r="D22" s="26" t="s">
        <v>24</v>
      </c>
      <c r="H22" s="2" t="s">
        <v>6</v>
      </c>
      <c r="I22" s="6">
        <f>SUMPRODUCT(C6:E6,C11:E11)</f>
        <v>10079.999999999995</v>
      </c>
    </row>
    <row r="23" spans="1:12" ht="15.75" thickTop="1" x14ac:dyDescent="0.6">
      <c r="B23" s="17" t="s">
        <v>30</v>
      </c>
      <c r="C23" s="18">
        <v>0</v>
      </c>
      <c r="D23" s="27">
        <f>C23*E10</f>
        <v>0</v>
      </c>
      <c r="H23" s="2" t="s">
        <v>10</v>
      </c>
      <c r="I23" s="8">
        <f>I20-I21-I22</f>
        <v>55120.000000000007</v>
      </c>
    </row>
    <row r="24" spans="1:12" ht="14.65" thickBot="1" x14ac:dyDescent="0.5">
      <c r="C24" s="19" t="s">
        <v>5</v>
      </c>
      <c r="D24" s="28" t="s">
        <v>11</v>
      </c>
      <c r="E24" s="25"/>
      <c r="F24" s="25"/>
      <c r="K24"/>
      <c r="L24" s="6"/>
    </row>
    <row r="25" spans="1:12" ht="15" thickTop="1" thickBot="1" x14ac:dyDescent="0.5">
      <c r="A25" s="9" t="s">
        <v>15</v>
      </c>
      <c r="B25" s="9" t="s">
        <v>17</v>
      </c>
      <c r="C25" s="20">
        <v>36</v>
      </c>
      <c r="D25" s="22">
        <v>4800</v>
      </c>
      <c r="E25" s="23" t="s">
        <v>3</v>
      </c>
      <c r="F25" s="24">
        <f>E10</f>
        <v>6000</v>
      </c>
    </row>
    <row r="26" spans="1:12" ht="15" thickTop="1" thickBot="1" x14ac:dyDescent="0.5">
      <c r="A26" s="9" t="s">
        <v>16</v>
      </c>
      <c r="B26" s="9" t="s">
        <v>18</v>
      </c>
      <c r="C26" s="10">
        <v>10</v>
      </c>
      <c r="D26" s="21">
        <v>0</v>
      </c>
      <c r="E26" s="23" t="s">
        <v>3</v>
      </c>
      <c r="F26" s="34">
        <f>C23*1000000</f>
        <v>0</v>
      </c>
      <c r="K26"/>
      <c r="L26" s="6"/>
    </row>
    <row r="27" spans="1:12" ht="14.65" thickTop="1" x14ac:dyDescent="0.45">
      <c r="D27" s="4">
        <f>SUM(D25:D26)</f>
        <v>4800</v>
      </c>
      <c r="K27"/>
      <c r="L27" s="6"/>
    </row>
    <row r="28" spans="1:12" x14ac:dyDescent="0.45">
      <c r="D28" s="5" t="s">
        <v>14</v>
      </c>
      <c r="K28"/>
      <c r="L28" s="6"/>
    </row>
    <row r="29" spans="1:12" x14ac:dyDescent="0.45">
      <c r="C29" t="s">
        <v>12</v>
      </c>
      <c r="D29" s="7">
        <f>E15</f>
        <v>4800</v>
      </c>
      <c r="E29" s="2" t="s">
        <v>23</v>
      </c>
      <c r="K29"/>
      <c r="L29" s="6"/>
    </row>
    <row r="30" spans="1:12" x14ac:dyDescent="0.45">
      <c r="C30" t="s">
        <v>5</v>
      </c>
      <c r="D30" s="6">
        <f>SUMPRODUCT(C25:C26,D25:D26)</f>
        <v>172800</v>
      </c>
    </row>
  </sheetData>
  <conditionalFormatting sqref="C15">
    <cfRule type="iconSet" priority="1">
      <iconSet iconSet="3Symbols2">
        <cfvo type="percent" val="0"/>
        <cfvo type="formula" val="$C$17-150"/>
        <cfvo type="formula" val="$C$17"/>
      </iconSet>
    </cfRule>
  </conditionalFormatting>
  <conditionalFormatting sqref="D15">
    <cfRule type="iconSet" priority="2">
      <iconSet iconSet="3Symbols2">
        <cfvo type="percent" val="0"/>
        <cfvo type="formula" val="$D$17-150"/>
        <cfvo type="formula" val="$D$17"/>
      </iconSet>
    </cfRule>
  </conditionalFormatting>
  <conditionalFormatting sqref="E15">
    <cfRule type="iconSet" priority="3">
      <iconSet iconSet="3Symbols2">
        <cfvo type="percent" val="0"/>
        <cfvo type="formula" val="$E$17-150"/>
        <cfvo type="formula" val="$E$17"/>
      </iconSet>
    </cfRule>
  </conditionalFormatting>
  <conditionalFormatting sqref="F5">
    <cfRule type="iconSet" priority="5">
      <iconSet iconSet="3Symbols2">
        <cfvo type="percent" val="0"/>
        <cfvo type="num" val="0"/>
        <cfvo type="num" val="25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70006CB-0F00-499E-95B1-B866FF9953A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6000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D25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9172-EFAA-48F5-89AD-DF108FE294DB}">
  <sheetPr codeName="Sheet7"/>
  <dimension ref="A3:L30"/>
  <sheetViews>
    <sheetView topLeftCell="A2" zoomScale="95" workbookViewId="0">
      <selection activeCell="K27" sqref="K27"/>
    </sheetView>
  </sheetViews>
  <sheetFormatPr defaultRowHeight="14.25" x14ac:dyDescent="0.45"/>
  <cols>
    <col min="2" max="2" width="10.6640625" bestFit="1" customWidth="1"/>
    <col min="3" max="3" width="9.46484375" bestFit="1" customWidth="1"/>
    <col min="4" max="4" width="12" bestFit="1" customWidth="1"/>
    <col min="9" max="9" width="9.46484375" bestFit="1" customWidth="1"/>
    <col min="11" max="11" width="13.06640625" style="6" bestFit="1" customWidth="1"/>
    <col min="12" max="12" width="12" bestFit="1" customWidth="1"/>
  </cols>
  <sheetData>
    <row r="3" spans="2:12" x14ac:dyDescent="0.45">
      <c r="C3" s="12" t="s">
        <v>0</v>
      </c>
      <c r="D3" s="12" t="s">
        <v>1</v>
      </c>
      <c r="E3" s="12" t="s">
        <v>2</v>
      </c>
    </row>
    <row r="4" spans="2:12" x14ac:dyDescent="0.45">
      <c r="C4" s="12" t="s">
        <v>26</v>
      </c>
      <c r="D4" s="12" t="s">
        <v>27</v>
      </c>
      <c r="E4" s="12" t="s">
        <v>28</v>
      </c>
      <c r="H4" s="2"/>
    </row>
    <row r="5" spans="2:12" x14ac:dyDescent="0.45">
      <c r="B5" s="9" t="s">
        <v>19</v>
      </c>
      <c r="C5" s="9">
        <v>120</v>
      </c>
      <c r="D5" s="9">
        <v>80</v>
      </c>
      <c r="E5" s="9">
        <v>300</v>
      </c>
      <c r="G5" s="3"/>
      <c r="I5" s="2"/>
    </row>
    <row r="6" spans="2:12" x14ac:dyDescent="0.45">
      <c r="B6" s="9" t="s">
        <v>20</v>
      </c>
      <c r="C6" s="11">
        <v>0</v>
      </c>
      <c r="D6" s="11">
        <v>0</v>
      </c>
      <c r="E6" s="9">
        <v>0</v>
      </c>
      <c r="G6" s="3"/>
    </row>
    <row r="7" spans="2:12" x14ac:dyDescent="0.45">
      <c r="B7" s="31" t="s">
        <v>4</v>
      </c>
      <c r="C7" s="31">
        <f>2.5*J10</f>
        <v>3</v>
      </c>
      <c r="D7" s="31">
        <f>3*J10</f>
        <v>3.5999999999999996</v>
      </c>
      <c r="E7" s="31">
        <f>20*J10</f>
        <v>24</v>
      </c>
      <c r="F7" s="33" t="s">
        <v>32</v>
      </c>
    </row>
    <row r="8" spans="2:12" x14ac:dyDescent="0.45">
      <c r="B8" s="9" t="s">
        <v>5</v>
      </c>
      <c r="C8" s="10">
        <v>170</v>
      </c>
      <c r="D8" s="10">
        <v>150</v>
      </c>
      <c r="E8" s="13"/>
    </row>
    <row r="9" spans="2:12" x14ac:dyDescent="0.45">
      <c r="B9" s="9" t="s">
        <v>29</v>
      </c>
      <c r="C9" s="16">
        <f>C8*C14</f>
        <v>27200</v>
      </c>
      <c r="D9" s="16">
        <f t="shared" ref="D9:E9" si="0">D8*D14</f>
        <v>7200</v>
      </c>
      <c r="E9" s="16">
        <f t="shared" si="0"/>
        <v>0</v>
      </c>
    </row>
    <row r="10" spans="2:12" x14ac:dyDescent="0.45">
      <c r="B10" s="9" t="s">
        <v>13</v>
      </c>
      <c r="C10" s="9"/>
      <c r="D10" s="9"/>
      <c r="E10" s="9">
        <v>6000</v>
      </c>
      <c r="G10" t="s">
        <v>33</v>
      </c>
      <c r="J10" s="35">
        <v>1.2</v>
      </c>
    </row>
    <row r="11" spans="2:12" x14ac:dyDescent="0.45">
      <c r="B11" s="9" t="s">
        <v>6</v>
      </c>
      <c r="C11" s="10">
        <f>C8*1.4</f>
        <v>237.99999999999997</v>
      </c>
      <c r="D11" s="10">
        <f>D8*1.4</f>
        <v>210</v>
      </c>
      <c r="E11" s="10"/>
    </row>
    <row r="12" spans="2:12" x14ac:dyDescent="0.45">
      <c r="B12" s="9" t="s">
        <v>8</v>
      </c>
      <c r="C12" s="10">
        <v>150</v>
      </c>
      <c r="D12" s="10">
        <v>230</v>
      </c>
      <c r="E12" s="10">
        <v>260</v>
      </c>
    </row>
    <row r="13" spans="2:12" x14ac:dyDescent="0.45">
      <c r="B13" s="9" t="s">
        <v>12</v>
      </c>
      <c r="C13" s="29">
        <f>C5*C7</f>
        <v>360</v>
      </c>
      <c r="D13" s="29">
        <f t="shared" ref="D13:E13" si="1">D5*D7</f>
        <v>288</v>
      </c>
      <c r="E13" s="29">
        <f t="shared" si="1"/>
        <v>7200</v>
      </c>
    </row>
    <row r="14" spans="2:12" x14ac:dyDescent="0.45">
      <c r="B14" s="9" t="s">
        <v>21</v>
      </c>
      <c r="C14" s="14">
        <f>C15-C17</f>
        <v>160</v>
      </c>
      <c r="D14" s="14">
        <f t="shared" ref="D14:E14" si="2">D15-D17</f>
        <v>48</v>
      </c>
      <c r="E14" s="14">
        <f t="shared" si="2"/>
        <v>7200</v>
      </c>
    </row>
    <row r="15" spans="2:12" x14ac:dyDescent="0.45">
      <c r="B15" s="9" t="s">
        <v>31</v>
      </c>
      <c r="C15" s="14">
        <f>C5*C7+C6</f>
        <v>360</v>
      </c>
      <c r="D15" s="14">
        <f>D5*D7+D6</f>
        <v>288</v>
      </c>
      <c r="E15" s="14">
        <f>E5*E7+E6</f>
        <v>7200</v>
      </c>
      <c r="K15" s="4" t="s">
        <v>42</v>
      </c>
      <c r="L15" s="50">
        <v>113249.99999999999</v>
      </c>
    </row>
    <row r="16" spans="2:12" x14ac:dyDescent="0.45">
      <c r="C16" s="3" t="s">
        <v>11</v>
      </c>
      <c r="D16" s="3" t="s">
        <v>11</v>
      </c>
      <c r="E16" s="3" t="s">
        <v>11</v>
      </c>
      <c r="K16" s="4" t="s">
        <v>43</v>
      </c>
      <c r="L16" s="50">
        <v>148000</v>
      </c>
    </row>
    <row r="17" spans="1:12" x14ac:dyDescent="0.45">
      <c r="B17" s="9" t="s">
        <v>7</v>
      </c>
      <c r="C17" s="15">
        <v>200</v>
      </c>
      <c r="D17" s="15">
        <v>240</v>
      </c>
      <c r="E17" s="15">
        <v>0</v>
      </c>
      <c r="F17" s="2" t="s">
        <v>23</v>
      </c>
      <c r="K17" s="4" t="s">
        <v>44</v>
      </c>
      <c r="L17" s="43">
        <v>167666.66666666669</v>
      </c>
    </row>
    <row r="20" spans="1:12" x14ac:dyDescent="0.45">
      <c r="H20" s="2" t="s">
        <v>5</v>
      </c>
      <c r="I20" s="6">
        <f>SUMPRODUCT(C14:E14,C8:E8)+SUMPRODUCT(C25:C26,D25:D26)</f>
        <v>262400</v>
      </c>
    </row>
    <row r="21" spans="1:12" x14ac:dyDescent="0.45">
      <c r="H21" s="2" t="s">
        <v>9</v>
      </c>
      <c r="I21" s="6">
        <f>SUMPRODUCT(C5:E5,C12:E12)</f>
        <v>114400</v>
      </c>
    </row>
    <row r="22" spans="1:12" ht="14.65" thickBot="1" x14ac:dyDescent="0.5">
      <c r="C22" s="2" t="s">
        <v>2</v>
      </c>
      <c r="D22" s="26" t="s">
        <v>24</v>
      </c>
      <c r="H22" s="2" t="s">
        <v>6</v>
      </c>
      <c r="I22" s="6">
        <f>SUMPRODUCT(C6:E6,C11:E11)</f>
        <v>0</v>
      </c>
    </row>
    <row r="23" spans="1:12" ht="15.75" thickTop="1" x14ac:dyDescent="0.6">
      <c r="B23" s="17" t="s">
        <v>30</v>
      </c>
      <c r="C23" s="18">
        <v>1</v>
      </c>
      <c r="D23" s="27">
        <f>C23*E10</f>
        <v>6000</v>
      </c>
      <c r="H23" s="2" t="s">
        <v>10</v>
      </c>
      <c r="I23" s="8">
        <f>I20-I21-I22</f>
        <v>148000</v>
      </c>
    </row>
    <row r="24" spans="1:12" ht="14.65" thickBot="1" x14ac:dyDescent="0.5">
      <c r="C24" s="19" t="s">
        <v>5</v>
      </c>
      <c r="D24" s="28" t="s">
        <v>11</v>
      </c>
      <c r="E24" s="25"/>
      <c r="F24" s="25"/>
      <c r="K24"/>
      <c r="L24" s="6"/>
    </row>
    <row r="25" spans="1:12" ht="15" thickTop="1" thickBot="1" x14ac:dyDescent="0.5">
      <c r="A25" s="9" t="s">
        <v>15</v>
      </c>
      <c r="B25" s="9" t="s">
        <v>17</v>
      </c>
      <c r="C25" s="20">
        <v>36</v>
      </c>
      <c r="D25" s="22">
        <v>6000.0000000000009</v>
      </c>
      <c r="E25" s="23" t="s">
        <v>3</v>
      </c>
      <c r="F25" s="24">
        <f>E10</f>
        <v>6000</v>
      </c>
    </row>
    <row r="26" spans="1:12" ht="15" thickTop="1" thickBot="1" x14ac:dyDescent="0.5">
      <c r="A26" s="9" t="s">
        <v>16</v>
      </c>
      <c r="B26" s="9" t="s">
        <v>18</v>
      </c>
      <c r="C26" s="10">
        <v>10</v>
      </c>
      <c r="D26" s="21">
        <v>1199.9999999999991</v>
      </c>
      <c r="E26" s="23" t="s">
        <v>3</v>
      </c>
      <c r="F26" s="34">
        <f>C23*1000000</f>
        <v>1000000</v>
      </c>
      <c r="K26"/>
      <c r="L26" s="6"/>
    </row>
    <row r="27" spans="1:12" ht="14.65" thickTop="1" x14ac:dyDescent="0.45">
      <c r="D27" s="4">
        <f>SUM(D25:D26)</f>
        <v>7200</v>
      </c>
      <c r="K27"/>
      <c r="L27" s="6"/>
    </row>
    <row r="28" spans="1:12" x14ac:dyDescent="0.45">
      <c r="D28" s="5" t="s">
        <v>14</v>
      </c>
      <c r="K28"/>
      <c r="L28" s="6"/>
    </row>
    <row r="29" spans="1:12" x14ac:dyDescent="0.45">
      <c r="C29" t="s">
        <v>12</v>
      </c>
      <c r="D29" s="7">
        <f>E15</f>
        <v>7200</v>
      </c>
      <c r="E29" s="2" t="s">
        <v>23</v>
      </c>
      <c r="K29"/>
      <c r="L29" s="6"/>
    </row>
    <row r="30" spans="1:12" x14ac:dyDescent="0.45">
      <c r="C30" t="s">
        <v>5</v>
      </c>
      <c r="D30" s="6">
        <f>SUMPRODUCT(C25:C26,D25:D26)</f>
        <v>228000.00000000003</v>
      </c>
    </row>
  </sheetData>
  <conditionalFormatting sqref="C15">
    <cfRule type="iconSet" priority="1">
      <iconSet iconSet="3Symbols2">
        <cfvo type="percent" val="0"/>
        <cfvo type="formula" val="$C$17-150"/>
        <cfvo type="formula" val="$C$17"/>
      </iconSet>
    </cfRule>
  </conditionalFormatting>
  <conditionalFormatting sqref="D15">
    <cfRule type="iconSet" priority="2">
      <iconSet iconSet="3Symbols2">
        <cfvo type="percent" val="0"/>
        <cfvo type="formula" val="$D$17-150"/>
        <cfvo type="formula" val="$D$17"/>
      </iconSet>
    </cfRule>
  </conditionalFormatting>
  <conditionalFormatting sqref="E15">
    <cfRule type="iconSet" priority="3">
      <iconSet iconSet="3Symbols2">
        <cfvo type="percent" val="0"/>
        <cfvo type="formula" val="$E$17-150"/>
        <cfvo type="formula" val="$E$17"/>
      </iconSet>
    </cfRule>
  </conditionalFormatting>
  <conditionalFormatting sqref="F5">
    <cfRule type="iconSet" priority="5">
      <iconSet iconSet="3Symbols2">
        <cfvo type="percent" val="0"/>
        <cfvo type="num" val="0"/>
        <cfvo type="num" val="25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1CD7D0C0-E893-4937-89D1-082F019ABAE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6000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D25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CC1D-2F6C-4558-8F15-E71F0E90B6C1}">
  <sheetPr codeName="Sheet8"/>
  <dimension ref="A2:AE57"/>
  <sheetViews>
    <sheetView showGridLines="0" tabSelected="1" zoomScale="49" zoomScaleNormal="49" workbookViewId="0">
      <selection activeCell="AI59" sqref="AI59"/>
    </sheetView>
  </sheetViews>
  <sheetFormatPr defaultRowHeight="14.25" x14ac:dyDescent="0.45"/>
  <cols>
    <col min="3" max="3" width="11.19921875" bestFit="1" customWidth="1"/>
    <col min="4" max="4" width="10.73046875" bestFit="1" customWidth="1"/>
    <col min="5" max="5" width="12" bestFit="1" customWidth="1"/>
    <col min="6" max="6" width="13.19921875" customWidth="1"/>
    <col min="7" max="7" width="13.3984375" customWidth="1"/>
    <col min="8" max="8" width="12.796875" customWidth="1"/>
    <col min="9" max="9" width="11.6640625" customWidth="1"/>
    <col min="10" max="10" width="12.53125" customWidth="1"/>
    <col min="11" max="11" width="12.33203125" customWidth="1"/>
    <col min="12" max="12" width="11.9296875" customWidth="1"/>
    <col min="13" max="13" width="12.46484375" customWidth="1"/>
    <col min="14" max="14" width="9.59765625" bestFit="1" customWidth="1"/>
    <col min="15" max="15" width="11.19921875" bestFit="1" customWidth="1"/>
    <col min="16" max="16" width="12.06640625" bestFit="1" customWidth="1"/>
    <col min="17" max="17" width="12" bestFit="1" customWidth="1"/>
    <col min="18" max="18" width="12.73046875" customWidth="1"/>
    <col min="19" max="19" width="12.06640625" customWidth="1"/>
    <col min="20" max="20" width="14.3984375" bestFit="1" customWidth="1"/>
    <col min="21" max="21" width="9.59765625" bestFit="1" customWidth="1"/>
    <col min="25" max="25" width="10.06640625" bestFit="1" customWidth="1"/>
    <col min="26" max="26" width="12" bestFit="1" customWidth="1"/>
    <col min="27" max="27" width="15.53125" bestFit="1" customWidth="1"/>
    <col min="28" max="28" width="12.33203125" bestFit="1" customWidth="1"/>
    <col min="29" max="29" width="13.06640625" bestFit="1" customWidth="1"/>
    <col min="30" max="30" width="12.33203125" bestFit="1" customWidth="1"/>
    <col min="31" max="31" width="12" bestFit="1" customWidth="1"/>
  </cols>
  <sheetData>
    <row r="2" spans="1:31" x14ac:dyDescent="0.45">
      <c r="P2" s="106" t="s">
        <v>41</v>
      </c>
      <c r="Q2" s="106"/>
      <c r="R2" s="106"/>
    </row>
    <row r="3" spans="1:31" x14ac:dyDescent="0.45">
      <c r="P3" s="37" t="s">
        <v>38</v>
      </c>
      <c r="Q3" s="37" t="s">
        <v>39</v>
      </c>
      <c r="R3" s="37" t="s">
        <v>40</v>
      </c>
    </row>
    <row r="4" spans="1:31" x14ac:dyDescent="0.45">
      <c r="E4" s="106" t="s">
        <v>41</v>
      </c>
      <c r="F4" s="106"/>
      <c r="G4" s="106"/>
      <c r="O4" s="12" t="s">
        <v>71</v>
      </c>
      <c r="P4" s="88">
        <f>1/3</f>
        <v>0.33333333333333331</v>
      </c>
      <c r="Q4" s="88">
        <f t="shared" ref="Q4:R4" si="0">1/3</f>
        <v>0.33333333333333331</v>
      </c>
      <c r="R4" s="88">
        <f t="shared" si="0"/>
        <v>0.33333333333333331</v>
      </c>
    </row>
    <row r="5" spans="1:31" x14ac:dyDescent="0.45">
      <c r="A5" s="48" t="s">
        <v>46</v>
      </c>
      <c r="E5" s="37" t="s">
        <v>38</v>
      </c>
      <c r="F5" s="37" t="s">
        <v>39</v>
      </c>
      <c r="G5" s="37" t="s">
        <v>40</v>
      </c>
      <c r="O5" s="2" t="s">
        <v>5</v>
      </c>
      <c r="P5" s="98">
        <f>F54</f>
        <v>167799.99999999997</v>
      </c>
      <c r="Q5" s="98">
        <f>M54</f>
        <v>218249.99999999997</v>
      </c>
      <c r="R5" s="98">
        <f>T54</f>
        <v>275900</v>
      </c>
    </row>
    <row r="6" spans="1:31" x14ac:dyDescent="0.45">
      <c r="D6" s="2" t="s">
        <v>4</v>
      </c>
      <c r="E6" s="51">
        <v>0.8</v>
      </c>
      <c r="F6" s="52">
        <v>1</v>
      </c>
      <c r="G6" s="53">
        <v>1.2</v>
      </c>
      <c r="O6" t="s">
        <v>9</v>
      </c>
      <c r="P6" s="89">
        <f>F55</f>
        <v>108900</v>
      </c>
      <c r="Q6" s="89">
        <f>M55</f>
        <v>108900</v>
      </c>
      <c r="R6" s="89">
        <f>T55</f>
        <v>0</v>
      </c>
    </row>
    <row r="7" spans="1:31" x14ac:dyDescent="0.45">
      <c r="D7" s="2"/>
      <c r="E7" s="107" t="s">
        <v>34</v>
      </c>
      <c r="F7" s="108"/>
      <c r="G7" s="109"/>
      <c r="O7" t="s">
        <v>6</v>
      </c>
      <c r="P7" s="89">
        <f>F56</f>
        <v>10079.999999999995</v>
      </c>
      <c r="Q7" s="89">
        <f>M56</f>
        <v>0</v>
      </c>
      <c r="R7" s="89">
        <f>T56</f>
        <v>0</v>
      </c>
    </row>
    <row r="8" spans="1:31" x14ac:dyDescent="0.45">
      <c r="D8" s="2"/>
      <c r="E8" s="37" t="s">
        <v>42</v>
      </c>
      <c r="F8" s="37" t="s">
        <v>43</v>
      </c>
      <c r="G8" s="37" t="s">
        <v>44</v>
      </c>
      <c r="O8" s="2" t="s">
        <v>84</v>
      </c>
      <c r="P8" s="99">
        <f>SUM(P6:P7)</f>
        <v>118980</v>
      </c>
      <c r="Q8" s="99">
        <f>SUM(Q6:Q7)</f>
        <v>108900</v>
      </c>
      <c r="R8" s="99">
        <f t="shared" ref="R8" si="1">SUM(R6:R7)</f>
        <v>0</v>
      </c>
      <c r="AC8" s="93" t="s">
        <v>76</v>
      </c>
    </row>
    <row r="9" spans="1:31" x14ac:dyDescent="0.45">
      <c r="E9" s="37" t="s">
        <v>35</v>
      </c>
      <c r="F9" s="37" t="s">
        <v>36</v>
      </c>
      <c r="G9" s="37" t="s">
        <v>37</v>
      </c>
      <c r="N9" s="2"/>
      <c r="O9" s="2"/>
      <c r="P9" s="47"/>
      <c r="Q9" s="47"/>
      <c r="R9" s="47"/>
      <c r="S9" s="47"/>
      <c r="Y9" s="12" t="s">
        <v>71</v>
      </c>
      <c r="Z9" s="88">
        <f>1/3</f>
        <v>0.33333333333333331</v>
      </c>
      <c r="AA9" s="88">
        <f t="shared" ref="AA9:AB9" si="2">1/3</f>
        <v>0.33333333333333331</v>
      </c>
      <c r="AB9" s="88">
        <f t="shared" si="2"/>
        <v>0.33333333333333331</v>
      </c>
      <c r="AC9" s="113" t="s">
        <v>75</v>
      </c>
    </row>
    <row r="10" spans="1:31" ht="15.4" x14ac:dyDescent="0.6">
      <c r="C10" s="115" t="s">
        <v>49</v>
      </c>
      <c r="D10" s="12" t="s">
        <v>0</v>
      </c>
      <c r="E10" s="54">
        <v>2</v>
      </c>
      <c r="F10" s="55">
        <v>2.5</v>
      </c>
      <c r="G10" s="56">
        <v>3</v>
      </c>
      <c r="O10" s="12" t="s">
        <v>85</v>
      </c>
      <c r="P10" s="13">
        <f>(P5-P7)*P4</f>
        <v>52573.333333333321</v>
      </c>
      <c r="Q10" s="13">
        <f t="shared" ref="Q10:R10" si="3">(Q5-Q7)*Q4</f>
        <v>72749.999999999985</v>
      </c>
      <c r="R10" s="13">
        <f t="shared" si="3"/>
        <v>91966.666666666657</v>
      </c>
      <c r="S10" s="90">
        <f>SUM(P10:R10)-SUMPRODUCT(Superficie,J18:L18)</f>
        <v>108389.99999999997</v>
      </c>
      <c r="T10" s="30" t="s">
        <v>74</v>
      </c>
      <c r="Y10" s="111" t="s">
        <v>4</v>
      </c>
      <c r="Z10" s="51">
        <v>0.8</v>
      </c>
      <c r="AA10" s="52">
        <v>1</v>
      </c>
      <c r="AB10" s="53">
        <v>1.2</v>
      </c>
      <c r="AC10" s="113"/>
    </row>
    <row r="11" spans="1:31" x14ac:dyDescent="0.45">
      <c r="C11" s="115"/>
      <c r="D11" s="12" t="s">
        <v>1</v>
      </c>
      <c r="E11" s="54">
        <v>2.4000000000000004</v>
      </c>
      <c r="F11" s="55">
        <v>3</v>
      </c>
      <c r="G11" s="56">
        <v>3.5999999999999996</v>
      </c>
      <c r="Y11" s="111"/>
      <c r="Z11" s="38" t="s">
        <v>38</v>
      </c>
      <c r="AA11" s="38" t="s">
        <v>39</v>
      </c>
      <c r="AB11" s="38" t="s">
        <v>40</v>
      </c>
      <c r="AC11" s="113"/>
    </row>
    <row r="12" spans="1:31" x14ac:dyDescent="0.45">
      <c r="C12" s="115"/>
      <c r="D12" s="12" t="s">
        <v>2</v>
      </c>
      <c r="E12" s="54">
        <v>16</v>
      </c>
      <c r="F12" s="55">
        <v>20</v>
      </c>
      <c r="G12" s="56">
        <v>24</v>
      </c>
      <c r="P12" s="47"/>
      <c r="Q12" s="47"/>
      <c r="R12" s="47"/>
      <c r="S12" s="47"/>
      <c r="X12" s="32" t="s">
        <v>77</v>
      </c>
      <c r="Y12" s="4" t="s">
        <v>42</v>
      </c>
      <c r="Z12" s="49">
        <v>59950</v>
      </c>
      <c r="AA12" s="50">
        <v>86600</v>
      </c>
      <c r="AB12" s="50">
        <v>113249.99999999999</v>
      </c>
      <c r="AC12" s="36">
        <f>SUMPRODUCT($Z$9:$AB$9,Z12:AB12)</f>
        <v>86600</v>
      </c>
      <c r="AD12" s="47"/>
      <c r="AE12" s="47"/>
    </row>
    <row r="13" spans="1:31" x14ac:dyDescent="0.45">
      <c r="X13" s="32" t="s">
        <v>78</v>
      </c>
      <c r="Y13" s="4" t="s">
        <v>43</v>
      </c>
      <c r="Z13" s="50">
        <v>55120</v>
      </c>
      <c r="AA13" s="41">
        <v>118600</v>
      </c>
      <c r="AB13" s="50">
        <v>148000</v>
      </c>
      <c r="AC13" s="36">
        <f t="shared" ref="AC13:AC14" si="4">SUMPRODUCT($Z$9:$AB$9,Z13:AB13)</f>
        <v>107239.99999999999</v>
      </c>
      <c r="AD13" s="47"/>
    </row>
    <row r="14" spans="1:31" x14ac:dyDescent="0.45">
      <c r="D14" s="2"/>
      <c r="J14" s="114" t="s">
        <v>22</v>
      </c>
      <c r="K14" s="114"/>
      <c r="L14" s="114"/>
      <c r="X14" s="32" t="s">
        <v>79</v>
      </c>
      <c r="Y14" s="4" t="s">
        <v>44</v>
      </c>
      <c r="Z14" s="50">
        <v>47700.000000000007</v>
      </c>
      <c r="AA14" s="47">
        <v>107683.33333333331</v>
      </c>
      <c r="AB14" s="43">
        <v>167666.66666666669</v>
      </c>
      <c r="AC14" s="36">
        <f t="shared" si="4"/>
        <v>107683.33333333333</v>
      </c>
      <c r="AD14" s="47"/>
    </row>
    <row r="15" spans="1:31" x14ac:dyDescent="0.45">
      <c r="D15" s="37" t="s">
        <v>42</v>
      </c>
      <c r="E15" s="45">
        <v>100</v>
      </c>
      <c r="F15" s="45">
        <v>24.999999999999986</v>
      </c>
      <c r="G15" s="45">
        <v>375</v>
      </c>
      <c r="J15" s="12" t="s">
        <v>0</v>
      </c>
      <c r="K15" s="12" t="s">
        <v>1</v>
      </c>
      <c r="L15" s="12" t="s">
        <v>2</v>
      </c>
      <c r="Y15" s="5" t="s">
        <v>87</v>
      </c>
      <c r="Z15" s="105">
        <f>$AC$15/3</f>
        <v>36129.999999999993</v>
      </c>
      <c r="AA15" s="105">
        <f t="shared" ref="AA15:AB15" si="5">$AC$15/3</f>
        <v>36129.999999999993</v>
      </c>
      <c r="AB15" s="105">
        <f t="shared" si="5"/>
        <v>36129.999999999993</v>
      </c>
      <c r="AC15" s="95">
        <f>OBJ</f>
        <v>108389.99999999997</v>
      </c>
      <c r="AD15" s="47"/>
    </row>
    <row r="16" spans="1:31" x14ac:dyDescent="0.45">
      <c r="D16" s="37" t="s">
        <v>43</v>
      </c>
      <c r="E16" s="40">
        <v>120</v>
      </c>
      <c r="F16" s="40">
        <v>80</v>
      </c>
      <c r="G16" s="40">
        <v>300</v>
      </c>
      <c r="J16" s="12" t="s">
        <v>26</v>
      </c>
      <c r="K16" s="12" t="s">
        <v>27</v>
      </c>
      <c r="L16" s="12" t="s">
        <v>28</v>
      </c>
    </row>
    <row r="17" spans="3:31" ht="14.65" thickBot="1" x14ac:dyDescent="0.5">
      <c r="D17" s="37" t="s">
        <v>44</v>
      </c>
      <c r="E17" s="14">
        <v>183.33333333333334</v>
      </c>
      <c r="F17" s="14">
        <v>66.666666666666671</v>
      </c>
      <c r="G17" s="14">
        <v>249.99999999999994</v>
      </c>
      <c r="J17" s="96">
        <v>169.99999999999994</v>
      </c>
      <c r="K17" s="96">
        <v>80</v>
      </c>
      <c r="L17" s="97">
        <v>250</v>
      </c>
      <c r="M17" s="92">
        <f>SUM(J17:L17)</f>
        <v>499.99999999999994</v>
      </c>
      <c r="N17" s="91">
        <v>500</v>
      </c>
      <c r="AA17" s="17" t="s">
        <v>82</v>
      </c>
    </row>
    <row r="18" spans="3:31" ht="14.65" thickBot="1" x14ac:dyDescent="0.5">
      <c r="J18" s="10">
        <v>150</v>
      </c>
      <c r="K18" s="10">
        <v>230</v>
      </c>
      <c r="L18" s="10">
        <v>260</v>
      </c>
      <c r="Z18" s="100" t="s">
        <v>80</v>
      </c>
      <c r="AA18" s="101">
        <f>Z12*Z9+AA9*AA13+AB9*AB14</f>
        <v>115405.55555555555</v>
      </c>
      <c r="AB18" s="102" t="s">
        <v>83</v>
      </c>
      <c r="AC18" s="101">
        <f>OBJ</f>
        <v>108389.99999999997</v>
      </c>
      <c r="AD18" s="103" t="s">
        <v>14</v>
      </c>
      <c r="AE18" s="104">
        <f>AA18-AC18</f>
        <v>7015.5555555555766</v>
      </c>
    </row>
    <row r="19" spans="3:31" x14ac:dyDescent="0.45">
      <c r="X19" s="94" t="s">
        <v>81</v>
      </c>
      <c r="AC19" s="17" t="s">
        <v>86</v>
      </c>
    </row>
    <row r="23" spans="3:31" x14ac:dyDescent="0.45">
      <c r="C23" t="s">
        <v>38</v>
      </c>
      <c r="E23" s="12" t="s">
        <v>0</v>
      </c>
      <c r="F23" s="12" t="s">
        <v>1</v>
      </c>
      <c r="G23" s="12" t="s">
        <v>2</v>
      </c>
      <c r="J23" t="s">
        <v>73</v>
      </c>
      <c r="L23" s="12" t="s">
        <v>0</v>
      </c>
      <c r="M23" s="12" t="s">
        <v>1</v>
      </c>
      <c r="N23" s="12" t="s">
        <v>2</v>
      </c>
      <c r="Q23" t="s">
        <v>72</v>
      </c>
      <c r="S23" s="12" t="s">
        <v>0</v>
      </c>
      <c r="T23" s="12" t="s">
        <v>1</v>
      </c>
      <c r="U23" s="12" t="s">
        <v>2</v>
      </c>
    </row>
    <row r="24" spans="3:31" x14ac:dyDescent="0.45">
      <c r="E24" s="12" t="s">
        <v>26</v>
      </c>
      <c r="F24" s="12" t="s">
        <v>27</v>
      </c>
      <c r="G24" s="12" t="s">
        <v>28</v>
      </c>
      <c r="L24" s="12" t="s">
        <v>26</v>
      </c>
      <c r="M24" s="12" t="s">
        <v>27</v>
      </c>
      <c r="N24" s="12" t="s">
        <v>28</v>
      </c>
      <c r="S24" s="12" t="s">
        <v>26</v>
      </c>
      <c r="T24" s="12" t="s">
        <v>27</v>
      </c>
      <c r="U24" s="12" t="s">
        <v>28</v>
      </c>
    </row>
    <row r="25" spans="3:31" x14ac:dyDescent="0.45">
      <c r="D25" s="9" t="s">
        <v>19</v>
      </c>
      <c r="E25" s="9">
        <f>J17</f>
        <v>169.99999999999994</v>
      </c>
      <c r="F25" s="9">
        <f>K17</f>
        <v>80</v>
      </c>
      <c r="G25" s="9">
        <f>L17</f>
        <v>250</v>
      </c>
      <c r="J25" s="3"/>
      <c r="K25" s="9" t="s">
        <v>19</v>
      </c>
      <c r="L25" s="9">
        <f>J17</f>
        <v>169.99999999999994</v>
      </c>
      <c r="M25" s="9">
        <f>K17</f>
        <v>80</v>
      </c>
      <c r="N25" s="9">
        <f>L17</f>
        <v>250</v>
      </c>
      <c r="O25" s="33"/>
      <c r="P25" s="33"/>
      <c r="R25" s="9" t="s">
        <v>19</v>
      </c>
      <c r="S25" s="9">
        <f>J17</f>
        <v>169.99999999999994</v>
      </c>
      <c r="T25" s="9">
        <f>K17</f>
        <v>80</v>
      </c>
      <c r="U25" s="9">
        <f>L17</f>
        <v>250</v>
      </c>
    </row>
    <row r="26" spans="3:31" x14ac:dyDescent="0.45">
      <c r="D26" s="9" t="s">
        <v>20</v>
      </c>
      <c r="E26" s="11">
        <v>0</v>
      </c>
      <c r="F26" s="11">
        <v>47.999999999999972</v>
      </c>
      <c r="G26" s="9">
        <v>0</v>
      </c>
      <c r="J26" s="3"/>
      <c r="K26" s="9" t="s">
        <v>20</v>
      </c>
      <c r="L26" s="11">
        <v>0</v>
      </c>
      <c r="M26" s="11">
        <v>0</v>
      </c>
      <c r="N26" s="9">
        <v>0</v>
      </c>
      <c r="R26" s="9" t="s">
        <v>20</v>
      </c>
      <c r="S26" s="11">
        <v>0</v>
      </c>
      <c r="T26" s="11">
        <v>0</v>
      </c>
      <c r="U26" s="9">
        <v>0</v>
      </c>
    </row>
    <row r="27" spans="3:31" x14ac:dyDescent="0.45">
      <c r="D27" t="s">
        <v>4</v>
      </c>
      <c r="E27" s="54">
        <v>2</v>
      </c>
      <c r="F27" s="54">
        <v>2.4000000000000004</v>
      </c>
      <c r="G27" s="54">
        <v>16</v>
      </c>
      <c r="H27" s="33"/>
      <c r="I27" s="33"/>
      <c r="K27" t="s">
        <v>4</v>
      </c>
      <c r="L27" s="55">
        <v>2.5</v>
      </c>
      <c r="M27" s="55">
        <v>3</v>
      </c>
      <c r="N27" s="55">
        <v>20</v>
      </c>
      <c r="O27" s="33"/>
      <c r="P27" s="33"/>
      <c r="R27" t="s">
        <v>4</v>
      </c>
      <c r="S27" s="56">
        <v>3</v>
      </c>
      <c r="T27" s="56">
        <v>3.5999999999999996</v>
      </c>
      <c r="U27" s="56">
        <v>24</v>
      </c>
      <c r="V27" s="33"/>
    </row>
    <row r="28" spans="3:31" x14ac:dyDescent="0.45">
      <c r="D28" s="9" t="s">
        <v>5</v>
      </c>
      <c r="E28" s="10">
        <v>170</v>
      </c>
      <c r="F28" s="10">
        <v>150</v>
      </c>
      <c r="G28" s="13"/>
      <c r="K28" s="9" t="s">
        <v>5</v>
      </c>
      <c r="L28" s="10">
        <v>170</v>
      </c>
      <c r="M28" s="10">
        <v>150</v>
      </c>
      <c r="N28" s="13"/>
      <c r="R28" s="9" t="s">
        <v>5</v>
      </c>
      <c r="S28" s="10">
        <v>170</v>
      </c>
      <c r="T28" s="10">
        <v>150</v>
      </c>
      <c r="U28" s="13"/>
    </row>
    <row r="29" spans="3:31" x14ac:dyDescent="0.45">
      <c r="D29" s="9" t="s">
        <v>29</v>
      </c>
      <c r="E29" s="16">
        <f>E28*E34</f>
        <v>23799.999999999982</v>
      </c>
      <c r="F29" s="16">
        <f>F28*F34</f>
        <v>0</v>
      </c>
      <c r="G29" s="16">
        <f>F50</f>
        <v>144000</v>
      </c>
      <c r="K29" s="9" t="s">
        <v>29</v>
      </c>
      <c r="L29" s="16">
        <f>L28*L34</f>
        <v>38249.999999999978</v>
      </c>
      <c r="M29" s="16">
        <f>M28*M34</f>
        <v>0</v>
      </c>
      <c r="N29" s="16">
        <f>M50</f>
        <v>180000</v>
      </c>
      <c r="R29" s="9" t="s">
        <v>29</v>
      </c>
      <c r="S29" s="16">
        <f>S28*S34</f>
        <v>52699.999999999971</v>
      </c>
      <c r="T29" s="16">
        <f>T28*T34</f>
        <v>7200</v>
      </c>
      <c r="U29" s="16">
        <f>T50</f>
        <v>216000</v>
      </c>
    </row>
    <row r="30" spans="3:31" x14ac:dyDescent="0.45">
      <c r="D30" s="9" t="s">
        <v>13</v>
      </c>
      <c r="E30" s="9"/>
      <c r="F30" s="9"/>
      <c r="G30" s="9">
        <v>6000</v>
      </c>
      <c r="K30" s="9" t="s">
        <v>13</v>
      </c>
      <c r="L30" s="9"/>
      <c r="M30" s="9"/>
      <c r="N30" s="9">
        <v>6000</v>
      </c>
      <c r="R30" s="9" t="s">
        <v>13</v>
      </c>
      <c r="S30" s="9"/>
      <c r="T30" s="9"/>
      <c r="U30" s="9">
        <v>6000</v>
      </c>
    </row>
    <row r="31" spans="3:31" x14ac:dyDescent="0.45">
      <c r="D31" s="9" t="s">
        <v>6</v>
      </c>
      <c r="E31" s="10">
        <f>E28*1.4</f>
        <v>237.99999999999997</v>
      </c>
      <c r="F31" s="10">
        <f>F28*1.4</f>
        <v>210</v>
      </c>
      <c r="G31" s="10"/>
      <c r="K31" s="9" t="s">
        <v>6</v>
      </c>
      <c r="L31" s="10">
        <f>L28*1.4</f>
        <v>237.99999999999997</v>
      </c>
      <c r="M31" s="10">
        <f>M28*1.4</f>
        <v>210</v>
      </c>
      <c r="N31" s="10"/>
      <c r="R31" s="9" t="s">
        <v>6</v>
      </c>
      <c r="S31" s="10">
        <f>S28*1.4</f>
        <v>237.99999999999997</v>
      </c>
      <c r="T31" s="10">
        <f>T28*1.4</f>
        <v>210</v>
      </c>
      <c r="U31" s="10"/>
    </row>
    <row r="32" spans="3:31" x14ac:dyDescent="0.45">
      <c r="D32" s="9" t="s">
        <v>8</v>
      </c>
      <c r="E32" s="10">
        <v>150</v>
      </c>
      <c r="F32" s="10">
        <v>230</v>
      </c>
      <c r="G32" s="10">
        <v>260</v>
      </c>
      <c r="K32" s="9" t="s">
        <v>8</v>
      </c>
      <c r="L32" s="10">
        <v>150</v>
      </c>
      <c r="M32" s="10">
        <v>230</v>
      </c>
      <c r="N32" s="10">
        <v>260</v>
      </c>
      <c r="R32" s="9" t="s">
        <v>8</v>
      </c>
      <c r="S32" s="10">
        <v>150</v>
      </c>
      <c r="T32" s="10">
        <v>230</v>
      </c>
      <c r="U32" s="10">
        <v>260</v>
      </c>
    </row>
    <row r="33" spans="4:22" x14ac:dyDescent="0.45">
      <c r="D33" s="9" t="s">
        <v>12</v>
      </c>
      <c r="E33" s="29">
        <f>E25*E27</f>
        <v>339.99999999999989</v>
      </c>
      <c r="F33" s="29">
        <f t="shared" ref="F33:G33" si="6">F25*F27</f>
        <v>192.00000000000003</v>
      </c>
      <c r="G33" s="29">
        <f t="shared" si="6"/>
        <v>4000</v>
      </c>
      <c r="K33" s="9" t="s">
        <v>12</v>
      </c>
      <c r="L33" s="29">
        <f>L25*L27</f>
        <v>424.99999999999989</v>
      </c>
      <c r="M33" s="29">
        <f t="shared" ref="M33:N33" si="7">M25*M27</f>
        <v>240</v>
      </c>
      <c r="N33" s="29">
        <f t="shared" si="7"/>
        <v>5000</v>
      </c>
      <c r="R33" s="9" t="s">
        <v>12</v>
      </c>
      <c r="S33" s="29">
        <f>S25*S27</f>
        <v>509.99999999999983</v>
      </c>
      <c r="T33" s="29">
        <f t="shared" ref="T33:U33" si="8">T25*T27</f>
        <v>288</v>
      </c>
      <c r="U33" s="29">
        <f t="shared" si="8"/>
        <v>6000</v>
      </c>
    </row>
    <row r="34" spans="4:22" x14ac:dyDescent="0.45">
      <c r="D34" s="9" t="s">
        <v>21</v>
      </c>
      <c r="E34" s="14">
        <f>E35-E37</f>
        <v>139.99999999999989</v>
      </c>
      <c r="F34" s="14">
        <f t="shared" ref="F34:G34" si="9">F35-F37</f>
        <v>0</v>
      </c>
      <c r="G34" s="14">
        <f t="shared" si="9"/>
        <v>4000</v>
      </c>
      <c r="K34" s="9" t="s">
        <v>21</v>
      </c>
      <c r="L34" s="14">
        <f>L35-L37</f>
        <v>224.99999999999989</v>
      </c>
      <c r="M34" s="14">
        <f>M35-M37</f>
        <v>0</v>
      </c>
      <c r="N34" s="14">
        <f>N35-N37</f>
        <v>5000</v>
      </c>
      <c r="R34" s="9" t="s">
        <v>21</v>
      </c>
      <c r="S34" s="14">
        <f>S35-S37</f>
        <v>309.99999999999983</v>
      </c>
      <c r="T34" s="14">
        <f>T35-T37</f>
        <v>48</v>
      </c>
      <c r="U34" s="14">
        <f>U35-U37</f>
        <v>6000</v>
      </c>
    </row>
    <row r="35" spans="4:22" x14ac:dyDescent="0.45">
      <c r="D35" s="9" t="s">
        <v>31</v>
      </c>
      <c r="E35" s="14">
        <f>E25*E27+E26</f>
        <v>339.99999999999989</v>
      </c>
      <c r="F35" s="14">
        <f>F25*F27+F26</f>
        <v>240</v>
      </c>
      <c r="G35" s="14">
        <f>G25*G27+G26</f>
        <v>4000</v>
      </c>
      <c r="K35" s="9" t="s">
        <v>31</v>
      </c>
      <c r="L35" s="14">
        <f>L25*L27+L26</f>
        <v>424.99999999999989</v>
      </c>
      <c r="M35" s="14">
        <f>M25*M27+M26</f>
        <v>240</v>
      </c>
      <c r="N35" s="14">
        <f>N25*N27+N26</f>
        <v>5000</v>
      </c>
      <c r="R35" s="9" t="s">
        <v>31</v>
      </c>
      <c r="S35" s="14">
        <f>S25*S27+S26</f>
        <v>509.99999999999983</v>
      </c>
      <c r="T35" s="14">
        <f>T25*T27+T26</f>
        <v>288</v>
      </c>
      <c r="U35" s="14">
        <f>U25*U27+U26</f>
        <v>6000</v>
      </c>
    </row>
    <row r="36" spans="4:22" x14ac:dyDescent="0.45">
      <c r="E36" s="3" t="s">
        <v>11</v>
      </c>
      <c r="F36" s="3" t="s">
        <v>11</v>
      </c>
      <c r="G36" s="3" t="s">
        <v>11</v>
      </c>
      <c r="L36" s="3" t="s">
        <v>11</v>
      </c>
      <c r="M36" s="3" t="s">
        <v>11</v>
      </c>
      <c r="N36" s="3" t="s">
        <v>11</v>
      </c>
      <c r="S36" s="3" t="s">
        <v>11</v>
      </c>
      <c r="T36" s="3" t="s">
        <v>11</v>
      </c>
      <c r="U36" s="3" t="s">
        <v>11</v>
      </c>
    </row>
    <row r="37" spans="4:22" x14ac:dyDescent="0.45">
      <c r="D37" s="9" t="s">
        <v>7</v>
      </c>
      <c r="E37" s="15">
        <v>200</v>
      </c>
      <c r="F37" s="15">
        <v>240</v>
      </c>
      <c r="G37" s="15">
        <v>0</v>
      </c>
      <c r="H37" s="2" t="s">
        <v>23</v>
      </c>
      <c r="I37" s="2"/>
      <c r="K37" s="9" t="s">
        <v>7</v>
      </c>
      <c r="L37" s="15">
        <v>200</v>
      </c>
      <c r="M37" s="15">
        <v>240</v>
      </c>
      <c r="N37" s="15">
        <v>0</v>
      </c>
      <c r="O37" s="2" t="s">
        <v>23</v>
      </c>
      <c r="P37" s="2"/>
      <c r="R37" s="9" t="s">
        <v>7</v>
      </c>
      <c r="S37" s="15">
        <v>200</v>
      </c>
      <c r="T37" s="15">
        <v>240</v>
      </c>
      <c r="U37" s="15">
        <v>0</v>
      </c>
      <c r="V37" s="2" t="s">
        <v>23</v>
      </c>
    </row>
    <row r="42" spans="4:22" ht="14.65" thickBot="1" x14ac:dyDescent="0.5">
      <c r="E42" s="2" t="s">
        <v>2</v>
      </c>
      <c r="F42" s="26" t="s">
        <v>24</v>
      </c>
      <c r="L42" s="2" t="s">
        <v>2</v>
      </c>
      <c r="M42" s="26" t="s">
        <v>24</v>
      </c>
      <c r="S42" s="2" t="s">
        <v>2</v>
      </c>
      <c r="T42" s="26" t="s">
        <v>24</v>
      </c>
    </row>
    <row r="43" spans="4:22" ht="14.65" thickTop="1" x14ac:dyDescent="0.45">
      <c r="D43" s="17" t="s">
        <v>30</v>
      </c>
      <c r="E43" s="18">
        <v>0</v>
      </c>
      <c r="F43" s="27">
        <f>E43*G30</f>
        <v>0</v>
      </c>
      <c r="K43" s="17" t="s">
        <v>30</v>
      </c>
      <c r="L43" s="18">
        <v>0</v>
      </c>
      <c r="M43" s="27">
        <f>L43*N30</f>
        <v>0</v>
      </c>
      <c r="R43" s="17" t="s">
        <v>30</v>
      </c>
      <c r="S43" s="18">
        <v>1</v>
      </c>
      <c r="T43" s="27">
        <f>S43*U30</f>
        <v>6000</v>
      </c>
    </row>
    <row r="44" spans="4:22" ht="14.65" thickBot="1" x14ac:dyDescent="0.5">
      <c r="E44" s="19" t="s">
        <v>5</v>
      </c>
      <c r="F44" s="28" t="s">
        <v>11</v>
      </c>
      <c r="G44" s="25"/>
      <c r="H44" s="25"/>
      <c r="L44" s="19" t="s">
        <v>5</v>
      </c>
      <c r="M44" s="28" t="s">
        <v>11</v>
      </c>
      <c r="N44" s="25"/>
      <c r="O44" s="25"/>
      <c r="S44" s="19" t="s">
        <v>5</v>
      </c>
      <c r="T44" s="28" t="s">
        <v>11</v>
      </c>
      <c r="U44" s="25"/>
      <c r="V44" s="25"/>
    </row>
    <row r="45" spans="4:22" ht="15" thickTop="1" thickBot="1" x14ac:dyDescent="0.5">
      <c r="D45" s="9" t="s">
        <v>17</v>
      </c>
      <c r="E45" s="20">
        <v>36</v>
      </c>
      <c r="F45" s="22">
        <v>4000</v>
      </c>
      <c r="G45" s="23" t="s">
        <v>3</v>
      </c>
      <c r="H45" s="24">
        <f>G30</f>
        <v>6000</v>
      </c>
      <c r="K45" s="9" t="s">
        <v>17</v>
      </c>
      <c r="L45" s="20">
        <v>36</v>
      </c>
      <c r="M45" s="22">
        <v>5000</v>
      </c>
      <c r="N45" s="23" t="s">
        <v>3</v>
      </c>
      <c r="O45" s="24">
        <f>N30</f>
        <v>6000</v>
      </c>
      <c r="R45" s="9" t="s">
        <v>17</v>
      </c>
      <c r="S45" s="20">
        <v>36</v>
      </c>
      <c r="T45" s="22">
        <v>6000</v>
      </c>
      <c r="U45" s="23" t="s">
        <v>3</v>
      </c>
      <c r="V45" s="24">
        <f>U30</f>
        <v>6000</v>
      </c>
    </row>
    <row r="46" spans="4:22" ht="15" thickTop="1" thickBot="1" x14ac:dyDescent="0.5">
      <c r="D46" s="9" t="s">
        <v>18</v>
      </c>
      <c r="E46" s="10">
        <v>10</v>
      </c>
      <c r="F46" s="21">
        <v>0</v>
      </c>
      <c r="G46" s="23" t="s">
        <v>3</v>
      </c>
      <c r="H46" s="34">
        <f>E43*1000000</f>
        <v>0</v>
      </c>
      <c r="K46" s="9" t="s">
        <v>18</v>
      </c>
      <c r="L46" s="10">
        <v>10</v>
      </c>
      <c r="M46" s="21">
        <v>0</v>
      </c>
      <c r="N46" s="23" t="s">
        <v>3</v>
      </c>
      <c r="O46" s="34">
        <f>L43*1000000</f>
        <v>0</v>
      </c>
      <c r="R46" s="9" t="s">
        <v>18</v>
      </c>
      <c r="S46" s="10">
        <v>10</v>
      </c>
      <c r="T46" s="21">
        <v>0</v>
      </c>
      <c r="U46" s="23" t="s">
        <v>3</v>
      </c>
      <c r="V46" s="34">
        <f>S43*1000000</f>
        <v>1000000</v>
      </c>
    </row>
    <row r="47" spans="4:22" ht="14.65" thickTop="1" x14ac:dyDescent="0.45">
      <c r="F47" s="4">
        <f>SUM(F45:F46)</f>
        <v>4000</v>
      </c>
      <c r="M47" s="4">
        <f>SUM(M45:M46)</f>
        <v>5000</v>
      </c>
      <c r="T47" s="4">
        <f>SUM(T45:T46)</f>
        <v>6000</v>
      </c>
    </row>
    <row r="48" spans="4:22" x14ac:dyDescent="0.45">
      <c r="F48" s="5" t="s">
        <v>14</v>
      </c>
      <c r="M48" s="5" t="s">
        <v>14</v>
      </c>
      <c r="T48" s="5" t="s">
        <v>14</v>
      </c>
    </row>
    <row r="49" spans="5:21" x14ac:dyDescent="0.45">
      <c r="E49" t="s">
        <v>12</v>
      </c>
      <c r="F49" s="7">
        <f>G35</f>
        <v>4000</v>
      </c>
      <c r="G49" s="2" t="s">
        <v>23</v>
      </c>
      <c r="L49" t="s">
        <v>12</v>
      </c>
      <c r="M49" s="7">
        <f>N35</f>
        <v>5000</v>
      </c>
      <c r="N49" s="2" t="s">
        <v>23</v>
      </c>
      <c r="S49" t="s">
        <v>12</v>
      </c>
      <c r="T49" s="7">
        <f>U35</f>
        <v>6000</v>
      </c>
      <c r="U49" s="2" t="s">
        <v>23</v>
      </c>
    </row>
    <row r="50" spans="5:21" x14ac:dyDescent="0.45">
      <c r="E50" t="s">
        <v>5</v>
      </c>
      <c r="F50" s="6">
        <f>SUMPRODUCT(E45:E46,F45:F46)</f>
        <v>144000</v>
      </c>
      <c r="L50" t="s">
        <v>5</v>
      </c>
      <c r="M50" s="6">
        <f>SUMPRODUCT(L45:L46,M45:M46)</f>
        <v>180000</v>
      </c>
      <c r="S50" t="s">
        <v>5</v>
      </c>
      <c r="T50" s="6">
        <f>SUMPRODUCT(S45:S46,T45:T46)</f>
        <v>216000</v>
      </c>
    </row>
    <row r="54" spans="5:21" x14ac:dyDescent="0.45">
      <c r="E54" s="2" t="s">
        <v>5</v>
      </c>
      <c r="F54" s="36">
        <f>SUM(E29:G29)</f>
        <v>167799.99999999997</v>
      </c>
      <c r="L54" s="2" t="s">
        <v>5</v>
      </c>
      <c r="M54" s="36">
        <f>SUM(L29:N29)</f>
        <v>218249.99999999997</v>
      </c>
      <c r="S54" s="2" t="s">
        <v>5</v>
      </c>
      <c r="T54" s="36">
        <f>SUM(S29:U29)</f>
        <v>275900</v>
      </c>
    </row>
    <row r="55" spans="5:21" x14ac:dyDescent="0.45">
      <c r="E55" s="2" t="s">
        <v>9</v>
      </c>
      <c r="F55" s="6">
        <f>SUMPRODUCT(E25:G25,E32:G32)</f>
        <v>108900</v>
      </c>
      <c r="L55" s="2" t="s">
        <v>9</v>
      </c>
      <c r="M55" s="6">
        <f>SUMPRODUCT(L25:N25,L32:N32)</f>
        <v>108900</v>
      </c>
      <c r="S55" s="2" t="s">
        <v>9</v>
      </c>
      <c r="T55" s="6">
        <f>SUMPRODUCT(S24:U24,S31:U31)</f>
        <v>0</v>
      </c>
    </row>
    <row r="56" spans="5:21" x14ac:dyDescent="0.45">
      <c r="E56" s="2" t="s">
        <v>6</v>
      </c>
      <c r="F56" s="6">
        <f>SUMPRODUCT(E26:G26,E31:G31)</f>
        <v>10079.999999999995</v>
      </c>
      <c r="L56" s="2" t="s">
        <v>6</v>
      </c>
      <c r="M56" s="6">
        <f>SUMPRODUCT(L26:N26,L31:N31)</f>
        <v>0</v>
      </c>
      <c r="S56" s="2" t="s">
        <v>6</v>
      </c>
      <c r="T56" s="6">
        <f>SUMPRODUCT(S26:U26,S31:U31)</f>
        <v>0</v>
      </c>
    </row>
    <row r="57" spans="5:21" ht="15.4" x14ac:dyDescent="0.6">
      <c r="E57" s="2" t="s">
        <v>10</v>
      </c>
      <c r="F57" s="8">
        <f>F54-F55-F56</f>
        <v>48819.999999999978</v>
      </c>
      <c r="L57" s="2" t="s">
        <v>10</v>
      </c>
      <c r="M57" s="8">
        <f>M54-M55-M56</f>
        <v>109349.99999999997</v>
      </c>
      <c r="S57" s="2" t="s">
        <v>10</v>
      </c>
      <c r="T57" s="8">
        <f>T54-T55-T56</f>
        <v>275900</v>
      </c>
    </row>
  </sheetData>
  <mergeCells count="7">
    <mergeCell ref="C10:C12"/>
    <mergeCell ref="Y10:Y11"/>
    <mergeCell ref="AC9:AC11"/>
    <mergeCell ref="P2:R2"/>
    <mergeCell ref="J14:L14"/>
    <mergeCell ref="E4:G4"/>
    <mergeCell ref="E7:G7"/>
  </mergeCells>
  <conditionalFormatting sqref="E35">
    <cfRule type="iconSet" priority="14">
      <iconSet iconSet="3Symbols2">
        <cfvo type="percent" val="0"/>
        <cfvo type="formula" val="$C$17-150"/>
        <cfvo type="formula" val="$C$17"/>
      </iconSet>
    </cfRule>
  </conditionalFormatting>
  <conditionalFormatting sqref="F35">
    <cfRule type="iconSet" priority="15">
      <iconSet iconSet="3Symbols2">
        <cfvo type="percent" val="0"/>
        <cfvo type="formula" val="$D$17-150"/>
        <cfvo type="formula" val="$D$17"/>
      </iconSet>
    </cfRule>
  </conditionalFormatting>
  <conditionalFormatting sqref="G35">
    <cfRule type="iconSet" priority="16">
      <iconSet iconSet="3Symbols2">
        <cfvo type="percent" val="0"/>
        <cfvo type="formula" val="$E$17-150"/>
        <cfvo type="formula" val="$E$17"/>
      </iconSet>
    </cfRule>
  </conditionalFormatting>
  <conditionalFormatting sqref="L35">
    <cfRule type="iconSet" priority="10">
      <iconSet iconSet="3Symbols2">
        <cfvo type="percent" val="0"/>
        <cfvo type="formula" val="$C$17-150"/>
        <cfvo type="formula" val="$C$17"/>
      </iconSet>
    </cfRule>
  </conditionalFormatting>
  <conditionalFormatting sqref="M17">
    <cfRule type="iconSet" priority="1">
      <iconSet iconSet="3Symbols2">
        <cfvo type="percent" val="0"/>
        <cfvo type="num" val="0"/>
        <cfvo type="num" val="250"/>
      </iconSet>
    </cfRule>
  </conditionalFormatting>
  <conditionalFormatting sqref="M35">
    <cfRule type="iconSet" priority="11">
      <iconSet iconSet="3Symbols2">
        <cfvo type="percent" val="0"/>
        <cfvo type="formula" val="$D$17-150"/>
        <cfvo type="formula" val="$D$17"/>
      </iconSet>
    </cfRule>
  </conditionalFormatting>
  <conditionalFormatting sqref="N35">
    <cfRule type="iconSet" priority="12">
      <iconSet iconSet="3Symbols2">
        <cfvo type="percent" val="0"/>
        <cfvo type="formula" val="$E$17-150"/>
        <cfvo type="formula" val="$E$17"/>
      </iconSet>
    </cfRule>
  </conditionalFormatting>
  <conditionalFormatting sqref="S35">
    <cfRule type="iconSet" priority="6">
      <iconSet iconSet="3Symbols2">
        <cfvo type="percent" val="0"/>
        <cfvo type="formula" val="$C$17-150"/>
        <cfvo type="formula" val="$C$17"/>
      </iconSet>
    </cfRule>
  </conditionalFormatting>
  <conditionalFormatting sqref="T35">
    <cfRule type="iconSet" priority="7">
      <iconSet iconSet="3Symbols2">
        <cfvo type="percent" val="0"/>
        <cfvo type="formula" val="$D$17-150"/>
        <cfvo type="formula" val="$D$17"/>
      </iconSet>
    </cfRule>
  </conditionalFormatting>
  <conditionalFormatting sqref="U35">
    <cfRule type="iconSet" priority="8">
      <iconSet iconSet="3Symbols2">
        <cfvo type="percent" val="0"/>
        <cfvo type="formula" val="$E$17-150"/>
        <cfvo type="formula" val="$E$1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DFDFBE74-57AF-4FA3-A421-63B91B57BA0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6000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F45</xm:sqref>
        </x14:conditionalFormatting>
        <x14:conditionalFormatting xmlns:xm="http://schemas.microsoft.com/office/excel/2006/main">
          <x14:cfRule type="iconSet" priority="5" id="{747D5805-4BFA-4889-B480-D48F66934B5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6000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M45</xm:sqref>
        </x14:conditionalFormatting>
        <x14:conditionalFormatting xmlns:xm="http://schemas.microsoft.com/office/excel/2006/main">
          <x14:cfRule type="iconSet" priority="4" id="{A8E1FEC6-0993-4F08-9F4E-CE535D2F8B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6000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T45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Annee Bonne</vt:lpstr>
      <vt:lpstr>Annee Mauvaise</vt:lpstr>
      <vt:lpstr>Deterministe</vt:lpstr>
      <vt:lpstr>Decision sous incertitude</vt:lpstr>
      <vt:lpstr>Gain Strategie-Moyenne</vt:lpstr>
      <vt:lpstr>Gain Strategie-Pessimiste</vt:lpstr>
      <vt:lpstr>Gain Strategie-Bonne</vt:lpstr>
      <vt:lpstr>Programmation stochastique</vt:lpstr>
      <vt:lpstr>Achat_Scenario_Bonne</vt:lpstr>
      <vt:lpstr>Achat_Scenario_M</vt:lpstr>
      <vt:lpstr>Achat_Scenario_Moyen</vt:lpstr>
      <vt:lpstr>Bet_prod_bon</vt:lpstr>
      <vt:lpstr>Bet_prod_mauvais</vt:lpstr>
      <vt:lpstr>Bet_prod_moyen</vt:lpstr>
      <vt:lpstr>Demande_Bon</vt:lpstr>
      <vt:lpstr>Demande_Mauvais</vt:lpstr>
      <vt:lpstr>Demande_Moyen</vt:lpstr>
      <vt:lpstr>Dispo_bon</vt:lpstr>
      <vt:lpstr>Dispo_mauvais</vt:lpstr>
      <vt:lpstr>Dispo_moyen</vt:lpstr>
      <vt:lpstr>OBJ</vt:lpstr>
      <vt:lpstr>Quota_bon</vt:lpstr>
      <vt:lpstr>Quota_mauvais</vt:lpstr>
      <vt:lpstr>Quota_moyen</vt:lpstr>
      <vt:lpstr>Superficie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Lemuel Balogog Mandack</dc:creator>
  <cp:lastModifiedBy>Georges Lemuel Balogog Mandack</cp:lastModifiedBy>
  <dcterms:created xsi:type="dcterms:W3CDTF">2024-03-23T16:10:20Z</dcterms:created>
  <dcterms:modified xsi:type="dcterms:W3CDTF">2024-03-31T05:57:35Z</dcterms:modified>
</cp:coreProperties>
</file>