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Matt\Documents\GitHub\DNA-NP-Prediction\MATLAB\newCCM\"/>
    </mc:Choice>
  </mc:AlternateContent>
  <bookViews>
    <workbookView xWindow="0" yWindow="0" windowWidth="23970" windowHeight="98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04" i="1" l="1"/>
  <c r="Q104" i="1"/>
  <c r="Q103" i="1" l="1"/>
  <c r="V103" i="1"/>
  <c r="Q22" i="1" l="1"/>
  <c r="V22" i="1"/>
  <c r="Q51" i="1"/>
  <c r="V51" i="1"/>
  <c r="V11" i="1" l="1"/>
  <c r="Q11" i="1"/>
  <c r="V99" i="1" l="1"/>
  <c r="Q99" i="1"/>
  <c r="V100" i="1"/>
  <c r="Q100" i="1"/>
  <c r="V101" i="1"/>
  <c r="Q101" i="1"/>
  <c r="V98" i="1"/>
  <c r="Q98" i="1"/>
  <c r="V97" i="1"/>
  <c r="Q97" i="1"/>
  <c r="V96" i="1"/>
  <c r="Q96" i="1"/>
  <c r="V95" i="1"/>
  <c r="Q95" i="1"/>
  <c r="V94" i="1"/>
  <c r="Q94" i="1"/>
  <c r="V92" i="1"/>
  <c r="Q92" i="1"/>
  <c r="V91" i="1"/>
  <c r="Q91" i="1"/>
  <c r="V90" i="1"/>
  <c r="Q90" i="1"/>
  <c r="V89" i="1"/>
  <c r="Q89" i="1"/>
  <c r="V85" i="1" l="1"/>
  <c r="Q85" i="1"/>
  <c r="V86" i="1"/>
  <c r="Q86" i="1"/>
  <c r="V82" i="1" l="1"/>
  <c r="Q82" i="1"/>
  <c r="V84" i="1"/>
  <c r="Q84" i="1"/>
  <c r="V83" i="1"/>
  <c r="Q83" i="1"/>
  <c r="V81" i="1"/>
  <c r="Q81" i="1"/>
  <c r="V79" i="1"/>
  <c r="Q79" i="1"/>
  <c r="V78" i="1"/>
  <c r="Q78" i="1"/>
  <c r="V77" i="1"/>
  <c r="Q77" i="1"/>
  <c r="V76" i="1"/>
  <c r="Q76" i="1"/>
  <c r="V74" i="1"/>
  <c r="Q74" i="1"/>
  <c r="V75" i="1"/>
  <c r="Q75" i="1"/>
  <c r="Q73" i="1"/>
  <c r="V73" i="1"/>
  <c r="V12" i="1"/>
  <c r="Q12" i="1"/>
  <c r="V67" i="1"/>
  <c r="Q67" i="1"/>
  <c r="V66" i="1"/>
  <c r="Q66" i="1"/>
  <c r="V69" i="1"/>
  <c r="Q69" i="1"/>
  <c r="Q72" i="1"/>
  <c r="V72" i="1"/>
  <c r="V71" i="1"/>
  <c r="Q71" i="1"/>
  <c r="V68" i="1"/>
  <c r="Q68" i="1"/>
  <c r="V70" i="1"/>
  <c r="Q70" i="1"/>
  <c r="V62" i="1"/>
  <c r="Q62" i="1"/>
  <c r="V65" i="1" l="1"/>
  <c r="Q65" i="1"/>
  <c r="V64" i="1"/>
  <c r="Q64" i="1"/>
  <c r="V88" i="1"/>
  <c r="Q88" i="1"/>
  <c r="V87" i="1"/>
  <c r="Q87" i="1"/>
  <c r="V63" i="1"/>
  <c r="Q63" i="1"/>
  <c r="V59" i="1" l="1"/>
  <c r="Q59" i="1"/>
  <c r="V60" i="1"/>
  <c r="Q60" i="1"/>
  <c r="V58" i="1"/>
  <c r="Q58" i="1"/>
  <c r="V57" i="1"/>
  <c r="Q57" i="1"/>
  <c r="V54" i="1"/>
  <c r="Q54" i="1"/>
  <c r="V53" i="1"/>
  <c r="Q53" i="1"/>
  <c r="V50" i="1"/>
  <c r="Q50" i="1"/>
  <c r="V52" i="1"/>
  <c r="Q52" i="1"/>
  <c r="V61" i="1"/>
  <c r="Q61" i="1"/>
  <c r="V49" i="1"/>
  <c r="Q49" i="1"/>
  <c r="F49" i="1"/>
  <c r="V56" i="1"/>
  <c r="Q56" i="1"/>
  <c r="V55" i="1"/>
  <c r="Q55" i="1"/>
  <c r="V48" i="1" l="1"/>
  <c r="Q48" i="1"/>
  <c r="V102" i="1"/>
  <c r="Q102" i="1"/>
  <c r="V47" i="1"/>
  <c r="Q47" i="1"/>
  <c r="V93" i="1"/>
  <c r="Q93" i="1"/>
  <c r="V46" i="1"/>
  <c r="Q46" i="1"/>
  <c r="V45" i="1"/>
  <c r="Q45" i="1"/>
  <c r="V80" i="1" l="1"/>
  <c r="Q80" i="1"/>
  <c r="V40" i="1"/>
  <c r="Q40" i="1"/>
  <c r="V44" i="1"/>
  <c r="Q44" i="1"/>
  <c r="V43" i="1"/>
  <c r="Q43" i="1"/>
  <c r="V42" i="1"/>
  <c r="Q42" i="1"/>
  <c r="V39" i="1"/>
  <c r="Q39" i="1"/>
  <c r="V41" i="1"/>
  <c r="Q41" i="1"/>
  <c r="V37" i="1"/>
  <c r="Q37" i="1"/>
  <c r="V38" i="1"/>
  <c r="U38" i="1"/>
  <c r="Q38" i="1"/>
  <c r="V36" i="1"/>
  <c r="Q36" i="1"/>
  <c r="V32" i="1"/>
  <c r="Q32" i="1"/>
  <c r="V31" i="1"/>
  <c r="Q31" i="1"/>
  <c r="F31" i="1"/>
  <c r="V35" i="1"/>
  <c r="Q35" i="1"/>
  <c r="V34" i="1"/>
  <c r="Q34" i="1"/>
  <c r="V33" i="1"/>
  <c r="Q33" i="1"/>
  <c r="V30" i="1"/>
  <c r="Q30" i="1"/>
  <c r="V19" i="1"/>
  <c r="Q19" i="1"/>
  <c r="V21" i="1"/>
  <c r="Q21" i="1"/>
  <c r="V29" i="1"/>
  <c r="Q29" i="1"/>
  <c r="V28" i="1"/>
  <c r="Q28" i="1"/>
  <c r="V27" i="1"/>
  <c r="Q27" i="1"/>
  <c r="V20" i="1"/>
  <c r="Q20" i="1"/>
  <c r="V26" i="1"/>
  <c r="Q26" i="1"/>
  <c r="V25" i="1"/>
  <c r="Q25" i="1"/>
  <c r="V18" i="1"/>
  <c r="Q18" i="1"/>
  <c r="V17" i="1"/>
  <c r="Q17" i="1"/>
  <c r="V24" i="1"/>
  <c r="Q24" i="1"/>
  <c r="V23" i="1"/>
  <c r="Q23" i="1"/>
  <c r="V16" i="1"/>
  <c r="Q16" i="1"/>
  <c r="V15" i="1"/>
  <c r="Q15" i="1"/>
  <c r="V14" i="1"/>
  <c r="Q14" i="1"/>
  <c r="V8" i="1"/>
  <c r="Q8" i="1"/>
  <c r="V10" i="1"/>
  <c r="Q10" i="1"/>
  <c r="V9" i="1"/>
  <c r="U9" i="1"/>
  <c r="Q9" i="1"/>
  <c r="K9" i="1"/>
  <c r="V7" i="1"/>
  <c r="Q7" i="1"/>
  <c r="V6" i="1"/>
  <c r="Q6" i="1"/>
  <c r="V5" i="1"/>
  <c r="Q5" i="1"/>
  <c r="V4" i="1"/>
  <c r="Q4" i="1"/>
</calcChain>
</file>

<file path=xl/sharedStrings.xml><?xml version="1.0" encoding="utf-8"?>
<sst xmlns="http://schemas.openxmlformats.org/spreadsheetml/2006/main" count="538" uniqueCount="345">
  <si>
    <t>Crystal Type</t>
  </si>
  <si>
    <t>Type</t>
  </si>
  <si>
    <t>Particle A</t>
  </si>
  <si>
    <t>Particle B</t>
  </si>
  <si>
    <t>NN_A_A</t>
  </si>
  <si>
    <t>NN_A_B</t>
  </si>
  <si>
    <t>NN_B_A</t>
  </si>
  <si>
    <t>NN_B_B</t>
  </si>
  <si>
    <t>Br</t>
  </si>
  <si>
    <t>CsCl</t>
  </si>
  <si>
    <t>Pm-3m</t>
  </si>
  <si>
    <t>Cs</t>
  </si>
  <si>
    <t>Cl</t>
  </si>
  <si>
    <t>AlB2</t>
  </si>
  <si>
    <t>P6/mmm</t>
  </si>
  <si>
    <t>Al</t>
  </si>
  <si>
    <t>B</t>
  </si>
  <si>
    <t>Cr3Si</t>
  </si>
  <si>
    <t>Pm-3n</t>
  </si>
  <si>
    <t>Cr</t>
  </si>
  <si>
    <t>Si</t>
  </si>
  <si>
    <t>Cs6C60</t>
  </si>
  <si>
    <t>Im-3</t>
  </si>
  <si>
    <t>C</t>
  </si>
  <si>
    <t>H</t>
  </si>
  <si>
    <t>P6_3/m</t>
  </si>
  <si>
    <t>Ac</t>
  </si>
  <si>
    <t>AcH2</t>
  </si>
  <si>
    <t>Fm-3m</t>
  </si>
  <si>
    <t>Imma</t>
  </si>
  <si>
    <t>Ag</t>
  </si>
  <si>
    <t>Ba</t>
  </si>
  <si>
    <t>Pnma</t>
  </si>
  <si>
    <t>Fd-3m O2</t>
  </si>
  <si>
    <t>Be</t>
  </si>
  <si>
    <t>P12_1/m1</t>
  </si>
  <si>
    <t>Cmcm</t>
  </si>
  <si>
    <t>Ca</t>
  </si>
  <si>
    <t>I4/mmm</t>
  </si>
  <si>
    <t>Dy</t>
  </si>
  <si>
    <t>Eu</t>
  </si>
  <si>
    <t>Prototype</t>
  </si>
  <si>
    <t>P-3m1</t>
  </si>
  <si>
    <t>F</t>
  </si>
  <si>
    <t>Pbca</t>
  </si>
  <si>
    <t>Hf</t>
  </si>
  <si>
    <t>UCl3,hP8,176</t>
  </si>
  <si>
    <t>CaF2,cF12,225</t>
  </si>
  <si>
    <t>KHg2,oI12,74</t>
  </si>
  <si>
    <t>FeB-b,oP8,62</t>
  </si>
  <si>
    <t>K{NH2],mP4,11</t>
  </si>
  <si>
    <t>MoSi2,tI6,139</t>
  </si>
  <si>
    <t>CdI2,hP3,164</t>
  </si>
  <si>
    <t>AgF2,oP12,61</t>
  </si>
  <si>
    <t>CuTi,tP4,129</t>
  </si>
  <si>
    <t>P4/nmm O2</t>
  </si>
  <si>
    <t>I</t>
  </si>
  <si>
    <t>Ag3In</t>
  </si>
  <si>
    <t>Cu3Au,cP4,221</t>
  </si>
  <si>
    <t>In</t>
  </si>
  <si>
    <t>CuAl2,tI12,140</t>
  </si>
  <si>
    <t>I4/mcm</t>
  </si>
  <si>
    <t>Hg2U,hP3,191</t>
  </si>
  <si>
    <t>K</t>
  </si>
  <si>
    <t>AuCd,oP4,51</t>
  </si>
  <si>
    <t>Pmma</t>
  </si>
  <si>
    <t>La</t>
  </si>
  <si>
    <t>MoNi4,tI10,87</t>
  </si>
  <si>
    <t>I4/m</t>
  </si>
  <si>
    <t>Lu</t>
  </si>
  <si>
    <t>P4/mmm</t>
  </si>
  <si>
    <t>Nd</t>
  </si>
  <si>
    <t>BiI3,hP8,162</t>
  </si>
  <si>
    <t>P-31m</t>
  </si>
  <si>
    <t>O</t>
  </si>
  <si>
    <t>Ag2O</t>
  </si>
  <si>
    <t>Cu2O,cP6,224</t>
  </si>
  <si>
    <t>Pn-3m O2</t>
  </si>
  <si>
    <t>Se</t>
  </si>
  <si>
    <t>CdTi,tP4,129</t>
  </si>
  <si>
    <t>P4/mnmm O2</t>
  </si>
  <si>
    <t>Ti</t>
  </si>
  <si>
    <t>P6_3/mmc</t>
  </si>
  <si>
    <t>As</t>
  </si>
  <si>
    <t>AlB2,hP3,191</t>
  </si>
  <si>
    <t>Mg3Cd,hP8,194</t>
  </si>
  <si>
    <t>Al3Ce</t>
  </si>
  <si>
    <t>Ce</t>
  </si>
  <si>
    <t>FeF3,hR24,167</t>
  </si>
  <si>
    <t>R-3c h</t>
  </si>
  <si>
    <t>LiIn,tI8,141</t>
  </si>
  <si>
    <t>I4_1/amd O2</t>
  </si>
  <si>
    <t>Li</t>
  </si>
  <si>
    <t>Tl</t>
  </si>
  <si>
    <t>Na</t>
  </si>
  <si>
    <t>CuAu</t>
  </si>
  <si>
    <t>CuAu,tP2,123</t>
  </si>
  <si>
    <t>Cu</t>
  </si>
  <si>
    <t>Au</t>
  </si>
  <si>
    <t>WAl12,cI26,204</t>
  </si>
  <si>
    <t>Mo</t>
  </si>
  <si>
    <t>Cr3Si,cP8,223</t>
  </si>
  <si>
    <t>Zn</t>
  </si>
  <si>
    <t>S</t>
  </si>
  <si>
    <t>Al2O3</t>
  </si>
  <si>
    <t>Pd</t>
  </si>
  <si>
    <t>Ru</t>
  </si>
  <si>
    <t>Sb</t>
  </si>
  <si>
    <t>Th</t>
  </si>
  <si>
    <t>CaB6,cP7,221</t>
  </si>
  <si>
    <t>Am</t>
  </si>
  <si>
    <t>R-3 h</t>
  </si>
  <si>
    <t>Th3P4,cI28,222</t>
  </si>
  <si>
    <t>I-43d</t>
  </si>
  <si>
    <t>P</t>
  </si>
  <si>
    <t>CoAs3,cI32,204</t>
  </si>
  <si>
    <t>Co</t>
  </si>
  <si>
    <t>FeAs2,oP6,58</t>
  </si>
  <si>
    <t>Pnnm</t>
  </si>
  <si>
    <t>Fe</t>
  </si>
  <si>
    <t>FeAs,oP8,62</t>
  </si>
  <si>
    <t>P3_1 21</t>
  </si>
  <si>
    <t>Ga</t>
  </si>
  <si>
    <t>Te</t>
  </si>
  <si>
    <t>GeP,tI4,107</t>
  </si>
  <si>
    <t>I4mm</t>
  </si>
  <si>
    <t>AsGe</t>
  </si>
  <si>
    <t>Ge</t>
  </si>
  <si>
    <t>CuTi, tP2,123</t>
  </si>
  <si>
    <t>AsLa</t>
  </si>
  <si>
    <t>Mn</t>
  </si>
  <si>
    <t>Nb</t>
  </si>
  <si>
    <t>As2O3,cF80,227</t>
  </si>
  <si>
    <t>AS</t>
  </si>
  <si>
    <t>R-3m h</t>
  </si>
  <si>
    <t>V</t>
  </si>
  <si>
    <t>Cu5Zn8,cI52,217</t>
  </si>
  <si>
    <t>I-43m</t>
  </si>
  <si>
    <t>Pt3O4</t>
  </si>
  <si>
    <t>Im-3m</t>
  </si>
  <si>
    <t>Pt</t>
  </si>
  <si>
    <t>Th3Pd5,hP8,189</t>
  </si>
  <si>
    <t>P-62m</t>
  </si>
  <si>
    <t>VH0.5,cI14,229</t>
  </si>
  <si>
    <t>CdSb,oP16,61</t>
  </si>
  <si>
    <t>AuCl,tI16,141</t>
  </si>
  <si>
    <t>TlI,oS8,63</t>
  </si>
  <si>
    <t>Mg3Ru2,cP20,213</t>
  </si>
  <si>
    <t>P4_1 32</t>
  </si>
  <si>
    <t>Mg</t>
  </si>
  <si>
    <t>AuSb3,cI8,229</t>
  </si>
  <si>
    <t>AuSb3</t>
  </si>
  <si>
    <t>PtPb4,tP10,125</t>
  </si>
  <si>
    <t>P4/nbm O2</t>
  </si>
  <si>
    <t>PtPb4</t>
  </si>
  <si>
    <t>Pb</t>
  </si>
  <si>
    <t>AuTe2,ms6,12</t>
  </si>
  <si>
    <t>C12/m1</t>
  </si>
  <si>
    <t>BCl,tP16,137</t>
  </si>
  <si>
    <t>P4_2/nmc O2</t>
  </si>
  <si>
    <t>BCl3,hP8,176</t>
  </si>
  <si>
    <t>CrB4,oI10,71</t>
  </si>
  <si>
    <t>Immm</t>
  </si>
  <si>
    <t>UB12,cF52,225</t>
  </si>
  <si>
    <t>LiB,hP4,194</t>
  </si>
  <si>
    <t>MnB4,mS10,12</t>
  </si>
  <si>
    <t>P6_3 mc</t>
  </si>
  <si>
    <t>N</t>
  </si>
  <si>
    <t>RuB2,oP6,59</t>
  </si>
  <si>
    <t>Pmmm O2</t>
  </si>
  <si>
    <t>Os</t>
  </si>
  <si>
    <t>CaC2,tI6,139</t>
  </si>
  <si>
    <t>SrS2,tI12,140</t>
  </si>
  <si>
    <t>BaTe2</t>
  </si>
  <si>
    <t>SiS2,oI12,72</t>
  </si>
  <si>
    <t>Ibam</t>
  </si>
  <si>
    <t>SiO2,hP9,152</t>
  </si>
  <si>
    <t>BeF2</t>
  </si>
  <si>
    <t>NbO,cP6,221</t>
  </si>
  <si>
    <t>Bi</t>
  </si>
  <si>
    <t>UO2,cF36,225</t>
  </si>
  <si>
    <t xml:space="preserve">U </t>
  </si>
  <si>
    <t>BiO1.5</t>
  </si>
  <si>
    <t>RhBi4,cI120,230</t>
  </si>
  <si>
    <t>Ia-3d</t>
  </si>
  <si>
    <t>Rh</t>
  </si>
  <si>
    <t>P4_2/mnm</t>
  </si>
  <si>
    <t>HBr,oS12,64</t>
  </si>
  <si>
    <t>BrD</t>
  </si>
  <si>
    <t>Cmce</t>
  </si>
  <si>
    <t>HCl,oS8,36</t>
  </si>
  <si>
    <t>HCl</t>
  </si>
  <si>
    <t>Cmc21</t>
  </si>
  <si>
    <t>HCl_cubic</t>
  </si>
  <si>
    <t>HCl,cF53,225</t>
  </si>
  <si>
    <t>ZrBr,hR12,166</t>
  </si>
  <si>
    <t>HgCl,tI8,139</t>
  </si>
  <si>
    <t>BrHg</t>
  </si>
  <si>
    <t>Hg</t>
  </si>
  <si>
    <t>WCl6,hR21,148</t>
  </si>
  <si>
    <t>Br6W</t>
  </si>
  <si>
    <t>W</t>
  </si>
  <si>
    <t>CaC2_IV</t>
  </si>
  <si>
    <t>CaC2,cF36,225</t>
  </si>
  <si>
    <t>BaC6,hP14,194</t>
  </si>
  <si>
    <t>C6Eu</t>
  </si>
  <si>
    <t>Fe3N,hP8,182</t>
  </si>
  <si>
    <t>P6_3 22</t>
  </si>
  <si>
    <t>CFe3</t>
  </si>
  <si>
    <t>Fe4C,cP5,215</t>
  </si>
  <si>
    <t>CFe4</t>
  </si>
  <si>
    <t>P-43m</t>
  </si>
  <si>
    <t>LiC6,hP7,191</t>
  </si>
  <si>
    <t>C6Li</t>
  </si>
  <si>
    <t>MgC2,tP6,136</t>
  </si>
  <si>
    <t>C2Mg</t>
  </si>
  <si>
    <t>P-6m2</t>
  </si>
  <si>
    <t>C2N2,oP16,61</t>
  </si>
  <si>
    <t>C2N2</t>
  </si>
  <si>
    <t>C60</t>
  </si>
  <si>
    <t>[C60]Cs3</t>
  </si>
  <si>
    <t>Al2O3,hR30,167</t>
  </si>
  <si>
    <t>K4[C60],tI10,139</t>
  </si>
  <si>
    <t>RuCl3,hP8,185</t>
  </si>
  <si>
    <t>P6_3 cm</t>
  </si>
  <si>
    <t>Cl3Ru</t>
  </si>
  <si>
    <t>Uco,cI16,199</t>
  </si>
  <si>
    <t>I2_1 3</t>
  </si>
  <si>
    <t>CoLa</t>
  </si>
  <si>
    <t>YMn2,tI12,141</t>
  </si>
  <si>
    <t>Co2Nd</t>
  </si>
  <si>
    <t>CrSi2,hP9,180</t>
  </si>
  <si>
    <t>CrSi2</t>
  </si>
  <si>
    <t>P6_2 22</t>
  </si>
  <si>
    <t>Cs2Se,oF24,43</t>
  </si>
  <si>
    <t>Cs2Se</t>
  </si>
  <si>
    <t>Fdd2</t>
  </si>
  <si>
    <t>CsTe,oP8,55</t>
  </si>
  <si>
    <t>CsTe</t>
  </si>
  <si>
    <t>Pbam</t>
  </si>
  <si>
    <t>ReO3,cP4,221</t>
  </si>
  <si>
    <t>Cu3N</t>
  </si>
  <si>
    <t>TiNi,mP4,11</t>
  </si>
  <si>
    <t>CuZr</t>
  </si>
  <si>
    <t>Zr</t>
  </si>
  <si>
    <t>ThH2,tI6,139</t>
  </si>
  <si>
    <t>ThH2</t>
  </si>
  <si>
    <t>SF6,cI14,229</t>
  </si>
  <si>
    <t>F6Mo</t>
  </si>
  <si>
    <t>PbO,oP8,57</t>
  </si>
  <si>
    <t>FTl</t>
  </si>
  <si>
    <t>Pbcm</t>
  </si>
  <si>
    <t>XeF2,tI6,139</t>
  </si>
  <si>
    <t>Xe</t>
  </si>
  <si>
    <t>F2Xe</t>
  </si>
  <si>
    <t>MgGa,tI32,88</t>
  </si>
  <si>
    <t>GaMg</t>
  </si>
  <si>
    <t>I4_1/a O2</t>
  </si>
  <si>
    <t>Hg4Pt,cI10,229</t>
  </si>
  <si>
    <t>Ga4Mn</t>
  </si>
  <si>
    <t>[H2O],cF40,227</t>
  </si>
  <si>
    <t>[H2O]</t>
  </si>
  <si>
    <t>InS,oP8,58</t>
  </si>
  <si>
    <t>InS</t>
  </si>
  <si>
    <t>LiRh,hP2,187</t>
  </si>
  <si>
    <t>IrLi</t>
  </si>
  <si>
    <t>Ir</t>
  </si>
  <si>
    <t>IrSi3,hP8,186</t>
  </si>
  <si>
    <t>IrSi3</t>
  </si>
  <si>
    <t>IrV</t>
  </si>
  <si>
    <t>Vir,oS8,65</t>
  </si>
  <si>
    <t>Cmmm</t>
  </si>
  <si>
    <t>MoPt2,oI6,71</t>
  </si>
  <si>
    <t>MoPt2</t>
  </si>
  <si>
    <t>N2O4-a,cI36,204</t>
  </si>
  <si>
    <t>N2O4_a</t>
  </si>
  <si>
    <t>WN2,hR9,166</t>
  </si>
  <si>
    <t>N2W</t>
  </si>
  <si>
    <t>NbO</t>
  </si>
  <si>
    <t>La2O3,hP5,150</t>
  </si>
  <si>
    <t>Nd2O3</t>
  </si>
  <si>
    <t>P321</t>
  </si>
  <si>
    <t>PbO,tP4,129</t>
  </si>
  <si>
    <t>OPb_rt</t>
  </si>
  <si>
    <t>OPb_lt</t>
  </si>
  <si>
    <t>PbO,oS8,67</t>
  </si>
  <si>
    <t>Cmme</t>
  </si>
  <si>
    <t>AsO3,cF80,227</t>
  </si>
  <si>
    <t>O3Sb2</t>
  </si>
  <si>
    <t>Cu5Zn8</t>
  </si>
  <si>
    <t>Pd5Th3</t>
  </si>
  <si>
    <t>AgI</t>
  </si>
  <si>
    <t>AcCl3</t>
  </si>
  <si>
    <t>Ag2Ba</t>
  </si>
  <si>
    <t>AgBa</t>
  </si>
  <si>
    <t>AgBr</t>
  </si>
  <si>
    <t>Ag2Dy</t>
  </si>
  <si>
    <t>Ag2F</t>
  </si>
  <si>
    <t>AgHf</t>
  </si>
  <si>
    <t>AgF2</t>
  </si>
  <si>
    <t>AgIn2</t>
  </si>
  <si>
    <t>AgK2</t>
  </si>
  <si>
    <t>AgLa</t>
  </si>
  <si>
    <t>Ag4Lu</t>
  </si>
  <si>
    <t>Ag3O</t>
  </si>
  <si>
    <t>AgTi</t>
  </si>
  <si>
    <t>AlD3</t>
  </si>
  <si>
    <t>AlLi</t>
  </si>
  <si>
    <t>Al12Mo</t>
  </si>
  <si>
    <t>AlTh</t>
  </si>
  <si>
    <t>AmB6</t>
  </si>
  <si>
    <t>Am4Sb3</t>
  </si>
  <si>
    <t>As3Co</t>
  </si>
  <si>
    <t>As2Fe</t>
  </si>
  <si>
    <t>AsFe</t>
  </si>
  <si>
    <t>As2O3</t>
  </si>
  <si>
    <t>AsZn</t>
  </si>
  <si>
    <t>AuBr</t>
  </si>
  <si>
    <t>AuTe2</t>
  </si>
  <si>
    <t>BCl</t>
  </si>
  <si>
    <t>BCl3</t>
  </si>
  <si>
    <t>B4Cr</t>
  </si>
  <si>
    <t>B12Dy</t>
  </si>
  <si>
    <t>Bli</t>
  </si>
  <si>
    <t>B4Mn</t>
  </si>
  <si>
    <t>B2Os</t>
  </si>
  <si>
    <t>BaC2</t>
  </si>
  <si>
    <t>BeBr2</t>
  </si>
  <si>
    <t>Bi4Rh</t>
  </si>
  <si>
    <t>BrHf</t>
  </si>
  <si>
    <t>Mg3Ru2</t>
  </si>
  <si>
    <t>Pt3O4,cP14,223</t>
  </si>
  <si>
    <t>Third Nearest Neighbor</t>
  </si>
  <si>
    <t>Second Nearest Neighbor</t>
  </si>
  <si>
    <t>First Nearest Neighbor</t>
  </si>
  <si>
    <t>Number of Particle</t>
  </si>
  <si>
    <t>Particle Identity</t>
  </si>
  <si>
    <t>NP_A</t>
  </si>
  <si>
    <t>NP_B</t>
  </si>
  <si>
    <t>Nearest Neighbor (Particle A)</t>
  </si>
  <si>
    <t>Nearest Neighbor (Particle B)</t>
  </si>
  <si>
    <t>Distance</t>
  </si>
  <si>
    <t>SC</t>
  </si>
  <si>
    <t>hmmm</t>
  </si>
  <si>
    <t>Fm3m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</si>
</sst>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20% - Accent1" xfId="1" builtinId="30"/>
    <cellStyle name="40% - Accent1" xfId="2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7"/>
  <sheetViews>
    <sheetView tabSelected="1" topLeftCell="A70" zoomScaleNormal="100" workbookViewId="0">
      <pane xSplit="1" topLeftCell="B1" activePane="topRight" state="frozen"/>
      <selection pane="topRight" activeCell="V105" sqref="V105"/>
    </sheetView>
  </sheetViews>
  <sheetFormatPr defaultRowHeight="15" x14ac:dyDescent="0.25"/>
  <cols>
    <col min="1" max="1" width="15.85546875" style="1" bestFit="1" customWidth="1"/>
    <col min="2" max="2" width="16.5703125" style="1" customWidth="1"/>
    <col min="3" max="3" width="15.85546875" style="1" customWidth="1"/>
    <col min="4" max="5" width="10.28515625" style="1" customWidth="1"/>
    <col min="6" max="6" width="10.85546875" style="1" customWidth="1"/>
    <col min="7" max="7" width="10.7109375" style="1" customWidth="1"/>
    <col min="8" max="22" width="15.7109375" style="1" customWidth="1"/>
    <col min="23" max="16384" width="9.140625" style="1"/>
  </cols>
  <sheetData>
    <row r="1" spans="1:22" s="15" customFormat="1" x14ac:dyDescent="0.25">
      <c r="B1" s="16" t="s">
        <v>336</v>
      </c>
      <c r="C1" s="16"/>
      <c r="D1" s="16"/>
      <c r="E1" s="16"/>
      <c r="F1" s="16" t="s">
        <v>335</v>
      </c>
      <c r="G1" s="16"/>
      <c r="H1" s="16" t="s">
        <v>334</v>
      </c>
      <c r="I1" s="16"/>
      <c r="J1" s="16"/>
      <c r="K1" s="16"/>
      <c r="L1" s="16"/>
      <c r="M1" s="16" t="s">
        <v>333</v>
      </c>
      <c r="N1" s="16"/>
      <c r="O1" s="16"/>
      <c r="P1" s="16"/>
      <c r="Q1" s="16"/>
      <c r="R1" s="16" t="s">
        <v>332</v>
      </c>
      <c r="S1" s="16"/>
      <c r="T1" s="16"/>
      <c r="U1" s="16"/>
      <c r="V1" s="16"/>
    </row>
    <row r="2" spans="1:22" s="15" customFormat="1" x14ac:dyDescent="0.25">
      <c r="F2" s="15" t="s">
        <v>337</v>
      </c>
      <c r="G2" s="15" t="s">
        <v>338</v>
      </c>
      <c r="H2" s="16" t="s">
        <v>339</v>
      </c>
      <c r="I2" s="16"/>
      <c r="J2" s="16" t="s">
        <v>340</v>
      </c>
      <c r="K2" s="16"/>
      <c r="L2" s="15" t="s">
        <v>341</v>
      </c>
      <c r="M2" s="16" t="s">
        <v>339</v>
      </c>
      <c r="N2" s="16"/>
      <c r="O2" s="16" t="s">
        <v>340</v>
      </c>
      <c r="P2" s="16"/>
      <c r="Q2" s="15" t="s">
        <v>341</v>
      </c>
      <c r="R2" s="16" t="s">
        <v>339</v>
      </c>
      <c r="S2" s="16"/>
      <c r="T2" s="16" t="s">
        <v>340</v>
      </c>
      <c r="U2" s="16"/>
      <c r="V2" s="15" t="s">
        <v>341</v>
      </c>
    </row>
    <row r="3" spans="1:22" x14ac:dyDescent="0.25">
      <c r="A3" s="1" t="s">
        <v>0</v>
      </c>
      <c r="B3" s="1" t="s">
        <v>41</v>
      </c>
      <c r="C3" s="1" t="s">
        <v>1</v>
      </c>
      <c r="D3" s="1" t="s">
        <v>2</v>
      </c>
      <c r="E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M3" s="1" t="s">
        <v>4</v>
      </c>
      <c r="N3" s="1" t="s">
        <v>5</v>
      </c>
      <c r="O3" s="3" t="s">
        <v>6</v>
      </c>
      <c r="P3" s="3" t="s">
        <v>7</v>
      </c>
      <c r="R3" s="1" t="s">
        <v>4</v>
      </c>
      <c r="S3" s="1" t="s">
        <v>5</v>
      </c>
      <c r="T3" s="1" t="s">
        <v>6</v>
      </c>
      <c r="U3" s="1" t="s">
        <v>7</v>
      </c>
    </row>
    <row r="4" spans="1:22" s="8" customFormat="1" x14ac:dyDescent="0.25">
      <c r="A4" s="8" t="s">
        <v>9</v>
      </c>
      <c r="B4" s="8" t="s">
        <v>9</v>
      </c>
      <c r="C4" s="8" t="s">
        <v>10</v>
      </c>
      <c r="D4" s="8" t="s">
        <v>11</v>
      </c>
      <c r="E4" s="8" t="s">
        <v>12</v>
      </c>
      <c r="F4" s="8">
        <v>1</v>
      </c>
      <c r="G4" s="8">
        <v>1</v>
      </c>
      <c r="H4" s="8">
        <v>0</v>
      </c>
      <c r="I4" s="8">
        <v>8</v>
      </c>
      <c r="J4" s="8">
        <v>8</v>
      </c>
      <c r="K4" s="8">
        <v>0</v>
      </c>
      <c r="L4" s="8">
        <v>1</v>
      </c>
      <c r="M4" s="8">
        <v>6</v>
      </c>
      <c r="N4" s="8">
        <v>0</v>
      </c>
      <c r="O4" s="8">
        <v>0</v>
      </c>
      <c r="P4" s="8">
        <v>6</v>
      </c>
      <c r="Q4" s="8">
        <f>0.411/0.3559</f>
        <v>1.1548187693172238</v>
      </c>
      <c r="R4" s="8">
        <v>12</v>
      </c>
      <c r="S4" s="8">
        <v>0</v>
      </c>
      <c r="T4" s="8">
        <v>0</v>
      </c>
      <c r="U4" s="8">
        <v>12</v>
      </c>
      <c r="V4" s="8">
        <f>0.5812/0.3559</f>
        <v>1.6330429896038214</v>
      </c>
    </row>
    <row r="5" spans="1:22" s="6" customFormat="1" x14ac:dyDescent="0.25">
      <c r="A5" s="6" t="s">
        <v>13</v>
      </c>
      <c r="B5" s="6" t="s">
        <v>84</v>
      </c>
      <c r="C5" s="6" t="s">
        <v>14</v>
      </c>
      <c r="D5" s="6" t="s">
        <v>15</v>
      </c>
      <c r="E5" s="6" t="s">
        <v>16</v>
      </c>
      <c r="F5" s="6">
        <v>1</v>
      </c>
      <c r="G5" s="6">
        <v>2</v>
      </c>
      <c r="H5" s="6">
        <v>0</v>
      </c>
      <c r="I5" s="6">
        <v>12</v>
      </c>
      <c r="J5" s="6">
        <v>6</v>
      </c>
      <c r="K5" s="6">
        <v>0</v>
      </c>
      <c r="L5" s="6">
        <v>1</v>
      </c>
      <c r="M5" s="6">
        <v>6</v>
      </c>
      <c r="N5" s="6">
        <v>0</v>
      </c>
      <c r="O5" s="6">
        <v>0</v>
      </c>
      <c r="P5" s="6">
        <v>6</v>
      </c>
      <c r="Q5" s="6">
        <f>0.3004/0.2377</f>
        <v>1.2637778712663021</v>
      </c>
      <c r="R5" s="6">
        <v>2</v>
      </c>
      <c r="S5" s="6">
        <v>0</v>
      </c>
      <c r="T5" s="6">
        <v>0</v>
      </c>
      <c r="U5" s="6">
        <v>2</v>
      </c>
      <c r="V5" s="6">
        <f>0.3252/0.2377</f>
        <v>1.368111064366849</v>
      </c>
    </row>
    <row r="6" spans="1:22" s="8" customFormat="1" x14ac:dyDescent="0.25">
      <c r="A6" s="8" t="s">
        <v>17</v>
      </c>
      <c r="B6" s="8" t="s">
        <v>101</v>
      </c>
      <c r="C6" s="8" t="s">
        <v>18</v>
      </c>
      <c r="D6" s="8" t="s">
        <v>19</v>
      </c>
      <c r="E6" s="8" t="s">
        <v>20</v>
      </c>
      <c r="F6" s="8">
        <v>6</v>
      </c>
      <c r="G6" s="8">
        <v>2</v>
      </c>
      <c r="H6" s="8">
        <v>0</v>
      </c>
      <c r="I6" s="8">
        <v>4</v>
      </c>
      <c r="J6" s="8">
        <v>12</v>
      </c>
      <c r="K6" s="8">
        <v>0</v>
      </c>
      <c r="L6" s="8">
        <v>1</v>
      </c>
      <c r="M6" s="8">
        <v>8</v>
      </c>
      <c r="N6" s="8">
        <v>0</v>
      </c>
      <c r="O6" s="8">
        <v>0</v>
      </c>
      <c r="P6" s="8">
        <v>0</v>
      </c>
      <c r="Q6" s="8">
        <f>0.2797/0.2554</f>
        <v>1.0951448707909162</v>
      </c>
      <c r="R6" s="8">
        <v>0</v>
      </c>
      <c r="S6" s="8">
        <v>0</v>
      </c>
      <c r="T6" s="8">
        <v>0</v>
      </c>
      <c r="U6" s="8">
        <v>8</v>
      </c>
      <c r="V6" s="8">
        <f>0.3956/0.2554</f>
        <v>1.5489428347689898</v>
      </c>
    </row>
    <row r="7" spans="1:22" s="6" customFormat="1" x14ac:dyDescent="0.25">
      <c r="A7" s="6" t="s">
        <v>21</v>
      </c>
      <c r="B7" s="6" t="s">
        <v>21</v>
      </c>
      <c r="C7" s="6" t="s">
        <v>22</v>
      </c>
      <c r="D7" s="6" t="s">
        <v>11</v>
      </c>
      <c r="E7" s="6" t="s">
        <v>23</v>
      </c>
      <c r="F7" s="6">
        <v>1</v>
      </c>
      <c r="G7" s="6">
        <v>6</v>
      </c>
      <c r="H7" s="6">
        <v>0</v>
      </c>
      <c r="I7" s="6">
        <v>22</v>
      </c>
      <c r="J7" s="6">
        <v>7</v>
      </c>
      <c r="K7" s="6">
        <v>20</v>
      </c>
      <c r="L7" s="6">
        <v>1</v>
      </c>
      <c r="M7" s="6">
        <v>4</v>
      </c>
      <c r="N7" s="6">
        <v>0</v>
      </c>
      <c r="O7" s="6">
        <v>0</v>
      </c>
      <c r="P7" s="6">
        <v>16</v>
      </c>
      <c r="Q7" s="6">
        <f>0.4194/0.3675</f>
        <v>1.1412244897959183</v>
      </c>
      <c r="R7" s="6">
        <v>0</v>
      </c>
      <c r="S7" s="6">
        <v>22</v>
      </c>
      <c r="T7" s="6">
        <v>6</v>
      </c>
      <c r="U7" s="6">
        <v>47</v>
      </c>
      <c r="V7" s="6">
        <f>0.4657/0.3675</f>
        <v>1.2672108843537415</v>
      </c>
    </row>
    <row r="8" spans="1:22" s="8" customFormat="1" x14ac:dyDescent="0.25">
      <c r="A8" s="8" t="s">
        <v>291</v>
      </c>
      <c r="B8" s="8" t="s">
        <v>143</v>
      </c>
      <c r="C8" s="8" t="s">
        <v>139</v>
      </c>
      <c r="D8" s="8" t="s">
        <v>30</v>
      </c>
      <c r="E8" s="8" t="s">
        <v>56</v>
      </c>
      <c r="F8" s="8">
        <v>1</v>
      </c>
      <c r="G8" s="8">
        <v>1</v>
      </c>
      <c r="H8" s="8">
        <v>2</v>
      </c>
      <c r="I8" s="8">
        <v>4</v>
      </c>
      <c r="J8" s="8">
        <v>24</v>
      </c>
      <c r="K8" s="8">
        <v>0</v>
      </c>
      <c r="L8" s="8">
        <v>1</v>
      </c>
      <c r="M8" s="8">
        <v>12</v>
      </c>
      <c r="N8" s="8">
        <v>0</v>
      </c>
      <c r="O8" s="8">
        <v>0</v>
      </c>
      <c r="P8" s="8">
        <v>0</v>
      </c>
      <c r="Q8" s="8">
        <f>0.33/0.2833</f>
        <v>1.164842922696788</v>
      </c>
      <c r="R8" s="8">
        <v>16</v>
      </c>
      <c r="S8" s="8">
        <v>0</v>
      </c>
      <c r="T8" s="8">
        <v>0</v>
      </c>
      <c r="U8" s="8">
        <v>0</v>
      </c>
      <c r="V8" s="8">
        <f>0.42/0.2833</f>
        <v>1.4825273561595482</v>
      </c>
    </row>
    <row r="9" spans="1:22" s="6" customFormat="1" x14ac:dyDescent="0.25">
      <c r="A9" s="6" t="s">
        <v>289</v>
      </c>
      <c r="B9" s="6" t="s">
        <v>136</v>
      </c>
      <c r="C9" s="6" t="s">
        <v>137</v>
      </c>
      <c r="D9" s="6" t="s">
        <v>97</v>
      </c>
      <c r="E9" s="6" t="s">
        <v>102</v>
      </c>
      <c r="F9" s="6">
        <v>5</v>
      </c>
      <c r="G9" s="6">
        <v>8</v>
      </c>
      <c r="H9" s="6">
        <v>6</v>
      </c>
      <c r="I9" s="6">
        <v>9</v>
      </c>
      <c r="J9" s="6">
        <v>6</v>
      </c>
      <c r="K9" s="6">
        <f>23-11</f>
        <v>12</v>
      </c>
      <c r="L9" s="6">
        <v>1</v>
      </c>
      <c r="M9" s="6">
        <v>0</v>
      </c>
      <c r="N9" s="6">
        <v>1</v>
      </c>
      <c r="O9" s="6">
        <v>1</v>
      </c>
      <c r="P9" s="6">
        <v>8</v>
      </c>
      <c r="Q9" s="6">
        <f>0.3557/0.2743</f>
        <v>1.2967553773240978</v>
      </c>
      <c r="R9" s="6">
        <v>12</v>
      </c>
      <c r="S9" s="6">
        <v>6</v>
      </c>
      <c r="T9" s="6">
        <v>6</v>
      </c>
      <c r="U9" s="6">
        <f>26-8</f>
        <v>18</v>
      </c>
      <c r="V9" s="6">
        <f>0.425/0.2743</f>
        <v>1.5493984688297484</v>
      </c>
    </row>
    <row r="10" spans="1:22" s="8" customFormat="1" x14ac:dyDescent="0.25">
      <c r="A10" s="8" t="s">
        <v>290</v>
      </c>
      <c r="B10" s="8" t="s">
        <v>141</v>
      </c>
      <c r="C10" s="8" t="s">
        <v>142</v>
      </c>
      <c r="D10" s="8" t="s">
        <v>105</v>
      </c>
      <c r="E10" s="8" t="s">
        <v>108</v>
      </c>
      <c r="F10" s="8">
        <v>5</v>
      </c>
      <c r="G10" s="8">
        <v>3</v>
      </c>
      <c r="H10" s="8">
        <v>7</v>
      </c>
      <c r="I10" s="8">
        <v>6</v>
      </c>
      <c r="J10" s="8">
        <v>7</v>
      </c>
      <c r="K10" s="8">
        <v>0</v>
      </c>
      <c r="L10" s="8">
        <v>1</v>
      </c>
      <c r="M10" s="8">
        <v>7</v>
      </c>
      <c r="N10" s="8">
        <v>2</v>
      </c>
      <c r="O10" s="8">
        <v>2</v>
      </c>
      <c r="P10" s="8">
        <v>6</v>
      </c>
      <c r="Q10" s="8">
        <f>0.3899/0.3005</f>
        <v>1.2975041597337771</v>
      </c>
      <c r="R10" s="8">
        <v>5</v>
      </c>
      <c r="S10" s="8">
        <v>2</v>
      </c>
      <c r="T10" s="8">
        <v>2</v>
      </c>
      <c r="U10" s="8">
        <v>2</v>
      </c>
      <c r="V10" s="8">
        <f>0.44/0.3005</f>
        <v>1.4642262895174709</v>
      </c>
    </row>
    <row r="11" spans="1:22" s="6" customFormat="1" x14ac:dyDescent="0.25">
      <c r="A11" s="6" t="s">
        <v>138</v>
      </c>
      <c r="B11" s="6" t="s">
        <v>331</v>
      </c>
      <c r="C11" s="6" t="s">
        <v>18</v>
      </c>
      <c r="D11" s="6" t="s">
        <v>140</v>
      </c>
      <c r="E11" s="6" t="s">
        <v>74</v>
      </c>
      <c r="F11" s="6">
        <v>6</v>
      </c>
      <c r="G11" s="6">
        <v>8</v>
      </c>
      <c r="H11" s="6">
        <v>4</v>
      </c>
      <c r="I11" s="6">
        <v>8</v>
      </c>
      <c r="J11" s="6">
        <v>6</v>
      </c>
      <c r="K11" s="6">
        <v>6</v>
      </c>
      <c r="L11" s="6">
        <v>1</v>
      </c>
      <c r="M11" s="6">
        <v>2</v>
      </c>
      <c r="N11" s="6">
        <v>0</v>
      </c>
      <c r="O11" s="6">
        <v>0</v>
      </c>
      <c r="P11" s="6">
        <v>6</v>
      </c>
      <c r="Q11" s="6">
        <f>0.2792/0.1975</f>
        <v>1.4136708860759493</v>
      </c>
      <c r="R11" s="6">
        <v>8</v>
      </c>
      <c r="S11" s="6">
        <v>8</v>
      </c>
      <c r="T11" s="6">
        <v>6</v>
      </c>
      <c r="U11" s="6">
        <v>0</v>
      </c>
      <c r="V11" s="6">
        <f>0.342/0.1975</f>
        <v>1.7316455696202533</v>
      </c>
    </row>
    <row r="12" spans="1:22" x14ac:dyDescent="0.25">
      <c r="A12" s="15" t="s">
        <v>220</v>
      </c>
      <c r="B12" s="15" t="s">
        <v>222</v>
      </c>
      <c r="C12" s="15" t="s">
        <v>38</v>
      </c>
      <c r="D12" s="15" t="s">
        <v>11</v>
      </c>
      <c r="E12" s="15" t="s">
        <v>219</v>
      </c>
      <c r="F12" s="15">
        <v>8</v>
      </c>
      <c r="G12" s="15">
        <v>1</v>
      </c>
      <c r="H12" s="15">
        <v>5</v>
      </c>
      <c r="I12" s="15">
        <v>4</v>
      </c>
      <c r="J12" s="15">
        <v>16</v>
      </c>
      <c r="K12" s="15">
        <v>0</v>
      </c>
      <c r="L12" s="15">
        <v>1</v>
      </c>
      <c r="M12" s="15">
        <v>4</v>
      </c>
      <c r="N12" s="15">
        <v>0</v>
      </c>
      <c r="O12" s="15">
        <v>0</v>
      </c>
      <c r="P12" s="15">
        <v>0</v>
      </c>
      <c r="Q12" s="15">
        <f>0.8339/0.6837</f>
        <v>1.2196869972210034</v>
      </c>
      <c r="R12" s="15">
        <v>12</v>
      </c>
      <c r="S12" s="15">
        <v>2</v>
      </c>
      <c r="T12" s="15">
        <v>8</v>
      </c>
      <c r="U12" s="15">
        <v>8</v>
      </c>
      <c r="V12" s="15">
        <f>1.0394/0.6639</f>
        <v>1.5655972284982678</v>
      </c>
    </row>
    <row r="13" spans="1:22" x14ac:dyDescent="0.25">
      <c r="A13" s="15" t="s">
        <v>261</v>
      </c>
      <c r="B13" s="15" t="s">
        <v>260</v>
      </c>
      <c r="C13" s="15" t="s">
        <v>33</v>
      </c>
      <c r="D13" s="15" t="s">
        <v>24</v>
      </c>
      <c r="E13" s="15" t="s">
        <v>74</v>
      </c>
      <c r="F13" s="15">
        <v>32</v>
      </c>
      <c r="G13" s="15">
        <v>8</v>
      </c>
      <c r="H13" s="15">
        <v>0</v>
      </c>
      <c r="I13" s="15">
        <v>1</v>
      </c>
      <c r="J13" s="15">
        <v>4</v>
      </c>
      <c r="K13" s="15">
        <v>0</v>
      </c>
      <c r="L13" s="15">
        <v>1</v>
      </c>
      <c r="M13" s="15">
        <v>3</v>
      </c>
      <c r="N13" s="15">
        <v>1</v>
      </c>
      <c r="O13" s="15">
        <v>4</v>
      </c>
      <c r="P13" s="15">
        <v>0</v>
      </c>
      <c r="Q13" s="15">
        <v>1.7475049900199602</v>
      </c>
      <c r="R13" s="15">
        <v>6</v>
      </c>
      <c r="S13" s="15">
        <v>0</v>
      </c>
      <c r="T13" s="15">
        <v>0</v>
      </c>
      <c r="U13" s="15">
        <v>0</v>
      </c>
      <c r="V13" s="15">
        <v>2.2854291417165671</v>
      </c>
    </row>
    <row r="14" spans="1:22" x14ac:dyDescent="0.25">
      <c r="A14" s="15" t="s">
        <v>292</v>
      </c>
      <c r="B14" s="15" t="s">
        <v>46</v>
      </c>
      <c r="C14" s="15" t="s">
        <v>25</v>
      </c>
      <c r="D14" s="15" t="s">
        <v>26</v>
      </c>
      <c r="E14" s="15" t="s">
        <v>12</v>
      </c>
      <c r="F14" s="15">
        <v>2</v>
      </c>
      <c r="G14" s="15">
        <v>6</v>
      </c>
      <c r="H14" s="15">
        <v>0</v>
      </c>
      <c r="I14" s="15">
        <v>9</v>
      </c>
      <c r="J14" s="15">
        <v>3</v>
      </c>
      <c r="K14" s="15">
        <v>0</v>
      </c>
      <c r="L14" s="15">
        <v>1</v>
      </c>
      <c r="M14" s="15">
        <v>0</v>
      </c>
      <c r="N14" s="15">
        <v>0</v>
      </c>
      <c r="O14" s="15">
        <v>0</v>
      </c>
      <c r="P14" s="15">
        <v>8</v>
      </c>
      <c r="Q14" s="15">
        <f>0.3525/0.3052</f>
        <v>1.1549803407601571</v>
      </c>
      <c r="R14" s="15">
        <v>2</v>
      </c>
      <c r="S14" s="15">
        <v>3</v>
      </c>
      <c r="T14" s="15">
        <v>1</v>
      </c>
      <c r="U14" s="15">
        <v>4</v>
      </c>
      <c r="V14" s="15">
        <f>0.4661/0.3052</f>
        <v>1.5271952817824377</v>
      </c>
    </row>
    <row r="15" spans="1:22" x14ac:dyDescent="0.25">
      <c r="A15" s="15" t="s">
        <v>27</v>
      </c>
      <c r="B15" s="15" t="s">
        <v>47</v>
      </c>
      <c r="C15" s="15" t="s">
        <v>28</v>
      </c>
      <c r="D15" s="15" t="s">
        <v>26</v>
      </c>
      <c r="E15" s="15" t="s">
        <v>24</v>
      </c>
      <c r="F15" s="15">
        <v>4</v>
      </c>
      <c r="G15" s="15">
        <v>8</v>
      </c>
      <c r="H15" s="15">
        <v>0</v>
      </c>
      <c r="I15" s="15">
        <v>8</v>
      </c>
      <c r="J15" s="15">
        <v>4</v>
      </c>
      <c r="K15" s="15">
        <v>0</v>
      </c>
      <c r="L15" s="15">
        <v>1</v>
      </c>
      <c r="M15" s="15">
        <v>0</v>
      </c>
      <c r="N15" s="15">
        <v>0</v>
      </c>
      <c r="O15" s="15">
        <v>0</v>
      </c>
      <c r="P15" s="15">
        <v>6</v>
      </c>
      <c r="Q15" s="15">
        <f>0.2835/0.2455</f>
        <v>1.154786150712831</v>
      </c>
      <c r="R15" s="15">
        <v>12</v>
      </c>
      <c r="S15" s="15">
        <v>0</v>
      </c>
      <c r="T15" s="15">
        <v>0</v>
      </c>
      <c r="U15" s="15">
        <v>12</v>
      </c>
      <c r="V15" s="15">
        <f>0.4009/0.2455</f>
        <v>1.6329938900203664</v>
      </c>
    </row>
    <row r="16" spans="1:22" s="5" customFormat="1" x14ac:dyDescent="0.25">
      <c r="A16" s="15" t="s">
        <v>293</v>
      </c>
      <c r="B16" s="15" t="s">
        <v>48</v>
      </c>
      <c r="C16" s="15" t="s">
        <v>29</v>
      </c>
      <c r="D16" s="15" t="s">
        <v>30</v>
      </c>
      <c r="E16" s="15" t="s">
        <v>31</v>
      </c>
      <c r="F16" s="15">
        <v>8</v>
      </c>
      <c r="G16" s="15">
        <v>4</v>
      </c>
      <c r="H16" s="15">
        <v>0</v>
      </c>
      <c r="I16" s="15">
        <v>6</v>
      </c>
      <c r="J16" s="15">
        <v>12</v>
      </c>
      <c r="K16" s="15">
        <v>0</v>
      </c>
      <c r="L16" s="15">
        <v>1</v>
      </c>
      <c r="M16" s="15">
        <v>2</v>
      </c>
      <c r="N16" s="15">
        <v>0</v>
      </c>
      <c r="O16" s="15">
        <v>0</v>
      </c>
      <c r="P16" s="15">
        <v>4</v>
      </c>
      <c r="Q16" s="15">
        <f>0.423/0.3651</f>
        <v>1.1585866885784717</v>
      </c>
      <c r="R16" s="15">
        <v>9</v>
      </c>
      <c r="S16" s="15">
        <v>0</v>
      </c>
      <c r="T16" s="15">
        <v>0</v>
      </c>
      <c r="U16" s="15">
        <v>2</v>
      </c>
      <c r="V16" s="15">
        <f>0.4996/0.3651</f>
        <v>1.3683922213092303</v>
      </c>
    </row>
    <row r="17" spans="1:22" s="5" customFormat="1" x14ac:dyDescent="0.25">
      <c r="A17" s="15" t="s">
        <v>296</v>
      </c>
      <c r="B17" s="15" t="s">
        <v>51</v>
      </c>
      <c r="C17" s="15" t="s">
        <v>38</v>
      </c>
      <c r="D17" s="15" t="s">
        <v>30</v>
      </c>
      <c r="E17" s="15" t="s">
        <v>39</v>
      </c>
      <c r="F17" s="15">
        <v>4</v>
      </c>
      <c r="G17" s="15">
        <v>2</v>
      </c>
      <c r="H17" s="15">
        <v>5</v>
      </c>
      <c r="I17" s="15">
        <v>5</v>
      </c>
      <c r="J17" s="15">
        <v>10</v>
      </c>
      <c r="K17" s="15">
        <v>0</v>
      </c>
      <c r="L17" s="15">
        <v>1</v>
      </c>
      <c r="M17" s="15">
        <v>4</v>
      </c>
      <c r="N17" s="15">
        <v>0</v>
      </c>
      <c r="O17" s="15">
        <v>0</v>
      </c>
      <c r="P17" s="15">
        <v>4</v>
      </c>
      <c r="Q17" s="15">
        <f>0.3696/0.3097</f>
        <v>1.1934129803035196</v>
      </c>
      <c r="R17" s="15">
        <v>4</v>
      </c>
      <c r="S17" s="15">
        <v>4</v>
      </c>
      <c r="T17" s="15">
        <v>8</v>
      </c>
      <c r="U17" s="15">
        <v>0</v>
      </c>
      <c r="V17" s="15">
        <f>0.4822/0.3097</f>
        <v>1.5569906360994512</v>
      </c>
    </row>
    <row r="18" spans="1:22" x14ac:dyDescent="0.25">
      <c r="A18" s="15" t="s">
        <v>297</v>
      </c>
      <c r="B18" s="15" t="s">
        <v>52</v>
      </c>
      <c r="C18" s="15" t="s">
        <v>42</v>
      </c>
      <c r="D18" s="15" t="s">
        <v>30</v>
      </c>
      <c r="E18" s="15" t="s">
        <v>43</v>
      </c>
      <c r="F18" s="15">
        <v>2</v>
      </c>
      <c r="G18" s="15">
        <v>1</v>
      </c>
      <c r="H18" s="15">
        <v>0</v>
      </c>
      <c r="I18" s="15">
        <v>3</v>
      </c>
      <c r="J18" s="15">
        <v>6</v>
      </c>
      <c r="K18" s="15">
        <v>0</v>
      </c>
      <c r="L18" s="15">
        <v>1</v>
      </c>
      <c r="M18" s="15">
        <v>9</v>
      </c>
      <c r="N18" s="15">
        <v>0</v>
      </c>
      <c r="O18" s="15">
        <v>0</v>
      </c>
      <c r="P18" s="15">
        <v>6</v>
      </c>
      <c r="Q18" s="15">
        <f>0.2986/0.2446</f>
        <v>1.220768601798855</v>
      </c>
      <c r="R18" s="15">
        <v>3</v>
      </c>
      <c r="S18" s="15">
        <v>3</v>
      </c>
      <c r="T18" s="15">
        <v>6</v>
      </c>
      <c r="U18" s="15">
        <v>0</v>
      </c>
      <c r="V18" s="15">
        <f>0.286/0.2446</f>
        <v>1.1692559280457888</v>
      </c>
    </row>
    <row r="19" spans="1:22" x14ac:dyDescent="0.25">
      <c r="A19" s="1" t="s">
        <v>75</v>
      </c>
      <c r="B19" s="1" t="s">
        <v>76</v>
      </c>
      <c r="C19" s="1" t="s">
        <v>77</v>
      </c>
      <c r="D19" s="1" t="s">
        <v>30</v>
      </c>
      <c r="E19" s="1" t="s">
        <v>74</v>
      </c>
      <c r="F19" s="1">
        <v>4</v>
      </c>
      <c r="G19" s="2">
        <v>2</v>
      </c>
      <c r="H19" s="2">
        <v>0</v>
      </c>
      <c r="I19" s="2">
        <v>2</v>
      </c>
      <c r="J19" s="2">
        <v>4</v>
      </c>
      <c r="K19" s="2">
        <v>0</v>
      </c>
      <c r="L19" s="2">
        <v>1</v>
      </c>
      <c r="M19" s="2">
        <v>12</v>
      </c>
      <c r="N19" s="2">
        <v>0</v>
      </c>
      <c r="O19" s="2">
        <v>0</v>
      </c>
      <c r="P19" s="2">
        <v>0</v>
      </c>
      <c r="Q19" s="2">
        <f>0.3338/0.2044</f>
        <v>1.6330724070450098</v>
      </c>
      <c r="R19" s="2">
        <v>0</v>
      </c>
      <c r="S19" s="2">
        <v>6</v>
      </c>
      <c r="T19" s="2">
        <v>12</v>
      </c>
      <c r="U19" s="2">
        <v>0</v>
      </c>
      <c r="V19" s="2">
        <f>0.3914/0.2044</f>
        <v>1.9148727984344425</v>
      </c>
    </row>
    <row r="20" spans="1:22" x14ac:dyDescent="0.25">
      <c r="A20" s="1" t="s">
        <v>57</v>
      </c>
      <c r="B20" s="1" t="s">
        <v>58</v>
      </c>
      <c r="C20" s="1" t="s">
        <v>10</v>
      </c>
      <c r="D20" s="1" t="s">
        <v>30</v>
      </c>
      <c r="E20" s="1" t="s">
        <v>59</v>
      </c>
      <c r="F20" s="1">
        <v>3</v>
      </c>
      <c r="G20" s="1">
        <v>1</v>
      </c>
      <c r="H20" s="1">
        <v>8</v>
      </c>
      <c r="I20" s="1">
        <v>4</v>
      </c>
      <c r="J20" s="1">
        <v>12</v>
      </c>
      <c r="K20" s="1">
        <v>0</v>
      </c>
      <c r="L20" s="1">
        <v>1</v>
      </c>
      <c r="M20" s="1">
        <v>6</v>
      </c>
      <c r="N20" s="1">
        <v>0</v>
      </c>
      <c r="O20" s="1">
        <v>0</v>
      </c>
      <c r="P20" s="1">
        <v>6</v>
      </c>
      <c r="Q20" s="1">
        <f>0.4144/0.293</f>
        <v>1.4143344709897612</v>
      </c>
      <c r="R20" s="1">
        <v>16</v>
      </c>
      <c r="S20" s="1">
        <v>8</v>
      </c>
      <c r="T20" s="1">
        <v>24</v>
      </c>
      <c r="U20" s="1">
        <v>0</v>
      </c>
      <c r="V20" s="1">
        <f>0.5075/0.293</f>
        <v>1.7320819112627985</v>
      </c>
    </row>
    <row r="21" spans="1:22" x14ac:dyDescent="0.25">
      <c r="A21" s="1" t="s">
        <v>304</v>
      </c>
      <c r="B21" s="1" t="s">
        <v>72</v>
      </c>
      <c r="C21" s="1" t="s">
        <v>73</v>
      </c>
      <c r="D21" s="1" t="s">
        <v>30</v>
      </c>
      <c r="E21" s="1" t="s">
        <v>74</v>
      </c>
      <c r="F21" s="1">
        <v>6</v>
      </c>
      <c r="G21" s="1">
        <v>2</v>
      </c>
      <c r="H21" s="1">
        <v>0</v>
      </c>
      <c r="I21" s="1">
        <v>2</v>
      </c>
      <c r="J21" s="1">
        <v>6</v>
      </c>
      <c r="K21" s="1">
        <v>0</v>
      </c>
      <c r="L21" s="1">
        <v>1</v>
      </c>
      <c r="M21" s="1">
        <v>12</v>
      </c>
      <c r="N21" s="1">
        <v>0</v>
      </c>
      <c r="O21" s="1">
        <v>0</v>
      </c>
      <c r="P21" s="1">
        <v>3</v>
      </c>
      <c r="Q21" s="1">
        <f>0.2757/0.2292</f>
        <v>1.2028795811518325</v>
      </c>
      <c r="R21" s="1">
        <v>0</v>
      </c>
      <c r="S21" s="1">
        <v>2</v>
      </c>
      <c r="T21" s="1">
        <v>6</v>
      </c>
      <c r="U21" s="1">
        <v>0</v>
      </c>
      <c r="V21" s="1">
        <f>0.3747/0.2292</f>
        <v>1.6348167539267016</v>
      </c>
    </row>
    <row r="22" spans="1:22" x14ac:dyDescent="0.25">
      <c r="A22" s="1" t="s">
        <v>303</v>
      </c>
      <c r="B22" s="1" t="s">
        <v>67</v>
      </c>
      <c r="C22" s="1" t="s">
        <v>68</v>
      </c>
      <c r="D22" s="1" t="s">
        <v>30</v>
      </c>
      <c r="E22" s="1" t="s">
        <v>69</v>
      </c>
      <c r="F22" s="1">
        <v>6</v>
      </c>
      <c r="G22" s="1">
        <v>2</v>
      </c>
      <c r="H22" s="1">
        <v>3</v>
      </c>
      <c r="I22" s="1">
        <v>9</v>
      </c>
      <c r="J22" s="1">
        <v>12</v>
      </c>
      <c r="K22" s="1">
        <v>0</v>
      </c>
      <c r="L22" s="1">
        <v>1</v>
      </c>
      <c r="M22" s="1">
        <v>5</v>
      </c>
      <c r="N22" s="1">
        <v>1</v>
      </c>
      <c r="O22" s="1">
        <v>4</v>
      </c>
      <c r="P22" s="1">
        <v>2</v>
      </c>
      <c r="Q22" s="1">
        <f>0.4158/0.2983</f>
        <v>1.3938987596379484</v>
      </c>
      <c r="R22" s="1">
        <v>20</v>
      </c>
      <c r="S22" s="1">
        <v>4</v>
      </c>
      <c r="T22" s="1">
        <v>16</v>
      </c>
      <c r="U22" s="1">
        <v>8</v>
      </c>
      <c r="V22" s="1">
        <f>0.5154/0.2983</f>
        <v>1.727790814616158</v>
      </c>
    </row>
    <row r="23" spans="1:22" x14ac:dyDescent="0.25">
      <c r="A23" s="1" t="s">
        <v>294</v>
      </c>
      <c r="B23" s="1" t="s">
        <v>49</v>
      </c>
      <c r="C23" s="1" t="s">
        <v>32</v>
      </c>
      <c r="D23" s="1" t="s">
        <v>30</v>
      </c>
      <c r="E23" s="1" t="s">
        <v>31</v>
      </c>
      <c r="F23" s="1">
        <v>4</v>
      </c>
      <c r="G23" s="1">
        <v>4</v>
      </c>
      <c r="H23" s="1">
        <v>0</v>
      </c>
      <c r="I23" s="1">
        <v>7</v>
      </c>
      <c r="J23" s="1">
        <v>7</v>
      </c>
      <c r="K23" s="1">
        <v>0</v>
      </c>
      <c r="L23" s="1">
        <v>1</v>
      </c>
      <c r="M23" s="1">
        <v>0</v>
      </c>
      <c r="N23" s="1">
        <v>0</v>
      </c>
      <c r="O23" s="1">
        <v>0</v>
      </c>
      <c r="P23" s="1">
        <v>6</v>
      </c>
      <c r="Q23" s="1">
        <f>0.4328/0.3573</f>
        <v>1.2113070249090401</v>
      </c>
      <c r="R23" s="1">
        <v>2</v>
      </c>
      <c r="S23" s="1">
        <v>0</v>
      </c>
      <c r="T23" s="1">
        <v>0</v>
      </c>
      <c r="U23" s="1">
        <v>2</v>
      </c>
      <c r="V23" s="1">
        <f>0.4618/0.3573</f>
        <v>1.2924713126224461</v>
      </c>
    </row>
    <row r="24" spans="1:22" x14ac:dyDescent="0.25">
      <c r="A24" s="1" t="s">
        <v>295</v>
      </c>
      <c r="B24" s="1" t="s">
        <v>50</v>
      </c>
      <c r="C24" s="1" t="s">
        <v>35</v>
      </c>
      <c r="D24" s="1" t="s">
        <v>30</v>
      </c>
      <c r="E24" s="1" t="s">
        <v>8</v>
      </c>
      <c r="F24" s="1">
        <v>2</v>
      </c>
      <c r="G24" s="1">
        <v>2</v>
      </c>
      <c r="H24" s="1">
        <v>0</v>
      </c>
      <c r="I24" s="1">
        <v>6</v>
      </c>
      <c r="J24" s="1">
        <v>6</v>
      </c>
      <c r="K24" s="1">
        <v>0</v>
      </c>
      <c r="L24" s="1">
        <v>1</v>
      </c>
      <c r="M24" s="1">
        <v>2</v>
      </c>
      <c r="N24" s="1">
        <v>0</v>
      </c>
      <c r="O24" s="1">
        <v>0</v>
      </c>
      <c r="P24" s="1">
        <v>0</v>
      </c>
      <c r="Q24" s="1">
        <f>0.3249/0.2931</f>
        <v>1.1084953940634596</v>
      </c>
      <c r="R24" s="1">
        <v>0</v>
      </c>
      <c r="S24" s="1">
        <v>0</v>
      </c>
      <c r="T24" s="1">
        <v>0</v>
      </c>
      <c r="U24" s="1">
        <v>4</v>
      </c>
      <c r="V24" s="1">
        <f>0.3465/0.2931</f>
        <v>1.1821903787103376</v>
      </c>
    </row>
    <row r="25" spans="1:22" x14ac:dyDescent="0.25">
      <c r="A25" s="1" t="s">
        <v>299</v>
      </c>
      <c r="B25" s="1" t="s">
        <v>53</v>
      </c>
      <c r="C25" s="1" t="s">
        <v>44</v>
      </c>
      <c r="D25" s="1" t="s">
        <v>30</v>
      </c>
      <c r="E25" s="1" t="s">
        <v>43</v>
      </c>
      <c r="F25" s="1">
        <v>4</v>
      </c>
      <c r="G25" s="2">
        <v>8</v>
      </c>
      <c r="H25" s="2">
        <v>0</v>
      </c>
      <c r="I25" s="2">
        <v>6</v>
      </c>
      <c r="J25" s="2">
        <v>3</v>
      </c>
      <c r="K25" s="2">
        <v>0</v>
      </c>
      <c r="L25" s="4">
        <v>1</v>
      </c>
      <c r="M25" s="4">
        <v>0</v>
      </c>
      <c r="N25" s="4">
        <v>2</v>
      </c>
      <c r="O25" s="4">
        <v>0</v>
      </c>
      <c r="P25" s="4">
        <v>1</v>
      </c>
      <c r="Q25" s="4">
        <f>0.2588/0.2086</f>
        <v>1.2406519654841801</v>
      </c>
      <c r="R25" s="4">
        <v>0</v>
      </c>
      <c r="S25" s="4">
        <v>2</v>
      </c>
      <c r="T25" s="4">
        <v>1</v>
      </c>
      <c r="U25" s="4">
        <v>8</v>
      </c>
      <c r="V25" s="4">
        <f>0.2863/0.2086</f>
        <v>1.3724832214765099</v>
      </c>
    </row>
    <row r="26" spans="1:22" x14ac:dyDescent="0.25">
      <c r="A26" s="1" t="s">
        <v>298</v>
      </c>
      <c r="B26" s="1" t="s">
        <v>54</v>
      </c>
      <c r="C26" s="1" t="s">
        <v>55</v>
      </c>
      <c r="D26" s="1" t="s">
        <v>30</v>
      </c>
      <c r="E26" s="1" t="s">
        <v>45</v>
      </c>
      <c r="F26" s="1">
        <v>2</v>
      </c>
      <c r="G26" s="1">
        <v>2</v>
      </c>
      <c r="H26" s="1">
        <v>4</v>
      </c>
      <c r="I26" s="1">
        <v>5</v>
      </c>
      <c r="J26" s="1">
        <v>5</v>
      </c>
      <c r="K26" s="1">
        <v>0</v>
      </c>
      <c r="L26" s="1">
        <v>1</v>
      </c>
      <c r="M26" s="1">
        <v>0</v>
      </c>
      <c r="N26" s="1">
        <v>0</v>
      </c>
      <c r="O26" s="1">
        <v>0</v>
      </c>
      <c r="P26" s="1">
        <v>4</v>
      </c>
      <c r="Q26" s="1">
        <f>0.312/0.2957</f>
        <v>1.0551234359147785</v>
      </c>
      <c r="R26" s="1">
        <v>4</v>
      </c>
      <c r="S26" s="1">
        <v>0</v>
      </c>
      <c r="T26" s="1">
        <v>0</v>
      </c>
      <c r="U26" s="1">
        <v>4</v>
      </c>
      <c r="V26" s="1">
        <f>0.342/0.2957</f>
        <v>1.1565776124450458</v>
      </c>
    </row>
    <row r="27" spans="1:22" x14ac:dyDescent="0.25">
      <c r="A27" s="1" t="s">
        <v>300</v>
      </c>
      <c r="B27" s="1" t="s">
        <v>60</v>
      </c>
      <c r="C27" s="1" t="s">
        <v>61</v>
      </c>
      <c r="D27" s="1" t="s">
        <v>30</v>
      </c>
      <c r="E27" s="1" t="s">
        <v>59</v>
      </c>
      <c r="F27" s="1">
        <v>4</v>
      </c>
      <c r="G27" s="1">
        <v>8</v>
      </c>
      <c r="H27" s="1">
        <v>2</v>
      </c>
      <c r="I27" s="1">
        <v>8</v>
      </c>
      <c r="J27" s="1">
        <v>4</v>
      </c>
      <c r="K27" s="1">
        <v>1</v>
      </c>
      <c r="L27" s="1">
        <v>1</v>
      </c>
      <c r="M27" s="1">
        <v>0</v>
      </c>
      <c r="N27" s="1">
        <v>0</v>
      </c>
      <c r="O27" s="1">
        <v>0</v>
      </c>
      <c r="P27" s="1">
        <v>10</v>
      </c>
      <c r="Q27" s="1">
        <f>0.3539/0.2954</f>
        <v>1.1980365605958023</v>
      </c>
      <c r="R27" s="1">
        <v>4</v>
      </c>
      <c r="S27" s="1">
        <v>16</v>
      </c>
      <c r="T27" s="1">
        <v>8</v>
      </c>
      <c r="U27" s="1">
        <v>0</v>
      </c>
      <c r="V27" s="1">
        <f>0.4951/0.2952</f>
        <v>1.6771680216802167</v>
      </c>
    </row>
    <row r="28" spans="1:22" s="2" customFormat="1" x14ac:dyDescent="0.25">
      <c r="A28" s="2" t="s">
        <v>301</v>
      </c>
      <c r="B28" s="2" t="s">
        <v>62</v>
      </c>
      <c r="C28" s="2" t="s">
        <v>14</v>
      </c>
      <c r="D28" s="2" t="s">
        <v>30</v>
      </c>
      <c r="E28" s="2" t="s">
        <v>63</v>
      </c>
      <c r="F28" s="2">
        <v>1</v>
      </c>
      <c r="G28" s="2">
        <v>2</v>
      </c>
      <c r="H28" s="2">
        <v>2</v>
      </c>
      <c r="I28" s="2">
        <v>12</v>
      </c>
      <c r="J28" s="2">
        <v>6</v>
      </c>
      <c r="K28" s="2">
        <v>2</v>
      </c>
      <c r="L28" s="2">
        <v>1</v>
      </c>
      <c r="M28" s="2">
        <v>0</v>
      </c>
      <c r="N28" s="2">
        <v>0</v>
      </c>
      <c r="O28" s="2">
        <v>0</v>
      </c>
      <c r="P28" s="2">
        <v>6</v>
      </c>
      <c r="Q28" s="2">
        <f>0.4945/0.377</f>
        <v>1.3116710875331565</v>
      </c>
      <c r="R28" s="2">
        <v>6</v>
      </c>
      <c r="S28" s="2">
        <v>0</v>
      </c>
      <c r="T28" s="2">
        <v>0</v>
      </c>
      <c r="U28" s="2">
        <v>6</v>
      </c>
      <c r="V28" s="2">
        <f>0.5543/0.377</f>
        <v>1.470291777188329</v>
      </c>
    </row>
    <row r="29" spans="1:22" s="2" customFormat="1" x14ac:dyDescent="0.25">
      <c r="A29" s="1" t="s">
        <v>302</v>
      </c>
      <c r="B29" s="1" t="s">
        <v>64</v>
      </c>
      <c r="C29" s="1" t="s">
        <v>65</v>
      </c>
      <c r="D29" s="1" t="s">
        <v>30</v>
      </c>
      <c r="E29" s="1" t="s">
        <v>66</v>
      </c>
      <c r="F29" s="1">
        <v>2</v>
      </c>
      <c r="G29" s="1">
        <v>2</v>
      </c>
      <c r="H29" s="2">
        <v>0</v>
      </c>
      <c r="I29" s="2">
        <v>4</v>
      </c>
      <c r="J29" s="2">
        <v>4</v>
      </c>
      <c r="K29" s="2">
        <v>0</v>
      </c>
      <c r="L29" s="2">
        <v>1</v>
      </c>
      <c r="M29" s="2">
        <v>4</v>
      </c>
      <c r="N29" s="2">
        <v>4</v>
      </c>
      <c r="O29" s="2">
        <v>4</v>
      </c>
      <c r="P29" s="2">
        <v>4</v>
      </c>
      <c r="Q29" s="2">
        <f>0.3121/0.2889</f>
        <v>1.0803046036690898</v>
      </c>
      <c r="R29" s="2">
        <v>6</v>
      </c>
      <c r="S29" s="2">
        <v>0</v>
      </c>
      <c r="T29" s="2">
        <v>0</v>
      </c>
      <c r="U29" s="2">
        <v>6</v>
      </c>
      <c r="V29" s="2">
        <f>0.4329/0.2889</f>
        <v>1.4984423676012462</v>
      </c>
    </row>
    <row r="30" spans="1:22" x14ac:dyDescent="0.25">
      <c r="A30" s="1" t="s">
        <v>305</v>
      </c>
      <c r="B30" s="1" t="s">
        <v>79</v>
      </c>
      <c r="C30" s="1" t="s">
        <v>80</v>
      </c>
      <c r="D30" s="1" t="s">
        <v>30</v>
      </c>
      <c r="E30" s="1" t="s">
        <v>81</v>
      </c>
      <c r="F30" s="1">
        <v>2</v>
      </c>
      <c r="G30" s="1">
        <v>2</v>
      </c>
      <c r="H30" s="1">
        <v>8</v>
      </c>
      <c r="I30" s="1">
        <v>4</v>
      </c>
      <c r="J30" s="1">
        <v>4</v>
      </c>
      <c r="K30" s="1">
        <v>4</v>
      </c>
      <c r="L30" s="1">
        <v>1</v>
      </c>
      <c r="M30" s="1">
        <v>0</v>
      </c>
      <c r="N30" s="1">
        <v>1</v>
      </c>
      <c r="O30" s="1">
        <v>1</v>
      </c>
      <c r="P30" s="1">
        <v>0</v>
      </c>
      <c r="Q30" s="1">
        <f>0.3881/0.2956</f>
        <v>1.3129228687415428</v>
      </c>
      <c r="R30" s="1">
        <v>4</v>
      </c>
      <c r="S30" s="1">
        <v>0</v>
      </c>
      <c r="T30" s="1">
        <v>0</v>
      </c>
      <c r="U30" s="1">
        <v>4</v>
      </c>
      <c r="V30" s="1">
        <f>0.4105/0.2956</f>
        <v>1.388700947225981</v>
      </c>
    </row>
    <row r="31" spans="1:22" x14ac:dyDescent="0.25">
      <c r="A31" s="1" t="s">
        <v>308</v>
      </c>
      <c r="B31" s="1" t="s">
        <v>99</v>
      </c>
      <c r="C31" s="1" t="s">
        <v>22</v>
      </c>
      <c r="D31" s="1" t="s">
        <v>15</v>
      </c>
      <c r="E31" s="1" t="s">
        <v>100</v>
      </c>
      <c r="F31" s="1">
        <f>G31*12</f>
        <v>24</v>
      </c>
      <c r="G31" s="1">
        <v>2</v>
      </c>
      <c r="H31" s="1">
        <v>10</v>
      </c>
      <c r="I31" s="1">
        <v>1</v>
      </c>
      <c r="J31" s="1">
        <v>12</v>
      </c>
      <c r="K31" s="1">
        <v>0</v>
      </c>
      <c r="L31" s="1">
        <v>1</v>
      </c>
      <c r="M31" s="1">
        <v>7</v>
      </c>
      <c r="N31" s="1">
        <v>0</v>
      </c>
      <c r="O31" s="1">
        <v>0</v>
      </c>
      <c r="P31" s="1">
        <v>0</v>
      </c>
      <c r="Q31" s="1">
        <f>0.4018/0.2893</f>
        <v>1.3888696854476321</v>
      </c>
      <c r="R31" s="1">
        <v>10</v>
      </c>
      <c r="S31" s="1">
        <v>2</v>
      </c>
      <c r="T31" s="1">
        <v>24</v>
      </c>
      <c r="U31" s="1">
        <v>0</v>
      </c>
      <c r="V31" s="1">
        <f>0.4708/0.2893</f>
        <v>1.6273764258555132</v>
      </c>
    </row>
    <row r="32" spans="1:22" x14ac:dyDescent="0.25">
      <c r="A32" s="1" t="s">
        <v>104</v>
      </c>
      <c r="B32" s="1" t="s">
        <v>221</v>
      </c>
      <c r="C32" s="1" t="s">
        <v>89</v>
      </c>
      <c r="D32" s="1" t="s">
        <v>15</v>
      </c>
      <c r="E32" s="1" t="s">
        <v>74</v>
      </c>
      <c r="F32" s="1">
        <v>12</v>
      </c>
      <c r="G32" s="2">
        <v>18</v>
      </c>
      <c r="H32" s="2">
        <v>0</v>
      </c>
      <c r="I32" s="2">
        <v>6</v>
      </c>
      <c r="J32" s="2">
        <v>4</v>
      </c>
      <c r="K32" s="2">
        <v>0</v>
      </c>
      <c r="L32" s="4">
        <v>1</v>
      </c>
      <c r="M32" s="4">
        <v>4</v>
      </c>
      <c r="N32" s="4">
        <v>0</v>
      </c>
      <c r="O32" s="4">
        <v>0</v>
      </c>
      <c r="P32" s="4">
        <v>12</v>
      </c>
      <c r="Q32" s="4">
        <f>0.2547/0.1989</f>
        <v>1.2805429864253393</v>
      </c>
      <c r="R32" s="4">
        <v>3</v>
      </c>
      <c r="S32" s="2">
        <v>3</v>
      </c>
      <c r="T32" s="2">
        <v>2</v>
      </c>
      <c r="U32" s="2">
        <v>0</v>
      </c>
      <c r="V32" s="4">
        <f>0.3251/0.1989</f>
        <v>1.6344896933132227</v>
      </c>
    </row>
    <row r="33" spans="1:22" x14ac:dyDescent="0.25">
      <c r="A33" s="1" t="s">
        <v>86</v>
      </c>
      <c r="B33" s="1" t="s">
        <v>85</v>
      </c>
      <c r="C33" s="1" t="s">
        <v>82</v>
      </c>
      <c r="D33" s="1" t="s">
        <v>15</v>
      </c>
      <c r="E33" s="1" t="s">
        <v>87</v>
      </c>
      <c r="F33" s="1">
        <v>6</v>
      </c>
      <c r="G33" s="2">
        <v>2</v>
      </c>
      <c r="H33" s="2">
        <v>4</v>
      </c>
      <c r="I33" s="2">
        <v>2</v>
      </c>
      <c r="J33" s="2">
        <v>6</v>
      </c>
      <c r="K33" s="2">
        <v>0</v>
      </c>
      <c r="L33" s="4">
        <v>1</v>
      </c>
      <c r="M33" s="4">
        <v>4</v>
      </c>
      <c r="N33" s="4">
        <v>2</v>
      </c>
      <c r="O33" s="4">
        <v>6</v>
      </c>
      <c r="P33" s="4">
        <v>0</v>
      </c>
      <c r="Q33" s="4">
        <f>0.3274/0.2981</f>
        <v>1.0982891647098292</v>
      </c>
      <c r="R33" s="4">
        <v>6</v>
      </c>
      <c r="S33" s="2">
        <v>0</v>
      </c>
      <c r="T33" s="2">
        <v>0</v>
      </c>
      <c r="U33" s="2">
        <v>6</v>
      </c>
      <c r="V33" s="4">
        <f>0.4428/0.2981</f>
        <v>1.485407581348541</v>
      </c>
    </row>
    <row r="34" spans="1:22" x14ac:dyDescent="0.25">
      <c r="A34" s="1" t="s">
        <v>306</v>
      </c>
      <c r="B34" s="1" t="s">
        <v>88</v>
      </c>
      <c r="C34" s="1" t="s">
        <v>89</v>
      </c>
      <c r="D34" s="1" t="s">
        <v>15</v>
      </c>
      <c r="E34" s="1" t="s">
        <v>39</v>
      </c>
      <c r="F34" s="1">
        <v>6</v>
      </c>
      <c r="G34" s="7">
        <v>24</v>
      </c>
      <c r="H34" s="7">
        <v>0</v>
      </c>
      <c r="I34" s="7">
        <v>6</v>
      </c>
      <c r="J34" s="7">
        <v>2</v>
      </c>
      <c r="K34" s="7">
        <v>0</v>
      </c>
      <c r="L34" s="7">
        <v>1</v>
      </c>
      <c r="M34" s="7">
        <v>0</v>
      </c>
      <c r="N34" s="7">
        <v>0</v>
      </c>
      <c r="O34" s="7">
        <v>0</v>
      </c>
      <c r="P34" s="7">
        <v>12</v>
      </c>
      <c r="Q34" s="1">
        <f>0.2416/0.1713</f>
        <v>1.410391126678342</v>
      </c>
      <c r="R34" s="7">
        <v>6</v>
      </c>
      <c r="S34" s="7">
        <v>6</v>
      </c>
      <c r="T34" s="7">
        <v>2</v>
      </c>
      <c r="U34" s="7">
        <v>0</v>
      </c>
      <c r="V34" s="7">
        <f>0.3206/0.1713</f>
        <v>1.8715703444249854</v>
      </c>
    </row>
    <row r="35" spans="1:22" s="2" customFormat="1" x14ac:dyDescent="0.25">
      <c r="A35" s="2" t="s">
        <v>307</v>
      </c>
      <c r="B35" s="2" t="s">
        <v>90</v>
      </c>
      <c r="C35" s="2" t="s">
        <v>91</v>
      </c>
      <c r="D35" s="2" t="s">
        <v>15</v>
      </c>
      <c r="E35" s="2" t="s">
        <v>92</v>
      </c>
      <c r="F35" s="2">
        <v>6</v>
      </c>
      <c r="G35" s="2">
        <v>6</v>
      </c>
      <c r="H35" s="2">
        <v>4</v>
      </c>
      <c r="I35" s="2">
        <v>4</v>
      </c>
      <c r="J35" s="2">
        <v>4</v>
      </c>
      <c r="K35" s="2">
        <v>4</v>
      </c>
      <c r="L35" s="2">
        <v>1</v>
      </c>
      <c r="M35" s="2">
        <v>0</v>
      </c>
      <c r="N35" s="2">
        <v>6</v>
      </c>
      <c r="O35" s="2">
        <v>6</v>
      </c>
      <c r="P35" s="2">
        <v>0</v>
      </c>
      <c r="Q35" s="2">
        <f>0.3167/0.2744</f>
        <v>1.1541545189504374</v>
      </c>
      <c r="R35" s="2">
        <v>12</v>
      </c>
      <c r="S35" s="2">
        <v>0</v>
      </c>
      <c r="T35" s="2">
        <v>0</v>
      </c>
      <c r="U35" s="2">
        <v>12</v>
      </c>
      <c r="V35" s="2">
        <f>0.4478/0.2744</f>
        <v>1.6319241982507289</v>
      </c>
    </row>
    <row r="36" spans="1:22" x14ac:dyDescent="0.25">
      <c r="A36" s="15" t="s">
        <v>309</v>
      </c>
      <c r="B36" s="15" t="s">
        <v>146</v>
      </c>
      <c r="C36" s="15" t="s">
        <v>36</v>
      </c>
      <c r="D36" s="15" t="s">
        <v>15</v>
      </c>
      <c r="E36" s="15" t="s">
        <v>108</v>
      </c>
      <c r="F36" s="15">
        <v>6</v>
      </c>
      <c r="G36" s="15">
        <v>6</v>
      </c>
      <c r="H36" s="15">
        <v>2</v>
      </c>
      <c r="I36" s="15">
        <v>5</v>
      </c>
      <c r="J36" s="15">
        <v>5</v>
      </c>
      <c r="K36" s="15">
        <v>0</v>
      </c>
      <c r="L36" s="15">
        <v>1</v>
      </c>
      <c r="M36" s="15">
        <v>0</v>
      </c>
      <c r="N36" s="15">
        <v>2</v>
      </c>
      <c r="O36" s="15">
        <v>2</v>
      </c>
      <c r="P36" s="15">
        <v>2</v>
      </c>
      <c r="Q36" s="15">
        <f>0.3558/0.3285</f>
        <v>1.0831050228310501</v>
      </c>
      <c r="R36" s="15">
        <v>8</v>
      </c>
      <c r="S36" s="15">
        <v>0</v>
      </c>
      <c r="T36" s="15">
        <v>0</v>
      </c>
      <c r="U36" s="15">
        <v>8</v>
      </c>
      <c r="V36" s="15">
        <f>0.4078/0.3285</f>
        <v>1.241400304414003</v>
      </c>
    </row>
    <row r="37" spans="1:22" x14ac:dyDescent="0.25">
      <c r="A37" s="1" t="s">
        <v>311</v>
      </c>
      <c r="B37" s="1" t="s">
        <v>112</v>
      </c>
      <c r="C37" s="1" t="s">
        <v>113</v>
      </c>
      <c r="D37" s="1" t="s">
        <v>108</v>
      </c>
      <c r="E37" s="1" t="s">
        <v>114</v>
      </c>
      <c r="F37" s="1">
        <v>3</v>
      </c>
      <c r="G37" s="7">
        <v>4</v>
      </c>
      <c r="H37" s="7">
        <v>0</v>
      </c>
      <c r="I37" s="7">
        <v>8</v>
      </c>
      <c r="J37" s="7">
        <v>6</v>
      </c>
      <c r="K37" s="7">
        <v>3</v>
      </c>
      <c r="L37" s="7">
        <v>1</v>
      </c>
      <c r="M37" s="7">
        <v>8</v>
      </c>
      <c r="N37" s="7">
        <v>0</v>
      </c>
      <c r="O37" s="7">
        <v>0</v>
      </c>
      <c r="P37" s="7">
        <v>8</v>
      </c>
      <c r="Q37" s="7">
        <f>0.4031/0.3212</f>
        <v>1.2549813200498132</v>
      </c>
      <c r="R37" s="7">
        <v>4</v>
      </c>
      <c r="S37" s="7">
        <v>4</v>
      </c>
      <c r="T37" s="7">
        <v>3</v>
      </c>
      <c r="U37" s="7">
        <v>0</v>
      </c>
      <c r="V37" s="7">
        <f>0.4937/0.3212</f>
        <v>1.5370485678704859</v>
      </c>
    </row>
    <row r="38" spans="1:22" x14ac:dyDescent="0.25">
      <c r="A38" s="1" t="s">
        <v>310</v>
      </c>
      <c r="B38" s="1" t="s">
        <v>109</v>
      </c>
      <c r="C38" s="1" t="s">
        <v>10</v>
      </c>
      <c r="D38" s="1" t="s">
        <v>110</v>
      </c>
      <c r="E38" s="1" t="s">
        <v>16</v>
      </c>
      <c r="F38" s="1">
        <v>1</v>
      </c>
      <c r="G38" s="7">
        <v>6</v>
      </c>
      <c r="H38" s="7">
        <v>0</v>
      </c>
      <c r="I38" s="7">
        <v>24</v>
      </c>
      <c r="J38" s="7">
        <v>4</v>
      </c>
      <c r="K38" s="7">
        <v>8</v>
      </c>
      <c r="L38" s="7">
        <v>1</v>
      </c>
      <c r="M38" s="7">
        <v>6</v>
      </c>
      <c r="N38" s="7">
        <v>24</v>
      </c>
      <c r="O38" s="7">
        <v>0</v>
      </c>
      <c r="P38" s="7">
        <v>16</v>
      </c>
      <c r="Q38" s="7">
        <f>0.4115/0.315</f>
        <v>1.3063492063492064</v>
      </c>
      <c r="R38" s="7">
        <v>12</v>
      </c>
      <c r="S38" s="7">
        <v>24</v>
      </c>
      <c r="T38" s="7">
        <v>4</v>
      </c>
      <c r="U38" s="7">
        <f>33-4</f>
        <v>29</v>
      </c>
      <c r="V38" s="7">
        <f>0.5757/0.3032</f>
        <v>1.8987467018469655</v>
      </c>
    </row>
    <row r="39" spans="1:22" x14ac:dyDescent="0.25">
      <c r="A39" s="1" t="s">
        <v>313</v>
      </c>
      <c r="B39" s="1" t="s">
        <v>117</v>
      </c>
      <c r="C39" s="1" t="s">
        <v>118</v>
      </c>
      <c r="D39" s="1" t="s">
        <v>83</v>
      </c>
      <c r="E39" s="1" t="s">
        <v>119</v>
      </c>
      <c r="F39" s="1">
        <v>4</v>
      </c>
      <c r="G39" s="7">
        <v>2</v>
      </c>
      <c r="H39" s="7">
        <v>1</v>
      </c>
      <c r="I39" s="7">
        <v>3</v>
      </c>
      <c r="J39" s="7">
        <v>6</v>
      </c>
      <c r="K39" s="7">
        <v>0</v>
      </c>
      <c r="L39" s="7">
        <v>1</v>
      </c>
      <c r="M39" s="7">
        <v>1</v>
      </c>
      <c r="N39" s="7">
        <v>0</v>
      </c>
      <c r="O39" s="7">
        <v>0</v>
      </c>
      <c r="P39" s="7">
        <v>2</v>
      </c>
      <c r="Q39" s="7">
        <f>0.2901/0.2381</f>
        <v>1.2183956320873583</v>
      </c>
      <c r="R39" s="7">
        <v>8</v>
      </c>
      <c r="S39" s="7">
        <v>0</v>
      </c>
      <c r="T39" s="7">
        <v>0</v>
      </c>
      <c r="U39" s="7">
        <v>0</v>
      </c>
      <c r="V39" s="7">
        <f>0.33/0.238</f>
        <v>1.3865546218487397</v>
      </c>
    </row>
    <row r="40" spans="1:22" x14ac:dyDescent="0.25">
      <c r="A40" s="1" t="s">
        <v>315</v>
      </c>
      <c r="B40" s="1" t="s">
        <v>132</v>
      </c>
      <c r="C40" s="1" t="s">
        <v>33</v>
      </c>
      <c r="D40" s="1" t="s">
        <v>133</v>
      </c>
      <c r="E40" s="1" t="s">
        <v>74</v>
      </c>
      <c r="F40" s="1">
        <v>2</v>
      </c>
      <c r="G40" s="7">
        <v>3</v>
      </c>
      <c r="H40" s="7">
        <v>0</v>
      </c>
      <c r="I40" s="7">
        <v>6</v>
      </c>
      <c r="J40" s="7">
        <v>2</v>
      </c>
      <c r="K40" s="7">
        <v>4</v>
      </c>
      <c r="L40" s="7">
        <v>1</v>
      </c>
      <c r="M40" s="7">
        <v>3</v>
      </c>
      <c r="N40" s="7">
        <v>3</v>
      </c>
      <c r="O40" s="7">
        <v>4</v>
      </c>
      <c r="P40" s="7">
        <v>4</v>
      </c>
      <c r="Q40" s="7">
        <f>0.3474/0.2725</f>
        <v>1.2748623853211007</v>
      </c>
      <c r="R40" s="7">
        <v>6</v>
      </c>
      <c r="S40" s="7">
        <v>0</v>
      </c>
      <c r="T40" s="7">
        <v>4</v>
      </c>
      <c r="U40" s="7">
        <v>3</v>
      </c>
      <c r="V40" s="7">
        <f>0.4249/0.2725</f>
        <v>1.5592660550458715</v>
      </c>
    </row>
    <row r="41" spans="1:22" x14ac:dyDescent="0.25">
      <c r="A41" s="1" t="s">
        <v>312</v>
      </c>
      <c r="B41" s="1" t="s">
        <v>115</v>
      </c>
      <c r="C41" s="1" t="s">
        <v>22</v>
      </c>
      <c r="D41" s="1" t="s">
        <v>83</v>
      </c>
      <c r="E41" s="1" t="s">
        <v>116</v>
      </c>
      <c r="F41" s="1">
        <v>24</v>
      </c>
      <c r="G41" s="9">
        <v>8</v>
      </c>
      <c r="H41" s="9">
        <v>2</v>
      </c>
      <c r="I41" s="9">
        <v>2</v>
      </c>
      <c r="J41" s="9">
        <v>6</v>
      </c>
      <c r="K41" s="9">
        <v>0</v>
      </c>
      <c r="L41" s="9">
        <v>1</v>
      </c>
      <c r="M41" s="9">
        <v>9</v>
      </c>
      <c r="N41" s="9">
        <v>0</v>
      </c>
      <c r="O41" s="9">
        <v>0</v>
      </c>
      <c r="P41" s="9">
        <v>0</v>
      </c>
      <c r="Q41" s="9">
        <f>0.3468/0.2558</f>
        <v>1.3557466770914777</v>
      </c>
      <c r="R41" s="9">
        <v>4</v>
      </c>
      <c r="S41" s="9">
        <v>4</v>
      </c>
      <c r="T41" s="9">
        <v>12</v>
      </c>
      <c r="U41" s="9">
        <v>6</v>
      </c>
      <c r="V41" s="9">
        <f>0.3995/0.2558</f>
        <v>1.5617670054730257</v>
      </c>
    </row>
    <row r="42" spans="1:22" x14ac:dyDescent="0.25">
      <c r="A42" s="1" t="s">
        <v>314</v>
      </c>
      <c r="B42" s="1" t="s">
        <v>120</v>
      </c>
      <c r="C42" s="1" t="s">
        <v>32</v>
      </c>
      <c r="D42" s="1" t="s">
        <v>83</v>
      </c>
      <c r="E42" s="1" t="s">
        <v>119</v>
      </c>
      <c r="F42" s="1">
        <v>4</v>
      </c>
      <c r="G42" s="9">
        <v>4</v>
      </c>
      <c r="H42" s="9">
        <v>2</v>
      </c>
      <c r="I42" s="9">
        <v>6</v>
      </c>
      <c r="J42" s="9">
        <v>6</v>
      </c>
      <c r="K42" s="9">
        <v>2</v>
      </c>
      <c r="L42" s="9">
        <v>1</v>
      </c>
      <c r="M42" s="9">
        <v>8</v>
      </c>
      <c r="N42" s="9">
        <v>0</v>
      </c>
      <c r="O42" s="9">
        <v>0</v>
      </c>
      <c r="P42" s="9">
        <v>4</v>
      </c>
      <c r="Q42" s="9">
        <f>0.325/0.2899</f>
        <v>1.1210762331838566</v>
      </c>
      <c r="R42" s="9">
        <v>2</v>
      </c>
      <c r="S42" s="9">
        <v>4</v>
      </c>
      <c r="T42" s="9">
        <v>4</v>
      </c>
      <c r="U42" s="9">
        <v>2</v>
      </c>
      <c r="V42" s="9">
        <f>0.4137/0.2788</f>
        <v>1.4838593974175036</v>
      </c>
    </row>
    <row r="43" spans="1:22" x14ac:dyDescent="0.25">
      <c r="A43" s="1" t="s">
        <v>126</v>
      </c>
      <c r="B43" s="1" t="s">
        <v>124</v>
      </c>
      <c r="C43" s="1" t="s">
        <v>125</v>
      </c>
      <c r="D43" s="1" t="s">
        <v>83</v>
      </c>
      <c r="E43" s="1" t="s">
        <v>127</v>
      </c>
      <c r="F43" s="1">
        <v>2</v>
      </c>
      <c r="G43" s="9">
        <v>2</v>
      </c>
      <c r="H43" s="9">
        <v>0</v>
      </c>
      <c r="I43" s="9">
        <v>5</v>
      </c>
      <c r="J43" s="9">
        <v>5</v>
      </c>
      <c r="K43" s="9">
        <v>0</v>
      </c>
      <c r="L43" s="9">
        <v>1</v>
      </c>
      <c r="M43" s="9">
        <v>0</v>
      </c>
      <c r="N43" s="9">
        <v>1</v>
      </c>
      <c r="O43" s="9">
        <v>1</v>
      </c>
      <c r="P43" s="9">
        <v>0</v>
      </c>
      <c r="Q43" s="9">
        <f>0.3342/0.2459</f>
        <v>1.3590890605937371</v>
      </c>
      <c r="R43" s="9">
        <v>4</v>
      </c>
      <c r="S43" s="9">
        <v>0</v>
      </c>
      <c r="T43" s="9">
        <v>0</v>
      </c>
      <c r="U43" s="9">
        <v>4</v>
      </c>
      <c r="V43" s="9">
        <f>0.3712/0.2659</f>
        <v>1.3960135389244075</v>
      </c>
    </row>
    <row r="44" spans="1:22" x14ac:dyDescent="0.25">
      <c r="A44" s="1" t="s">
        <v>129</v>
      </c>
      <c r="B44" s="1" t="s">
        <v>128</v>
      </c>
      <c r="C44" s="1" t="s">
        <v>70</v>
      </c>
      <c r="D44" s="1" t="s">
        <v>83</v>
      </c>
      <c r="E44" s="1" t="s">
        <v>66</v>
      </c>
      <c r="F44" s="1">
        <v>1</v>
      </c>
      <c r="G44" s="9">
        <v>1</v>
      </c>
      <c r="H44" s="9">
        <v>2</v>
      </c>
      <c r="I44" s="9">
        <v>8</v>
      </c>
      <c r="J44" s="9">
        <v>8</v>
      </c>
      <c r="K44" s="9">
        <v>2</v>
      </c>
      <c r="L44" s="9">
        <v>1</v>
      </c>
      <c r="M44" s="9">
        <v>4</v>
      </c>
      <c r="N44" s="9">
        <v>0</v>
      </c>
      <c r="O44" s="9">
        <v>0</v>
      </c>
      <c r="P44" s="9">
        <v>4</v>
      </c>
      <c r="Q44" s="9">
        <f>0.3625/0.306</f>
        <v>1.184640522875817</v>
      </c>
      <c r="R44" s="9">
        <v>8</v>
      </c>
      <c r="S44" s="9">
        <v>0</v>
      </c>
      <c r="T44" s="9">
        <v>0</v>
      </c>
      <c r="U44" s="9">
        <v>8</v>
      </c>
      <c r="V44" s="9">
        <f>0.4744/0.306</f>
        <v>1.550326797385621</v>
      </c>
    </row>
    <row r="45" spans="1:22" x14ac:dyDescent="0.25">
      <c r="A45" s="1" t="s">
        <v>316</v>
      </c>
      <c r="B45" s="1" t="s">
        <v>144</v>
      </c>
      <c r="C45" s="1" t="s">
        <v>44</v>
      </c>
      <c r="D45" s="1" t="s">
        <v>83</v>
      </c>
      <c r="E45" s="1" t="s">
        <v>102</v>
      </c>
      <c r="F45" s="9">
        <v>8</v>
      </c>
      <c r="G45" s="9">
        <v>8</v>
      </c>
      <c r="H45" s="9">
        <v>1</v>
      </c>
      <c r="I45" s="9">
        <v>4</v>
      </c>
      <c r="J45" s="9">
        <v>4</v>
      </c>
      <c r="K45" s="9">
        <v>1</v>
      </c>
      <c r="L45" s="9">
        <v>1</v>
      </c>
      <c r="M45" s="9">
        <v>2</v>
      </c>
      <c r="N45" s="9">
        <v>3</v>
      </c>
      <c r="O45" s="9">
        <v>3</v>
      </c>
      <c r="P45" s="9">
        <v>2</v>
      </c>
      <c r="Q45" s="9">
        <f>0.3532/0.2699</f>
        <v>1.308632826972953</v>
      </c>
      <c r="R45" s="9">
        <v>4</v>
      </c>
      <c r="S45" s="9">
        <v>1</v>
      </c>
      <c r="T45" s="9">
        <v>1</v>
      </c>
      <c r="U45" s="9">
        <v>4</v>
      </c>
      <c r="V45" s="9">
        <f>0.4094/0.2623</f>
        <v>1.5608082348455967</v>
      </c>
    </row>
    <row r="46" spans="1:22" x14ac:dyDescent="0.25">
      <c r="A46" s="1" t="s">
        <v>317</v>
      </c>
      <c r="B46" s="1" t="s">
        <v>145</v>
      </c>
      <c r="C46" s="1" t="s">
        <v>91</v>
      </c>
      <c r="D46" s="1" t="s">
        <v>98</v>
      </c>
      <c r="E46" s="1" t="s">
        <v>8</v>
      </c>
      <c r="F46" s="9">
        <v>8</v>
      </c>
      <c r="G46" s="9">
        <v>8</v>
      </c>
      <c r="H46" s="9">
        <v>0</v>
      </c>
      <c r="I46" s="9">
        <v>2</v>
      </c>
      <c r="J46" s="9">
        <v>2</v>
      </c>
      <c r="K46" s="9">
        <v>0</v>
      </c>
      <c r="L46" s="9">
        <v>1</v>
      </c>
      <c r="M46" s="9">
        <v>6</v>
      </c>
      <c r="N46" s="9">
        <v>0</v>
      </c>
      <c r="O46" s="9">
        <v>0</v>
      </c>
      <c r="P46" s="9">
        <v>3</v>
      </c>
      <c r="Q46" s="9">
        <f>0.3504/0.2405</f>
        <v>1.456964656964657</v>
      </c>
      <c r="R46" s="9">
        <v>0</v>
      </c>
      <c r="S46" s="9">
        <v>4</v>
      </c>
      <c r="T46" s="9">
        <v>4</v>
      </c>
      <c r="U46" s="9">
        <v>0</v>
      </c>
      <c r="V46" s="9">
        <f>0.3933/0.2405</f>
        <v>1.6353430353430354</v>
      </c>
    </row>
    <row r="47" spans="1:22" x14ac:dyDescent="0.25">
      <c r="A47" s="1" t="s">
        <v>151</v>
      </c>
      <c r="B47" s="1" t="s">
        <v>150</v>
      </c>
      <c r="C47" s="1" t="s">
        <v>139</v>
      </c>
      <c r="D47" s="1" t="s">
        <v>98</v>
      </c>
      <c r="E47" s="1" t="s">
        <v>107</v>
      </c>
      <c r="F47" s="9">
        <v>2</v>
      </c>
      <c r="G47" s="9">
        <v>6</v>
      </c>
      <c r="H47" s="9">
        <v>0</v>
      </c>
      <c r="I47" s="9">
        <v>6</v>
      </c>
      <c r="J47" s="9">
        <v>2</v>
      </c>
      <c r="K47" s="9">
        <v>4</v>
      </c>
      <c r="L47" s="9">
        <v>1</v>
      </c>
      <c r="M47" s="9">
        <v>0</v>
      </c>
      <c r="N47" s="9">
        <v>12</v>
      </c>
      <c r="O47" s="9">
        <v>4</v>
      </c>
      <c r="P47" s="9">
        <v>8</v>
      </c>
      <c r="Q47" s="9">
        <f>0.4299/0.304</f>
        <v>1.4141447368421054</v>
      </c>
      <c r="R47" s="9">
        <v>8</v>
      </c>
      <c r="S47" s="9">
        <v>0</v>
      </c>
      <c r="T47" s="9">
        <v>0</v>
      </c>
      <c r="U47" s="9">
        <v>8</v>
      </c>
      <c r="V47" s="9">
        <f>0.5265/0.304</f>
        <v>1.731907894736842</v>
      </c>
    </row>
    <row r="48" spans="1:22" x14ac:dyDescent="0.25">
      <c r="A48" s="1" t="s">
        <v>318</v>
      </c>
      <c r="B48" s="1" t="s">
        <v>156</v>
      </c>
      <c r="C48" s="1" t="s">
        <v>157</v>
      </c>
      <c r="D48" s="1" t="s">
        <v>98</v>
      </c>
      <c r="E48" s="1" t="s">
        <v>123</v>
      </c>
      <c r="F48" s="9">
        <v>2</v>
      </c>
      <c r="G48" s="9">
        <v>4</v>
      </c>
      <c r="H48" s="10">
        <v>0</v>
      </c>
      <c r="I48" s="10">
        <v>4</v>
      </c>
      <c r="J48" s="10">
        <v>3</v>
      </c>
      <c r="K48" s="10">
        <v>3</v>
      </c>
      <c r="L48" s="11">
        <v>1</v>
      </c>
      <c r="M48" s="11">
        <v>0</v>
      </c>
      <c r="N48" s="11">
        <v>0</v>
      </c>
      <c r="O48" s="11">
        <v>0</v>
      </c>
      <c r="P48" s="11">
        <v>3</v>
      </c>
      <c r="Q48" s="11">
        <f>0.3776/0.3244</f>
        <v>1.1639950678175091</v>
      </c>
      <c r="R48" s="11">
        <v>6</v>
      </c>
      <c r="S48" s="11">
        <v>6</v>
      </c>
      <c r="T48" s="11">
        <v>3</v>
      </c>
      <c r="U48" s="11">
        <v>6</v>
      </c>
      <c r="V48" s="10">
        <f>0.4324/0.3244</f>
        <v>1.3329223181257706</v>
      </c>
    </row>
    <row r="49" spans="1:22" x14ac:dyDescent="0.25">
      <c r="A49" s="1" t="s">
        <v>322</v>
      </c>
      <c r="B49" s="1" t="s">
        <v>163</v>
      </c>
      <c r="C49" s="1" t="s">
        <v>28</v>
      </c>
      <c r="D49" s="1" t="s">
        <v>16</v>
      </c>
      <c r="E49" s="1" t="s">
        <v>39</v>
      </c>
      <c r="F49" s="9">
        <f>G49*12</f>
        <v>48</v>
      </c>
      <c r="G49" s="9">
        <v>4</v>
      </c>
      <c r="H49" s="10">
        <v>2</v>
      </c>
      <c r="I49" s="10">
        <v>2</v>
      </c>
      <c r="J49" s="10">
        <v>24</v>
      </c>
      <c r="K49" s="10">
        <v>0</v>
      </c>
      <c r="L49" s="11">
        <v>1</v>
      </c>
      <c r="M49" s="11">
        <v>17</v>
      </c>
      <c r="N49" s="11">
        <v>0</v>
      </c>
      <c r="O49" s="11">
        <v>0</v>
      </c>
      <c r="P49" s="11">
        <v>0</v>
      </c>
      <c r="Q49" s="11">
        <f>0.3489/0.2779</f>
        <v>1.2554875854623966</v>
      </c>
      <c r="R49" s="11">
        <v>8</v>
      </c>
      <c r="S49" s="11">
        <v>2</v>
      </c>
      <c r="T49" s="11">
        <v>24</v>
      </c>
      <c r="U49" s="11">
        <v>0</v>
      </c>
      <c r="V49" s="10">
        <f>0.416/0.2779</f>
        <v>1.4969413458078447</v>
      </c>
    </row>
    <row r="50" spans="1:22" x14ac:dyDescent="0.25">
      <c r="A50" s="1" t="s">
        <v>325</v>
      </c>
      <c r="B50" s="1" t="s">
        <v>168</v>
      </c>
      <c r="C50" s="1" t="s">
        <v>169</v>
      </c>
      <c r="D50" s="1" t="s">
        <v>16</v>
      </c>
      <c r="E50" s="1" t="s">
        <v>170</v>
      </c>
      <c r="F50" s="9">
        <v>4</v>
      </c>
      <c r="G50" s="9">
        <v>2</v>
      </c>
      <c r="H50" s="10">
        <v>2</v>
      </c>
      <c r="I50" s="10">
        <v>4</v>
      </c>
      <c r="J50" s="10">
        <v>8</v>
      </c>
      <c r="K50" s="10">
        <v>0</v>
      </c>
      <c r="L50" s="11">
        <v>1</v>
      </c>
      <c r="M50" s="11">
        <v>11</v>
      </c>
      <c r="N50" s="11">
        <v>0</v>
      </c>
      <c r="O50" s="11">
        <v>0</v>
      </c>
      <c r="P50" s="11">
        <v>6</v>
      </c>
      <c r="Q50" s="11">
        <f>0.3074/0.2276</f>
        <v>1.350615114235501</v>
      </c>
      <c r="R50" s="11">
        <v>0</v>
      </c>
      <c r="S50" s="11">
        <v>6</v>
      </c>
      <c r="T50" s="11">
        <v>12</v>
      </c>
      <c r="U50" s="11">
        <v>0</v>
      </c>
      <c r="V50" s="10">
        <f>0.3475/0.2276</f>
        <v>1.5268014059753954</v>
      </c>
    </row>
    <row r="51" spans="1:22" x14ac:dyDescent="0.25">
      <c r="A51" s="1" t="s">
        <v>321</v>
      </c>
      <c r="B51" s="1" t="s">
        <v>161</v>
      </c>
      <c r="C51" s="1" t="s">
        <v>162</v>
      </c>
      <c r="D51" s="1" t="s">
        <v>16</v>
      </c>
      <c r="E51" s="11" t="s">
        <v>19</v>
      </c>
      <c r="F51" s="11">
        <v>8</v>
      </c>
      <c r="G51" s="11">
        <v>2</v>
      </c>
      <c r="H51" s="11">
        <v>1</v>
      </c>
      <c r="I51" s="11">
        <v>3</v>
      </c>
      <c r="J51" s="11">
        <v>12</v>
      </c>
      <c r="K51" s="11">
        <v>0</v>
      </c>
      <c r="L51" s="11">
        <v>1</v>
      </c>
      <c r="M51" s="11">
        <v>11</v>
      </c>
      <c r="N51" s="11">
        <v>0</v>
      </c>
      <c r="O51" s="11">
        <v>0</v>
      </c>
      <c r="P51" s="11">
        <v>2</v>
      </c>
      <c r="Q51" s="11">
        <f>0.3099/0.2374</f>
        <v>1.3053917438921652</v>
      </c>
      <c r="R51" s="11">
        <v>4</v>
      </c>
      <c r="S51" s="11">
        <v>2</v>
      </c>
      <c r="T51" s="11">
        <v>8</v>
      </c>
      <c r="U51" s="11">
        <v>0</v>
      </c>
      <c r="V51" s="11">
        <f>0.3422/0.2374</f>
        <v>1.4414490311710193</v>
      </c>
    </row>
    <row r="52" spans="1:22" x14ac:dyDescent="0.25">
      <c r="A52" s="1" t="s">
        <v>324</v>
      </c>
      <c r="B52" s="1" t="s">
        <v>165</v>
      </c>
      <c r="C52" s="1" t="s">
        <v>157</v>
      </c>
      <c r="D52" s="1" t="s">
        <v>16</v>
      </c>
      <c r="E52" s="11" t="s">
        <v>130</v>
      </c>
      <c r="F52" s="11">
        <v>8</v>
      </c>
      <c r="G52" s="11">
        <v>2</v>
      </c>
      <c r="H52" s="11">
        <v>2</v>
      </c>
      <c r="I52" s="11">
        <v>3</v>
      </c>
      <c r="J52" s="11">
        <v>12</v>
      </c>
      <c r="K52" s="11">
        <v>0</v>
      </c>
      <c r="L52" s="11">
        <v>1</v>
      </c>
      <c r="M52" s="11">
        <v>8</v>
      </c>
      <c r="N52" s="11">
        <v>0</v>
      </c>
      <c r="O52" s="11">
        <v>0</v>
      </c>
      <c r="P52" s="11">
        <v>2</v>
      </c>
      <c r="Q52" s="11">
        <f>0.2936/0.2209</f>
        <v>1.3291081937528293</v>
      </c>
      <c r="R52" s="11">
        <v>7</v>
      </c>
      <c r="S52" s="11">
        <v>5</v>
      </c>
      <c r="T52" s="11">
        <v>20</v>
      </c>
      <c r="U52" s="11">
        <v>0</v>
      </c>
      <c r="V52" s="11">
        <f>0.3633/0.2209</f>
        <v>1.6446355817111815</v>
      </c>
    </row>
    <row r="53" spans="1:22" x14ac:dyDescent="0.25">
      <c r="A53" s="1" t="s">
        <v>326</v>
      </c>
      <c r="B53" s="1" t="s">
        <v>171</v>
      </c>
      <c r="C53" s="1" t="s">
        <v>38</v>
      </c>
      <c r="D53" s="1" t="s">
        <v>31</v>
      </c>
      <c r="E53" s="11" t="s">
        <v>23</v>
      </c>
      <c r="F53" s="11">
        <v>2</v>
      </c>
      <c r="G53" s="11">
        <v>4</v>
      </c>
      <c r="H53" s="11">
        <v>0</v>
      </c>
      <c r="I53" s="11">
        <v>10</v>
      </c>
      <c r="J53" s="11">
        <v>5</v>
      </c>
      <c r="K53" s="11">
        <v>0</v>
      </c>
      <c r="L53" s="11">
        <v>1</v>
      </c>
      <c r="M53" s="11">
        <v>4</v>
      </c>
      <c r="N53" s="11">
        <v>2</v>
      </c>
      <c r="O53" s="11">
        <v>1</v>
      </c>
      <c r="P53" s="11">
        <v>9</v>
      </c>
      <c r="Q53" s="11">
        <f>0.4224/0.3184</f>
        <v>1.3266331658291457</v>
      </c>
      <c r="R53" s="11">
        <v>8</v>
      </c>
      <c r="S53" s="11">
        <v>0</v>
      </c>
      <c r="T53" s="11">
        <v>0</v>
      </c>
      <c r="U53" s="11">
        <v>12</v>
      </c>
      <c r="V53" s="11">
        <f>0.46/0.3184</f>
        <v>1.4447236180904524</v>
      </c>
    </row>
    <row r="54" spans="1:22" x14ac:dyDescent="0.25">
      <c r="A54" s="1" t="s">
        <v>173</v>
      </c>
      <c r="B54" s="1" t="s">
        <v>172</v>
      </c>
      <c r="C54" s="1" t="s">
        <v>61</v>
      </c>
      <c r="D54" s="1" t="s">
        <v>31</v>
      </c>
      <c r="E54" s="1" t="s">
        <v>123</v>
      </c>
      <c r="F54" s="11">
        <v>4</v>
      </c>
      <c r="G54" s="11">
        <v>8</v>
      </c>
      <c r="H54" s="11">
        <v>0</v>
      </c>
      <c r="I54" s="11">
        <v>8</v>
      </c>
      <c r="J54" s="11">
        <v>4</v>
      </c>
      <c r="K54" s="11">
        <v>4</v>
      </c>
      <c r="L54" s="11">
        <v>1</v>
      </c>
      <c r="M54" s="11">
        <v>2</v>
      </c>
      <c r="N54" s="11">
        <v>0</v>
      </c>
      <c r="O54" s="11">
        <v>0</v>
      </c>
      <c r="P54" s="11">
        <v>0</v>
      </c>
      <c r="Q54" s="11">
        <f>0.4449/0.3567</f>
        <v>1.2472666105971404</v>
      </c>
      <c r="R54" s="11">
        <v>4</v>
      </c>
      <c r="S54" s="11">
        <v>8</v>
      </c>
      <c r="T54" s="11">
        <v>4</v>
      </c>
      <c r="U54" s="11">
        <v>6</v>
      </c>
      <c r="V54" s="11">
        <f>0.5177/0.3567</f>
        <v>1.4513596860106532</v>
      </c>
    </row>
    <row r="55" spans="1:22" x14ac:dyDescent="0.25">
      <c r="A55" s="1" t="s">
        <v>319</v>
      </c>
      <c r="B55" s="1" t="s">
        <v>158</v>
      </c>
      <c r="C55" s="1" t="s">
        <v>159</v>
      </c>
      <c r="D55" s="1" t="s">
        <v>16</v>
      </c>
      <c r="E55" s="11" t="s">
        <v>12</v>
      </c>
      <c r="F55" s="11">
        <v>8</v>
      </c>
      <c r="G55" s="11">
        <v>8</v>
      </c>
      <c r="H55" s="11">
        <v>3</v>
      </c>
      <c r="I55" s="11">
        <v>1</v>
      </c>
      <c r="J55" s="11">
        <v>1</v>
      </c>
      <c r="K55" s="11">
        <v>0</v>
      </c>
      <c r="L55" s="11">
        <v>1</v>
      </c>
      <c r="M55" s="11">
        <v>0</v>
      </c>
      <c r="N55" s="11">
        <v>3</v>
      </c>
      <c r="O55" s="11">
        <v>3</v>
      </c>
      <c r="P55" s="11">
        <v>0</v>
      </c>
      <c r="Q55" s="11">
        <f>0.3269/0.1736</f>
        <v>1.8830645161290323</v>
      </c>
      <c r="R55" s="11">
        <v>0</v>
      </c>
      <c r="S55" s="11">
        <v>0</v>
      </c>
      <c r="T55" s="11">
        <v>0</v>
      </c>
      <c r="U55" s="11">
        <v>7</v>
      </c>
      <c r="V55" s="11">
        <f>0.3749/0.1693</f>
        <v>2.2144122858830477</v>
      </c>
    </row>
    <row r="56" spans="1:22" x14ac:dyDescent="0.25">
      <c r="A56" s="15" t="s">
        <v>320</v>
      </c>
      <c r="B56" s="15" t="s">
        <v>160</v>
      </c>
      <c r="C56" s="15" t="s">
        <v>25</v>
      </c>
      <c r="D56" s="15" t="s">
        <v>16</v>
      </c>
      <c r="E56" s="15" t="s">
        <v>12</v>
      </c>
      <c r="F56" s="15">
        <v>2</v>
      </c>
      <c r="G56" s="15">
        <v>6</v>
      </c>
      <c r="H56" s="15">
        <v>0</v>
      </c>
      <c r="I56" s="15">
        <v>3</v>
      </c>
      <c r="J56" s="15">
        <v>1</v>
      </c>
      <c r="K56" s="15">
        <v>0</v>
      </c>
      <c r="L56" s="15">
        <v>1</v>
      </c>
      <c r="M56" s="15">
        <v>0</v>
      </c>
      <c r="N56" s="15">
        <v>0</v>
      </c>
      <c r="O56" s="15">
        <v>0</v>
      </c>
      <c r="P56" s="15">
        <v>2</v>
      </c>
      <c r="Q56" s="15">
        <f>0.3045/0.1758</f>
        <v>1.7320819112627985</v>
      </c>
      <c r="R56" s="15">
        <v>0</v>
      </c>
      <c r="S56" s="15">
        <v>6</v>
      </c>
      <c r="T56" s="15">
        <v>2</v>
      </c>
      <c r="U56" s="15">
        <v>10</v>
      </c>
      <c r="V56" s="15">
        <f>0.3831/0.1758</f>
        <v>2.1791808873720133</v>
      </c>
    </row>
    <row r="57" spans="1:22" x14ac:dyDescent="0.25">
      <c r="A57" s="1" t="s">
        <v>327</v>
      </c>
      <c r="B57" s="1" t="s">
        <v>174</v>
      </c>
      <c r="C57" s="1" t="s">
        <v>175</v>
      </c>
      <c r="D57" s="1" t="s">
        <v>34</v>
      </c>
      <c r="E57" s="11" t="s">
        <v>8</v>
      </c>
      <c r="F57" s="11">
        <v>4</v>
      </c>
      <c r="G57" s="11">
        <v>8</v>
      </c>
      <c r="H57" s="11">
        <v>2</v>
      </c>
      <c r="I57" s="11">
        <v>4</v>
      </c>
      <c r="J57" s="11">
        <v>2</v>
      </c>
      <c r="K57" s="11">
        <v>0</v>
      </c>
      <c r="L57" s="11">
        <v>1</v>
      </c>
      <c r="M57" s="11">
        <v>10</v>
      </c>
      <c r="N57" s="11">
        <v>0</v>
      </c>
      <c r="O57" s="11">
        <v>0</v>
      </c>
      <c r="P57" s="11">
        <v>0</v>
      </c>
      <c r="Q57" s="11">
        <f>0.3662/0.2772</f>
        <v>1.3210678210678211</v>
      </c>
      <c r="R57" s="11">
        <v>0</v>
      </c>
      <c r="S57" s="11">
        <v>12</v>
      </c>
      <c r="T57" s="11">
        <v>6</v>
      </c>
      <c r="U57" s="11">
        <v>2</v>
      </c>
      <c r="V57" s="11">
        <f>0.4488/0.2772</f>
        <v>1.6190476190476188</v>
      </c>
    </row>
    <row r="58" spans="1:22" x14ac:dyDescent="0.25">
      <c r="A58" s="1" t="s">
        <v>177</v>
      </c>
      <c r="B58" s="1" t="s">
        <v>176</v>
      </c>
      <c r="C58" s="1" t="s">
        <v>121</v>
      </c>
      <c r="D58" s="1" t="s">
        <v>34</v>
      </c>
      <c r="E58" s="11" t="s">
        <v>43</v>
      </c>
      <c r="F58" s="11">
        <v>3</v>
      </c>
      <c r="G58" s="11">
        <v>6</v>
      </c>
      <c r="H58" s="11">
        <v>0</v>
      </c>
      <c r="I58" s="11">
        <v>4</v>
      </c>
      <c r="J58" s="11">
        <v>2</v>
      </c>
      <c r="K58" s="11">
        <v>0</v>
      </c>
      <c r="L58" s="11">
        <v>1</v>
      </c>
      <c r="M58" s="11">
        <v>0</v>
      </c>
      <c r="N58" s="11">
        <v>0</v>
      </c>
      <c r="O58" s="11">
        <v>0</v>
      </c>
      <c r="P58" s="11">
        <v>6</v>
      </c>
      <c r="Q58" s="11">
        <f>0.2501/0.1535</f>
        <v>1.629315960912052</v>
      </c>
      <c r="R58" s="11">
        <v>4</v>
      </c>
      <c r="S58" s="11">
        <v>6</v>
      </c>
      <c r="T58" s="11">
        <v>3</v>
      </c>
      <c r="U58" s="11">
        <v>6</v>
      </c>
      <c r="V58" s="11">
        <f>0.3372/0.1535</f>
        <v>2.1967426710097722</v>
      </c>
    </row>
    <row r="59" spans="1:22" x14ac:dyDescent="0.25">
      <c r="A59" s="1" t="s">
        <v>328</v>
      </c>
      <c r="B59" s="1" t="s">
        <v>183</v>
      </c>
      <c r="C59" s="1" t="s">
        <v>184</v>
      </c>
      <c r="D59" s="1" t="s">
        <v>179</v>
      </c>
      <c r="E59" s="11" t="s">
        <v>185</v>
      </c>
      <c r="F59" s="11">
        <v>4</v>
      </c>
      <c r="G59" s="11">
        <v>1</v>
      </c>
      <c r="H59" s="11">
        <v>0</v>
      </c>
      <c r="I59" s="11">
        <v>2</v>
      </c>
      <c r="J59" s="11">
        <v>8</v>
      </c>
      <c r="K59" s="11">
        <v>0</v>
      </c>
      <c r="L59" s="11">
        <v>1</v>
      </c>
      <c r="M59" s="11">
        <v>9</v>
      </c>
      <c r="N59" s="11">
        <v>0</v>
      </c>
      <c r="O59" s="11">
        <v>0</v>
      </c>
      <c r="P59" s="11">
        <v>0</v>
      </c>
      <c r="Q59" s="11">
        <f>0.3521/0.2831</f>
        <v>1.2437301306958672</v>
      </c>
      <c r="R59" s="11">
        <v>4</v>
      </c>
      <c r="S59" s="11">
        <v>2</v>
      </c>
      <c r="T59" s="11">
        <v>4</v>
      </c>
      <c r="U59" s="11">
        <v>4</v>
      </c>
      <c r="V59" s="11">
        <f>0.4571/0.2831</f>
        <v>1.6146238078417519</v>
      </c>
    </row>
    <row r="60" spans="1:22" x14ac:dyDescent="0.25">
      <c r="A60" s="1" t="s">
        <v>182</v>
      </c>
      <c r="B60" s="1" t="s">
        <v>180</v>
      </c>
      <c r="C60" s="1" t="s">
        <v>28</v>
      </c>
      <c r="D60" s="1" t="s">
        <v>181</v>
      </c>
      <c r="E60" s="1" t="s">
        <v>74</v>
      </c>
      <c r="F60" s="1">
        <v>4</v>
      </c>
      <c r="G60" s="11">
        <v>32</v>
      </c>
      <c r="H60" s="11">
        <v>0</v>
      </c>
      <c r="I60" s="11">
        <v>24</v>
      </c>
      <c r="J60" s="11">
        <v>3</v>
      </c>
      <c r="K60" s="11">
        <v>3</v>
      </c>
      <c r="L60" s="11">
        <v>1</v>
      </c>
      <c r="M60" s="11">
        <v>0</v>
      </c>
      <c r="N60" s="11">
        <v>8</v>
      </c>
      <c r="O60" s="11">
        <v>1</v>
      </c>
      <c r="P60" s="11">
        <v>15</v>
      </c>
      <c r="Q60" s="11">
        <f>0.3/0.2319</f>
        <v>1.2936610608020698</v>
      </c>
      <c r="R60" s="11">
        <v>0</v>
      </c>
      <c r="S60" s="11">
        <v>0</v>
      </c>
      <c r="T60" s="11">
        <v>0</v>
      </c>
      <c r="U60" s="11">
        <v>19</v>
      </c>
      <c r="V60" s="11">
        <f>0.3684/0.2319</f>
        <v>1.5886157826649419</v>
      </c>
    </row>
    <row r="61" spans="1:22" x14ac:dyDescent="0.25">
      <c r="A61" s="15" t="s">
        <v>323</v>
      </c>
      <c r="B61" s="15" t="s">
        <v>164</v>
      </c>
      <c r="C61" s="15" t="s">
        <v>82</v>
      </c>
      <c r="D61" s="15" t="s">
        <v>16</v>
      </c>
      <c r="E61" s="15" t="s">
        <v>92</v>
      </c>
      <c r="F61" s="15">
        <v>2</v>
      </c>
      <c r="G61" s="15">
        <v>2</v>
      </c>
      <c r="H61" s="15">
        <v>0</v>
      </c>
      <c r="I61" s="15">
        <v>3</v>
      </c>
      <c r="J61" s="15">
        <v>3</v>
      </c>
      <c r="K61" s="15">
        <v>0</v>
      </c>
      <c r="L61" s="15">
        <v>1</v>
      </c>
      <c r="M61" s="15">
        <v>2</v>
      </c>
      <c r="N61" s="15">
        <v>6</v>
      </c>
      <c r="O61" s="15">
        <v>6</v>
      </c>
      <c r="P61" s="15">
        <v>8</v>
      </c>
      <c r="Q61" s="15">
        <f>0.2711/0.2322</f>
        <v>1.1675279931093885</v>
      </c>
      <c r="R61" s="15">
        <v>0</v>
      </c>
      <c r="S61" s="15">
        <v>6</v>
      </c>
      <c r="T61" s="15">
        <v>6</v>
      </c>
      <c r="U61" s="15">
        <v>0</v>
      </c>
      <c r="V61" s="15">
        <f>0.3635/0.2322</f>
        <v>1.5654608096468561</v>
      </c>
    </row>
    <row r="62" spans="1:22" x14ac:dyDescent="0.25">
      <c r="A62" s="15" t="s">
        <v>200</v>
      </c>
      <c r="B62" s="15" t="s">
        <v>199</v>
      </c>
      <c r="C62" s="15" t="s">
        <v>111</v>
      </c>
      <c r="D62" s="15" t="s">
        <v>8</v>
      </c>
      <c r="E62" s="15" t="s">
        <v>201</v>
      </c>
      <c r="F62" s="15">
        <v>16</v>
      </c>
      <c r="G62" s="15">
        <v>3</v>
      </c>
      <c r="H62" s="15">
        <v>0</v>
      </c>
      <c r="I62" s="15">
        <v>1</v>
      </c>
      <c r="J62" s="15">
        <v>6</v>
      </c>
      <c r="K62" s="15">
        <v>0</v>
      </c>
      <c r="L62" s="15">
        <v>1</v>
      </c>
      <c r="M62" s="15">
        <v>12</v>
      </c>
      <c r="N62" s="15">
        <v>0</v>
      </c>
      <c r="O62" s="15">
        <v>0</v>
      </c>
      <c r="P62" s="15">
        <v>0</v>
      </c>
      <c r="Q62" s="15">
        <f>0.3469/0.2453</f>
        <v>1.4141867101508356</v>
      </c>
      <c r="R62" s="15">
        <v>0</v>
      </c>
      <c r="S62" s="15">
        <v>1</v>
      </c>
      <c r="T62" s="15">
        <v>6</v>
      </c>
      <c r="U62" s="15">
        <v>0</v>
      </c>
      <c r="V62" s="15">
        <f>0.4614/0.2453</f>
        <v>1.880962087240114</v>
      </c>
    </row>
    <row r="63" spans="1:22" x14ac:dyDescent="0.25">
      <c r="A63" s="1" t="s">
        <v>188</v>
      </c>
      <c r="B63" s="1" t="s">
        <v>187</v>
      </c>
      <c r="C63" s="1" t="s">
        <v>189</v>
      </c>
      <c r="D63" s="1" t="s">
        <v>8</v>
      </c>
      <c r="E63" s="1" t="s">
        <v>39</v>
      </c>
      <c r="F63" s="1">
        <v>4</v>
      </c>
      <c r="G63" s="11">
        <v>8</v>
      </c>
      <c r="H63" s="11">
        <v>0</v>
      </c>
      <c r="I63" s="11">
        <v>2</v>
      </c>
      <c r="J63" s="11">
        <v>1</v>
      </c>
      <c r="K63" s="11">
        <v>0</v>
      </c>
      <c r="L63" s="11">
        <v>1</v>
      </c>
      <c r="M63" s="11">
        <v>0</v>
      </c>
      <c r="N63" s="11">
        <v>2</v>
      </c>
      <c r="O63" s="11">
        <v>1</v>
      </c>
      <c r="P63" s="11">
        <v>1</v>
      </c>
      <c r="Q63" s="11">
        <f>0.2676/0.1294</f>
        <v>2.0680061823802167</v>
      </c>
      <c r="R63" s="11">
        <v>0</v>
      </c>
      <c r="S63" s="11">
        <v>0</v>
      </c>
      <c r="T63" s="11">
        <v>0</v>
      </c>
      <c r="U63" s="11">
        <v>6</v>
      </c>
      <c r="V63" s="11">
        <f>0.2971/0.1294</f>
        <v>2.2959814528593507</v>
      </c>
    </row>
    <row r="64" spans="1:22" x14ac:dyDescent="0.25">
      <c r="A64" s="1" t="s">
        <v>329</v>
      </c>
      <c r="B64" s="1" t="s">
        <v>195</v>
      </c>
      <c r="C64" s="1" t="s">
        <v>134</v>
      </c>
      <c r="D64" s="1" t="s">
        <v>8</v>
      </c>
      <c r="E64" s="1" t="s">
        <v>45</v>
      </c>
      <c r="F64" s="1">
        <v>6</v>
      </c>
      <c r="G64" s="11">
        <v>6</v>
      </c>
      <c r="H64" s="11">
        <v>0</v>
      </c>
      <c r="I64" s="11">
        <v>3</v>
      </c>
      <c r="J64" s="11">
        <v>3</v>
      </c>
      <c r="K64" s="11">
        <v>3</v>
      </c>
      <c r="L64" s="11">
        <v>1</v>
      </c>
      <c r="M64" s="11">
        <v>9</v>
      </c>
      <c r="N64" s="11">
        <v>0</v>
      </c>
      <c r="O64" s="11">
        <v>0</v>
      </c>
      <c r="P64" s="11">
        <v>6</v>
      </c>
      <c r="Q64" s="11">
        <f>0.3473/0.3173128</f>
        <v>1.0945035939300274</v>
      </c>
      <c r="R64" s="11">
        <v>0</v>
      </c>
      <c r="S64" s="11">
        <v>6</v>
      </c>
      <c r="T64" s="11">
        <v>6</v>
      </c>
      <c r="U64" s="11">
        <v>3</v>
      </c>
      <c r="V64" s="11">
        <f>0.4674/0.3128</f>
        <v>1.494245524296675</v>
      </c>
    </row>
    <row r="65" spans="1:22" x14ac:dyDescent="0.25">
      <c r="A65" s="1" t="s">
        <v>197</v>
      </c>
      <c r="B65" s="1" t="s">
        <v>196</v>
      </c>
      <c r="C65" s="1" t="s">
        <v>38</v>
      </c>
      <c r="D65" s="1" t="s">
        <v>8</v>
      </c>
      <c r="E65" s="1" t="s">
        <v>198</v>
      </c>
      <c r="F65" s="1">
        <v>4</v>
      </c>
      <c r="G65" s="11">
        <v>4</v>
      </c>
      <c r="H65" s="11">
        <v>0</v>
      </c>
      <c r="I65" s="11">
        <v>1</v>
      </c>
      <c r="J65" s="11">
        <v>1</v>
      </c>
      <c r="K65" s="11">
        <v>1</v>
      </c>
      <c r="L65" s="11">
        <v>1</v>
      </c>
      <c r="M65" s="11">
        <v>5</v>
      </c>
      <c r="N65" s="11">
        <v>4</v>
      </c>
      <c r="O65" s="11">
        <v>4</v>
      </c>
      <c r="P65" s="11">
        <v>0</v>
      </c>
      <c r="Q65" s="11">
        <f>0.3337/0.2663</f>
        <v>1.2530980097634248</v>
      </c>
      <c r="R65" s="11">
        <v>4</v>
      </c>
      <c r="S65" s="11">
        <v>4</v>
      </c>
      <c r="T65" s="11">
        <v>4</v>
      </c>
      <c r="U65" s="11">
        <v>8</v>
      </c>
      <c r="V65" s="11">
        <f>0.4413/0.2663</f>
        <v>1.6571535861809992</v>
      </c>
    </row>
    <row r="66" spans="1:22" x14ac:dyDescent="0.25">
      <c r="A66" s="1" t="s">
        <v>215</v>
      </c>
      <c r="B66" s="1" t="s">
        <v>214</v>
      </c>
      <c r="C66" s="1" t="s">
        <v>186</v>
      </c>
      <c r="D66" s="1" t="s">
        <v>23</v>
      </c>
      <c r="E66" s="1" t="s">
        <v>149</v>
      </c>
      <c r="F66" s="1">
        <v>4</v>
      </c>
      <c r="G66" s="11">
        <v>2</v>
      </c>
      <c r="H66" s="11">
        <v>0</v>
      </c>
      <c r="I66" s="11">
        <v>5</v>
      </c>
      <c r="J66" s="11">
        <v>10</v>
      </c>
      <c r="K66" s="11">
        <v>0</v>
      </c>
      <c r="L66" s="11">
        <v>1</v>
      </c>
      <c r="M66" s="11">
        <v>10</v>
      </c>
      <c r="N66" s="11">
        <v>1</v>
      </c>
      <c r="O66" s="11">
        <v>2</v>
      </c>
      <c r="P66" s="11">
        <v>0</v>
      </c>
      <c r="Q66" s="11">
        <f>0.3389/0.2847</f>
        <v>1.1903758342114505</v>
      </c>
      <c r="R66" s="11">
        <v>4</v>
      </c>
      <c r="S66" s="11">
        <v>0</v>
      </c>
      <c r="T66" s="11">
        <v>0</v>
      </c>
      <c r="U66" s="11">
        <v>12</v>
      </c>
      <c r="V66" s="11">
        <f>0.3934/0.2847</f>
        <v>1.3818054092026695</v>
      </c>
    </row>
    <row r="67" spans="1:22" x14ac:dyDescent="0.25">
      <c r="A67" s="1" t="s">
        <v>218</v>
      </c>
      <c r="B67" s="1" t="s">
        <v>217</v>
      </c>
      <c r="C67" s="1" t="s">
        <v>44</v>
      </c>
      <c r="D67" s="1" t="s">
        <v>23</v>
      </c>
      <c r="E67" s="1" t="s">
        <v>167</v>
      </c>
      <c r="F67" s="9">
        <v>8</v>
      </c>
      <c r="G67" s="9">
        <v>8</v>
      </c>
      <c r="H67" s="9">
        <v>1</v>
      </c>
      <c r="I67" s="9">
        <v>1</v>
      </c>
      <c r="J67" s="9">
        <v>1</v>
      </c>
      <c r="K67" s="9">
        <v>0</v>
      </c>
      <c r="L67" s="9">
        <v>1</v>
      </c>
      <c r="M67" s="9">
        <v>0</v>
      </c>
      <c r="N67" s="9">
        <v>1</v>
      </c>
      <c r="O67" s="9">
        <v>1</v>
      </c>
      <c r="P67" s="9">
        <v>0</v>
      </c>
      <c r="Q67" s="9">
        <f>0.2498/0.13</f>
        <v>1.9215384615384614</v>
      </c>
      <c r="R67" s="9">
        <v>0</v>
      </c>
      <c r="S67" s="9">
        <v>4</v>
      </c>
      <c r="T67" s="9">
        <v>4</v>
      </c>
      <c r="U67" s="9">
        <v>0</v>
      </c>
      <c r="V67" s="9">
        <f>0.3293/0.13</f>
        <v>2.5330769230769228</v>
      </c>
    </row>
    <row r="68" spans="1:22" x14ac:dyDescent="0.25">
      <c r="A68" s="1" t="s">
        <v>205</v>
      </c>
      <c r="B68" s="1" t="s">
        <v>204</v>
      </c>
      <c r="C68" s="1" t="s">
        <v>82</v>
      </c>
      <c r="D68" s="1" t="s">
        <v>23</v>
      </c>
      <c r="E68" s="1" t="s">
        <v>40</v>
      </c>
      <c r="F68" s="1">
        <v>12</v>
      </c>
      <c r="G68" s="1">
        <v>2</v>
      </c>
      <c r="H68" s="1">
        <v>3</v>
      </c>
      <c r="I68" s="11">
        <v>2</v>
      </c>
      <c r="J68" s="11">
        <v>12</v>
      </c>
      <c r="K68" s="11">
        <v>0</v>
      </c>
      <c r="L68" s="11">
        <v>1</v>
      </c>
      <c r="M68" s="11">
        <v>6</v>
      </c>
      <c r="N68" s="11">
        <v>2</v>
      </c>
      <c r="O68" s="11">
        <v>12</v>
      </c>
      <c r="P68" s="11">
        <v>0</v>
      </c>
      <c r="Q68" s="11">
        <f>0.3769/0.2829</f>
        <v>1.3322728879462709</v>
      </c>
      <c r="R68" s="11">
        <v>6</v>
      </c>
      <c r="S68" s="11">
        <v>4</v>
      </c>
      <c r="T68" s="11">
        <v>24</v>
      </c>
      <c r="U68" s="11">
        <v>6</v>
      </c>
      <c r="V68" s="11">
        <f>0.4518/0.2829</f>
        <v>1.5970307529162249</v>
      </c>
    </row>
    <row r="69" spans="1:22" x14ac:dyDescent="0.25">
      <c r="A69" s="1" t="s">
        <v>213</v>
      </c>
      <c r="B69" s="1" t="s">
        <v>212</v>
      </c>
      <c r="C69" s="1" t="s">
        <v>14</v>
      </c>
      <c r="D69" s="1" t="s">
        <v>23</v>
      </c>
      <c r="E69" s="1" t="s">
        <v>92</v>
      </c>
      <c r="F69" s="1">
        <v>6</v>
      </c>
      <c r="G69" s="1">
        <v>1</v>
      </c>
      <c r="H69" s="1">
        <v>6</v>
      </c>
      <c r="I69" s="11">
        <v>2</v>
      </c>
      <c r="J69" s="11">
        <v>12</v>
      </c>
      <c r="K69" s="11">
        <v>0</v>
      </c>
      <c r="L69" s="11">
        <v>1</v>
      </c>
      <c r="M69" s="11">
        <v>3</v>
      </c>
      <c r="N69" s="11">
        <v>2</v>
      </c>
      <c r="O69" s="11">
        <v>12</v>
      </c>
      <c r="P69" s="11">
        <v>0</v>
      </c>
      <c r="Q69" s="11">
        <f>0.3401/0.247</f>
        <v>1.3769230769230769</v>
      </c>
      <c r="R69" s="11">
        <v>14</v>
      </c>
      <c r="S69" s="11">
        <v>0</v>
      </c>
      <c r="T69" s="11">
        <v>0</v>
      </c>
      <c r="U69" s="11">
        <v>2</v>
      </c>
      <c r="V69" s="11">
        <f>0.3775/0.247</f>
        <v>1.5283400809716599</v>
      </c>
    </row>
    <row r="70" spans="1:22" s="13" customFormat="1" x14ac:dyDescent="0.25">
      <c r="A70" s="13" t="s">
        <v>202</v>
      </c>
      <c r="B70" s="13" t="s">
        <v>203</v>
      </c>
      <c r="C70" s="13" t="s">
        <v>28</v>
      </c>
      <c r="D70" s="13" t="s">
        <v>37</v>
      </c>
      <c r="E70" s="13" t="s">
        <v>23</v>
      </c>
      <c r="F70" s="13">
        <v>4</v>
      </c>
      <c r="G70" s="13">
        <v>32</v>
      </c>
      <c r="H70" s="13">
        <v>0</v>
      </c>
      <c r="I70" s="13">
        <v>24</v>
      </c>
      <c r="J70" s="13">
        <v>3</v>
      </c>
      <c r="K70" s="13">
        <v>0</v>
      </c>
      <c r="L70" s="13">
        <v>1</v>
      </c>
      <c r="M70" s="13">
        <v>0</v>
      </c>
      <c r="N70" s="13">
        <v>24</v>
      </c>
      <c r="O70" s="13">
        <v>3</v>
      </c>
      <c r="P70" s="13">
        <v>6</v>
      </c>
      <c r="Q70" s="13">
        <f>0.3323/0.2639</f>
        <v>1.2591890867752935</v>
      </c>
      <c r="R70" s="13">
        <v>0</v>
      </c>
      <c r="S70" s="13">
        <v>0</v>
      </c>
      <c r="T70" s="13">
        <v>0</v>
      </c>
      <c r="U70" s="13">
        <v>24</v>
      </c>
      <c r="V70" s="13">
        <f>0.3764/0.2639</f>
        <v>1.4262978400909434</v>
      </c>
    </row>
    <row r="71" spans="1:22" s="13" customFormat="1" x14ac:dyDescent="0.25">
      <c r="A71" s="13" t="s">
        <v>208</v>
      </c>
      <c r="B71" s="13" t="s">
        <v>206</v>
      </c>
      <c r="C71" s="13" t="s">
        <v>207</v>
      </c>
      <c r="D71" s="13" t="s">
        <v>23</v>
      </c>
      <c r="E71" s="13" t="s">
        <v>119</v>
      </c>
      <c r="F71" s="13">
        <v>2</v>
      </c>
      <c r="G71" s="13">
        <v>6</v>
      </c>
      <c r="H71" s="13">
        <v>0</v>
      </c>
      <c r="I71" s="13">
        <v>6</v>
      </c>
      <c r="J71" s="13">
        <v>2</v>
      </c>
      <c r="K71" s="13">
        <v>0</v>
      </c>
      <c r="L71" s="13">
        <v>1</v>
      </c>
      <c r="M71" s="13">
        <v>0</v>
      </c>
      <c r="N71" s="13">
        <v>0</v>
      </c>
      <c r="O71" s="13">
        <v>0</v>
      </c>
      <c r="P71" s="13">
        <v>12</v>
      </c>
      <c r="Q71" s="13">
        <f>0.2697/0.1927</f>
        <v>1.3995848469122989</v>
      </c>
      <c r="R71" s="13">
        <v>6</v>
      </c>
      <c r="S71" s="13">
        <v>12</v>
      </c>
      <c r="T71" s="13">
        <v>4</v>
      </c>
      <c r="U71" s="13">
        <v>6</v>
      </c>
      <c r="V71" s="13">
        <f>0.3509/0.1927</f>
        <v>1.8209652309289048</v>
      </c>
    </row>
    <row r="72" spans="1:22" x14ac:dyDescent="0.25">
      <c r="A72" s="1" t="s">
        <v>210</v>
      </c>
      <c r="B72" s="1" t="s">
        <v>209</v>
      </c>
      <c r="C72" s="1" t="s">
        <v>211</v>
      </c>
      <c r="D72" s="1" t="s">
        <v>23</v>
      </c>
      <c r="E72" s="1" t="s">
        <v>119</v>
      </c>
      <c r="F72" s="1">
        <v>1</v>
      </c>
      <c r="G72" s="1">
        <v>4</v>
      </c>
      <c r="H72" s="1">
        <v>0</v>
      </c>
      <c r="I72" s="11">
        <v>4</v>
      </c>
      <c r="J72" s="11">
        <v>1</v>
      </c>
      <c r="K72" s="11">
        <v>0</v>
      </c>
      <c r="L72" s="11">
        <v>1</v>
      </c>
      <c r="M72" s="11">
        <v>0</v>
      </c>
      <c r="N72" s="11">
        <v>0</v>
      </c>
      <c r="O72" s="11">
        <v>0</v>
      </c>
      <c r="P72" s="11">
        <v>12</v>
      </c>
      <c r="Q72" s="11">
        <f>0.2747/0.178</f>
        <v>1.5432584269662921</v>
      </c>
      <c r="R72" s="11">
        <v>0</v>
      </c>
      <c r="S72" s="11">
        <v>12</v>
      </c>
      <c r="T72" s="11">
        <v>3</v>
      </c>
      <c r="U72" s="11">
        <v>0</v>
      </c>
      <c r="V72" s="11">
        <f>0.3199/0.178</f>
        <v>1.7971910112359553</v>
      </c>
    </row>
    <row r="73" spans="1:22" x14ac:dyDescent="0.25">
      <c r="A73" s="1" t="s">
        <v>225</v>
      </c>
      <c r="B73" s="1" t="s">
        <v>223</v>
      </c>
      <c r="C73" s="1" t="s">
        <v>224</v>
      </c>
      <c r="D73" s="1" t="s">
        <v>12</v>
      </c>
      <c r="E73" s="1" t="s">
        <v>106</v>
      </c>
      <c r="F73" s="1">
        <v>6</v>
      </c>
      <c r="G73" s="1">
        <v>2</v>
      </c>
      <c r="H73" s="1">
        <v>0</v>
      </c>
      <c r="I73" s="11">
        <v>2</v>
      </c>
      <c r="J73" s="11">
        <v>6</v>
      </c>
      <c r="K73" s="11">
        <v>2</v>
      </c>
      <c r="L73" s="12">
        <v>1</v>
      </c>
      <c r="M73" s="12">
        <v>120</v>
      </c>
      <c r="N73" s="12">
        <v>0</v>
      </c>
      <c r="O73" s="12">
        <v>0</v>
      </c>
      <c r="P73" s="12">
        <v>0</v>
      </c>
      <c r="Q73" s="12">
        <f>0.35/0.2829</f>
        <v>1.2371862849063273</v>
      </c>
      <c r="R73" s="11">
        <v>2</v>
      </c>
      <c r="S73" s="11">
        <v>4</v>
      </c>
      <c r="T73" s="11">
        <v>12</v>
      </c>
      <c r="U73" s="11">
        <v>0</v>
      </c>
      <c r="V73" s="11">
        <f>0.4491/0.2829</f>
        <v>1.5874867444326617</v>
      </c>
    </row>
    <row r="74" spans="1:22" x14ac:dyDescent="0.25">
      <c r="A74" s="1" t="s">
        <v>230</v>
      </c>
      <c r="B74" s="1" t="s">
        <v>229</v>
      </c>
      <c r="C74" s="1" t="s">
        <v>91</v>
      </c>
      <c r="D74" s="1" t="s">
        <v>116</v>
      </c>
      <c r="E74" s="1" t="s">
        <v>71</v>
      </c>
      <c r="F74" s="1">
        <v>8</v>
      </c>
      <c r="G74" s="1">
        <v>4</v>
      </c>
      <c r="H74" s="1">
        <v>6</v>
      </c>
      <c r="I74" s="11">
        <v>6</v>
      </c>
      <c r="J74" s="11">
        <v>12</v>
      </c>
      <c r="K74" s="11">
        <v>4</v>
      </c>
      <c r="L74" s="12">
        <v>1</v>
      </c>
      <c r="M74" s="12">
        <v>12</v>
      </c>
      <c r="N74" s="12">
        <v>8</v>
      </c>
      <c r="O74" s="12">
        <v>16</v>
      </c>
      <c r="P74" s="12">
        <v>0</v>
      </c>
      <c r="Q74" s="12">
        <f>0.4458/0.3155</f>
        <v>1.4129952456418382</v>
      </c>
      <c r="R74" s="12">
        <v>12</v>
      </c>
      <c r="S74" s="12">
        <v>0</v>
      </c>
      <c r="T74" s="12">
        <v>0</v>
      </c>
      <c r="U74" s="12">
        <v>12</v>
      </c>
      <c r="V74" s="11">
        <f>0.5156/0.3155</f>
        <v>1.6342313787638667</v>
      </c>
    </row>
    <row r="75" spans="1:22" x14ac:dyDescent="0.25">
      <c r="A75" s="1" t="s">
        <v>228</v>
      </c>
      <c r="B75" s="1" t="s">
        <v>226</v>
      </c>
      <c r="C75" s="1" t="s">
        <v>227</v>
      </c>
      <c r="D75" s="1" t="s">
        <v>116</v>
      </c>
      <c r="E75" s="1" t="s">
        <v>66</v>
      </c>
      <c r="F75" s="9">
        <v>8</v>
      </c>
      <c r="G75" s="9">
        <v>8</v>
      </c>
      <c r="H75" s="9">
        <v>3</v>
      </c>
      <c r="I75" s="9">
        <v>7</v>
      </c>
      <c r="J75" s="9">
        <v>7</v>
      </c>
      <c r="K75" s="9">
        <v>3</v>
      </c>
      <c r="L75" s="10">
        <v>1</v>
      </c>
      <c r="M75" s="10">
        <v>3</v>
      </c>
      <c r="N75" s="10">
        <v>0</v>
      </c>
      <c r="O75" s="10">
        <v>0</v>
      </c>
      <c r="P75" s="10">
        <v>3</v>
      </c>
      <c r="Q75" s="10">
        <f>0.3431/0.2706</f>
        <v>1.2679231337767924</v>
      </c>
      <c r="R75" s="10">
        <v>6</v>
      </c>
      <c r="S75" s="10">
        <v>0</v>
      </c>
      <c r="T75" s="10">
        <v>0</v>
      </c>
      <c r="U75" s="10">
        <v>6</v>
      </c>
      <c r="V75" s="10">
        <f>0.3911/0.2706</f>
        <v>1.4453067257945307</v>
      </c>
    </row>
    <row r="76" spans="1:22" x14ac:dyDescent="0.25">
      <c r="A76" s="15" t="s">
        <v>232</v>
      </c>
      <c r="B76" s="15" t="s">
        <v>231</v>
      </c>
      <c r="C76" s="15" t="s">
        <v>233</v>
      </c>
      <c r="D76" s="15" t="s">
        <v>19</v>
      </c>
      <c r="E76" s="15" t="s">
        <v>20</v>
      </c>
      <c r="F76" s="15">
        <v>3</v>
      </c>
      <c r="G76" s="15">
        <v>6</v>
      </c>
      <c r="H76" s="15">
        <v>0</v>
      </c>
      <c r="I76" s="15">
        <v>10</v>
      </c>
      <c r="J76" s="15">
        <v>5</v>
      </c>
      <c r="K76" s="15">
        <v>5</v>
      </c>
      <c r="L76" s="15">
        <v>1</v>
      </c>
      <c r="M76" s="15">
        <v>4</v>
      </c>
      <c r="N76" s="15">
        <v>0</v>
      </c>
      <c r="O76" s="15">
        <v>0</v>
      </c>
      <c r="P76" s="15">
        <v>4</v>
      </c>
      <c r="Q76" s="15">
        <f>0.3063/0.2565</f>
        <v>1.1941520467836257</v>
      </c>
      <c r="R76" s="15">
        <v>0</v>
      </c>
      <c r="S76" s="15">
        <v>8</v>
      </c>
      <c r="T76" s="15">
        <v>4</v>
      </c>
      <c r="U76" s="15">
        <v>4</v>
      </c>
      <c r="V76" s="15">
        <f>0.3999/0.2565</f>
        <v>1.5590643274853799</v>
      </c>
    </row>
    <row r="77" spans="1:22" x14ac:dyDescent="0.25">
      <c r="A77" s="1" t="s">
        <v>235</v>
      </c>
      <c r="B77" s="1" t="s">
        <v>234</v>
      </c>
      <c r="C77" s="1" t="s">
        <v>236</v>
      </c>
      <c r="D77" s="1" t="s">
        <v>11</v>
      </c>
      <c r="E77" s="1" t="s">
        <v>78</v>
      </c>
      <c r="F77" s="1">
        <v>2</v>
      </c>
      <c r="G77" s="1">
        <v>1</v>
      </c>
      <c r="H77" s="1">
        <v>4</v>
      </c>
      <c r="I77" s="1">
        <v>3</v>
      </c>
      <c r="J77" s="1">
        <v>6</v>
      </c>
      <c r="K77" s="1">
        <v>0</v>
      </c>
      <c r="L77" s="13">
        <v>1</v>
      </c>
      <c r="M77" s="13">
        <v>5</v>
      </c>
      <c r="N77" s="13">
        <v>1</v>
      </c>
      <c r="O77" s="13">
        <v>2</v>
      </c>
      <c r="P77" s="13">
        <v>0</v>
      </c>
      <c r="Q77" s="13">
        <f>0.4398/0.4132</f>
        <v>1.064375605033882</v>
      </c>
      <c r="R77" s="12">
        <v>0</v>
      </c>
      <c r="S77" s="12">
        <v>1</v>
      </c>
      <c r="T77" s="12">
        <v>2</v>
      </c>
      <c r="U77" s="12">
        <v>4</v>
      </c>
      <c r="V77" s="11">
        <f>0.5421/0.4132</f>
        <v>1.3119554695062923</v>
      </c>
    </row>
    <row r="78" spans="1:22" x14ac:dyDescent="0.25">
      <c r="A78" s="1" t="s">
        <v>238</v>
      </c>
      <c r="B78" s="1" t="s">
        <v>237</v>
      </c>
      <c r="C78" s="1" t="s">
        <v>239</v>
      </c>
      <c r="D78" s="1" t="s">
        <v>11</v>
      </c>
      <c r="E78" s="1" t="s">
        <v>123</v>
      </c>
      <c r="F78" s="1">
        <v>4</v>
      </c>
      <c r="G78" s="1">
        <v>4</v>
      </c>
      <c r="H78" s="1">
        <v>3</v>
      </c>
      <c r="I78" s="1">
        <v>8</v>
      </c>
      <c r="J78" s="1">
        <v>8</v>
      </c>
      <c r="K78" s="1">
        <v>0</v>
      </c>
      <c r="L78" s="13">
        <v>1</v>
      </c>
      <c r="M78" s="13">
        <v>3</v>
      </c>
      <c r="N78" s="13">
        <v>0</v>
      </c>
      <c r="O78" s="13">
        <v>0</v>
      </c>
      <c r="P78" s="13">
        <v>5</v>
      </c>
      <c r="Q78" s="14">
        <f>0.5163/0.4141</f>
        <v>1.2468002897850758</v>
      </c>
      <c r="R78" s="14">
        <v>10</v>
      </c>
      <c r="S78" s="14">
        <v>4</v>
      </c>
      <c r="T78" s="14">
        <v>4</v>
      </c>
      <c r="U78" s="14">
        <v>6</v>
      </c>
      <c r="V78" s="14">
        <f>0.6261/0.4141</f>
        <v>1.5119536343878288</v>
      </c>
    </row>
    <row r="79" spans="1:22" x14ac:dyDescent="0.25">
      <c r="A79" s="1" t="s">
        <v>241</v>
      </c>
      <c r="B79" s="1" t="s">
        <v>240</v>
      </c>
      <c r="C79" s="1" t="s">
        <v>10</v>
      </c>
      <c r="D79" s="1" t="s">
        <v>97</v>
      </c>
      <c r="E79" s="1" t="s">
        <v>167</v>
      </c>
      <c r="F79" s="1">
        <v>3</v>
      </c>
      <c r="G79" s="1">
        <v>1</v>
      </c>
      <c r="H79" s="1">
        <v>0</v>
      </c>
      <c r="I79" s="1">
        <v>2</v>
      </c>
      <c r="J79" s="1">
        <v>6</v>
      </c>
      <c r="K79" s="1">
        <v>0</v>
      </c>
      <c r="L79" s="13">
        <v>1</v>
      </c>
      <c r="M79" s="13">
        <v>8</v>
      </c>
      <c r="N79" s="13">
        <v>0</v>
      </c>
      <c r="O79" s="13">
        <v>0</v>
      </c>
      <c r="P79" s="13">
        <v>0</v>
      </c>
      <c r="Q79" s="14">
        <f>0.2708/0.1915</f>
        <v>1.4140992167101827</v>
      </c>
      <c r="R79" s="14">
        <v>6</v>
      </c>
      <c r="S79" s="14">
        <v>8</v>
      </c>
      <c r="T79" s="14">
        <v>24</v>
      </c>
      <c r="U79" s="14">
        <v>6</v>
      </c>
      <c r="V79" s="14">
        <f>0.4/0.1915</f>
        <v>2.0887728459530028</v>
      </c>
    </row>
    <row r="80" spans="1:22" x14ac:dyDescent="0.25">
      <c r="A80" s="1" t="s">
        <v>95</v>
      </c>
      <c r="B80" s="1" t="s">
        <v>96</v>
      </c>
      <c r="C80" s="1" t="s">
        <v>70</v>
      </c>
      <c r="D80" s="1" t="s">
        <v>97</v>
      </c>
      <c r="E80" s="1" t="s">
        <v>98</v>
      </c>
      <c r="F80" s="1">
        <v>1</v>
      </c>
      <c r="G80" s="1">
        <v>1</v>
      </c>
      <c r="H80" s="1">
        <v>4</v>
      </c>
      <c r="I80" s="1">
        <v>8</v>
      </c>
      <c r="J80" s="1">
        <v>8</v>
      </c>
      <c r="K80" s="1">
        <v>4</v>
      </c>
      <c r="L80" s="13">
        <v>1</v>
      </c>
      <c r="M80" s="13">
        <v>6</v>
      </c>
      <c r="N80" s="13">
        <v>0</v>
      </c>
      <c r="O80" s="13">
        <v>0</v>
      </c>
      <c r="P80" s="13">
        <v>6</v>
      </c>
      <c r="Q80" s="14">
        <f>0.3972/0.2809</f>
        <v>1.4140263438946246</v>
      </c>
      <c r="R80" s="14">
        <v>8</v>
      </c>
      <c r="S80" s="14">
        <v>0</v>
      </c>
      <c r="T80" s="14">
        <v>0</v>
      </c>
      <c r="U80" s="14">
        <v>8</v>
      </c>
      <c r="V80" s="14">
        <f>0.4617/0.2809</f>
        <v>1.6436454254182984</v>
      </c>
    </row>
    <row r="81" spans="1:22" x14ac:dyDescent="0.25">
      <c r="A81" s="1" t="s">
        <v>243</v>
      </c>
      <c r="B81" s="1" t="s">
        <v>242</v>
      </c>
      <c r="C81" s="1" t="s">
        <v>35</v>
      </c>
      <c r="D81" s="1" t="s">
        <v>97</v>
      </c>
      <c r="E81" s="1" t="s">
        <v>244</v>
      </c>
      <c r="F81" s="1">
        <v>2</v>
      </c>
      <c r="G81" s="1">
        <v>2</v>
      </c>
      <c r="H81" s="14">
        <v>2</v>
      </c>
      <c r="I81" s="14">
        <v>4</v>
      </c>
      <c r="J81" s="14">
        <v>4</v>
      </c>
      <c r="K81" s="14">
        <v>0</v>
      </c>
      <c r="L81" s="14">
        <v>1</v>
      </c>
      <c r="M81" s="14">
        <v>4</v>
      </c>
      <c r="N81" s="13">
        <v>3</v>
      </c>
      <c r="O81" s="13">
        <v>3</v>
      </c>
      <c r="P81" s="13">
        <v>6</v>
      </c>
      <c r="Q81" s="14">
        <f>0.3201/0.2808</f>
        <v>1.1399572649572649</v>
      </c>
      <c r="R81" s="14">
        <v>4</v>
      </c>
      <c r="S81" s="14">
        <v>1</v>
      </c>
      <c r="T81" s="14">
        <v>1</v>
      </c>
      <c r="U81" s="14">
        <v>4</v>
      </c>
      <c r="V81" s="14">
        <f>0.4177/0.2808</f>
        <v>1.4875356125356127</v>
      </c>
    </row>
    <row r="82" spans="1:22" s="2" customFormat="1" x14ac:dyDescent="0.25">
      <c r="A82" s="2" t="s">
        <v>254</v>
      </c>
      <c r="B82" s="2" t="s">
        <v>252</v>
      </c>
      <c r="C82" s="2" t="s">
        <v>38</v>
      </c>
      <c r="D82" s="2" t="s">
        <v>119</v>
      </c>
      <c r="E82" s="2" t="s">
        <v>253</v>
      </c>
      <c r="F82" s="2">
        <v>4</v>
      </c>
      <c r="G82" s="2">
        <v>2</v>
      </c>
      <c r="H82" s="2">
        <v>0</v>
      </c>
      <c r="I82" s="2">
        <v>1</v>
      </c>
      <c r="J82" s="2">
        <v>2</v>
      </c>
      <c r="K82" s="2">
        <v>0</v>
      </c>
      <c r="L82" s="2">
        <v>1</v>
      </c>
      <c r="M82" s="2">
        <v>5</v>
      </c>
      <c r="N82" s="2">
        <v>4</v>
      </c>
      <c r="O82" s="2">
        <v>8</v>
      </c>
      <c r="P82" s="2">
        <v>0</v>
      </c>
      <c r="Q82" s="2">
        <f>0.3405/0.1983</f>
        <v>1.7170953101361575</v>
      </c>
      <c r="R82" s="2">
        <v>5</v>
      </c>
      <c r="S82" s="2">
        <v>0</v>
      </c>
      <c r="T82" s="2">
        <v>0</v>
      </c>
      <c r="U82" s="2">
        <v>4</v>
      </c>
      <c r="V82" s="2">
        <f>0.4315/0.1983</f>
        <v>2.1759959657085224</v>
      </c>
    </row>
    <row r="83" spans="1:22" s="14" customFormat="1" x14ac:dyDescent="0.25">
      <c r="A83" s="14" t="s">
        <v>248</v>
      </c>
      <c r="B83" s="14" t="s">
        <v>247</v>
      </c>
      <c r="C83" s="14" t="s">
        <v>139</v>
      </c>
      <c r="D83" s="14" t="s">
        <v>43</v>
      </c>
      <c r="E83" s="14" t="s">
        <v>100</v>
      </c>
      <c r="F83" s="14">
        <v>12</v>
      </c>
      <c r="G83" s="14">
        <v>2</v>
      </c>
      <c r="H83" s="14">
        <v>0</v>
      </c>
      <c r="I83" s="14">
        <v>1</v>
      </c>
      <c r="J83" s="14">
        <v>6</v>
      </c>
      <c r="K83" s="14">
        <v>0</v>
      </c>
      <c r="L83" s="14">
        <v>1</v>
      </c>
      <c r="M83" s="14">
        <v>0</v>
      </c>
      <c r="N83" s="14">
        <v>0</v>
      </c>
      <c r="O83" s="14">
        <v>0</v>
      </c>
      <c r="P83" s="14">
        <v>5</v>
      </c>
      <c r="Q83" s="14">
        <f>0.2362/0.167</f>
        <v>1.4143712574850298</v>
      </c>
      <c r="R83" s="14">
        <v>0</v>
      </c>
      <c r="S83" s="14">
        <v>0</v>
      </c>
      <c r="T83" s="14">
        <v>0</v>
      </c>
      <c r="U83" s="14">
        <v>9</v>
      </c>
      <c r="V83" s="14">
        <f>0.3718/0.167</f>
        <v>2.2263473053892215</v>
      </c>
    </row>
    <row r="84" spans="1:22" s="14" customFormat="1" x14ac:dyDescent="0.25">
      <c r="A84" s="14" t="s">
        <v>250</v>
      </c>
      <c r="B84" s="14" t="s">
        <v>249</v>
      </c>
      <c r="C84" s="14" t="s">
        <v>251</v>
      </c>
      <c r="D84" s="14" t="s">
        <v>43</v>
      </c>
      <c r="E84" s="14" t="s">
        <v>93</v>
      </c>
      <c r="F84" s="14">
        <v>4</v>
      </c>
      <c r="G84" s="14">
        <v>3.5</v>
      </c>
      <c r="H84" s="14">
        <v>0</v>
      </c>
      <c r="I84" s="14">
        <v>4</v>
      </c>
      <c r="J84" s="14">
        <v>4</v>
      </c>
      <c r="K84" s="14">
        <v>0</v>
      </c>
      <c r="L84" s="14">
        <v>1</v>
      </c>
      <c r="M84" s="14">
        <v>6</v>
      </c>
      <c r="N84" s="14">
        <v>1</v>
      </c>
      <c r="O84" s="14">
        <v>1</v>
      </c>
      <c r="P84" s="14">
        <v>2</v>
      </c>
      <c r="Q84" s="14">
        <f>0.3557/0.2597</f>
        <v>1.3696572968810168</v>
      </c>
      <c r="R84" s="14">
        <v>2</v>
      </c>
      <c r="S84" s="14">
        <v>3</v>
      </c>
      <c r="T84" s="14">
        <v>2</v>
      </c>
      <c r="U84" s="14">
        <v>10</v>
      </c>
      <c r="V84" s="14">
        <f>0.4044/0.2597</f>
        <v>1.5571813631112823</v>
      </c>
    </row>
    <row r="85" spans="1:22" x14ac:dyDescent="0.25">
      <c r="A85" s="1" t="s">
        <v>259</v>
      </c>
      <c r="B85" s="1" t="s">
        <v>258</v>
      </c>
      <c r="C85" s="1" t="s">
        <v>139</v>
      </c>
      <c r="D85" s="1" t="s">
        <v>122</v>
      </c>
      <c r="E85" s="1" t="s">
        <v>130</v>
      </c>
      <c r="F85" s="14">
        <v>8</v>
      </c>
      <c r="G85" s="14">
        <v>2</v>
      </c>
      <c r="H85" s="14">
        <v>6</v>
      </c>
      <c r="I85" s="14">
        <v>2</v>
      </c>
      <c r="J85" s="14">
        <v>8</v>
      </c>
      <c r="K85" s="14">
        <v>0</v>
      </c>
      <c r="L85" s="14">
        <v>1</v>
      </c>
      <c r="M85" s="14">
        <v>12</v>
      </c>
      <c r="N85" s="13">
        <v>0</v>
      </c>
      <c r="O85" s="13">
        <v>0</v>
      </c>
      <c r="P85" s="13">
        <v>0</v>
      </c>
      <c r="Q85" s="14">
        <f>0.3953/0.2795</f>
        <v>1.4143112701252234</v>
      </c>
      <c r="R85" s="14">
        <v>8</v>
      </c>
      <c r="S85" s="14">
        <v>6</v>
      </c>
      <c r="T85" s="14">
        <v>24</v>
      </c>
      <c r="U85" s="14">
        <v>8</v>
      </c>
      <c r="V85" s="14">
        <f>0.4635/0.2795</f>
        <v>1.6583184257602861</v>
      </c>
    </row>
    <row r="86" spans="1:22" x14ac:dyDescent="0.25">
      <c r="A86" s="1" t="s">
        <v>256</v>
      </c>
      <c r="B86" s="1" t="s">
        <v>255</v>
      </c>
      <c r="C86" s="1" t="s">
        <v>257</v>
      </c>
      <c r="D86" s="1" t="s">
        <v>122</v>
      </c>
      <c r="E86" s="1" t="s">
        <v>149</v>
      </c>
      <c r="F86" s="14">
        <v>16</v>
      </c>
      <c r="G86" s="14">
        <v>16</v>
      </c>
      <c r="H86" s="14">
        <v>3</v>
      </c>
      <c r="I86" s="14">
        <v>6</v>
      </c>
      <c r="J86" s="14">
        <v>6</v>
      </c>
      <c r="K86" s="14">
        <v>1</v>
      </c>
      <c r="L86" s="14">
        <v>1</v>
      </c>
      <c r="M86" s="14">
        <v>0</v>
      </c>
      <c r="N86" s="13">
        <v>2</v>
      </c>
      <c r="O86" s="13">
        <v>2</v>
      </c>
      <c r="P86" s="13">
        <v>7</v>
      </c>
      <c r="Q86" s="14">
        <f>0.352/0.2999</f>
        <v>1.1737245748582861</v>
      </c>
      <c r="R86" s="14">
        <v>6</v>
      </c>
      <c r="S86" s="14">
        <v>0</v>
      </c>
      <c r="T86" s="14">
        <v>0</v>
      </c>
      <c r="U86" s="14">
        <v>0</v>
      </c>
      <c r="V86" s="14">
        <f>0.4368/0.2999</f>
        <v>1.456485495165055</v>
      </c>
    </row>
    <row r="87" spans="1:22" x14ac:dyDescent="0.25">
      <c r="A87" s="1" t="s">
        <v>191</v>
      </c>
      <c r="B87" s="1" t="s">
        <v>190</v>
      </c>
      <c r="C87" s="1" t="s">
        <v>192</v>
      </c>
      <c r="D87" s="1" t="s">
        <v>24</v>
      </c>
      <c r="E87" s="1" t="s">
        <v>12</v>
      </c>
      <c r="F87" s="9">
        <v>5</v>
      </c>
      <c r="G87" s="9">
        <v>5</v>
      </c>
      <c r="H87" s="9">
        <v>0</v>
      </c>
      <c r="I87" s="9">
        <v>1</v>
      </c>
      <c r="J87" s="9">
        <v>1</v>
      </c>
      <c r="K87" s="9">
        <v>0</v>
      </c>
      <c r="L87" s="9">
        <v>1</v>
      </c>
      <c r="M87" s="9">
        <v>2</v>
      </c>
      <c r="N87" s="9">
        <v>1</v>
      </c>
      <c r="O87" s="9">
        <v>1</v>
      </c>
      <c r="P87" s="9">
        <v>0</v>
      </c>
      <c r="Q87" s="9">
        <f>0.2427/0.1245</f>
        <v>1.9493975903614458</v>
      </c>
      <c r="R87" s="9">
        <v>0</v>
      </c>
      <c r="S87" s="9">
        <v>4</v>
      </c>
      <c r="T87" s="9">
        <v>4</v>
      </c>
      <c r="U87" s="9">
        <v>0</v>
      </c>
      <c r="V87" s="9">
        <f>0.3428/0.1245</f>
        <v>2.7534136546184738</v>
      </c>
    </row>
    <row r="88" spans="1:22" x14ac:dyDescent="0.25">
      <c r="A88" s="1" t="s">
        <v>193</v>
      </c>
      <c r="B88" s="1" t="s">
        <v>194</v>
      </c>
      <c r="C88" s="1" t="s">
        <v>28</v>
      </c>
      <c r="D88" s="1" t="s">
        <v>24</v>
      </c>
      <c r="E88" s="1" t="s">
        <v>12</v>
      </c>
      <c r="F88" s="14">
        <v>48</v>
      </c>
      <c r="G88" s="14">
        <v>4</v>
      </c>
      <c r="H88" s="14">
        <v>7</v>
      </c>
      <c r="I88" s="14">
        <v>1</v>
      </c>
      <c r="J88" s="14">
        <v>12</v>
      </c>
      <c r="K88" s="14">
        <v>0</v>
      </c>
      <c r="L88" s="14">
        <v>1</v>
      </c>
      <c r="M88" s="14">
        <v>25</v>
      </c>
      <c r="N88" s="13">
        <v>1</v>
      </c>
      <c r="O88" s="13">
        <v>12</v>
      </c>
      <c r="P88" s="14">
        <v>0</v>
      </c>
      <c r="Q88" s="14">
        <f>0.2579/0.1813</f>
        <v>1.4225041367898512</v>
      </c>
      <c r="R88" s="14">
        <v>26</v>
      </c>
      <c r="S88" s="14">
        <v>4</v>
      </c>
      <c r="T88" s="14">
        <v>48</v>
      </c>
      <c r="U88" s="14">
        <v>0</v>
      </c>
      <c r="V88" s="14">
        <f>0.3406/0.1813</f>
        <v>1.8786541643684502</v>
      </c>
    </row>
    <row r="89" spans="1:22" x14ac:dyDescent="0.25">
      <c r="A89" s="1" t="s">
        <v>263</v>
      </c>
      <c r="B89" s="1" t="s">
        <v>262</v>
      </c>
      <c r="C89" s="1" t="s">
        <v>118</v>
      </c>
      <c r="D89" s="1" t="s">
        <v>59</v>
      </c>
      <c r="E89" s="1" t="s">
        <v>103</v>
      </c>
      <c r="F89" s="14">
        <v>4</v>
      </c>
      <c r="G89" s="14">
        <v>4</v>
      </c>
      <c r="H89" s="14">
        <v>1</v>
      </c>
      <c r="I89" s="14">
        <v>3</v>
      </c>
      <c r="J89" s="14">
        <v>3</v>
      </c>
      <c r="K89" s="14">
        <v>0</v>
      </c>
      <c r="L89" s="14">
        <v>1</v>
      </c>
      <c r="M89" s="14">
        <v>0</v>
      </c>
      <c r="N89" s="1">
        <v>2</v>
      </c>
      <c r="O89" s="1">
        <v>2</v>
      </c>
      <c r="P89" s="14">
        <v>5</v>
      </c>
      <c r="Q89" s="14">
        <f>0.3488/0.2761</f>
        <v>1.2633103947844984</v>
      </c>
      <c r="R89" s="14">
        <v>6</v>
      </c>
      <c r="S89" s="14">
        <v>2</v>
      </c>
      <c r="T89" s="14">
        <v>2</v>
      </c>
      <c r="U89" s="14">
        <v>2</v>
      </c>
      <c r="V89" s="14">
        <f>0.3944/0.2761</f>
        <v>1.4284679463962331</v>
      </c>
    </row>
    <row r="90" spans="1:22" x14ac:dyDescent="0.25">
      <c r="A90" s="1" t="s">
        <v>265</v>
      </c>
      <c r="B90" s="1" t="s">
        <v>264</v>
      </c>
      <c r="C90" s="1" t="s">
        <v>216</v>
      </c>
      <c r="D90" s="1" t="s">
        <v>266</v>
      </c>
      <c r="E90" s="1" t="s">
        <v>92</v>
      </c>
      <c r="F90" s="14">
        <v>1</v>
      </c>
      <c r="G90" s="14">
        <v>1</v>
      </c>
      <c r="H90" s="14">
        <v>6</v>
      </c>
      <c r="I90" s="14">
        <v>6</v>
      </c>
      <c r="J90" s="14">
        <v>6</v>
      </c>
      <c r="K90" s="14">
        <v>6</v>
      </c>
      <c r="L90" s="14">
        <v>1</v>
      </c>
      <c r="M90" s="14">
        <v>0</v>
      </c>
      <c r="N90" s="14">
        <v>6</v>
      </c>
      <c r="O90" s="14">
        <v>6</v>
      </c>
      <c r="P90" s="14">
        <v>0</v>
      </c>
      <c r="Q90" s="14">
        <f>0.3767/0.2678</f>
        <v>1.4066467513069454</v>
      </c>
      <c r="R90" s="14">
        <v>8</v>
      </c>
      <c r="S90" s="14">
        <v>0</v>
      </c>
      <c r="T90" s="14">
        <v>0</v>
      </c>
      <c r="U90" s="14">
        <v>8</v>
      </c>
      <c r="V90" s="14">
        <f>0.4589/0.2678</f>
        <v>1.7135922330097089</v>
      </c>
    </row>
    <row r="91" spans="1:22" x14ac:dyDescent="0.25">
      <c r="A91" s="1" t="s">
        <v>268</v>
      </c>
      <c r="B91" s="1" t="s">
        <v>267</v>
      </c>
      <c r="C91" s="1" t="s">
        <v>166</v>
      </c>
      <c r="D91" s="1" t="s">
        <v>266</v>
      </c>
      <c r="E91" s="1" t="s">
        <v>20</v>
      </c>
      <c r="F91" s="14">
        <v>2</v>
      </c>
      <c r="G91" s="14">
        <v>6</v>
      </c>
      <c r="H91" s="14">
        <v>0</v>
      </c>
      <c r="I91" s="14">
        <v>9</v>
      </c>
      <c r="J91" s="14">
        <v>3</v>
      </c>
      <c r="K91" s="14">
        <v>2</v>
      </c>
      <c r="L91" s="14">
        <v>1</v>
      </c>
      <c r="M91" s="14">
        <v>0</v>
      </c>
      <c r="N91" s="14">
        <v>0</v>
      </c>
      <c r="O91" s="14">
        <v>0</v>
      </c>
      <c r="P91" s="14">
        <v>8</v>
      </c>
      <c r="Q91" s="14">
        <f>0.3587/0.2485</f>
        <v>1.4434607645875253</v>
      </c>
      <c r="R91" s="14">
        <v>0</v>
      </c>
      <c r="S91" s="14">
        <v>12</v>
      </c>
      <c r="T91" s="14">
        <v>4</v>
      </c>
      <c r="U91" s="14">
        <v>4</v>
      </c>
      <c r="V91" s="14">
        <f>0.3816/0.2443</f>
        <v>1.5620139173147769</v>
      </c>
    </row>
    <row r="92" spans="1:22" x14ac:dyDescent="0.25">
      <c r="A92" s="1" t="s">
        <v>269</v>
      </c>
      <c r="B92" s="1" t="s">
        <v>270</v>
      </c>
      <c r="C92" s="1" t="s">
        <v>271</v>
      </c>
      <c r="D92" s="1" t="s">
        <v>266</v>
      </c>
      <c r="E92" s="1" t="s">
        <v>135</v>
      </c>
      <c r="F92" s="14">
        <v>4</v>
      </c>
      <c r="G92" s="14">
        <v>4</v>
      </c>
      <c r="H92" s="14">
        <v>5</v>
      </c>
      <c r="I92" s="14">
        <v>8</v>
      </c>
      <c r="J92" s="14">
        <v>8</v>
      </c>
      <c r="K92" s="14">
        <v>3</v>
      </c>
      <c r="L92" s="14">
        <v>1</v>
      </c>
      <c r="M92" s="14">
        <v>1</v>
      </c>
      <c r="N92" s="14">
        <v>0</v>
      </c>
      <c r="O92" s="1">
        <v>0</v>
      </c>
      <c r="P92" s="14">
        <v>5</v>
      </c>
      <c r="Q92" s="14">
        <f>0.3784/0.2972</f>
        <v>1.2732166890982504</v>
      </c>
      <c r="R92" s="14">
        <v>6</v>
      </c>
      <c r="S92" s="14">
        <v>0</v>
      </c>
      <c r="T92" s="14">
        <v>0</v>
      </c>
      <c r="U92" s="14">
        <v>6</v>
      </c>
      <c r="V92" s="14">
        <f>0.4081/0.2972</f>
        <v>1.3731493943472408</v>
      </c>
    </row>
    <row r="93" spans="1:22" x14ac:dyDescent="0.25">
      <c r="A93" s="1" t="s">
        <v>330</v>
      </c>
      <c r="B93" s="1" t="s">
        <v>147</v>
      </c>
      <c r="C93" s="1" t="s">
        <v>148</v>
      </c>
      <c r="D93" s="1" t="s">
        <v>149</v>
      </c>
      <c r="E93" s="1" t="s">
        <v>106</v>
      </c>
      <c r="F93" s="14">
        <v>12</v>
      </c>
      <c r="G93" s="14">
        <v>8</v>
      </c>
      <c r="H93" s="14">
        <v>6</v>
      </c>
      <c r="I93" s="14">
        <v>6</v>
      </c>
      <c r="J93" s="14">
        <v>9</v>
      </c>
      <c r="K93" s="14">
        <v>0</v>
      </c>
      <c r="L93" s="14">
        <v>1</v>
      </c>
      <c r="M93" s="14">
        <v>2</v>
      </c>
      <c r="N93" s="14">
        <v>0</v>
      </c>
      <c r="O93" s="14">
        <v>0</v>
      </c>
      <c r="P93" s="14">
        <v>0</v>
      </c>
      <c r="Q93" s="14">
        <f>0.3578/0.2964</f>
        <v>1.2071524966261808</v>
      </c>
      <c r="R93" s="14">
        <v>2</v>
      </c>
      <c r="S93" s="14">
        <v>4</v>
      </c>
      <c r="T93" s="14">
        <v>6</v>
      </c>
      <c r="U93" s="14">
        <v>6</v>
      </c>
      <c r="V93" s="14">
        <f>0.4595/0.2925</f>
        <v>1.5709401709401711</v>
      </c>
    </row>
    <row r="94" spans="1:22" x14ac:dyDescent="0.25">
      <c r="A94" s="1" t="s">
        <v>273</v>
      </c>
      <c r="B94" s="1" t="s">
        <v>272</v>
      </c>
      <c r="C94" s="1" t="s">
        <v>162</v>
      </c>
      <c r="D94" s="1" t="s">
        <v>100</v>
      </c>
      <c r="E94" s="1" t="s">
        <v>140</v>
      </c>
      <c r="F94" s="1">
        <v>2</v>
      </c>
      <c r="G94" s="7">
        <v>4</v>
      </c>
      <c r="H94" s="7">
        <v>2</v>
      </c>
      <c r="I94" s="7">
        <v>10</v>
      </c>
      <c r="J94" s="7">
        <v>5</v>
      </c>
      <c r="K94" s="7">
        <v>3</v>
      </c>
      <c r="L94" s="7">
        <v>1</v>
      </c>
      <c r="M94" s="7">
        <v>0</v>
      </c>
      <c r="N94" s="7">
        <v>0</v>
      </c>
      <c r="O94" s="7">
        <v>0</v>
      </c>
      <c r="P94" s="7">
        <v>6</v>
      </c>
      <c r="Q94" s="5">
        <f>0.35/0.2996</f>
        <v>1.1682242990654206</v>
      </c>
      <c r="R94" s="7">
        <v>2</v>
      </c>
      <c r="S94" s="7">
        <v>4</v>
      </c>
      <c r="T94" s="7">
        <v>2</v>
      </c>
      <c r="U94" s="7">
        <v>2</v>
      </c>
      <c r="V94" s="7">
        <f>0.4276/0.2996</f>
        <v>1.4272363150867824</v>
      </c>
    </row>
    <row r="95" spans="1:22" x14ac:dyDescent="0.25">
      <c r="A95" s="1" t="s">
        <v>275</v>
      </c>
      <c r="B95" s="1" t="s">
        <v>274</v>
      </c>
      <c r="C95" s="1" t="s">
        <v>22</v>
      </c>
      <c r="D95" s="1" t="s">
        <v>94</v>
      </c>
      <c r="E95" s="1" t="s">
        <v>74</v>
      </c>
      <c r="F95" s="1">
        <v>2</v>
      </c>
      <c r="G95" s="11">
        <v>4</v>
      </c>
      <c r="H95" s="11">
        <v>1</v>
      </c>
      <c r="I95" s="11">
        <v>2</v>
      </c>
      <c r="J95" s="11">
        <v>1</v>
      </c>
      <c r="K95" s="11">
        <v>0</v>
      </c>
      <c r="L95" s="11">
        <v>1</v>
      </c>
      <c r="M95" s="11">
        <v>0</v>
      </c>
      <c r="N95" s="11">
        <v>4</v>
      </c>
      <c r="O95" s="11">
        <v>2</v>
      </c>
      <c r="P95" s="11">
        <v>6</v>
      </c>
      <c r="Q95" s="11">
        <f>0.2497/0.1554</f>
        <v>1.6068211068211067</v>
      </c>
      <c r="R95" s="11">
        <v>4</v>
      </c>
      <c r="S95" s="11">
        <v>2</v>
      </c>
      <c r="T95" s="11">
        <v>1</v>
      </c>
      <c r="U95" s="11">
        <v>1</v>
      </c>
      <c r="V95" s="11">
        <f>0.32/0.1554</f>
        <v>2.0592020592020592</v>
      </c>
    </row>
    <row r="96" spans="1:22" x14ac:dyDescent="0.25">
      <c r="A96" s="1" t="s">
        <v>277</v>
      </c>
      <c r="B96" s="1" t="s">
        <v>276</v>
      </c>
      <c r="C96" s="1" t="s">
        <v>134</v>
      </c>
      <c r="D96" s="1" t="s">
        <v>167</v>
      </c>
      <c r="E96" s="1" t="s">
        <v>201</v>
      </c>
      <c r="F96" s="14">
        <v>6</v>
      </c>
      <c r="G96" s="14">
        <v>3</v>
      </c>
      <c r="H96" s="14">
        <v>6</v>
      </c>
      <c r="I96" s="14">
        <v>4</v>
      </c>
      <c r="J96" s="14">
        <v>8</v>
      </c>
      <c r="K96" s="14">
        <v>6</v>
      </c>
      <c r="L96" s="14">
        <v>1</v>
      </c>
      <c r="M96" s="14">
        <v>3</v>
      </c>
      <c r="N96" s="14">
        <v>0</v>
      </c>
      <c r="O96" s="14">
        <v>0</v>
      </c>
      <c r="P96" s="14">
        <v>0</v>
      </c>
      <c r="Q96" s="14">
        <f>0.336/0.3038</f>
        <v>1.1059907834101383</v>
      </c>
      <c r="R96" s="14">
        <v>0</v>
      </c>
      <c r="S96" s="14">
        <v>9</v>
      </c>
      <c r="T96" s="14">
        <v>18</v>
      </c>
      <c r="U96" s="14">
        <v>0</v>
      </c>
      <c r="V96" s="14">
        <f>0.4114/0.3038</f>
        <v>1.3541803818301512</v>
      </c>
    </row>
    <row r="97" spans="1:22" x14ac:dyDescent="0.25">
      <c r="A97" s="1" t="s">
        <v>278</v>
      </c>
      <c r="B97" s="1" t="s">
        <v>178</v>
      </c>
      <c r="C97" s="1" t="s">
        <v>10</v>
      </c>
      <c r="D97" s="1" t="s">
        <v>131</v>
      </c>
      <c r="E97" s="1" t="s">
        <v>74</v>
      </c>
      <c r="F97" s="14">
        <v>2</v>
      </c>
      <c r="G97" s="14">
        <v>3</v>
      </c>
      <c r="H97" s="14">
        <v>0</v>
      </c>
      <c r="I97" s="14">
        <v>4</v>
      </c>
      <c r="J97" s="14">
        <v>4</v>
      </c>
      <c r="K97" s="14">
        <v>0</v>
      </c>
      <c r="L97" s="14">
        <v>1</v>
      </c>
      <c r="M97" s="14">
        <v>8</v>
      </c>
      <c r="N97" s="14">
        <v>0</v>
      </c>
      <c r="O97" s="14">
        <v>0</v>
      </c>
      <c r="P97" s="14">
        <v>8</v>
      </c>
      <c r="Q97" s="14">
        <f>0.2981/0.2108</f>
        <v>1.4141366223908918</v>
      </c>
      <c r="R97" s="14">
        <v>0</v>
      </c>
      <c r="S97" s="14">
        <v>8</v>
      </c>
      <c r="T97" s="14">
        <v>8</v>
      </c>
      <c r="U97" s="14">
        <v>0</v>
      </c>
      <c r="V97" s="14">
        <f>0.3651/0.2108</f>
        <v>1.7319734345351043</v>
      </c>
    </row>
    <row r="98" spans="1:22" x14ac:dyDescent="0.25">
      <c r="A98" s="1" t="s">
        <v>280</v>
      </c>
      <c r="B98" s="1" t="s">
        <v>279</v>
      </c>
      <c r="C98" s="1" t="s">
        <v>281</v>
      </c>
      <c r="D98" s="1" t="s">
        <v>71</v>
      </c>
      <c r="E98" s="1" t="s">
        <v>74</v>
      </c>
      <c r="F98" s="9">
        <v>2</v>
      </c>
      <c r="G98" s="9">
        <v>3</v>
      </c>
      <c r="H98" s="9">
        <v>0</v>
      </c>
      <c r="I98" s="9">
        <v>6</v>
      </c>
      <c r="J98" s="9">
        <v>4</v>
      </c>
      <c r="K98" s="9">
        <v>4</v>
      </c>
      <c r="L98" s="9">
        <v>1</v>
      </c>
      <c r="M98" s="9">
        <v>12</v>
      </c>
      <c r="N98" s="9">
        <v>6</v>
      </c>
      <c r="O98" s="9">
        <v>4</v>
      </c>
      <c r="P98" s="9">
        <v>10</v>
      </c>
      <c r="Q98" s="9">
        <f>0.384/0.2845</f>
        <v>1.349736379613357</v>
      </c>
      <c r="R98" s="9">
        <v>0</v>
      </c>
      <c r="S98" s="9">
        <v>6</v>
      </c>
      <c r="T98" s="9">
        <v>4</v>
      </c>
      <c r="U98" s="9">
        <v>2</v>
      </c>
      <c r="V98" s="9">
        <f>0.4779/0.2845</f>
        <v>1.6797891036906856</v>
      </c>
    </row>
    <row r="99" spans="1:22" x14ac:dyDescent="0.25">
      <c r="A99" s="1" t="s">
        <v>288</v>
      </c>
      <c r="B99" s="1" t="s">
        <v>287</v>
      </c>
      <c r="C99" s="1" t="s">
        <v>33</v>
      </c>
      <c r="D99" s="1" t="s">
        <v>74</v>
      </c>
      <c r="E99" s="1" t="s">
        <v>107</v>
      </c>
      <c r="F99" s="1">
        <v>3</v>
      </c>
      <c r="G99" s="9">
        <v>2</v>
      </c>
      <c r="H99" s="9">
        <v>0</v>
      </c>
      <c r="I99" s="9">
        <v>3</v>
      </c>
      <c r="J99" s="9">
        <v>2</v>
      </c>
      <c r="K99" s="9">
        <v>0</v>
      </c>
      <c r="L99" s="9">
        <v>1</v>
      </c>
      <c r="M99" s="9">
        <v>8</v>
      </c>
      <c r="N99" s="9">
        <v>4</v>
      </c>
      <c r="O99" s="9">
        <v>6</v>
      </c>
      <c r="P99" s="9">
        <v>3</v>
      </c>
      <c r="Q99" s="9">
        <f>0.3048/0.1801</f>
        <v>1.6923931149361466</v>
      </c>
      <c r="R99" s="9">
        <v>3</v>
      </c>
      <c r="S99" s="9">
        <v>0</v>
      </c>
      <c r="T99" s="9">
        <v>0</v>
      </c>
      <c r="U99" s="9">
        <v>6</v>
      </c>
      <c r="V99" s="9">
        <f>0.3856/0.1801</f>
        <v>2.1410327595780121</v>
      </c>
    </row>
    <row r="100" spans="1:22" x14ac:dyDescent="0.25">
      <c r="A100" s="15" t="s">
        <v>284</v>
      </c>
      <c r="B100" s="15" t="s">
        <v>285</v>
      </c>
      <c r="C100" s="15" t="s">
        <v>286</v>
      </c>
      <c r="D100" s="15" t="s">
        <v>74</v>
      </c>
      <c r="E100" s="15" t="s">
        <v>155</v>
      </c>
      <c r="F100" s="15">
        <v>4</v>
      </c>
      <c r="G100" s="15">
        <v>4</v>
      </c>
      <c r="H100" s="15">
        <v>4</v>
      </c>
      <c r="I100" s="15">
        <v>4</v>
      </c>
      <c r="J100" s="15">
        <v>4</v>
      </c>
      <c r="K100" s="15">
        <v>0</v>
      </c>
      <c r="L100" s="15">
        <v>1</v>
      </c>
      <c r="M100" s="15">
        <v>0</v>
      </c>
      <c r="N100" s="15">
        <v>0</v>
      </c>
      <c r="O100" s="15">
        <v>0</v>
      </c>
      <c r="P100" s="15">
        <v>8</v>
      </c>
      <c r="Q100" s="15">
        <f>0.3706/0.275</f>
        <v>1.3476363636363635</v>
      </c>
      <c r="R100" s="15">
        <v>4</v>
      </c>
      <c r="S100" s="15">
        <v>4</v>
      </c>
      <c r="T100" s="15">
        <v>4</v>
      </c>
      <c r="U100" s="15">
        <v>4</v>
      </c>
      <c r="V100" s="15">
        <f>0.4031/0.275</f>
        <v>1.4658181818181817</v>
      </c>
    </row>
    <row r="101" spans="1:22" s="11" customFormat="1" x14ac:dyDescent="0.25">
      <c r="A101" s="11" t="s">
        <v>283</v>
      </c>
      <c r="B101" s="11" t="s">
        <v>282</v>
      </c>
      <c r="C101" s="11" t="s">
        <v>55</v>
      </c>
      <c r="D101" s="11" t="s">
        <v>74</v>
      </c>
      <c r="E101" s="11" t="s">
        <v>155</v>
      </c>
      <c r="F101" s="11">
        <v>2</v>
      </c>
      <c r="G101" s="11">
        <v>2</v>
      </c>
      <c r="H101" s="11">
        <v>0</v>
      </c>
      <c r="I101" s="11">
        <v>4</v>
      </c>
      <c r="J101" s="11">
        <v>4</v>
      </c>
      <c r="K101" s="11">
        <v>4</v>
      </c>
      <c r="L101" s="11">
        <v>1</v>
      </c>
      <c r="M101" s="11">
        <v>4</v>
      </c>
      <c r="N101" s="11">
        <v>0</v>
      </c>
      <c r="O101" s="11">
        <v>0</v>
      </c>
      <c r="P101" s="11">
        <v>12</v>
      </c>
      <c r="Q101" s="11">
        <f>0.396/0.28</f>
        <v>1.4142857142857141</v>
      </c>
      <c r="R101" s="11">
        <v>0</v>
      </c>
      <c r="S101" s="11">
        <v>12</v>
      </c>
      <c r="T101" s="11">
        <v>12</v>
      </c>
      <c r="U101" s="11">
        <v>0</v>
      </c>
      <c r="V101" s="11">
        <f>0.4305/0.28</f>
        <v>1.5374999999999999</v>
      </c>
    </row>
    <row r="102" spans="1:22" x14ac:dyDescent="0.25">
      <c r="A102" s="1" t="s">
        <v>154</v>
      </c>
      <c r="B102" s="1" t="s">
        <v>152</v>
      </c>
      <c r="C102" s="1" t="s">
        <v>153</v>
      </c>
      <c r="D102" s="1" t="s">
        <v>140</v>
      </c>
      <c r="E102" s="1" t="s">
        <v>155</v>
      </c>
      <c r="F102" s="1">
        <v>2</v>
      </c>
      <c r="G102" s="1">
        <v>8</v>
      </c>
      <c r="H102" s="1">
        <v>0</v>
      </c>
      <c r="I102" s="1">
        <v>8</v>
      </c>
      <c r="J102" s="1">
        <v>2</v>
      </c>
      <c r="K102" s="1">
        <v>0</v>
      </c>
      <c r="L102" s="1">
        <v>1</v>
      </c>
      <c r="M102" s="2">
        <v>0</v>
      </c>
      <c r="N102" s="2">
        <v>0</v>
      </c>
      <c r="O102" s="2">
        <v>0</v>
      </c>
      <c r="P102" s="2">
        <v>11</v>
      </c>
      <c r="Q102" s="2">
        <f>0.3493/0.2879</f>
        <v>1.2132684960055575</v>
      </c>
      <c r="R102" s="2">
        <v>4</v>
      </c>
      <c r="S102" s="1">
        <v>8</v>
      </c>
      <c r="T102" s="1">
        <v>2</v>
      </c>
      <c r="U102" s="1">
        <v>0</v>
      </c>
      <c r="V102" s="1">
        <f>0.4793/0.2879</f>
        <v>1.6648141715873568</v>
      </c>
    </row>
    <row r="103" spans="1:22" x14ac:dyDescent="0.25">
      <c r="A103" s="1" t="s">
        <v>246</v>
      </c>
      <c r="B103" s="1" t="s">
        <v>245</v>
      </c>
      <c r="C103" s="1" t="s">
        <v>38</v>
      </c>
      <c r="D103" s="1" t="s">
        <v>108</v>
      </c>
      <c r="E103" s="1" t="s">
        <v>24</v>
      </c>
      <c r="F103" s="1">
        <v>2</v>
      </c>
      <c r="G103" s="2">
        <v>4</v>
      </c>
      <c r="H103" s="2">
        <v>0</v>
      </c>
      <c r="I103" s="2">
        <v>8</v>
      </c>
      <c r="J103" s="2">
        <v>4</v>
      </c>
      <c r="K103" s="2">
        <v>6</v>
      </c>
      <c r="L103" s="4">
        <v>1</v>
      </c>
      <c r="M103" s="4">
        <v>12</v>
      </c>
      <c r="N103" s="4">
        <v>8</v>
      </c>
      <c r="O103" s="4">
        <v>4</v>
      </c>
      <c r="P103" s="4">
        <v>12</v>
      </c>
      <c r="Q103" s="4">
        <f>0.33/0.2041</f>
        <v>1.6168544830965215</v>
      </c>
      <c r="R103" s="4">
        <v>0</v>
      </c>
      <c r="S103" s="2">
        <v>16</v>
      </c>
      <c r="T103" s="2">
        <v>8</v>
      </c>
      <c r="U103" s="2">
        <v>8</v>
      </c>
      <c r="V103" s="4">
        <f>0.4/0.2041</f>
        <v>1.9598236158745714</v>
      </c>
    </row>
    <row r="104" spans="1:22" x14ac:dyDescent="0.25">
      <c r="A104" s="1" t="s">
        <v>342</v>
      </c>
      <c r="B104" s="1" t="s">
        <v>343</v>
      </c>
      <c r="C104" s="1" t="s">
        <v>344</v>
      </c>
      <c r="D104" s="1" t="s">
        <v>94</v>
      </c>
      <c r="E104" s="1" t="s">
        <v>12</v>
      </c>
      <c r="F104" s="14">
        <v>1</v>
      </c>
      <c r="G104" s="14">
        <v>1</v>
      </c>
      <c r="H104" s="14">
        <v>0</v>
      </c>
      <c r="I104" s="14">
        <v>6</v>
      </c>
      <c r="J104" s="14">
        <v>6</v>
      </c>
      <c r="K104" s="14">
        <v>0</v>
      </c>
      <c r="L104" s="1">
        <v>1</v>
      </c>
      <c r="M104" s="14">
        <v>12</v>
      </c>
      <c r="N104" s="14">
        <v>0</v>
      </c>
      <c r="O104" s="14">
        <v>0</v>
      </c>
      <c r="P104" s="14">
        <v>12</v>
      </c>
      <c r="Q104" s="1">
        <f>SQRT(2)</f>
        <v>1.4142135623730951</v>
      </c>
      <c r="R104" s="14">
        <v>0</v>
      </c>
      <c r="S104" s="14">
        <v>6</v>
      </c>
      <c r="T104" s="14">
        <v>6</v>
      </c>
      <c r="U104" s="14">
        <v>0</v>
      </c>
      <c r="V104" s="14">
        <f>SQRT(3)</f>
        <v>1.7320508075688772</v>
      </c>
    </row>
    <row r="105" spans="1:22" x14ac:dyDescent="0.25"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</row>
    <row r="106" spans="1:22" x14ac:dyDescent="0.25"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</row>
    <row r="107" spans="1:22" x14ac:dyDescent="0.25"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</row>
    <row r="108" spans="1:22" x14ac:dyDescent="0.25"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</row>
    <row r="109" spans="1:22" x14ac:dyDescent="0.25"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</row>
    <row r="110" spans="1:22" x14ac:dyDescent="0.25"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</row>
    <row r="111" spans="1:22" x14ac:dyDescent="0.25"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</row>
    <row r="112" spans="1:22" x14ac:dyDescent="0.25"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</row>
    <row r="113" spans="6:22" x14ac:dyDescent="0.25"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</row>
    <row r="114" spans="6:22" x14ac:dyDescent="0.25"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</row>
    <row r="115" spans="6:22" x14ac:dyDescent="0.25"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</row>
    <row r="116" spans="6:22" x14ac:dyDescent="0.25"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</row>
    <row r="117" spans="6:22" x14ac:dyDescent="0.25"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</row>
    <row r="118" spans="6:22" x14ac:dyDescent="0.25"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</row>
    <row r="119" spans="6:22" x14ac:dyDescent="0.25"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</row>
    <row r="120" spans="6:22" x14ac:dyDescent="0.25"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</row>
    <row r="121" spans="6:22" x14ac:dyDescent="0.25"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</row>
    <row r="122" spans="6:22" x14ac:dyDescent="0.25"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</row>
    <row r="123" spans="6:22" x14ac:dyDescent="0.25"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</row>
    <row r="124" spans="6:22" x14ac:dyDescent="0.25"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</row>
    <row r="125" spans="6:22" x14ac:dyDescent="0.25">
      <c r="L125" s="14"/>
      <c r="M125" s="14"/>
      <c r="N125" s="14"/>
      <c r="O125" s="14"/>
      <c r="P125" s="14"/>
      <c r="Q125" s="14"/>
      <c r="R125" s="14"/>
      <c r="S125" s="14"/>
      <c r="T125" s="14"/>
      <c r="U125" s="14"/>
    </row>
    <row r="126" spans="6:22" x14ac:dyDescent="0.25">
      <c r="L126" s="14"/>
      <c r="M126" s="14"/>
      <c r="N126" s="14"/>
      <c r="O126" s="14"/>
      <c r="P126" s="14"/>
      <c r="Q126" s="14"/>
      <c r="R126" s="14"/>
      <c r="S126" s="14"/>
      <c r="T126" s="14"/>
      <c r="U126" s="14"/>
    </row>
    <row r="127" spans="6:22" x14ac:dyDescent="0.25">
      <c r="L127" s="14"/>
      <c r="M127" s="14"/>
      <c r="N127" s="14"/>
      <c r="O127" s="14"/>
      <c r="P127" s="14"/>
      <c r="Q127" s="14"/>
      <c r="R127" s="14"/>
      <c r="S127" s="14"/>
      <c r="T127" s="14"/>
      <c r="U127" s="14"/>
    </row>
    <row r="128" spans="6:22" x14ac:dyDescent="0.25">
      <c r="L128" s="14"/>
      <c r="M128" s="14"/>
      <c r="N128" s="14"/>
      <c r="O128" s="14"/>
      <c r="P128" s="14"/>
      <c r="Q128" s="14"/>
      <c r="R128" s="14"/>
      <c r="S128" s="14"/>
      <c r="T128" s="14"/>
      <c r="U128" s="14"/>
    </row>
    <row r="129" spans="12:21" x14ac:dyDescent="0.25">
      <c r="L129" s="14"/>
      <c r="M129" s="14"/>
      <c r="N129" s="14"/>
      <c r="O129" s="14"/>
      <c r="P129" s="14"/>
      <c r="Q129" s="14"/>
      <c r="R129" s="14"/>
      <c r="S129" s="14"/>
      <c r="T129" s="14"/>
      <c r="U129" s="14"/>
    </row>
    <row r="130" spans="12:21" x14ac:dyDescent="0.25">
      <c r="L130" s="14"/>
      <c r="M130" s="14"/>
      <c r="N130" s="14"/>
      <c r="O130" s="14"/>
      <c r="P130" s="14"/>
      <c r="Q130" s="14"/>
      <c r="R130" s="14"/>
      <c r="S130" s="14"/>
      <c r="T130" s="14"/>
      <c r="U130" s="14"/>
    </row>
    <row r="131" spans="12:21" x14ac:dyDescent="0.25">
      <c r="L131" s="14"/>
      <c r="M131" s="14"/>
      <c r="N131" s="14"/>
      <c r="O131" s="14"/>
      <c r="P131" s="14"/>
      <c r="Q131" s="14"/>
      <c r="R131" s="14"/>
      <c r="S131" s="14"/>
      <c r="T131" s="14"/>
      <c r="U131" s="14"/>
    </row>
    <row r="132" spans="12:21" x14ac:dyDescent="0.25">
      <c r="L132" s="14"/>
      <c r="M132" s="14"/>
      <c r="N132" s="14"/>
      <c r="O132" s="14"/>
      <c r="P132" s="14"/>
      <c r="Q132" s="14"/>
      <c r="R132" s="14"/>
      <c r="S132" s="14"/>
      <c r="T132" s="14"/>
      <c r="U132" s="14"/>
    </row>
    <row r="133" spans="12:21" x14ac:dyDescent="0.25">
      <c r="L133" s="14"/>
      <c r="M133" s="14"/>
      <c r="N133" s="14"/>
      <c r="O133" s="14"/>
      <c r="P133" s="14"/>
      <c r="Q133" s="14"/>
      <c r="R133" s="14"/>
      <c r="S133" s="14"/>
      <c r="T133" s="14"/>
      <c r="U133" s="14"/>
    </row>
    <row r="134" spans="12:21" x14ac:dyDescent="0.25">
      <c r="L134" s="14"/>
      <c r="M134" s="14"/>
      <c r="N134" s="14"/>
      <c r="O134" s="14"/>
      <c r="P134" s="14"/>
      <c r="Q134" s="14"/>
      <c r="R134" s="14"/>
      <c r="S134" s="14"/>
      <c r="T134" s="14"/>
      <c r="U134" s="14"/>
    </row>
    <row r="135" spans="12:21" x14ac:dyDescent="0.25">
      <c r="L135" s="14"/>
      <c r="M135" s="14"/>
      <c r="N135" s="14"/>
      <c r="O135" s="14"/>
      <c r="P135" s="14"/>
      <c r="Q135" s="14"/>
      <c r="R135" s="14"/>
      <c r="S135" s="14"/>
      <c r="T135" s="14"/>
      <c r="U135" s="14"/>
    </row>
    <row r="136" spans="12:21" x14ac:dyDescent="0.25">
      <c r="P136" s="14"/>
      <c r="Q136" s="14"/>
      <c r="R136" s="14"/>
      <c r="S136" s="14"/>
      <c r="T136" s="14"/>
      <c r="U136" s="14"/>
    </row>
    <row r="137" spans="12:21" x14ac:dyDescent="0.25">
      <c r="P137" s="14"/>
      <c r="Q137" s="14"/>
      <c r="R137" s="14"/>
      <c r="S137" s="14"/>
      <c r="T137" s="14"/>
      <c r="U137" s="14"/>
    </row>
    <row r="138" spans="12:21" x14ac:dyDescent="0.25">
      <c r="P138" s="14"/>
      <c r="Q138" s="14"/>
      <c r="R138" s="14"/>
      <c r="S138" s="14"/>
      <c r="T138" s="14"/>
      <c r="U138" s="14"/>
    </row>
    <row r="139" spans="12:21" x14ac:dyDescent="0.25">
      <c r="P139" s="14"/>
      <c r="Q139" s="14"/>
      <c r="R139" s="14"/>
      <c r="S139" s="14"/>
      <c r="T139" s="14"/>
      <c r="U139" s="14"/>
    </row>
    <row r="140" spans="12:21" x14ac:dyDescent="0.25">
      <c r="P140" s="14"/>
      <c r="Q140" s="14"/>
      <c r="R140" s="14"/>
      <c r="S140" s="14"/>
      <c r="T140" s="14"/>
      <c r="U140" s="14"/>
    </row>
    <row r="141" spans="12:21" x14ac:dyDescent="0.25">
      <c r="P141" s="14"/>
      <c r="Q141" s="14"/>
      <c r="R141" s="14"/>
      <c r="S141" s="14"/>
      <c r="T141" s="14"/>
      <c r="U141" s="14"/>
    </row>
    <row r="142" spans="12:21" x14ac:dyDescent="0.25">
      <c r="P142" s="14"/>
      <c r="Q142" s="14"/>
      <c r="R142" s="14"/>
      <c r="S142" s="14"/>
      <c r="T142" s="14"/>
      <c r="U142" s="14"/>
    </row>
    <row r="143" spans="12:21" x14ac:dyDescent="0.25">
      <c r="P143" s="14"/>
      <c r="Q143" s="14"/>
      <c r="R143" s="14"/>
      <c r="S143" s="14"/>
      <c r="T143" s="14"/>
      <c r="U143" s="14"/>
    </row>
    <row r="144" spans="12:21" x14ac:dyDescent="0.25">
      <c r="P144" s="14"/>
      <c r="Q144" s="14"/>
      <c r="R144" s="14"/>
      <c r="S144" s="14"/>
      <c r="T144" s="14"/>
      <c r="U144" s="14"/>
    </row>
    <row r="145" spans="16:21" x14ac:dyDescent="0.25">
      <c r="P145" s="14"/>
      <c r="Q145" s="14"/>
      <c r="R145" s="14"/>
      <c r="S145" s="14"/>
      <c r="T145" s="14"/>
      <c r="U145" s="14"/>
    </row>
    <row r="146" spans="16:21" x14ac:dyDescent="0.25">
      <c r="P146" s="14"/>
      <c r="Q146" s="14"/>
      <c r="R146" s="14"/>
      <c r="S146" s="14"/>
      <c r="T146" s="14"/>
      <c r="U146" s="14"/>
    </row>
    <row r="147" spans="16:21" x14ac:dyDescent="0.25">
      <c r="P147" s="14"/>
      <c r="Q147" s="14"/>
      <c r="R147" s="14"/>
      <c r="S147" s="14"/>
      <c r="T147" s="14"/>
      <c r="U147" s="14"/>
    </row>
  </sheetData>
  <sortState ref="A2:V103">
    <sortCondition ref="A2:A103"/>
  </sortState>
  <mergeCells count="11">
    <mergeCell ref="T2:U2"/>
    <mergeCell ref="B1:E1"/>
    <mergeCell ref="F1:G1"/>
    <mergeCell ref="H1:L1"/>
    <mergeCell ref="M1:Q1"/>
    <mergeCell ref="R1:V1"/>
    <mergeCell ref="H2:I2"/>
    <mergeCell ref="J2:K2"/>
    <mergeCell ref="M2:N2"/>
    <mergeCell ref="O2:P2"/>
    <mergeCell ref="R2:S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 Vo</dc:creator>
  <cp:lastModifiedBy>Matt</cp:lastModifiedBy>
  <dcterms:created xsi:type="dcterms:W3CDTF">2013-06-09T19:05:35Z</dcterms:created>
  <dcterms:modified xsi:type="dcterms:W3CDTF">2014-01-11T02:45:04Z</dcterms:modified>
</cp:coreProperties>
</file>